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volatileDependencies.xml" ContentType="application/vnd.openxmlformats-officedocument.spreadsheetml.volatileDependenc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395" yWindow="-105" windowWidth="14850" windowHeight="12735"/>
  </bookViews>
  <sheets>
    <sheet name="BIData" sheetId="2" r:id="rId1"/>
    <sheet name="ReferenceData" sheetId="3" r:id="rId2"/>
    <sheet name="帮助-参考" sheetId="4" r:id="rId3"/>
  </sheets>
  <calcPr calcId="124519"/>
</workbook>
</file>

<file path=xl/calcChain.xml><?xml version="1.0" encoding="utf-8"?>
<calcChain xmlns="http://schemas.openxmlformats.org/spreadsheetml/2006/main">
  <c r="FQ465" i="3"/>
  <c r="FP465"/>
  <c r="FO465"/>
  <c r="FN465"/>
  <c r="FM465"/>
  <c r="FL465"/>
  <c r="FK465"/>
  <c r="FJ465"/>
  <c r="FI465"/>
  <c r="FH465"/>
  <c r="FG465"/>
  <c r="FF465"/>
  <c r="FE465"/>
  <c r="FD465"/>
  <c r="FC465"/>
  <c r="FB465"/>
  <c r="FA465"/>
  <c r="EZ465"/>
  <c r="EY465"/>
  <c r="EX465"/>
  <c r="EW465"/>
  <c r="EV465"/>
  <c r="EU465"/>
  <c r="ET465"/>
  <c r="ES465"/>
  <c r="ER465"/>
  <c r="EQ465"/>
  <c r="EP465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E465"/>
  <c r="D465"/>
  <c r="C465"/>
  <c r="B465"/>
  <c r="A465"/>
  <c r="FQ464"/>
  <c r="FP464"/>
  <c r="FO464"/>
  <c r="FN464"/>
  <c r="FM464"/>
  <c r="FL464"/>
  <c r="FK464"/>
  <c r="FJ464"/>
  <c r="FI464"/>
  <c r="FH464"/>
  <c r="FG464"/>
  <c r="FF464"/>
  <c r="FE464"/>
  <c r="FD464"/>
  <c r="FC464"/>
  <c r="FB464"/>
  <c r="FA464"/>
  <c r="EZ464"/>
  <c r="EY464"/>
  <c r="EX464"/>
  <c r="EW464"/>
  <c r="EV464"/>
  <c r="EU464"/>
  <c r="ET464"/>
  <c r="ES464"/>
  <c r="ER464"/>
  <c r="EQ464"/>
  <c r="EP464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A464"/>
  <c r="FQ463"/>
  <c r="FP463"/>
  <c r="FO463"/>
  <c r="FN463"/>
  <c r="FM463"/>
  <c r="FL463"/>
  <c r="FK463"/>
  <c r="FJ463"/>
  <c r="FI463"/>
  <c r="FH463"/>
  <c r="FG463"/>
  <c r="FF463"/>
  <c r="FE463"/>
  <c r="FD463"/>
  <c r="FC463"/>
  <c r="FB463"/>
  <c r="FA463"/>
  <c r="EZ463"/>
  <c r="EY463"/>
  <c r="EX463"/>
  <c r="EW463"/>
  <c r="EV463"/>
  <c r="EU463"/>
  <c r="ET463"/>
  <c r="ES463"/>
  <c r="ER463"/>
  <c r="EQ463"/>
  <c r="EP463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A463"/>
  <c r="FQ462"/>
  <c r="FP462"/>
  <c r="FO462"/>
  <c r="FN462"/>
  <c r="FM462"/>
  <c r="FL462"/>
  <c r="FK462"/>
  <c r="FJ462"/>
  <c r="FI462"/>
  <c r="FH462"/>
  <c r="FG462"/>
  <c r="FF462"/>
  <c r="FE462"/>
  <c r="FD462"/>
  <c r="FC462"/>
  <c r="FB462"/>
  <c r="FA462"/>
  <c r="EZ462"/>
  <c r="EY462"/>
  <c r="EX462"/>
  <c r="EW462"/>
  <c r="EV462"/>
  <c r="EU462"/>
  <c r="ET462"/>
  <c r="ES462"/>
  <c r="ER462"/>
  <c r="EQ462"/>
  <c r="EP462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A462"/>
  <c r="FQ461"/>
  <c r="FP461"/>
  <c r="FO461"/>
  <c r="FN461"/>
  <c r="FM461"/>
  <c r="FL461"/>
  <c r="FK461"/>
  <c r="FJ461"/>
  <c r="FI461"/>
  <c r="FH461"/>
  <c r="FG461"/>
  <c r="FF461"/>
  <c r="FE461"/>
  <c r="FD461"/>
  <c r="FC461"/>
  <c r="FB461"/>
  <c r="FA461"/>
  <c r="EZ461"/>
  <c r="EY461"/>
  <c r="EX461"/>
  <c r="EW461"/>
  <c r="EV461"/>
  <c r="EU461"/>
  <c r="ET461"/>
  <c r="ES461"/>
  <c r="ER461"/>
  <c r="EQ461"/>
  <c r="EP461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A461"/>
  <c r="FQ460"/>
  <c r="FP460"/>
  <c r="FO460"/>
  <c r="FN460"/>
  <c r="FM460"/>
  <c r="FL460"/>
  <c r="FK460"/>
  <c r="FJ460"/>
  <c r="FI460"/>
  <c r="FH460"/>
  <c r="FG460"/>
  <c r="FF460"/>
  <c r="FE460"/>
  <c r="FD460"/>
  <c r="FC460"/>
  <c r="FB460"/>
  <c r="FA460"/>
  <c r="EZ460"/>
  <c r="EY460"/>
  <c r="EX460"/>
  <c r="EW460"/>
  <c r="EV460"/>
  <c r="EU460"/>
  <c r="ET460"/>
  <c r="ES460"/>
  <c r="ER460"/>
  <c r="EQ460"/>
  <c r="EP460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A460"/>
  <c r="FQ459"/>
  <c r="FP459"/>
  <c r="FO459"/>
  <c r="FN459"/>
  <c r="FM459"/>
  <c r="FL459"/>
  <c r="FK459"/>
  <c r="FJ459"/>
  <c r="FI459"/>
  <c r="FH459"/>
  <c r="FG459"/>
  <c r="FF459"/>
  <c r="FE459"/>
  <c r="FD459"/>
  <c r="FC459"/>
  <c r="FB459"/>
  <c r="FA459"/>
  <c r="EZ459"/>
  <c r="EY459"/>
  <c r="EX459"/>
  <c r="EW459"/>
  <c r="EV459"/>
  <c r="EU459"/>
  <c r="ET459"/>
  <c r="ES459"/>
  <c r="ER459"/>
  <c r="EQ459"/>
  <c r="EP459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A459"/>
  <c r="FQ458"/>
  <c r="FP458"/>
  <c r="FO458"/>
  <c r="FN458"/>
  <c r="FM458"/>
  <c r="FL458"/>
  <c r="FK458"/>
  <c r="FJ458"/>
  <c r="FI458"/>
  <c r="FH458"/>
  <c r="FG458"/>
  <c r="FF458"/>
  <c r="FE458"/>
  <c r="FD458"/>
  <c r="FC458"/>
  <c r="FB458"/>
  <c r="FA458"/>
  <c r="EZ458"/>
  <c r="EY458"/>
  <c r="EX458"/>
  <c r="EW458"/>
  <c r="EV458"/>
  <c r="EU458"/>
  <c r="ET458"/>
  <c r="ES458"/>
  <c r="ER458"/>
  <c r="EQ458"/>
  <c r="EP458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A458"/>
  <c r="FQ457"/>
  <c r="FP457"/>
  <c r="FO457"/>
  <c r="FN457"/>
  <c r="FM457"/>
  <c r="FL457"/>
  <c r="FK457"/>
  <c r="FJ457"/>
  <c r="FI457"/>
  <c r="FH457"/>
  <c r="FG457"/>
  <c r="FF457"/>
  <c r="FE457"/>
  <c r="FD457"/>
  <c r="FC457"/>
  <c r="FB457"/>
  <c r="FA457"/>
  <c r="EZ457"/>
  <c r="EY457"/>
  <c r="EX457"/>
  <c r="EW457"/>
  <c r="EV457"/>
  <c r="EU457"/>
  <c r="ET457"/>
  <c r="ES457"/>
  <c r="ER457"/>
  <c r="EQ457"/>
  <c r="EP457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A457"/>
  <c r="FQ456"/>
  <c r="FP456"/>
  <c r="FO456"/>
  <c r="FN456"/>
  <c r="FM456"/>
  <c r="FL456"/>
  <c r="FK456"/>
  <c r="FJ456"/>
  <c r="FI456"/>
  <c r="FH456"/>
  <c r="FG456"/>
  <c r="FF456"/>
  <c r="FE456"/>
  <c r="FD456"/>
  <c r="FC456"/>
  <c r="FB456"/>
  <c r="FA456"/>
  <c r="EZ456"/>
  <c r="EY456"/>
  <c r="EX456"/>
  <c r="EW456"/>
  <c r="EV456"/>
  <c r="EU456"/>
  <c r="ET456"/>
  <c r="ES456"/>
  <c r="ER456"/>
  <c r="EQ456"/>
  <c r="EP456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A456"/>
  <c r="FQ455"/>
  <c r="FP455"/>
  <c r="FO455"/>
  <c r="FN455"/>
  <c r="FM455"/>
  <c r="FL455"/>
  <c r="FK455"/>
  <c r="FJ455"/>
  <c r="FI455"/>
  <c r="FH455"/>
  <c r="FG455"/>
  <c r="FF455"/>
  <c r="FE455"/>
  <c r="FD455"/>
  <c r="FC455"/>
  <c r="FB455"/>
  <c r="FA455"/>
  <c r="EZ455"/>
  <c r="EY455"/>
  <c r="EX455"/>
  <c r="EW455"/>
  <c r="EV455"/>
  <c r="EU455"/>
  <c r="ET455"/>
  <c r="ES455"/>
  <c r="ER455"/>
  <c r="EQ455"/>
  <c r="EP455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A455"/>
  <c r="FQ454"/>
  <c r="FP454"/>
  <c r="FO454"/>
  <c r="FN454"/>
  <c r="FM454"/>
  <c r="FL454"/>
  <c r="FK454"/>
  <c r="FJ454"/>
  <c r="FI454"/>
  <c r="FH454"/>
  <c r="FG454"/>
  <c r="FF454"/>
  <c r="FE454"/>
  <c r="FD454"/>
  <c r="FC454"/>
  <c r="FB454"/>
  <c r="FA454"/>
  <c r="EZ454"/>
  <c r="EY454"/>
  <c r="EX454"/>
  <c r="EW454"/>
  <c r="EV454"/>
  <c r="EU454"/>
  <c r="ET454"/>
  <c r="ES454"/>
  <c r="ER454"/>
  <c r="EQ454"/>
  <c r="EP454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A454"/>
  <c r="FQ453"/>
  <c r="FP453"/>
  <c r="FO453"/>
  <c r="FN453"/>
  <c r="FM453"/>
  <c r="FL453"/>
  <c r="FK453"/>
  <c r="FJ453"/>
  <c r="FI453"/>
  <c r="FH453"/>
  <c r="FG453"/>
  <c r="FF453"/>
  <c r="FE453"/>
  <c r="FD453"/>
  <c r="FC453"/>
  <c r="FB453"/>
  <c r="FA453"/>
  <c r="EZ453"/>
  <c r="EY453"/>
  <c r="EX453"/>
  <c r="EW453"/>
  <c r="EV453"/>
  <c r="EU453"/>
  <c r="ET453"/>
  <c r="ES453"/>
  <c r="ER453"/>
  <c r="EQ453"/>
  <c r="EP453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A453"/>
  <c r="FQ452"/>
  <c r="FP452"/>
  <c r="FO452"/>
  <c r="FN452"/>
  <c r="FM452"/>
  <c r="FL452"/>
  <c r="FK452"/>
  <c r="FJ452"/>
  <c r="FI452"/>
  <c r="FH452"/>
  <c r="FG452"/>
  <c r="FF452"/>
  <c r="FE452"/>
  <c r="FD452"/>
  <c r="FC452"/>
  <c r="FB452"/>
  <c r="FA452"/>
  <c r="EZ452"/>
  <c r="EY452"/>
  <c r="EX452"/>
  <c r="EW452"/>
  <c r="EV452"/>
  <c r="EU452"/>
  <c r="ET452"/>
  <c r="ES452"/>
  <c r="ER452"/>
  <c r="EQ452"/>
  <c r="EP452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A452"/>
  <c r="FQ451"/>
  <c r="FP451"/>
  <c r="FO451"/>
  <c r="FN451"/>
  <c r="FM451"/>
  <c r="FL451"/>
  <c r="FK451"/>
  <c r="FJ451"/>
  <c r="FI451"/>
  <c r="FH451"/>
  <c r="FG451"/>
  <c r="FF451"/>
  <c r="FE451"/>
  <c r="FD451"/>
  <c r="FC451"/>
  <c r="FB451"/>
  <c r="FA451"/>
  <c r="EZ451"/>
  <c r="EY451"/>
  <c r="EX451"/>
  <c r="EW451"/>
  <c r="EV451"/>
  <c r="EU451"/>
  <c r="ET451"/>
  <c r="ES451"/>
  <c r="ER451"/>
  <c r="EQ451"/>
  <c r="EP451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A451"/>
  <c r="FQ450"/>
  <c r="FP450"/>
  <c r="FO450"/>
  <c r="FN450"/>
  <c r="FM450"/>
  <c r="FL450"/>
  <c r="FK450"/>
  <c r="FJ450"/>
  <c r="FI450"/>
  <c r="FH450"/>
  <c r="FG450"/>
  <c r="FF450"/>
  <c r="FE450"/>
  <c r="FD450"/>
  <c r="FC450"/>
  <c r="FB450"/>
  <c r="FA450"/>
  <c r="EZ450"/>
  <c r="EY450"/>
  <c r="EX450"/>
  <c r="EW450"/>
  <c r="EV450"/>
  <c r="EU450"/>
  <c r="ET450"/>
  <c r="ES450"/>
  <c r="ER450"/>
  <c r="EQ450"/>
  <c r="EP450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A450"/>
  <c r="FQ449"/>
  <c r="FP449"/>
  <c r="FO449"/>
  <c r="FN449"/>
  <c r="FM449"/>
  <c r="FL449"/>
  <c r="FK449"/>
  <c r="FJ449"/>
  <c r="FI449"/>
  <c r="FH449"/>
  <c r="FG449"/>
  <c r="FF449"/>
  <c r="FE449"/>
  <c r="FD449"/>
  <c r="FC449"/>
  <c r="FB449"/>
  <c r="FA449"/>
  <c r="EZ449"/>
  <c r="EY449"/>
  <c r="EX449"/>
  <c r="EW449"/>
  <c r="EV449"/>
  <c r="EU449"/>
  <c r="ET449"/>
  <c r="ES449"/>
  <c r="ER449"/>
  <c r="EQ449"/>
  <c r="EP449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A449"/>
  <c r="FQ448"/>
  <c r="FP448"/>
  <c r="FO448"/>
  <c r="FN448"/>
  <c r="FM448"/>
  <c r="FL448"/>
  <c r="FK448"/>
  <c r="FJ448"/>
  <c r="FI448"/>
  <c r="FH448"/>
  <c r="FG448"/>
  <c r="FF448"/>
  <c r="FE448"/>
  <c r="FD448"/>
  <c r="FC448"/>
  <c r="FB448"/>
  <c r="FA448"/>
  <c r="EZ448"/>
  <c r="EY448"/>
  <c r="EX448"/>
  <c r="EW448"/>
  <c r="EV448"/>
  <c r="EU448"/>
  <c r="ET448"/>
  <c r="ES448"/>
  <c r="ER448"/>
  <c r="EQ448"/>
  <c r="EP448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H448"/>
  <c r="CG448"/>
  <c r="CF448"/>
  <c r="CE448"/>
  <c r="CD448"/>
  <c r="CC448"/>
  <c r="CB448"/>
  <c r="CA448"/>
  <c r="BZ448"/>
  <c r="BY448"/>
  <c r="BX448"/>
  <c r="BW448"/>
  <c r="BV448"/>
  <c r="BU448"/>
  <c r="BT448"/>
  <c r="BS448"/>
  <c r="BR448"/>
  <c r="BQ448"/>
  <c r="BP448"/>
  <c r="BO448"/>
  <c r="BN448"/>
  <c r="BM448"/>
  <c r="BL448"/>
  <c r="BK448"/>
  <c r="BJ448"/>
  <c r="BI448"/>
  <c r="BH448"/>
  <c r="BG448"/>
  <c r="BF448"/>
  <c r="BE448"/>
  <c r="BD448"/>
  <c r="BC448"/>
  <c r="BB448"/>
  <c r="BA448"/>
  <c r="AZ448"/>
  <c r="AY448"/>
  <c r="AX448"/>
  <c r="AW448"/>
  <c r="AV448"/>
  <c r="AU448"/>
  <c r="AT448"/>
  <c r="AS448"/>
  <c r="AR448"/>
  <c r="AQ448"/>
  <c r="AP448"/>
  <c r="AO448"/>
  <c r="AN448"/>
  <c r="AM448"/>
  <c r="AL448"/>
  <c r="AK448"/>
  <c r="AJ448"/>
  <c r="AI448"/>
  <c r="AH448"/>
  <c r="AG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I448"/>
  <c r="H448"/>
  <c r="G448"/>
  <c r="F448"/>
  <c r="E448"/>
  <c r="D448"/>
  <c r="C448"/>
  <c r="B448"/>
  <c r="A448"/>
  <c r="FQ447"/>
  <c r="FP447"/>
  <c r="FO447"/>
  <c r="FN447"/>
  <c r="FM447"/>
  <c r="FL447"/>
  <c r="FK447"/>
  <c r="FJ447"/>
  <c r="FI447"/>
  <c r="FH447"/>
  <c r="FG447"/>
  <c r="FF447"/>
  <c r="FE447"/>
  <c r="FD447"/>
  <c r="FC447"/>
  <c r="FB447"/>
  <c r="FA447"/>
  <c r="EZ447"/>
  <c r="EY447"/>
  <c r="EX447"/>
  <c r="EW447"/>
  <c r="EV447"/>
  <c r="EU447"/>
  <c r="ET447"/>
  <c r="ES447"/>
  <c r="ER447"/>
  <c r="EQ447"/>
  <c r="EP447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E447"/>
  <c r="D447"/>
  <c r="C447"/>
  <c r="B447"/>
  <c r="A447"/>
  <c r="FQ446"/>
  <c r="FP446"/>
  <c r="FO446"/>
  <c r="FN446"/>
  <c r="FM446"/>
  <c r="FL446"/>
  <c r="FK446"/>
  <c r="FJ446"/>
  <c r="FI446"/>
  <c r="FH446"/>
  <c r="FG446"/>
  <c r="FF446"/>
  <c r="FE446"/>
  <c r="FD446"/>
  <c r="FC446"/>
  <c r="FB446"/>
  <c r="FA446"/>
  <c r="EZ446"/>
  <c r="EY446"/>
  <c r="EX446"/>
  <c r="EW446"/>
  <c r="EV446"/>
  <c r="EU446"/>
  <c r="ET446"/>
  <c r="ES446"/>
  <c r="ER446"/>
  <c r="EQ446"/>
  <c r="EP446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E446"/>
  <c r="D446"/>
  <c r="C446"/>
  <c r="B446"/>
  <c r="A446"/>
  <c r="FQ445"/>
  <c r="FP445"/>
  <c r="FO445"/>
  <c r="FN445"/>
  <c r="FM445"/>
  <c r="FL445"/>
  <c r="FK445"/>
  <c r="FJ445"/>
  <c r="FI445"/>
  <c r="FH445"/>
  <c r="FG445"/>
  <c r="FF445"/>
  <c r="FE445"/>
  <c r="FD445"/>
  <c r="FC445"/>
  <c r="FB445"/>
  <c r="FA445"/>
  <c r="EZ445"/>
  <c r="EY445"/>
  <c r="EX445"/>
  <c r="EW445"/>
  <c r="EV445"/>
  <c r="EU445"/>
  <c r="ET445"/>
  <c r="ES445"/>
  <c r="ER445"/>
  <c r="EQ445"/>
  <c r="EP445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E445"/>
  <c r="D445"/>
  <c r="C445"/>
  <c r="A445"/>
  <c r="FQ444"/>
  <c r="FP444"/>
  <c r="FO444"/>
  <c r="FN444"/>
  <c r="FM444"/>
  <c r="FL444"/>
  <c r="FK444"/>
  <c r="FJ444"/>
  <c r="FI444"/>
  <c r="FH444"/>
  <c r="FG444"/>
  <c r="FF444"/>
  <c r="FE444"/>
  <c r="FD444"/>
  <c r="FC444"/>
  <c r="FB444"/>
  <c r="FA444"/>
  <c r="EZ444"/>
  <c r="EY444"/>
  <c r="EX444"/>
  <c r="EW444"/>
  <c r="EV444"/>
  <c r="EU444"/>
  <c r="ET444"/>
  <c r="ES444"/>
  <c r="ER444"/>
  <c r="EQ444"/>
  <c r="EP444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E444"/>
  <c r="D444"/>
  <c r="C444"/>
  <c r="B444"/>
  <c r="A444"/>
  <c r="FQ443"/>
  <c r="FP443"/>
  <c r="FO443"/>
  <c r="FN443"/>
  <c r="FM443"/>
  <c r="FL443"/>
  <c r="FK443"/>
  <c r="FJ443"/>
  <c r="FI443"/>
  <c r="FH443"/>
  <c r="FG443"/>
  <c r="FF443"/>
  <c r="FE443"/>
  <c r="FD443"/>
  <c r="FC443"/>
  <c r="FB443"/>
  <c r="FA443"/>
  <c r="EZ443"/>
  <c r="EY443"/>
  <c r="EX443"/>
  <c r="EW443"/>
  <c r="EV443"/>
  <c r="EU443"/>
  <c r="ET443"/>
  <c r="ES443"/>
  <c r="ER443"/>
  <c r="EQ443"/>
  <c r="EP443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A443"/>
  <c r="FQ442"/>
  <c r="FP442"/>
  <c r="FO442"/>
  <c r="FN442"/>
  <c r="FM442"/>
  <c r="FL442"/>
  <c r="FK442"/>
  <c r="FJ442"/>
  <c r="FI442"/>
  <c r="FH442"/>
  <c r="FG442"/>
  <c r="FF442"/>
  <c r="FE442"/>
  <c r="FD442"/>
  <c r="FC442"/>
  <c r="FB442"/>
  <c r="FA442"/>
  <c r="EZ442"/>
  <c r="EY442"/>
  <c r="EX442"/>
  <c r="EW442"/>
  <c r="EV442"/>
  <c r="EU442"/>
  <c r="ET442"/>
  <c r="ES442"/>
  <c r="ER442"/>
  <c r="EQ442"/>
  <c r="EP442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E442"/>
  <c r="D442"/>
  <c r="C442"/>
  <c r="B442"/>
  <c r="A442"/>
  <c r="FQ441"/>
  <c r="FP441"/>
  <c r="FO441"/>
  <c r="FN441"/>
  <c r="FM441"/>
  <c r="FL441"/>
  <c r="FK441"/>
  <c r="FJ441"/>
  <c r="FI441"/>
  <c r="FH441"/>
  <c r="FG441"/>
  <c r="FF441"/>
  <c r="FE441"/>
  <c r="FD441"/>
  <c r="FC441"/>
  <c r="FB441"/>
  <c r="FA441"/>
  <c r="EZ441"/>
  <c r="EY441"/>
  <c r="EX441"/>
  <c r="EW441"/>
  <c r="EV441"/>
  <c r="EU441"/>
  <c r="ET441"/>
  <c r="ES441"/>
  <c r="ER441"/>
  <c r="EQ441"/>
  <c r="EP441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E441"/>
  <c r="D441"/>
  <c r="C441"/>
  <c r="B441"/>
  <c r="A441"/>
  <c r="FQ440"/>
  <c r="FP440"/>
  <c r="FO440"/>
  <c r="FN440"/>
  <c r="FM440"/>
  <c r="FL440"/>
  <c r="FK440"/>
  <c r="FJ440"/>
  <c r="FI440"/>
  <c r="FH440"/>
  <c r="FG440"/>
  <c r="FF440"/>
  <c r="FE440"/>
  <c r="FD440"/>
  <c r="FC440"/>
  <c r="FB440"/>
  <c r="FA440"/>
  <c r="EZ440"/>
  <c r="EY440"/>
  <c r="EX440"/>
  <c r="EW440"/>
  <c r="EV440"/>
  <c r="EU440"/>
  <c r="ET440"/>
  <c r="ES440"/>
  <c r="ER440"/>
  <c r="EQ440"/>
  <c r="EP440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E440"/>
  <c r="D440"/>
  <c r="C440"/>
  <c r="B440"/>
  <c r="A440"/>
  <c r="FQ439"/>
  <c r="FP439"/>
  <c r="FO439"/>
  <c r="FN439"/>
  <c r="FM439"/>
  <c r="FL439"/>
  <c r="FK439"/>
  <c r="FJ439"/>
  <c r="FI439"/>
  <c r="FH439"/>
  <c r="FG439"/>
  <c r="FF439"/>
  <c r="FE439"/>
  <c r="FD439"/>
  <c r="FC439"/>
  <c r="FB439"/>
  <c r="FA439"/>
  <c r="EZ439"/>
  <c r="EY439"/>
  <c r="EX439"/>
  <c r="EW439"/>
  <c r="EV439"/>
  <c r="EU439"/>
  <c r="ET439"/>
  <c r="ES439"/>
  <c r="ER439"/>
  <c r="EQ439"/>
  <c r="EP439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E439"/>
  <c r="D439"/>
  <c r="C439"/>
  <c r="B439"/>
  <c r="A439"/>
  <c r="FQ438"/>
  <c r="FP438"/>
  <c r="FO438"/>
  <c r="FN438"/>
  <c r="FM438"/>
  <c r="FL438"/>
  <c r="FK438"/>
  <c r="FJ438"/>
  <c r="FI438"/>
  <c r="FH438"/>
  <c r="FG438"/>
  <c r="FF438"/>
  <c r="FE438"/>
  <c r="FD438"/>
  <c r="FC438"/>
  <c r="FB438"/>
  <c r="FA438"/>
  <c r="EZ438"/>
  <c r="EY438"/>
  <c r="EX438"/>
  <c r="EW438"/>
  <c r="EV438"/>
  <c r="EU438"/>
  <c r="ET438"/>
  <c r="ES438"/>
  <c r="ER438"/>
  <c r="EQ438"/>
  <c r="EP438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E438"/>
  <c r="D438"/>
  <c r="C438"/>
  <c r="B438"/>
  <c r="A438"/>
  <c r="FQ437"/>
  <c r="FP437"/>
  <c r="FO437"/>
  <c r="FN437"/>
  <c r="FM437"/>
  <c r="FL437"/>
  <c r="FK437"/>
  <c r="FJ437"/>
  <c r="FI437"/>
  <c r="FH437"/>
  <c r="FG437"/>
  <c r="FF437"/>
  <c r="FE437"/>
  <c r="FD437"/>
  <c r="FC437"/>
  <c r="FB437"/>
  <c r="FA437"/>
  <c r="EZ437"/>
  <c r="EY437"/>
  <c r="EX437"/>
  <c r="EW437"/>
  <c r="EV437"/>
  <c r="EU437"/>
  <c r="ET437"/>
  <c r="ES437"/>
  <c r="ER437"/>
  <c r="EQ437"/>
  <c r="EP437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E437"/>
  <c r="D437"/>
  <c r="C437"/>
  <c r="B437"/>
  <c r="A437"/>
  <c r="FQ436"/>
  <c r="FP436"/>
  <c r="FO436"/>
  <c r="FN436"/>
  <c r="FM436"/>
  <c r="FL436"/>
  <c r="FK436"/>
  <c r="FJ436"/>
  <c r="FI436"/>
  <c r="FH436"/>
  <c r="FG436"/>
  <c r="FF436"/>
  <c r="FE436"/>
  <c r="FD436"/>
  <c r="FC436"/>
  <c r="FB436"/>
  <c r="FA436"/>
  <c r="EZ436"/>
  <c r="EY436"/>
  <c r="EX436"/>
  <c r="EW436"/>
  <c r="EV436"/>
  <c r="EU436"/>
  <c r="ET436"/>
  <c r="ES436"/>
  <c r="ER436"/>
  <c r="EQ436"/>
  <c r="EP436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FQ435"/>
  <c r="FP435"/>
  <c r="FO435"/>
  <c r="FN435"/>
  <c r="FM435"/>
  <c r="FL435"/>
  <c r="FK435"/>
  <c r="FJ435"/>
  <c r="FI435"/>
  <c r="FH435"/>
  <c r="FG435"/>
  <c r="FF435"/>
  <c r="FE435"/>
  <c r="FD435"/>
  <c r="FC435"/>
  <c r="FB435"/>
  <c r="FA435"/>
  <c r="EZ435"/>
  <c r="EY435"/>
  <c r="EX435"/>
  <c r="EW435"/>
  <c r="EV435"/>
  <c r="EU435"/>
  <c r="ET435"/>
  <c r="ES435"/>
  <c r="ER435"/>
  <c r="EQ435"/>
  <c r="EP435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D435"/>
  <c r="C435"/>
  <c r="FQ434"/>
  <c r="FP434"/>
  <c r="FO434"/>
  <c r="FN434"/>
  <c r="FM434"/>
  <c r="FL434"/>
  <c r="FK434"/>
  <c r="FJ434"/>
  <c r="FI434"/>
  <c r="FH434"/>
  <c r="FG434"/>
  <c r="FF434"/>
  <c r="FE434"/>
  <c r="FD434"/>
  <c r="FC434"/>
  <c r="FB434"/>
  <c r="FA434"/>
  <c r="EZ434"/>
  <c r="EY434"/>
  <c r="EX434"/>
  <c r="EW434"/>
  <c r="EV434"/>
  <c r="EU434"/>
  <c r="ET434"/>
  <c r="ES434"/>
  <c r="ER434"/>
  <c r="EQ434"/>
  <c r="EP434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E434"/>
  <c r="FQ433"/>
  <c r="FP433"/>
  <c r="FO433"/>
  <c r="FN433"/>
  <c r="FM433"/>
  <c r="FL433"/>
  <c r="FK433"/>
  <c r="FJ433"/>
  <c r="FI433"/>
  <c r="FH433"/>
  <c r="FG433"/>
  <c r="FF433"/>
  <c r="FE433"/>
  <c r="FD433"/>
  <c r="FC433"/>
  <c r="FB433"/>
  <c r="FA433"/>
  <c r="EZ433"/>
  <c r="EY433"/>
  <c r="EX433"/>
  <c r="EW433"/>
  <c r="EV433"/>
  <c r="EU433"/>
  <c r="ET433"/>
  <c r="ES433"/>
  <c r="ER433"/>
  <c r="EQ433"/>
  <c r="EP433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FQ432"/>
  <c r="FP432"/>
  <c r="FO432"/>
  <c r="FN432"/>
  <c r="FM432"/>
  <c r="FL432"/>
  <c r="FK432"/>
  <c r="FJ432"/>
  <c r="FI432"/>
  <c r="FH432"/>
  <c r="FG432"/>
  <c r="FF432"/>
  <c r="FE432"/>
  <c r="FD432"/>
  <c r="FC432"/>
  <c r="FB432"/>
  <c r="FA432"/>
  <c r="EZ432"/>
  <c r="EY432"/>
  <c r="EX432"/>
  <c r="EW432"/>
  <c r="EV432"/>
  <c r="EU432"/>
  <c r="ET432"/>
  <c r="ES432"/>
  <c r="ER432"/>
  <c r="EQ432"/>
  <c r="EP432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FQ431"/>
  <c r="FP431"/>
  <c r="FO431"/>
  <c r="FN431"/>
  <c r="FM431"/>
  <c r="FL431"/>
  <c r="FK431"/>
  <c r="FJ431"/>
  <c r="FI431"/>
  <c r="FH431"/>
  <c r="FG431"/>
  <c r="FF431"/>
  <c r="FE431"/>
  <c r="FD431"/>
  <c r="FC431"/>
  <c r="FB431"/>
  <c r="FA431"/>
  <c r="EZ431"/>
  <c r="EY431"/>
  <c r="EX431"/>
  <c r="EW431"/>
  <c r="EV431"/>
  <c r="EU431"/>
  <c r="ET431"/>
  <c r="ES431"/>
  <c r="ER431"/>
  <c r="EQ431"/>
  <c r="EP431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D431"/>
  <c r="FQ430"/>
  <c r="FP430"/>
  <c r="FO430"/>
  <c r="FN430"/>
  <c r="FM430"/>
  <c r="FL430"/>
  <c r="FK430"/>
  <c r="FJ430"/>
  <c r="FI430"/>
  <c r="FH430"/>
  <c r="FG430"/>
  <c r="FF430"/>
  <c r="FE430"/>
  <c r="FD430"/>
  <c r="FC430"/>
  <c r="FB430"/>
  <c r="FA430"/>
  <c r="EZ430"/>
  <c r="EY430"/>
  <c r="EX430"/>
  <c r="EW430"/>
  <c r="EV430"/>
  <c r="EU430"/>
  <c r="ET430"/>
  <c r="ES430"/>
  <c r="ER430"/>
  <c r="EQ430"/>
  <c r="EP430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FQ429"/>
  <c r="FP429"/>
  <c r="FO429"/>
  <c r="FN429"/>
  <c r="FM429"/>
  <c r="FL429"/>
  <c r="FK429"/>
  <c r="FJ429"/>
  <c r="FI429"/>
  <c r="FH429"/>
  <c r="FG429"/>
  <c r="FF429"/>
  <c r="FE429"/>
  <c r="FD429"/>
  <c r="FC429"/>
  <c r="FB429"/>
  <c r="FA429"/>
  <c r="EZ429"/>
  <c r="EY429"/>
  <c r="EX429"/>
  <c r="EW429"/>
  <c r="EV429"/>
  <c r="EU429"/>
  <c r="ET429"/>
  <c r="ES429"/>
  <c r="ER429"/>
  <c r="EQ429"/>
  <c r="EP429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FQ428"/>
  <c r="FP428"/>
  <c r="FO428"/>
  <c r="FN428"/>
  <c r="FM428"/>
  <c r="FL428"/>
  <c r="FK428"/>
  <c r="FJ428"/>
  <c r="FI428"/>
  <c r="FH428"/>
  <c r="FG428"/>
  <c r="FF428"/>
  <c r="FE428"/>
  <c r="FD428"/>
  <c r="FC428"/>
  <c r="FB428"/>
  <c r="FA428"/>
  <c r="EZ428"/>
  <c r="EY428"/>
  <c r="EX428"/>
  <c r="EW428"/>
  <c r="EV428"/>
  <c r="EU428"/>
  <c r="ET428"/>
  <c r="ES428"/>
  <c r="ER428"/>
  <c r="EQ428"/>
  <c r="EP428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A428"/>
  <c r="FQ427"/>
  <c r="FP427"/>
  <c r="FO427"/>
  <c r="FN427"/>
  <c r="FM427"/>
  <c r="FL427"/>
  <c r="FK427"/>
  <c r="FJ427"/>
  <c r="FI427"/>
  <c r="FH427"/>
  <c r="FG427"/>
  <c r="FF427"/>
  <c r="FE427"/>
  <c r="FD427"/>
  <c r="FC427"/>
  <c r="FB427"/>
  <c r="FA427"/>
  <c r="EZ427"/>
  <c r="EY427"/>
  <c r="EX427"/>
  <c r="EW427"/>
  <c r="EV427"/>
  <c r="EU427"/>
  <c r="ET427"/>
  <c r="ES427"/>
  <c r="ER427"/>
  <c r="EQ427"/>
  <c r="EP427"/>
  <c r="EO427"/>
  <c r="EN427"/>
  <c r="EM427"/>
  <c r="EL427"/>
  <c r="EK427"/>
  <c r="EJ427"/>
  <c r="EI427"/>
  <c r="EH427"/>
  <c r="EG427"/>
  <c r="EF427"/>
  <c r="EE427"/>
  <c r="ED427"/>
  <c r="EC427"/>
  <c r="EB427"/>
  <c r="EA427"/>
  <c r="DZ427"/>
  <c r="DY427"/>
  <c r="DX427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FQ426"/>
  <c r="FP426"/>
  <c r="FO426"/>
  <c r="FN426"/>
  <c r="FM426"/>
  <c r="FL426"/>
  <c r="FK426"/>
  <c r="FJ426"/>
  <c r="FI426"/>
  <c r="FH426"/>
  <c r="FG426"/>
  <c r="FF426"/>
  <c r="FE426"/>
  <c r="FD426"/>
  <c r="FC426"/>
  <c r="FB426"/>
  <c r="FA426"/>
  <c r="EZ426"/>
  <c r="EY426"/>
  <c r="EX426"/>
  <c r="EW426"/>
  <c r="EV426"/>
  <c r="EU426"/>
  <c r="ET426"/>
  <c r="ES426"/>
  <c r="ER426"/>
  <c r="EQ426"/>
  <c r="EP426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FQ425"/>
  <c r="FP425"/>
  <c r="FO425"/>
  <c r="FN425"/>
  <c r="FM425"/>
  <c r="FL425"/>
  <c r="FK425"/>
  <c r="FJ425"/>
  <c r="FI425"/>
  <c r="FH425"/>
  <c r="FG425"/>
  <c r="FF425"/>
  <c r="FE425"/>
  <c r="FD425"/>
  <c r="FC425"/>
  <c r="FB425"/>
  <c r="FA425"/>
  <c r="EZ425"/>
  <c r="EY425"/>
  <c r="EX425"/>
  <c r="EW425"/>
  <c r="EV425"/>
  <c r="EU425"/>
  <c r="ET425"/>
  <c r="ES425"/>
  <c r="ER425"/>
  <c r="EQ425"/>
  <c r="EP425"/>
  <c r="EO425"/>
  <c r="EN425"/>
  <c r="EM425"/>
  <c r="EL425"/>
  <c r="EK425"/>
  <c r="EJ425"/>
  <c r="EI425"/>
  <c r="EH425"/>
  <c r="EG425"/>
  <c r="EF425"/>
  <c r="EE425"/>
  <c r="ED425"/>
  <c r="EC425"/>
  <c r="EB425"/>
  <c r="EA425"/>
  <c r="DZ425"/>
  <c r="DY425"/>
  <c r="DX425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FQ424"/>
  <c r="FP424"/>
  <c r="FO424"/>
  <c r="FN424"/>
  <c r="FM424"/>
  <c r="FL424"/>
  <c r="FK424"/>
  <c r="FJ424"/>
  <c r="FI424"/>
  <c r="FH424"/>
  <c r="FG424"/>
  <c r="FF424"/>
  <c r="FE424"/>
  <c r="FD424"/>
  <c r="FC424"/>
  <c r="FB424"/>
  <c r="FA424"/>
  <c r="EZ424"/>
  <c r="EY424"/>
  <c r="EX424"/>
  <c r="EW424"/>
  <c r="EV424"/>
  <c r="EU424"/>
  <c r="ET424"/>
  <c r="ES424"/>
  <c r="ER424"/>
  <c r="EQ424"/>
  <c r="EP424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FQ423"/>
  <c r="FP423"/>
  <c r="FO423"/>
  <c r="FN423"/>
  <c r="FM423"/>
  <c r="FL423"/>
  <c r="FK423"/>
  <c r="FJ423"/>
  <c r="FI423"/>
  <c r="FH423"/>
  <c r="FG423"/>
  <c r="FF423"/>
  <c r="FE423"/>
  <c r="FD423"/>
  <c r="FC423"/>
  <c r="FB423"/>
  <c r="FA423"/>
  <c r="EZ423"/>
  <c r="EY423"/>
  <c r="EX423"/>
  <c r="EW423"/>
  <c r="EV423"/>
  <c r="EU423"/>
  <c r="ET423"/>
  <c r="ES423"/>
  <c r="ER423"/>
  <c r="EQ423"/>
  <c r="EP423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FQ422"/>
  <c r="FP422"/>
  <c r="FO422"/>
  <c r="FN422"/>
  <c r="FM422"/>
  <c r="FL422"/>
  <c r="FK422"/>
  <c r="FJ422"/>
  <c r="FI422"/>
  <c r="FH422"/>
  <c r="FG422"/>
  <c r="FF422"/>
  <c r="FE422"/>
  <c r="FD422"/>
  <c r="FC422"/>
  <c r="FB422"/>
  <c r="FA422"/>
  <c r="EZ422"/>
  <c r="EY422"/>
  <c r="EX422"/>
  <c r="EW422"/>
  <c r="EV422"/>
  <c r="EU422"/>
  <c r="ET422"/>
  <c r="ES422"/>
  <c r="ER422"/>
  <c r="EQ422"/>
  <c r="EP422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FQ421"/>
  <c r="FP421"/>
  <c r="FO421"/>
  <c r="FN421"/>
  <c r="FM421"/>
  <c r="FL421"/>
  <c r="FK421"/>
  <c r="FJ421"/>
  <c r="FI421"/>
  <c r="FH421"/>
  <c r="FG421"/>
  <c r="FF421"/>
  <c r="FE421"/>
  <c r="FD421"/>
  <c r="FC421"/>
  <c r="FB421"/>
  <c r="FA421"/>
  <c r="EZ421"/>
  <c r="EY421"/>
  <c r="EX421"/>
  <c r="EW421"/>
  <c r="EV421"/>
  <c r="EU421"/>
  <c r="ET421"/>
  <c r="ES421"/>
  <c r="ER421"/>
  <c r="EQ421"/>
  <c r="EP421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FQ420"/>
  <c r="FP420"/>
  <c r="FO420"/>
  <c r="FN420"/>
  <c r="FM420"/>
  <c r="FL420"/>
  <c r="FK420"/>
  <c r="FJ420"/>
  <c r="FI420"/>
  <c r="FH420"/>
  <c r="FG420"/>
  <c r="FF420"/>
  <c r="FE420"/>
  <c r="FD420"/>
  <c r="FC420"/>
  <c r="FB420"/>
  <c r="FA420"/>
  <c r="EZ420"/>
  <c r="EY420"/>
  <c r="EX420"/>
  <c r="EW420"/>
  <c r="EV420"/>
  <c r="EU420"/>
  <c r="ET420"/>
  <c r="ES420"/>
  <c r="ER420"/>
  <c r="EQ420"/>
  <c r="EP420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FQ419"/>
  <c r="FP419"/>
  <c r="FO419"/>
  <c r="FN419"/>
  <c r="FM419"/>
  <c r="FL419"/>
  <c r="FK419"/>
  <c r="FJ419"/>
  <c r="FI419"/>
  <c r="FH419"/>
  <c r="FG419"/>
  <c r="FF419"/>
  <c r="FE419"/>
  <c r="FD419"/>
  <c r="FC419"/>
  <c r="FB419"/>
  <c r="FA419"/>
  <c r="EZ419"/>
  <c r="EY419"/>
  <c r="EX419"/>
  <c r="EW419"/>
  <c r="EV419"/>
  <c r="EU419"/>
  <c r="ET419"/>
  <c r="ES419"/>
  <c r="ER419"/>
  <c r="EQ419"/>
  <c r="EP419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FQ418"/>
  <c r="FP418"/>
  <c r="FO418"/>
  <c r="FN418"/>
  <c r="FM418"/>
  <c r="FL418"/>
  <c r="FK418"/>
  <c r="FJ418"/>
  <c r="FI418"/>
  <c r="FH418"/>
  <c r="FG418"/>
  <c r="FF418"/>
  <c r="FE418"/>
  <c r="FD418"/>
  <c r="FC418"/>
  <c r="FB418"/>
  <c r="FA418"/>
  <c r="EZ418"/>
  <c r="EY418"/>
  <c r="EX418"/>
  <c r="EW418"/>
  <c r="EV418"/>
  <c r="EU418"/>
  <c r="ET418"/>
  <c r="ES418"/>
  <c r="ER418"/>
  <c r="EQ418"/>
  <c r="EP418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FQ417"/>
  <c r="FP417"/>
  <c r="FO417"/>
  <c r="FN417"/>
  <c r="FM417"/>
  <c r="FL417"/>
  <c r="FK417"/>
  <c r="FJ417"/>
  <c r="FI417"/>
  <c r="FH417"/>
  <c r="FG417"/>
  <c r="FF417"/>
  <c r="FE417"/>
  <c r="FD417"/>
  <c r="FC417"/>
  <c r="FB417"/>
  <c r="FA417"/>
  <c r="EZ417"/>
  <c r="EY417"/>
  <c r="EX417"/>
  <c r="EW417"/>
  <c r="EV417"/>
  <c r="EU417"/>
  <c r="ET417"/>
  <c r="ES417"/>
  <c r="ER417"/>
  <c r="EQ417"/>
  <c r="EP417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FQ416"/>
  <c r="FP416"/>
  <c r="FO416"/>
  <c r="FN416"/>
  <c r="FM416"/>
  <c r="FL416"/>
  <c r="FK416"/>
  <c r="FJ416"/>
  <c r="FI416"/>
  <c r="FH416"/>
  <c r="FG416"/>
  <c r="FF416"/>
  <c r="FE416"/>
  <c r="FD416"/>
  <c r="FC416"/>
  <c r="FB416"/>
  <c r="FA416"/>
  <c r="EZ416"/>
  <c r="EY416"/>
  <c r="EX416"/>
  <c r="EW416"/>
  <c r="EV416"/>
  <c r="EU416"/>
  <c r="ET416"/>
  <c r="ES416"/>
  <c r="ER416"/>
  <c r="EQ416"/>
  <c r="EP416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FQ415"/>
  <c r="FP415"/>
  <c r="FO415"/>
  <c r="FN415"/>
  <c r="FM415"/>
  <c r="FL415"/>
  <c r="FK415"/>
  <c r="FJ415"/>
  <c r="FI415"/>
  <c r="FH415"/>
  <c r="FG415"/>
  <c r="FF415"/>
  <c r="FE415"/>
  <c r="FD415"/>
  <c r="FC415"/>
  <c r="FB415"/>
  <c r="FA415"/>
  <c r="EZ415"/>
  <c r="EY415"/>
  <c r="EX415"/>
  <c r="EW415"/>
  <c r="EV415"/>
  <c r="EU415"/>
  <c r="ET415"/>
  <c r="ES415"/>
  <c r="ER415"/>
  <c r="EQ415"/>
  <c r="EP415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FQ414"/>
  <c r="FP414"/>
  <c r="FO414"/>
  <c r="FN414"/>
  <c r="FM414"/>
  <c r="FL414"/>
  <c r="FK414"/>
  <c r="FJ414"/>
  <c r="FI414"/>
  <c r="FH414"/>
  <c r="FG414"/>
  <c r="FF414"/>
  <c r="FE414"/>
  <c r="FD414"/>
  <c r="FC414"/>
  <c r="FB414"/>
  <c r="FA414"/>
  <c r="EZ414"/>
  <c r="EY414"/>
  <c r="EX414"/>
  <c r="EW414"/>
  <c r="EV414"/>
  <c r="EU414"/>
  <c r="ET414"/>
  <c r="ES414"/>
  <c r="ER414"/>
  <c r="EQ414"/>
  <c r="EP414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FQ413"/>
  <c r="FP413"/>
  <c r="FO413"/>
  <c r="FN413"/>
  <c r="FM413"/>
  <c r="FL413"/>
  <c r="FK413"/>
  <c r="FJ413"/>
  <c r="FI413"/>
  <c r="FH413"/>
  <c r="FG413"/>
  <c r="FF413"/>
  <c r="FE413"/>
  <c r="FD413"/>
  <c r="FC413"/>
  <c r="FB413"/>
  <c r="FA413"/>
  <c r="EZ413"/>
  <c r="EY413"/>
  <c r="EX413"/>
  <c r="EW413"/>
  <c r="EV413"/>
  <c r="EU413"/>
  <c r="ET413"/>
  <c r="ES413"/>
  <c r="ER413"/>
  <c r="EQ413"/>
  <c r="EP413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FQ412"/>
  <c r="FP412"/>
  <c r="FO412"/>
  <c r="FN412"/>
  <c r="FM412"/>
  <c r="FL412"/>
  <c r="FK412"/>
  <c r="FJ412"/>
  <c r="FI412"/>
  <c r="FH412"/>
  <c r="FG412"/>
  <c r="FF412"/>
  <c r="FE412"/>
  <c r="FD412"/>
  <c r="FC412"/>
  <c r="FB412"/>
  <c r="FA412"/>
  <c r="EZ412"/>
  <c r="EY412"/>
  <c r="EX412"/>
  <c r="EW412"/>
  <c r="EV412"/>
  <c r="EU412"/>
  <c r="ET412"/>
  <c r="ES412"/>
  <c r="ER412"/>
  <c r="EQ412"/>
  <c r="EP412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FQ411"/>
  <c r="FP411"/>
  <c r="FO411"/>
  <c r="FN411"/>
  <c r="FM411"/>
  <c r="FL411"/>
  <c r="FK411"/>
  <c r="FJ411"/>
  <c r="FI411"/>
  <c r="FH411"/>
  <c r="FG411"/>
  <c r="FF411"/>
  <c r="FE411"/>
  <c r="FD411"/>
  <c r="FC411"/>
  <c r="FB411"/>
  <c r="FA411"/>
  <c r="EZ411"/>
  <c r="EY411"/>
  <c r="EX411"/>
  <c r="EW411"/>
  <c r="EV411"/>
  <c r="EU411"/>
  <c r="ET411"/>
  <c r="ES411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FQ410"/>
  <c r="FP410"/>
  <c r="FO410"/>
  <c r="FN410"/>
  <c r="FM410"/>
  <c r="FL410"/>
  <c r="FK410"/>
  <c r="FJ410"/>
  <c r="FI410"/>
  <c r="FH410"/>
  <c r="FG410"/>
  <c r="FF410"/>
  <c r="FE410"/>
  <c r="FD410"/>
  <c r="FC410"/>
  <c r="FB410"/>
  <c r="FA410"/>
  <c r="EZ410"/>
  <c r="EY410"/>
  <c r="EX410"/>
  <c r="EW410"/>
  <c r="EV410"/>
  <c r="EU410"/>
  <c r="ET410"/>
  <c r="ES410"/>
  <c r="ER410"/>
  <c r="EQ410"/>
  <c r="EP410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FQ409"/>
  <c r="FP409"/>
  <c r="FO409"/>
  <c r="FN409"/>
  <c r="FM409"/>
  <c r="FL409"/>
  <c r="FK409"/>
  <c r="FJ409"/>
  <c r="FI409"/>
  <c r="FH409"/>
  <c r="FG409"/>
  <c r="FF409"/>
  <c r="FE409"/>
  <c r="FD409"/>
  <c r="FC409"/>
  <c r="FB409"/>
  <c r="FA409"/>
  <c r="EZ409"/>
  <c r="EY409"/>
  <c r="EX409"/>
  <c r="EW409"/>
  <c r="EV409"/>
  <c r="EU409"/>
  <c r="ET409"/>
  <c r="ES409"/>
  <c r="ER409"/>
  <c r="EQ409"/>
  <c r="EP409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FQ408"/>
  <c r="FP408"/>
  <c r="FO408"/>
  <c r="FN408"/>
  <c r="FM408"/>
  <c r="FL408"/>
  <c r="FK408"/>
  <c r="FJ408"/>
  <c r="FI408"/>
  <c r="FH408"/>
  <c r="FG408"/>
  <c r="FF408"/>
  <c r="FE408"/>
  <c r="FD408"/>
  <c r="FC408"/>
  <c r="FB408"/>
  <c r="FA408"/>
  <c r="EZ408"/>
  <c r="EY408"/>
  <c r="EX408"/>
  <c r="EW408"/>
  <c r="EV408"/>
  <c r="EU408"/>
  <c r="ET408"/>
  <c r="ES408"/>
  <c r="ER408"/>
  <c r="EQ408"/>
  <c r="EP408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FQ407"/>
  <c r="FP407"/>
  <c r="FO407"/>
  <c r="FN407"/>
  <c r="FM407"/>
  <c r="FL407"/>
  <c r="FK407"/>
  <c r="FJ407"/>
  <c r="FI407"/>
  <c r="FH407"/>
  <c r="FG407"/>
  <c r="FF407"/>
  <c r="FE407"/>
  <c r="FD407"/>
  <c r="FC407"/>
  <c r="FB407"/>
  <c r="FA407"/>
  <c r="EZ407"/>
  <c r="EY407"/>
  <c r="EX407"/>
  <c r="EW407"/>
  <c r="EV407"/>
  <c r="EU407"/>
  <c r="ET407"/>
  <c r="ES407"/>
  <c r="ER407"/>
  <c r="EQ407"/>
  <c r="EP407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FQ406"/>
  <c r="FP406"/>
  <c r="FO406"/>
  <c r="FN406"/>
  <c r="FM406"/>
  <c r="FL406"/>
  <c r="FK406"/>
  <c r="FJ406"/>
  <c r="FI406"/>
  <c r="FH406"/>
  <c r="FG406"/>
  <c r="FF406"/>
  <c r="FE406"/>
  <c r="FD406"/>
  <c r="FC406"/>
  <c r="FB406"/>
  <c r="FA406"/>
  <c r="EZ406"/>
  <c r="EY406"/>
  <c r="EX406"/>
  <c r="EW406"/>
  <c r="EV406"/>
  <c r="EU406"/>
  <c r="ET406"/>
  <c r="ES406"/>
  <c r="ER406"/>
  <c r="EQ406"/>
  <c r="EP406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FQ405"/>
  <c r="FP405"/>
  <c r="FO405"/>
  <c r="FN405"/>
  <c r="FM405"/>
  <c r="FL405"/>
  <c r="FK405"/>
  <c r="FJ405"/>
  <c r="FI405"/>
  <c r="FH405"/>
  <c r="FG405"/>
  <c r="FF405"/>
  <c r="FE405"/>
  <c r="FD405"/>
  <c r="FC405"/>
  <c r="FB405"/>
  <c r="FA405"/>
  <c r="EZ405"/>
  <c r="EY405"/>
  <c r="EX405"/>
  <c r="EW405"/>
  <c r="EV405"/>
  <c r="EU405"/>
  <c r="ET405"/>
  <c r="ES405"/>
  <c r="ER405"/>
  <c r="EQ405"/>
  <c r="EP405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A405"/>
  <c r="FQ404"/>
  <c r="FP404"/>
  <c r="FO404"/>
  <c r="FN404"/>
  <c r="FM404"/>
  <c r="FL404"/>
  <c r="FK404"/>
  <c r="FJ404"/>
  <c r="FI404"/>
  <c r="FH404"/>
  <c r="FG404"/>
  <c r="FF404"/>
  <c r="FE404"/>
  <c r="FD404"/>
  <c r="FC404"/>
  <c r="FB404"/>
  <c r="FA404"/>
  <c r="EZ404"/>
  <c r="EY404"/>
  <c r="EX404"/>
  <c r="EW404"/>
  <c r="EV404"/>
  <c r="EU404"/>
  <c r="ET404"/>
  <c r="ES404"/>
  <c r="ER404"/>
  <c r="EQ404"/>
  <c r="EP404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FQ403"/>
  <c r="FP403"/>
  <c r="FO403"/>
  <c r="FN403"/>
  <c r="FM403"/>
  <c r="FL403"/>
  <c r="FK403"/>
  <c r="FJ403"/>
  <c r="FI403"/>
  <c r="FH403"/>
  <c r="FG403"/>
  <c r="FF403"/>
  <c r="FE403"/>
  <c r="FD403"/>
  <c r="FC403"/>
  <c r="FB403"/>
  <c r="FA403"/>
  <c r="EZ403"/>
  <c r="EY403"/>
  <c r="EX403"/>
  <c r="EW403"/>
  <c r="EV403"/>
  <c r="EU403"/>
  <c r="ET403"/>
  <c r="ES403"/>
  <c r="ER403"/>
  <c r="EQ403"/>
  <c r="EP403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FQ402"/>
  <c r="FP402"/>
  <c r="FO402"/>
  <c r="FN402"/>
  <c r="FM402"/>
  <c r="FL402"/>
  <c r="FK402"/>
  <c r="FJ402"/>
  <c r="FI402"/>
  <c r="FH402"/>
  <c r="FG402"/>
  <c r="FF402"/>
  <c r="FE402"/>
  <c r="FD402"/>
  <c r="FC402"/>
  <c r="FB402"/>
  <c r="FA402"/>
  <c r="EZ402"/>
  <c r="EY402"/>
  <c r="EX402"/>
  <c r="EW402"/>
  <c r="EV402"/>
  <c r="EU402"/>
  <c r="ET402"/>
  <c r="ES402"/>
  <c r="ER402"/>
  <c r="EQ402"/>
  <c r="EP402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FQ401"/>
  <c r="FP401"/>
  <c r="FO401"/>
  <c r="FN401"/>
  <c r="FM401"/>
  <c r="FL401"/>
  <c r="FK401"/>
  <c r="FJ401"/>
  <c r="FI401"/>
  <c r="FH401"/>
  <c r="FG401"/>
  <c r="FF401"/>
  <c r="FE401"/>
  <c r="FD401"/>
  <c r="FC401"/>
  <c r="FB401"/>
  <c r="FA401"/>
  <c r="EZ401"/>
  <c r="EY401"/>
  <c r="EX401"/>
  <c r="EW401"/>
  <c r="EV401"/>
  <c r="EU401"/>
  <c r="ET401"/>
  <c r="ES401"/>
  <c r="ER401"/>
  <c r="EQ401"/>
  <c r="EP401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FQ400"/>
  <c r="FP400"/>
  <c r="FO400"/>
  <c r="FN400"/>
  <c r="FM400"/>
  <c r="FL400"/>
  <c r="FK400"/>
  <c r="FJ400"/>
  <c r="FI400"/>
  <c r="FH400"/>
  <c r="FG400"/>
  <c r="FF400"/>
  <c r="FE400"/>
  <c r="FD400"/>
  <c r="FC400"/>
  <c r="FB400"/>
  <c r="FA400"/>
  <c r="EZ400"/>
  <c r="EY400"/>
  <c r="EX400"/>
  <c r="EW400"/>
  <c r="EV400"/>
  <c r="EU400"/>
  <c r="ET400"/>
  <c r="ES400"/>
  <c r="ER400"/>
  <c r="EQ400"/>
  <c r="EP400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FQ399"/>
  <c r="FP399"/>
  <c r="FO399"/>
  <c r="FN399"/>
  <c r="FM399"/>
  <c r="FL399"/>
  <c r="FK399"/>
  <c r="FJ399"/>
  <c r="FI399"/>
  <c r="FH399"/>
  <c r="FG399"/>
  <c r="FF399"/>
  <c r="FE399"/>
  <c r="FD399"/>
  <c r="FC399"/>
  <c r="FB399"/>
  <c r="FA399"/>
  <c r="EZ399"/>
  <c r="EY399"/>
  <c r="EX399"/>
  <c r="EW399"/>
  <c r="EV399"/>
  <c r="EU399"/>
  <c r="ET399"/>
  <c r="ES399"/>
  <c r="ER399"/>
  <c r="EQ399"/>
  <c r="EP399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FQ398"/>
  <c r="FP398"/>
  <c r="FO398"/>
  <c r="FN398"/>
  <c r="FM398"/>
  <c r="FL398"/>
  <c r="FK398"/>
  <c r="FJ398"/>
  <c r="FI398"/>
  <c r="FH398"/>
  <c r="FG398"/>
  <c r="FF398"/>
  <c r="FE398"/>
  <c r="FD398"/>
  <c r="FC398"/>
  <c r="FB398"/>
  <c r="FA398"/>
  <c r="EZ398"/>
  <c r="EY398"/>
  <c r="EX398"/>
  <c r="EW398"/>
  <c r="EV398"/>
  <c r="EU398"/>
  <c r="ET398"/>
  <c r="ES398"/>
  <c r="ER398"/>
  <c r="EQ398"/>
  <c r="EP398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FQ397"/>
  <c r="FP397"/>
  <c r="FO397"/>
  <c r="FN397"/>
  <c r="FM397"/>
  <c r="FL397"/>
  <c r="FK397"/>
  <c r="FJ397"/>
  <c r="FI397"/>
  <c r="FH397"/>
  <c r="FG397"/>
  <c r="FF397"/>
  <c r="FE397"/>
  <c r="FD397"/>
  <c r="FC397"/>
  <c r="FB397"/>
  <c r="FA397"/>
  <c r="EZ397"/>
  <c r="EY397"/>
  <c r="EX397"/>
  <c r="EW397"/>
  <c r="EV397"/>
  <c r="EU397"/>
  <c r="ET397"/>
  <c r="ES397"/>
  <c r="ER397"/>
  <c r="EQ397"/>
  <c r="EP397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FQ396"/>
  <c r="FP396"/>
  <c r="FO396"/>
  <c r="FN396"/>
  <c r="FM396"/>
  <c r="FL396"/>
  <c r="FK396"/>
  <c r="FJ396"/>
  <c r="FI396"/>
  <c r="FH396"/>
  <c r="FG396"/>
  <c r="FF396"/>
  <c r="FE396"/>
  <c r="FD396"/>
  <c r="FC396"/>
  <c r="FB396"/>
  <c r="FA396"/>
  <c r="EZ396"/>
  <c r="EY396"/>
  <c r="EX396"/>
  <c r="EW396"/>
  <c r="EV396"/>
  <c r="EU396"/>
  <c r="ET396"/>
  <c r="ES396"/>
  <c r="ER396"/>
  <c r="EQ396"/>
  <c r="EP396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B396"/>
  <c r="FQ395"/>
  <c r="FP395"/>
  <c r="FO395"/>
  <c r="FN395"/>
  <c r="FM395"/>
  <c r="FL395"/>
  <c r="FK395"/>
  <c r="FJ395"/>
  <c r="FI395"/>
  <c r="FH395"/>
  <c r="FG395"/>
  <c r="FF395"/>
  <c r="FE395"/>
  <c r="FD395"/>
  <c r="FC395"/>
  <c r="FB395"/>
  <c r="FA395"/>
  <c r="EZ395"/>
  <c r="EY395"/>
  <c r="EX395"/>
  <c r="EW395"/>
  <c r="EV395"/>
  <c r="EU395"/>
  <c r="ET395"/>
  <c r="ES395"/>
  <c r="ER395"/>
  <c r="EQ395"/>
  <c r="EP395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FQ394"/>
  <c r="FP394"/>
  <c r="FO394"/>
  <c r="FN394"/>
  <c r="FM394"/>
  <c r="FL394"/>
  <c r="FK394"/>
  <c r="FJ394"/>
  <c r="FI394"/>
  <c r="FH394"/>
  <c r="FG394"/>
  <c r="FF394"/>
  <c r="FE394"/>
  <c r="FD394"/>
  <c r="FC394"/>
  <c r="FB394"/>
  <c r="FA394"/>
  <c r="EZ394"/>
  <c r="EY394"/>
  <c r="EX394"/>
  <c r="EW394"/>
  <c r="EV394"/>
  <c r="EU394"/>
  <c r="ET394"/>
  <c r="ES394"/>
  <c r="ER394"/>
  <c r="EQ394"/>
  <c r="EP394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E394"/>
  <c r="FQ393"/>
  <c r="FP393"/>
  <c r="FO393"/>
  <c r="FN393"/>
  <c r="FM393"/>
  <c r="FL393"/>
  <c r="FK393"/>
  <c r="FJ393"/>
  <c r="FI393"/>
  <c r="FH393"/>
  <c r="FG393"/>
  <c r="FF393"/>
  <c r="FE393"/>
  <c r="FD393"/>
  <c r="FC393"/>
  <c r="FB393"/>
  <c r="FA393"/>
  <c r="EZ393"/>
  <c r="EY393"/>
  <c r="EX393"/>
  <c r="EW393"/>
  <c r="EV393"/>
  <c r="EU393"/>
  <c r="ET393"/>
  <c r="ES393"/>
  <c r="ER393"/>
  <c r="EQ393"/>
  <c r="EP393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FQ392"/>
  <c r="FP392"/>
  <c r="FO392"/>
  <c r="FN392"/>
  <c r="FM392"/>
  <c r="FL392"/>
  <c r="FK392"/>
  <c r="FJ392"/>
  <c r="FI392"/>
  <c r="FH392"/>
  <c r="FG392"/>
  <c r="FF392"/>
  <c r="FE392"/>
  <c r="FD392"/>
  <c r="FC392"/>
  <c r="FB392"/>
  <c r="FA392"/>
  <c r="EZ392"/>
  <c r="EY392"/>
  <c r="EX392"/>
  <c r="EW392"/>
  <c r="EV392"/>
  <c r="EU392"/>
  <c r="ET392"/>
  <c r="ES392"/>
  <c r="ER392"/>
  <c r="EQ392"/>
  <c r="EP392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FQ391"/>
  <c r="FP391"/>
  <c r="FO391"/>
  <c r="FN391"/>
  <c r="FM391"/>
  <c r="FL391"/>
  <c r="FK391"/>
  <c r="FJ391"/>
  <c r="FI391"/>
  <c r="FH391"/>
  <c r="FG391"/>
  <c r="FF391"/>
  <c r="FE391"/>
  <c r="FD391"/>
  <c r="FC391"/>
  <c r="FB391"/>
  <c r="FA391"/>
  <c r="EZ391"/>
  <c r="EY391"/>
  <c r="EX391"/>
  <c r="EW391"/>
  <c r="EV391"/>
  <c r="EU391"/>
  <c r="ET391"/>
  <c r="ES391"/>
  <c r="ER391"/>
  <c r="EQ391"/>
  <c r="EP391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FQ390"/>
  <c r="FP390"/>
  <c r="FO390"/>
  <c r="FN390"/>
  <c r="FM390"/>
  <c r="FL390"/>
  <c r="FK390"/>
  <c r="FJ390"/>
  <c r="FI390"/>
  <c r="FH390"/>
  <c r="FG390"/>
  <c r="FF390"/>
  <c r="FE390"/>
  <c r="FD390"/>
  <c r="FC390"/>
  <c r="FB390"/>
  <c r="FA390"/>
  <c r="EZ390"/>
  <c r="EY390"/>
  <c r="EX390"/>
  <c r="EW390"/>
  <c r="EV390"/>
  <c r="EU390"/>
  <c r="ET390"/>
  <c r="ES390"/>
  <c r="ER390"/>
  <c r="EQ390"/>
  <c r="EP390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FQ389"/>
  <c r="FP389"/>
  <c r="FO389"/>
  <c r="FN389"/>
  <c r="FM389"/>
  <c r="FL389"/>
  <c r="FK389"/>
  <c r="FJ389"/>
  <c r="FI389"/>
  <c r="FH389"/>
  <c r="FG389"/>
  <c r="FF389"/>
  <c r="FE389"/>
  <c r="FD389"/>
  <c r="FC389"/>
  <c r="FB389"/>
  <c r="FA389"/>
  <c r="EZ389"/>
  <c r="EY389"/>
  <c r="EX389"/>
  <c r="EW389"/>
  <c r="EV389"/>
  <c r="EU389"/>
  <c r="ET389"/>
  <c r="ES389"/>
  <c r="ER389"/>
  <c r="EQ389"/>
  <c r="EP389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FQ388"/>
  <c r="FP388"/>
  <c r="FO388"/>
  <c r="FN388"/>
  <c r="FM388"/>
  <c r="FL388"/>
  <c r="FK388"/>
  <c r="FJ388"/>
  <c r="FI388"/>
  <c r="FH388"/>
  <c r="FG388"/>
  <c r="FF388"/>
  <c r="FE388"/>
  <c r="FD388"/>
  <c r="FC388"/>
  <c r="FB388"/>
  <c r="FA388"/>
  <c r="EZ388"/>
  <c r="EY388"/>
  <c r="EX388"/>
  <c r="EW388"/>
  <c r="EV388"/>
  <c r="EU388"/>
  <c r="ET388"/>
  <c r="ES388"/>
  <c r="ER388"/>
  <c r="EQ388"/>
  <c r="EP388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FQ387"/>
  <c r="FP387"/>
  <c r="FO387"/>
  <c r="FN387"/>
  <c r="FM387"/>
  <c r="FL387"/>
  <c r="FK387"/>
  <c r="FJ387"/>
  <c r="FI387"/>
  <c r="FH387"/>
  <c r="FG387"/>
  <c r="FF387"/>
  <c r="FE387"/>
  <c r="FD387"/>
  <c r="FC387"/>
  <c r="FB387"/>
  <c r="FA387"/>
  <c r="EZ387"/>
  <c r="EY387"/>
  <c r="EX387"/>
  <c r="EW387"/>
  <c r="EV387"/>
  <c r="EU387"/>
  <c r="ET387"/>
  <c r="ES387"/>
  <c r="ER387"/>
  <c r="EQ387"/>
  <c r="EP387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FQ386"/>
  <c r="FP386"/>
  <c r="FO386"/>
  <c r="FN386"/>
  <c r="FM386"/>
  <c r="FL386"/>
  <c r="FK386"/>
  <c r="FJ386"/>
  <c r="FI386"/>
  <c r="FH386"/>
  <c r="FG386"/>
  <c r="FF386"/>
  <c r="FE386"/>
  <c r="FD386"/>
  <c r="FC386"/>
  <c r="FB386"/>
  <c r="FA386"/>
  <c r="EZ386"/>
  <c r="EY386"/>
  <c r="EX386"/>
  <c r="EW386"/>
  <c r="EV386"/>
  <c r="EU386"/>
  <c r="ET386"/>
  <c r="ES386"/>
  <c r="ER386"/>
  <c r="EQ386"/>
  <c r="EP386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FQ385"/>
  <c r="FP385"/>
  <c r="FO385"/>
  <c r="FN385"/>
  <c r="FM385"/>
  <c r="FL385"/>
  <c r="FK385"/>
  <c r="FJ385"/>
  <c r="FI385"/>
  <c r="FH385"/>
  <c r="FG385"/>
  <c r="FF385"/>
  <c r="FE385"/>
  <c r="FD385"/>
  <c r="FC385"/>
  <c r="FB385"/>
  <c r="FA385"/>
  <c r="EZ385"/>
  <c r="EY385"/>
  <c r="EX385"/>
  <c r="EW385"/>
  <c r="EV385"/>
  <c r="EU385"/>
  <c r="ET385"/>
  <c r="ES385"/>
  <c r="ER385"/>
  <c r="EQ385"/>
  <c r="EP385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FQ384"/>
  <c r="FP384"/>
  <c r="FO384"/>
  <c r="FN384"/>
  <c r="FM384"/>
  <c r="FL384"/>
  <c r="FK384"/>
  <c r="FJ384"/>
  <c r="FI384"/>
  <c r="FH384"/>
  <c r="FG384"/>
  <c r="FF384"/>
  <c r="FE384"/>
  <c r="FD384"/>
  <c r="FC384"/>
  <c r="FB384"/>
  <c r="FA384"/>
  <c r="EZ384"/>
  <c r="EY384"/>
  <c r="EX384"/>
  <c r="EW384"/>
  <c r="EV384"/>
  <c r="EU384"/>
  <c r="ET384"/>
  <c r="ES384"/>
  <c r="ER384"/>
  <c r="EQ384"/>
  <c r="EP384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FQ383"/>
  <c r="FP383"/>
  <c r="FO383"/>
  <c r="FN383"/>
  <c r="FM383"/>
  <c r="FL383"/>
  <c r="FK383"/>
  <c r="FJ383"/>
  <c r="FI383"/>
  <c r="FH383"/>
  <c r="FG383"/>
  <c r="FF383"/>
  <c r="FE383"/>
  <c r="FD383"/>
  <c r="FC383"/>
  <c r="FB383"/>
  <c r="FA383"/>
  <c r="EZ383"/>
  <c r="EY383"/>
  <c r="EX383"/>
  <c r="EW383"/>
  <c r="EV383"/>
  <c r="EU383"/>
  <c r="ET383"/>
  <c r="ES383"/>
  <c r="ER383"/>
  <c r="EQ383"/>
  <c r="EP383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A383"/>
  <c r="FQ382"/>
  <c r="FP382"/>
  <c r="FO382"/>
  <c r="FN382"/>
  <c r="FM382"/>
  <c r="FL382"/>
  <c r="FK382"/>
  <c r="FJ382"/>
  <c r="FI382"/>
  <c r="FH382"/>
  <c r="FG382"/>
  <c r="FF382"/>
  <c r="FE382"/>
  <c r="FD382"/>
  <c r="FC382"/>
  <c r="FB382"/>
  <c r="FA382"/>
  <c r="EZ382"/>
  <c r="EY382"/>
  <c r="EX382"/>
  <c r="EW382"/>
  <c r="EV382"/>
  <c r="EU382"/>
  <c r="ET382"/>
  <c r="ES382"/>
  <c r="ER382"/>
  <c r="EQ382"/>
  <c r="EP382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FQ381"/>
  <c r="FP381"/>
  <c r="FO381"/>
  <c r="FN381"/>
  <c r="FM381"/>
  <c r="FL381"/>
  <c r="FK381"/>
  <c r="FJ381"/>
  <c r="FI381"/>
  <c r="FH381"/>
  <c r="FG381"/>
  <c r="FF381"/>
  <c r="FE381"/>
  <c r="FD381"/>
  <c r="FC381"/>
  <c r="FB381"/>
  <c r="FA381"/>
  <c r="EZ381"/>
  <c r="EY381"/>
  <c r="EX381"/>
  <c r="EW381"/>
  <c r="EV381"/>
  <c r="EU381"/>
  <c r="ET381"/>
  <c r="ES381"/>
  <c r="ER381"/>
  <c r="EQ381"/>
  <c r="EP381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FQ380"/>
  <c r="FP380"/>
  <c r="FO380"/>
  <c r="FN380"/>
  <c r="FM380"/>
  <c r="FL380"/>
  <c r="FK380"/>
  <c r="FJ380"/>
  <c r="FI380"/>
  <c r="FH380"/>
  <c r="FG380"/>
  <c r="FF380"/>
  <c r="FE380"/>
  <c r="FD380"/>
  <c r="FC380"/>
  <c r="FB380"/>
  <c r="FA380"/>
  <c r="EZ380"/>
  <c r="EY380"/>
  <c r="EX380"/>
  <c r="EW380"/>
  <c r="EV380"/>
  <c r="EU380"/>
  <c r="ET380"/>
  <c r="ES380"/>
  <c r="ER380"/>
  <c r="EQ380"/>
  <c r="EP380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FQ379"/>
  <c r="FP379"/>
  <c r="FO379"/>
  <c r="FN379"/>
  <c r="FM379"/>
  <c r="FL379"/>
  <c r="FK379"/>
  <c r="FJ379"/>
  <c r="FI379"/>
  <c r="FH379"/>
  <c r="FG379"/>
  <c r="FF379"/>
  <c r="FE379"/>
  <c r="FD379"/>
  <c r="FC379"/>
  <c r="FB379"/>
  <c r="FA379"/>
  <c r="EZ379"/>
  <c r="EY379"/>
  <c r="EX379"/>
  <c r="EW379"/>
  <c r="EV379"/>
  <c r="EU379"/>
  <c r="ET379"/>
  <c r="ES379"/>
  <c r="ER379"/>
  <c r="EQ379"/>
  <c r="EP379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FQ378"/>
  <c r="FP378"/>
  <c r="FO378"/>
  <c r="FN378"/>
  <c r="FM378"/>
  <c r="FL378"/>
  <c r="FK378"/>
  <c r="FJ378"/>
  <c r="FI378"/>
  <c r="FH378"/>
  <c r="FG378"/>
  <c r="FF378"/>
  <c r="FE378"/>
  <c r="FD378"/>
  <c r="FC378"/>
  <c r="FB378"/>
  <c r="FA378"/>
  <c r="EZ378"/>
  <c r="EY378"/>
  <c r="EX378"/>
  <c r="EW378"/>
  <c r="EV378"/>
  <c r="EU378"/>
  <c r="ET378"/>
  <c r="ES378"/>
  <c r="ER378"/>
  <c r="EQ378"/>
  <c r="EP378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FQ377"/>
  <c r="FP377"/>
  <c r="FO377"/>
  <c r="FN377"/>
  <c r="FM377"/>
  <c r="FL377"/>
  <c r="FK377"/>
  <c r="FJ377"/>
  <c r="FI377"/>
  <c r="FH377"/>
  <c r="FG377"/>
  <c r="FF377"/>
  <c r="FE377"/>
  <c r="FD377"/>
  <c r="FC377"/>
  <c r="FB377"/>
  <c r="FA377"/>
  <c r="EZ377"/>
  <c r="EY377"/>
  <c r="EX377"/>
  <c r="EW377"/>
  <c r="EV377"/>
  <c r="EU377"/>
  <c r="ET377"/>
  <c r="ES377"/>
  <c r="ER377"/>
  <c r="EQ377"/>
  <c r="EP377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FQ376"/>
  <c r="FP376"/>
  <c r="FO376"/>
  <c r="FN376"/>
  <c r="FM376"/>
  <c r="FL376"/>
  <c r="FK376"/>
  <c r="FJ376"/>
  <c r="FI376"/>
  <c r="FH376"/>
  <c r="FG376"/>
  <c r="FF376"/>
  <c r="FE376"/>
  <c r="FD376"/>
  <c r="FC376"/>
  <c r="FB376"/>
  <c r="FA376"/>
  <c r="EZ376"/>
  <c r="EY376"/>
  <c r="EX376"/>
  <c r="EW376"/>
  <c r="EV376"/>
  <c r="EU376"/>
  <c r="ET376"/>
  <c r="ES376"/>
  <c r="ER376"/>
  <c r="EQ376"/>
  <c r="EP376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FQ375"/>
  <c r="FP375"/>
  <c r="FO375"/>
  <c r="FN375"/>
  <c r="FM375"/>
  <c r="FL375"/>
  <c r="FK375"/>
  <c r="FJ375"/>
  <c r="FI375"/>
  <c r="FH375"/>
  <c r="FG375"/>
  <c r="FF375"/>
  <c r="FE375"/>
  <c r="FD375"/>
  <c r="FC375"/>
  <c r="FB375"/>
  <c r="FA375"/>
  <c r="EZ375"/>
  <c r="EY375"/>
  <c r="EX375"/>
  <c r="EW375"/>
  <c r="EV375"/>
  <c r="EU375"/>
  <c r="ET375"/>
  <c r="ES375"/>
  <c r="ER375"/>
  <c r="EQ375"/>
  <c r="EP375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FQ374"/>
  <c r="FP374"/>
  <c r="FO374"/>
  <c r="FN374"/>
  <c r="FM374"/>
  <c r="FL374"/>
  <c r="FK374"/>
  <c r="FJ374"/>
  <c r="FI374"/>
  <c r="FH374"/>
  <c r="FG374"/>
  <c r="FF374"/>
  <c r="FE374"/>
  <c r="FD374"/>
  <c r="FC374"/>
  <c r="FB374"/>
  <c r="FA374"/>
  <c r="EZ374"/>
  <c r="EY374"/>
  <c r="EX374"/>
  <c r="EW374"/>
  <c r="EV374"/>
  <c r="EU374"/>
  <c r="ET374"/>
  <c r="ES374"/>
  <c r="ER374"/>
  <c r="EQ374"/>
  <c r="EP374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FQ373"/>
  <c r="FP373"/>
  <c r="FO373"/>
  <c r="FN373"/>
  <c r="FM373"/>
  <c r="FL373"/>
  <c r="FK373"/>
  <c r="FJ373"/>
  <c r="FI373"/>
  <c r="FH373"/>
  <c r="FG373"/>
  <c r="FF373"/>
  <c r="FE373"/>
  <c r="FD373"/>
  <c r="FC373"/>
  <c r="FB373"/>
  <c r="FA373"/>
  <c r="EZ373"/>
  <c r="EY373"/>
  <c r="EX373"/>
  <c r="EW373"/>
  <c r="EV373"/>
  <c r="EU373"/>
  <c r="ET373"/>
  <c r="ES373"/>
  <c r="ER373"/>
  <c r="EQ373"/>
  <c r="EP373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FQ372"/>
  <c r="FP372"/>
  <c r="FO372"/>
  <c r="FN372"/>
  <c r="FM372"/>
  <c r="FL372"/>
  <c r="FK372"/>
  <c r="FJ372"/>
  <c r="FI372"/>
  <c r="FH372"/>
  <c r="FG372"/>
  <c r="FF372"/>
  <c r="FE372"/>
  <c r="FD372"/>
  <c r="FC372"/>
  <c r="FB372"/>
  <c r="FA372"/>
  <c r="EZ372"/>
  <c r="EY372"/>
  <c r="EX372"/>
  <c r="EW372"/>
  <c r="EV372"/>
  <c r="EU372"/>
  <c r="ET372"/>
  <c r="ES372"/>
  <c r="ER372"/>
  <c r="EQ372"/>
  <c r="EP372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FQ371"/>
  <c r="FP371"/>
  <c r="FO371"/>
  <c r="FN371"/>
  <c r="FM371"/>
  <c r="FL371"/>
  <c r="FK371"/>
  <c r="FJ371"/>
  <c r="FI371"/>
  <c r="FH371"/>
  <c r="FG371"/>
  <c r="FF371"/>
  <c r="FE371"/>
  <c r="FD371"/>
  <c r="FC371"/>
  <c r="FB371"/>
  <c r="FA371"/>
  <c r="EZ371"/>
  <c r="EY371"/>
  <c r="EX371"/>
  <c r="EW371"/>
  <c r="EV371"/>
  <c r="EU371"/>
  <c r="ET371"/>
  <c r="ES371"/>
  <c r="ER371"/>
  <c r="EQ371"/>
  <c r="EP371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FQ370"/>
  <c r="FP370"/>
  <c r="FO370"/>
  <c r="FN370"/>
  <c r="FM370"/>
  <c r="FL370"/>
  <c r="FK370"/>
  <c r="FJ370"/>
  <c r="FI370"/>
  <c r="FH370"/>
  <c r="FG370"/>
  <c r="FF370"/>
  <c r="FE370"/>
  <c r="FD370"/>
  <c r="FC370"/>
  <c r="FB370"/>
  <c r="FA370"/>
  <c r="EZ370"/>
  <c r="EY370"/>
  <c r="EX370"/>
  <c r="EW370"/>
  <c r="EV370"/>
  <c r="EU370"/>
  <c r="ET370"/>
  <c r="ES370"/>
  <c r="ER370"/>
  <c r="EQ370"/>
  <c r="EP370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FQ369"/>
  <c r="FP369"/>
  <c r="FO369"/>
  <c r="FN369"/>
  <c r="FM369"/>
  <c r="FL369"/>
  <c r="FK369"/>
  <c r="FJ369"/>
  <c r="FI369"/>
  <c r="FH369"/>
  <c r="FG369"/>
  <c r="FF369"/>
  <c r="FE369"/>
  <c r="FD369"/>
  <c r="FC369"/>
  <c r="FB369"/>
  <c r="FA369"/>
  <c r="EZ369"/>
  <c r="EY369"/>
  <c r="EX369"/>
  <c r="EW369"/>
  <c r="EV369"/>
  <c r="EU369"/>
  <c r="ET369"/>
  <c r="ES369"/>
  <c r="ER369"/>
  <c r="EQ369"/>
  <c r="EP369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FQ368"/>
  <c r="FP368"/>
  <c r="FO368"/>
  <c r="FN368"/>
  <c r="FM368"/>
  <c r="FL368"/>
  <c r="FK368"/>
  <c r="FJ368"/>
  <c r="FI368"/>
  <c r="FH368"/>
  <c r="FG368"/>
  <c r="FF368"/>
  <c r="FE368"/>
  <c r="FD368"/>
  <c r="FC368"/>
  <c r="FB368"/>
  <c r="FA368"/>
  <c r="EZ368"/>
  <c r="EY368"/>
  <c r="EX368"/>
  <c r="EW368"/>
  <c r="EV368"/>
  <c r="EU368"/>
  <c r="ET368"/>
  <c r="ES368"/>
  <c r="ER368"/>
  <c r="EQ368"/>
  <c r="EP368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A368"/>
  <c r="FQ367"/>
  <c r="FP367"/>
  <c r="FO367"/>
  <c r="FN367"/>
  <c r="FM367"/>
  <c r="FL367"/>
  <c r="FK367"/>
  <c r="FJ367"/>
  <c r="FI367"/>
  <c r="FH367"/>
  <c r="FG367"/>
  <c r="FF367"/>
  <c r="FE367"/>
  <c r="FD367"/>
  <c r="FC367"/>
  <c r="FB367"/>
  <c r="FA367"/>
  <c r="EZ367"/>
  <c r="EY367"/>
  <c r="EX367"/>
  <c r="EW367"/>
  <c r="EV367"/>
  <c r="EU367"/>
  <c r="ET367"/>
  <c r="ES367"/>
  <c r="ER367"/>
  <c r="EQ367"/>
  <c r="EP367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FQ366"/>
  <c r="FP366"/>
  <c r="FO366"/>
  <c r="FN366"/>
  <c r="FM366"/>
  <c r="FL366"/>
  <c r="FK366"/>
  <c r="FJ366"/>
  <c r="FI366"/>
  <c r="FH366"/>
  <c r="FG366"/>
  <c r="FF366"/>
  <c r="FE366"/>
  <c r="FD366"/>
  <c r="FC366"/>
  <c r="FB366"/>
  <c r="FA366"/>
  <c r="EZ366"/>
  <c r="EY366"/>
  <c r="EX366"/>
  <c r="EW366"/>
  <c r="EV366"/>
  <c r="EU366"/>
  <c r="ET366"/>
  <c r="ES366"/>
  <c r="ER366"/>
  <c r="EQ366"/>
  <c r="EP366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FQ365"/>
  <c r="FP365"/>
  <c r="FO365"/>
  <c r="FN365"/>
  <c r="FM365"/>
  <c r="FL365"/>
  <c r="FK365"/>
  <c r="FJ365"/>
  <c r="FI365"/>
  <c r="FH365"/>
  <c r="FG365"/>
  <c r="FF365"/>
  <c r="FE365"/>
  <c r="FD365"/>
  <c r="FC365"/>
  <c r="FB365"/>
  <c r="FA365"/>
  <c r="EZ365"/>
  <c r="EY365"/>
  <c r="EX365"/>
  <c r="EW365"/>
  <c r="EV365"/>
  <c r="EU365"/>
  <c r="ET365"/>
  <c r="ES365"/>
  <c r="ER365"/>
  <c r="EQ365"/>
  <c r="EP365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FQ364"/>
  <c r="FP364"/>
  <c r="FO364"/>
  <c r="FN364"/>
  <c r="FM364"/>
  <c r="FL364"/>
  <c r="FK364"/>
  <c r="FJ364"/>
  <c r="FI364"/>
  <c r="FH364"/>
  <c r="FG364"/>
  <c r="FF364"/>
  <c r="FE364"/>
  <c r="FD364"/>
  <c r="FC364"/>
  <c r="FB364"/>
  <c r="FA364"/>
  <c r="EZ364"/>
  <c r="EY364"/>
  <c r="EX364"/>
  <c r="EW364"/>
  <c r="EV364"/>
  <c r="EU364"/>
  <c r="ET364"/>
  <c r="ES364"/>
  <c r="ER364"/>
  <c r="EQ364"/>
  <c r="EP364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FQ363"/>
  <c r="FP363"/>
  <c r="FO363"/>
  <c r="FN363"/>
  <c r="FM363"/>
  <c r="FL363"/>
  <c r="FK363"/>
  <c r="FJ363"/>
  <c r="FI363"/>
  <c r="FH363"/>
  <c r="FG363"/>
  <c r="FF363"/>
  <c r="FE363"/>
  <c r="FD363"/>
  <c r="FC363"/>
  <c r="FB363"/>
  <c r="FA363"/>
  <c r="EZ363"/>
  <c r="EY363"/>
  <c r="EX363"/>
  <c r="EW363"/>
  <c r="EV363"/>
  <c r="EU363"/>
  <c r="ET363"/>
  <c r="ES363"/>
  <c r="ER363"/>
  <c r="EQ363"/>
  <c r="EP363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FQ362"/>
  <c r="FP362"/>
  <c r="FO362"/>
  <c r="FN362"/>
  <c r="FM362"/>
  <c r="FL362"/>
  <c r="FK362"/>
  <c r="FJ362"/>
  <c r="FI362"/>
  <c r="FH362"/>
  <c r="FG362"/>
  <c r="FF362"/>
  <c r="FE362"/>
  <c r="FD362"/>
  <c r="FC362"/>
  <c r="FB362"/>
  <c r="FA362"/>
  <c r="EZ362"/>
  <c r="EY362"/>
  <c r="EX362"/>
  <c r="EW362"/>
  <c r="EV362"/>
  <c r="EU362"/>
  <c r="ET362"/>
  <c r="ES362"/>
  <c r="ER362"/>
  <c r="EQ362"/>
  <c r="EP362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FQ361"/>
  <c r="FP361"/>
  <c r="FO361"/>
  <c r="FN361"/>
  <c r="FM361"/>
  <c r="FL361"/>
  <c r="FK361"/>
  <c r="FJ361"/>
  <c r="FI361"/>
  <c r="FH361"/>
  <c r="FG361"/>
  <c r="FF361"/>
  <c r="FE361"/>
  <c r="FD361"/>
  <c r="FC361"/>
  <c r="FB361"/>
  <c r="FA361"/>
  <c r="EZ361"/>
  <c r="EY361"/>
  <c r="EX361"/>
  <c r="EW361"/>
  <c r="EV361"/>
  <c r="EU361"/>
  <c r="ET361"/>
  <c r="ES361"/>
  <c r="ER361"/>
  <c r="EQ361"/>
  <c r="EP361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FQ360"/>
  <c r="FP360"/>
  <c r="FO360"/>
  <c r="FN360"/>
  <c r="FM360"/>
  <c r="FL360"/>
  <c r="FK360"/>
  <c r="FJ360"/>
  <c r="FI360"/>
  <c r="FH360"/>
  <c r="FG360"/>
  <c r="FF360"/>
  <c r="FE360"/>
  <c r="FD360"/>
  <c r="FC360"/>
  <c r="FB360"/>
  <c r="FA360"/>
  <c r="EZ360"/>
  <c r="EY360"/>
  <c r="EX360"/>
  <c r="EW360"/>
  <c r="EV360"/>
  <c r="EU360"/>
  <c r="ET360"/>
  <c r="ES360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FQ359"/>
  <c r="FP359"/>
  <c r="FO359"/>
  <c r="FN359"/>
  <c r="FM359"/>
  <c r="FL359"/>
  <c r="FK359"/>
  <c r="FJ359"/>
  <c r="FI359"/>
  <c r="FH359"/>
  <c r="FG359"/>
  <c r="FF359"/>
  <c r="FE359"/>
  <c r="FD359"/>
  <c r="FC359"/>
  <c r="FB359"/>
  <c r="FA359"/>
  <c r="EZ359"/>
  <c r="EY359"/>
  <c r="EX359"/>
  <c r="EW359"/>
  <c r="EV359"/>
  <c r="EU359"/>
  <c r="ET359"/>
  <c r="ES359"/>
  <c r="ER359"/>
  <c r="EQ359"/>
  <c r="EP359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FQ358"/>
  <c r="FP358"/>
  <c r="FO358"/>
  <c r="FN358"/>
  <c r="FM358"/>
  <c r="FL358"/>
  <c r="FK358"/>
  <c r="FJ358"/>
  <c r="FI358"/>
  <c r="FH358"/>
  <c r="FG358"/>
  <c r="FF358"/>
  <c r="FE358"/>
  <c r="FD358"/>
  <c r="FC358"/>
  <c r="FB358"/>
  <c r="FA358"/>
  <c r="EZ358"/>
  <c r="EY358"/>
  <c r="EX358"/>
  <c r="EW358"/>
  <c r="EV358"/>
  <c r="EU358"/>
  <c r="ET358"/>
  <c r="ES358"/>
  <c r="ER358"/>
  <c r="EQ358"/>
  <c r="EP358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FQ357"/>
  <c r="FP357"/>
  <c r="FO357"/>
  <c r="FN357"/>
  <c r="FM357"/>
  <c r="FL357"/>
  <c r="FK357"/>
  <c r="FJ357"/>
  <c r="FI357"/>
  <c r="FH357"/>
  <c r="FG357"/>
  <c r="FF357"/>
  <c r="FE357"/>
  <c r="FD357"/>
  <c r="FC357"/>
  <c r="FB357"/>
  <c r="FA357"/>
  <c r="EZ357"/>
  <c r="EY357"/>
  <c r="EX357"/>
  <c r="EW357"/>
  <c r="EV357"/>
  <c r="EU357"/>
  <c r="ET357"/>
  <c r="ES357"/>
  <c r="ER357"/>
  <c r="EQ357"/>
  <c r="EP357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FQ356"/>
  <c r="FP356"/>
  <c r="FO356"/>
  <c r="FN356"/>
  <c r="FM356"/>
  <c r="FL356"/>
  <c r="FK356"/>
  <c r="FJ356"/>
  <c r="FI356"/>
  <c r="FH356"/>
  <c r="FG356"/>
  <c r="FF356"/>
  <c r="FE356"/>
  <c r="FD356"/>
  <c r="FC356"/>
  <c r="FB356"/>
  <c r="FA356"/>
  <c r="EZ356"/>
  <c r="EY356"/>
  <c r="EX356"/>
  <c r="EW356"/>
  <c r="EV356"/>
  <c r="EU356"/>
  <c r="ET356"/>
  <c r="ES356"/>
  <c r="ER356"/>
  <c r="EQ356"/>
  <c r="EP356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FQ355"/>
  <c r="FP355"/>
  <c r="FO355"/>
  <c r="FN355"/>
  <c r="FM355"/>
  <c r="FL355"/>
  <c r="FK355"/>
  <c r="FJ355"/>
  <c r="FI355"/>
  <c r="FH355"/>
  <c r="FG355"/>
  <c r="FF355"/>
  <c r="FE355"/>
  <c r="FD355"/>
  <c r="FC355"/>
  <c r="FB355"/>
  <c r="FA355"/>
  <c r="EZ355"/>
  <c r="EY355"/>
  <c r="EX355"/>
  <c r="EW355"/>
  <c r="EV355"/>
  <c r="EU355"/>
  <c r="ET355"/>
  <c r="ES355"/>
  <c r="ER355"/>
  <c r="EQ355"/>
  <c r="EP355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FQ354"/>
  <c r="FP354"/>
  <c r="FO354"/>
  <c r="FN354"/>
  <c r="FM354"/>
  <c r="FL354"/>
  <c r="FK354"/>
  <c r="FJ354"/>
  <c r="FI354"/>
  <c r="FH354"/>
  <c r="FG354"/>
  <c r="FF354"/>
  <c r="FE354"/>
  <c r="FD354"/>
  <c r="FC354"/>
  <c r="FB354"/>
  <c r="FA354"/>
  <c r="EZ354"/>
  <c r="EY354"/>
  <c r="EX354"/>
  <c r="EW354"/>
  <c r="EV354"/>
  <c r="EU354"/>
  <c r="ET354"/>
  <c r="ES354"/>
  <c r="ER354"/>
  <c r="EQ354"/>
  <c r="EP354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FQ353"/>
  <c r="FP353"/>
  <c r="FO353"/>
  <c r="FN353"/>
  <c r="FM353"/>
  <c r="FL353"/>
  <c r="FK353"/>
  <c r="FJ353"/>
  <c r="FI353"/>
  <c r="FH353"/>
  <c r="FG353"/>
  <c r="FF353"/>
  <c r="FE353"/>
  <c r="FD353"/>
  <c r="FC353"/>
  <c r="FB353"/>
  <c r="FA353"/>
  <c r="EZ353"/>
  <c r="EY353"/>
  <c r="EX353"/>
  <c r="EW353"/>
  <c r="EV353"/>
  <c r="EU353"/>
  <c r="ET353"/>
  <c r="ES353"/>
  <c r="ER353"/>
  <c r="EQ353"/>
  <c r="EP353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FQ352"/>
  <c r="FP352"/>
  <c r="FO352"/>
  <c r="FN352"/>
  <c r="FM352"/>
  <c r="FL352"/>
  <c r="FK352"/>
  <c r="FJ352"/>
  <c r="FI352"/>
  <c r="FH352"/>
  <c r="FG352"/>
  <c r="FF352"/>
  <c r="FE352"/>
  <c r="FD352"/>
  <c r="FC352"/>
  <c r="FB352"/>
  <c r="FA352"/>
  <c r="EZ352"/>
  <c r="EY352"/>
  <c r="EX352"/>
  <c r="EW352"/>
  <c r="EV352"/>
  <c r="EU352"/>
  <c r="ET352"/>
  <c r="ES352"/>
  <c r="ER352"/>
  <c r="EQ352"/>
  <c r="EP352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FQ351"/>
  <c r="FP351"/>
  <c r="FO351"/>
  <c r="FN351"/>
  <c r="FM351"/>
  <c r="FL351"/>
  <c r="FK351"/>
  <c r="FJ351"/>
  <c r="FI351"/>
  <c r="FH351"/>
  <c r="FG351"/>
  <c r="FF351"/>
  <c r="FE351"/>
  <c r="FD351"/>
  <c r="FC351"/>
  <c r="FB351"/>
  <c r="FA351"/>
  <c r="EZ351"/>
  <c r="EY351"/>
  <c r="EX351"/>
  <c r="EW351"/>
  <c r="EV351"/>
  <c r="EU351"/>
  <c r="ET351"/>
  <c r="ES351"/>
  <c r="ER351"/>
  <c r="EQ351"/>
  <c r="EP351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FQ350"/>
  <c r="FP350"/>
  <c r="FO350"/>
  <c r="FN350"/>
  <c r="FM350"/>
  <c r="FL350"/>
  <c r="FK350"/>
  <c r="FJ350"/>
  <c r="FI350"/>
  <c r="FH350"/>
  <c r="FG350"/>
  <c r="FF350"/>
  <c r="FE350"/>
  <c r="FD350"/>
  <c r="FC350"/>
  <c r="FB350"/>
  <c r="FA350"/>
  <c r="EZ350"/>
  <c r="EY350"/>
  <c r="EX350"/>
  <c r="EW350"/>
  <c r="EV350"/>
  <c r="EU350"/>
  <c r="ET350"/>
  <c r="ES350"/>
  <c r="ER350"/>
  <c r="EQ350"/>
  <c r="EP350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FQ349"/>
  <c r="FP349"/>
  <c r="FO349"/>
  <c r="FN349"/>
  <c r="FM349"/>
  <c r="FL349"/>
  <c r="FK349"/>
  <c r="FJ349"/>
  <c r="FI349"/>
  <c r="FH349"/>
  <c r="FG349"/>
  <c r="FF349"/>
  <c r="FE349"/>
  <c r="FD349"/>
  <c r="FC349"/>
  <c r="FB349"/>
  <c r="FA349"/>
  <c r="EZ349"/>
  <c r="EY349"/>
  <c r="EX349"/>
  <c r="EW349"/>
  <c r="EV349"/>
  <c r="EU349"/>
  <c r="ET349"/>
  <c r="ES349"/>
  <c r="ER349"/>
  <c r="EQ349"/>
  <c r="EP349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FQ348"/>
  <c r="FP348"/>
  <c r="FO348"/>
  <c r="FN348"/>
  <c r="FM348"/>
  <c r="FL348"/>
  <c r="FK348"/>
  <c r="FJ348"/>
  <c r="FI348"/>
  <c r="FH348"/>
  <c r="FG348"/>
  <c r="FF348"/>
  <c r="FE348"/>
  <c r="FD348"/>
  <c r="FC348"/>
  <c r="FB348"/>
  <c r="FA348"/>
  <c r="EZ348"/>
  <c r="EY348"/>
  <c r="EX348"/>
  <c r="EW348"/>
  <c r="EV348"/>
  <c r="EU348"/>
  <c r="ET348"/>
  <c r="ES348"/>
  <c r="ER348"/>
  <c r="EQ348"/>
  <c r="EP348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FQ347"/>
  <c r="FP347"/>
  <c r="FO347"/>
  <c r="FN347"/>
  <c r="FM347"/>
  <c r="FL347"/>
  <c r="FK347"/>
  <c r="FJ347"/>
  <c r="FI347"/>
  <c r="FH347"/>
  <c r="FG347"/>
  <c r="FF347"/>
  <c r="FE347"/>
  <c r="FD347"/>
  <c r="FC347"/>
  <c r="FB347"/>
  <c r="FA347"/>
  <c r="EZ347"/>
  <c r="EY347"/>
  <c r="EX347"/>
  <c r="EW347"/>
  <c r="EV347"/>
  <c r="EU347"/>
  <c r="ET347"/>
  <c r="ES347"/>
  <c r="ER347"/>
  <c r="EQ347"/>
  <c r="EP347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D347"/>
  <c r="FQ346"/>
  <c r="FP346"/>
  <c r="FO346"/>
  <c r="FN346"/>
  <c r="FM346"/>
  <c r="FL346"/>
  <c r="FK346"/>
  <c r="FJ346"/>
  <c r="FI346"/>
  <c r="FH346"/>
  <c r="FG346"/>
  <c r="FF346"/>
  <c r="FE346"/>
  <c r="FD346"/>
  <c r="FC346"/>
  <c r="FB346"/>
  <c r="FA346"/>
  <c r="EZ346"/>
  <c r="EY346"/>
  <c r="EX346"/>
  <c r="EW346"/>
  <c r="EV346"/>
  <c r="EU346"/>
  <c r="ET346"/>
  <c r="ES346"/>
  <c r="ER346"/>
  <c r="EQ346"/>
  <c r="EP346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FQ345"/>
  <c r="FP345"/>
  <c r="FO345"/>
  <c r="FN345"/>
  <c r="FM345"/>
  <c r="FL345"/>
  <c r="FK345"/>
  <c r="FJ345"/>
  <c r="FI345"/>
  <c r="FH345"/>
  <c r="FG345"/>
  <c r="FF345"/>
  <c r="FE345"/>
  <c r="FD345"/>
  <c r="FC345"/>
  <c r="FB345"/>
  <c r="FA345"/>
  <c r="EZ345"/>
  <c r="EY345"/>
  <c r="EX345"/>
  <c r="EW345"/>
  <c r="EV345"/>
  <c r="EU345"/>
  <c r="ET345"/>
  <c r="ES345"/>
  <c r="ER345"/>
  <c r="EQ345"/>
  <c r="EP345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FQ344"/>
  <c r="FP344"/>
  <c r="FO344"/>
  <c r="FN344"/>
  <c r="FM344"/>
  <c r="FL344"/>
  <c r="FK344"/>
  <c r="FJ344"/>
  <c r="FI344"/>
  <c r="FH344"/>
  <c r="FG344"/>
  <c r="FF344"/>
  <c r="FE344"/>
  <c r="FD344"/>
  <c r="FC344"/>
  <c r="FB344"/>
  <c r="FA344"/>
  <c r="EZ344"/>
  <c r="EY344"/>
  <c r="EX344"/>
  <c r="EW344"/>
  <c r="EV344"/>
  <c r="EU344"/>
  <c r="ET344"/>
  <c r="ES344"/>
  <c r="ER344"/>
  <c r="EQ344"/>
  <c r="EP344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FQ343"/>
  <c r="FP343"/>
  <c r="FO343"/>
  <c r="FN343"/>
  <c r="FM343"/>
  <c r="FL343"/>
  <c r="FK343"/>
  <c r="FJ343"/>
  <c r="FI343"/>
  <c r="FH343"/>
  <c r="FG343"/>
  <c r="FF343"/>
  <c r="FE343"/>
  <c r="FD343"/>
  <c r="FC343"/>
  <c r="FB343"/>
  <c r="FA343"/>
  <c r="EZ343"/>
  <c r="EY343"/>
  <c r="EX343"/>
  <c r="EW343"/>
  <c r="EV343"/>
  <c r="EU343"/>
  <c r="ET343"/>
  <c r="ES343"/>
  <c r="ER343"/>
  <c r="EQ343"/>
  <c r="EP343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FQ342"/>
  <c r="FP342"/>
  <c r="FO342"/>
  <c r="FN342"/>
  <c r="FM342"/>
  <c r="FL342"/>
  <c r="FK342"/>
  <c r="FJ342"/>
  <c r="FI342"/>
  <c r="FH342"/>
  <c r="FG342"/>
  <c r="FF342"/>
  <c r="FE342"/>
  <c r="FD342"/>
  <c r="FC342"/>
  <c r="FB342"/>
  <c r="FA342"/>
  <c r="EZ342"/>
  <c r="EY342"/>
  <c r="EX342"/>
  <c r="EW342"/>
  <c r="EV342"/>
  <c r="EU342"/>
  <c r="ET342"/>
  <c r="ES342"/>
  <c r="ER342"/>
  <c r="EQ342"/>
  <c r="EP342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FQ341"/>
  <c r="FP341"/>
  <c r="FO341"/>
  <c r="FN341"/>
  <c r="FM341"/>
  <c r="FL341"/>
  <c r="FK341"/>
  <c r="FJ341"/>
  <c r="FI341"/>
  <c r="FH341"/>
  <c r="FG341"/>
  <c r="FF341"/>
  <c r="FE341"/>
  <c r="FD341"/>
  <c r="FC341"/>
  <c r="FB341"/>
  <c r="FA341"/>
  <c r="EZ341"/>
  <c r="EY341"/>
  <c r="EX341"/>
  <c r="EW341"/>
  <c r="EV341"/>
  <c r="EU341"/>
  <c r="ET341"/>
  <c r="ES341"/>
  <c r="ER341"/>
  <c r="EQ341"/>
  <c r="EP341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FQ340"/>
  <c r="FP340"/>
  <c r="FO340"/>
  <c r="FN340"/>
  <c r="FM340"/>
  <c r="FL340"/>
  <c r="FK340"/>
  <c r="FJ340"/>
  <c r="FI340"/>
  <c r="FH340"/>
  <c r="FG340"/>
  <c r="FF340"/>
  <c r="FE340"/>
  <c r="FD340"/>
  <c r="FC340"/>
  <c r="FB340"/>
  <c r="FA340"/>
  <c r="EZ340"/>
  <c r="EY340"/>
  <c r="EX340"/>
  <c r="EW340"/>
  <c r="EV340"/>
  <c r="EU340"/>
  <c r="ET340"/>
  <c r="ES340"/>
  <c r="ER340"/>
  <c r="EQ340"/>
  <c r="EP340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FQ339"/>
  <c r="FP339"/>
  <c r="FO339"/>
  <c r="FN339"/>
  <c r="FM339"/>
  <c r="FL339"/>
  <c r="FK339"/>
  <c r="FJ339"/>
  <c r="FI339"/>
  <c r="FH339"/>
  <c r="FG339"/>
  <c r="FF339"/>
  <c r="FE339"/>
  <c r="FD339"/>
  <c r="FC339"/>
  <c r="FB339"/>
  <c r="FA339"/>
  <c r="EZ339"/>
  <c r="EY339"/>
  <c r="EX339"/>
  <c r="EW339"/>
  <c r="EV339"/>
  <c r="EU339"/>
  <c r="ET339"/>
  <c r="ES339"/>
  <c r="ER339"/>
  <c r="EQ339"/>
  <c r="EP339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FQ338"/>
  <c r="FP338"/>
  <c r="FO338"/>
  <c r="FN338"/>
  <c r="FM338"/>
  <c r="FL338"/>
  <c r="FK338"/>
  <c r="FJ338"/>
  <c r="FI338"/>
  <c r="FH338"/>
  <c r="FG338"/>
  <c r="FF338"/>
  <c r="FE338"/>
  <c r="FD338"/>
  <c r="FC338"/>
  <c r="FB338"/>
  <c r="FA338"/>
  <c r="EZ338"/>
  <c r="EY338"/>
  <c r="EX338"/>
  <c r="EW338"/>
  <c r="EV338"/>
  <c r="EU338"/>
  <c r="ET338"/>
  <c r="ES338"/>
  <c r="ER338"/>
  <c r="EQ338"/>
  <c r="EP338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FQ337"/>
  <c r="FP337"/>
  <c r="FO337"/>
  <c r="FN337"/>
  <c r="FM337"/>
  <c r="FL337"/>
  <c r="FK337"/>
  <c r="FJ337"/>
  <c r="FI337"/>
  <c r="FH337"/>
  <c r="FG337"/>
  <c r="FF337"/>
  <c r="FE337"/>
  <c r="FD337"/>
  <c r="FC337"/>
  <c r="FB337"/>
  <c r="FA337"/>
  <c r="EZ337"/>
  <c r="EY337"/>
  <c r="EX337"/>
  <c r="EW337"/>
  <c r="EV337"/>
  <c r="EU337"/>
  <c r="ET337"/>
  <c r="ES337"/>
  <c r="ER337"/>
  <c r="EQ337"/>
  <c r="EP337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FQ336"/>
  <c r="FP336"/>
  <c r="FO336"/>
  <c r="FN336"/>
  <c r="FM336"/>
  <c r="FL336"/>
  <c r="FK336"/>
  <c r="FJ336"/>
  <c r="FI336"/>
  <c r="FH336"/>
  <c r="FG336"/>
  <c r="FF336"/>
  <c r="FE336"/>
  <c r="FD336"/>
  <c r="FC336"/>
  <c r="FB336"/>
  <c r="FA336"/>
  <c r="EZ336"/>
  <c r="EY336"/>
  <c r="EX336"/>
  <c r="EW336"/>
  <c r="EV336"/>
  <c r="EU336"/>
  <c r="ET336"/>
  <c r="ES336"/>
  <c r="ER336"/>
  <c r="EQ336"/>
  <c r="EP336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FQ335"/>
  <c r="FP335"/>
  <c r="FO335"/>
  <c r="FN335"/>
  <c r="FM335"/>
  <c r="FL335"/>
  <c r="FK335"/>
  <c r="FJ335"/>
  <c r="FI335"/>
  <c r="FH335"/>
  <c r="FG335"/>
  <c r="FF335"/>
  <c r="FE335"/>
  <c r="FD335"/>
  <c r="FC335"/>
  <c r="FB335"/>
  <c r="FA335"/>
  <c r="EZ335"/>
  <c r="EY335"/>
  <c r="EX335"/>
  <c r="EW335"/>
  <c r="EV335"/>
  <c r="EU335"/>
  <c r="ET335"/>
  <c r="ES335"/>
  <c r="ER335"/>
  <c r="EQ335"/>
  <c r="EP335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FQ334"/>
  <c r="FP334"/>
  <c r="FO334"/>
  <c r="FN334"/>
  <c r="FM334"/>
  <c r="FL334"/>
  <c r="FK334"/>
  <c r="FJ334"/>
  <c r="FI334"/>
  <c r="FH334"/>
  <c r="FG334"/>
  <c r="FF334"/>
  <c r="FE334"/>
  <c r="FD334"/>
  <c r="FC334"/>
  <c r="FB334"/>
  <c r="FA334"/>
  <c r="EZ334"/>
  <c r="EY334"/>
  <c r="EX334"/>
  <c r="EW334"/>
  <c r="EV334"/>
  <c r="EU334"/>
  <c r="ET334"/>
  <c r="ES334"/>
  <c r="ER334"/>
  <c r="EQ334"/>
  <c r="EP334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334"/>
  <c r="FQ333"/>
  <c r="FP333"/>
  <c r="FO333"/>
  <c r="FN333"/>
  <c r="FM333"/>
  <c r="FL333"/>
  <c r="FK333"/>
  <c r="FJ333"/>
  <c r="FI333"/>
  <c r="FH333"/>
  <c r="FG333"/>
  <c r="FF333"/>
  <c r="FE333"/>
  <c r="FD333"/>
  <c r="FC333"/>
  <c r="FB333"/>
  <c r="FA333"/>
  <c r="EZ333"/>
  <c r="EY333"/>
  <c r="EX333"/>
  <c r="EW333"/>
  <c r="EV333"/>
  <c r="EU333"/>
  <c r="ET333"/>
  <c r="ES333"/>
  <c r="ER333"/>
  <c r="EQ333"/>
  <c r="EP333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FQ332"/>
  <c r="FP332"/>
  <c r="FO332"/>
  <c r="FN332"/>
  <c r="FM332"/>
  <c r="FL332"/>
  <c r="FK332"/>
  <c r="FJ332"/>
  <c r="FI332"/>
  <c r="FH332"/>
  <c r="FG332"/>
  <c r="FF332"/>
  <c r="FE332"/>
  <c r="FD332"/>
  <c r="FC332"/>
  <c r="FB332"/>
  <c r="FA332"/>
  <c r="EZ332"/>
  <c r="EY332"/>
  <c r="EX332"/>
  <c r="EW332"/>
  <c r="EV332"/>
  <c r="EU332"/>
  <c r="ET332"/>
  <c r="ES332"/>
  <c r="ER332"/>
  <c r="EQ332"/>
  <c r="EP332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FQ331"/>
  <c r="FP331"/>
  <c r="FO331"/>
  <c r="FN331"/>
  <c r="FM331"/>
  <c r="FL331"/>
  <c r="FK331"/>
  <c r="FJ331"/>
  <c r="FI331"/>
  <c r="FH331"/>
  <c r="FG331"/>
  <c r="FF331"/>
  <c r="FE331"/>
  <c r="FD331"/>
  <c r="FC331"/>
  <c r="FB331"/>
  <c r="FA331"/>
  <c r="EZ331"/>
  <c r="EY331"/>
  <c r="EX331"/>
  <c r="EW331"/>
  <c r="EV331"/>
  <c r="EU331"/>
  <c r="ET331"/>
  <c r="ES331"/>
  <c r="ER331"/>
  <c r="EQ331"/>
  <c r="EP331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E291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A252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B251"/>
  <c r="B445" s="1"/>
  <c r="A251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A250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B249"/>
  <c r="A249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248"/>
  <c r="B248"/>
  <c r="A248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B247"/>
  <c r="A247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A245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E236"/>
  <c r="E436" s="1"/>
  <c r="D236"/>
  <c r="D436" s="1"/>
  <c r="C236"/>
  <c r="C436" s="1"/>
  <c r="B236"/>
  <c r="B436" s="1"/>
  <c r="A236"/>
  <c r="A436" s="1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E235"/>
  <c r="E235" i="2" s="1"/>
  <c r="D235" i="3"/>
  <c r="C235"/>
  <c r="B235"/>
  <c r="B435" s="1"/>
  <c r="A235"/>
  <c r="A435" s="1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E234"/>
  <c r="D234"/>
  <c r="D434" s="1"/>
  <c r="C234"/>
  <c r="C434" s="1"/>
  <c r="B234"/>
  <c r="B434" s="1"/>
  <c r="A234"/>
  <c r="A434" s="1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E233"/>
  <c r="E433" s="1"/>
  <c r="D233"/>
  <c r="D433" s="1"/>
  <c r="C233"/>
  <c r="C433" s="1"/>
  <c r="B233"/>
  <c r="B433" s="1"/>
  <c r="A233"/>
  <c r="A433" s="1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E232"/>
  <c r="E432" s="1"/>
  <c r="D232"/>
  <c r="D432" s="1"/>
  <c r="C232"/>
  <c r="C432" s="1"/>
  <c r="B232"/>
  <c r="B432" s="1"/>
  <c r="A232"/>
  <c r="A432" s="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E231"/>
  <c r="E431" s="1"/>
  <c r="D231"/>
  <c r="D231" i="2" s="1"/>
  <c r="C231" i="3"/>
  <c r="C431" s="1"/>
  <c r="B231"/>
  <c r="B431" s="1"/>
  <c r="A231"/>
  <c r="A431" s="1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E230"/>
  <c r="E230" i="2" s="1"/>
  <c r="D230" i="3"/>
  <c r="D430" s="1"/>
  <c r="C230"/>
  <c r="C430" s="1"/>
  <c r="B230"/>
  <c r="B430" s="1"/>
  <c r="A230"/>
  <c r="A430" s="1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E229"/>
  <c r="B229"/>
  <c r="B229" i="2" s="1"/>
  <c r="A229" i="3"/>
  <c r="A229" i="2" s="1"/>
  <c r="FQ228" i="3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E228"/>
  <c r="E429" s="1"/>
  <c r="D228"/>
  <c r="D429" s="1"/>
  <c r="C228"/>
  <c r="C429" s="1"/>
  <c r="B228"/>
  <c r="B429" s="1"/>
  <c r="A228"/>
  <c r="A429" s="1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E227"/>
  <c r="E428" s="1"/>
  <c r="D227"/>
  <c r="D227" i="2" s="1"/>
  <c r="C227" i="3"/>
  <c r="C428" s="1"/>
  <c r="B227"/>
  <c r="B428" s="1"/>
  <c r="A227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E226"/>
  <c r="E427" s="1"/>
  <c r="D226"/>
  <c r="D427" s="1"/>
  <c r="C226"/>
  <c r="C427" s="1"/>
  <c r="B226"/>
  <c r="B427" s="1"/>
  <c r="A226"/>
  <c r="A427" s="1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E225"/>
  <c r="E426" s="1"/>
  <c r="D225"/>
  <c r="D426" s="1"/>
  <c r="C225"/>
  <c r="C426" s="1"/>
  <c r="B225"/>
  <c r="B426" s="1"/>
  <c r="A225"/>
  <c r="A426" s="1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E224"/>
  <c r="E425" s="1"/>
  <c r="D224"/>
  <c r="D425" s="1"/>
  <c r="C224"/>
  <c r="C425" s="1"/>
  <c r="B224"/>
  <c r="B425" s="1"/>
  <c r="A224"/>
  <c r="A425" s="1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E223"/>
  <c r="E424" s="1"/>
  <c r="D223"/>
  <c r="D424" s="1"/>
  <c r="C223"/>
  <c r="C424" s="1"/>
  <c r="B223"/>
  <c r="B424" s="1"/>
  <c r="A223"/>
  <c r="A424" s="1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E222"/>
  <c r="E423" s="1"/>
  <c r="D222"/>
  <c r="D423" s="1"/>
  <c r="C222"/>
  <c r="C423" s="1"/>
  <c r="B222"/>
  <c r="B423" s="1"/>
  <c r="A222"/>
  <c r="A423" s="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E221"/>
  <c r="E422" s="1"/>
  <c r="D221"/>
  <c r="D422" s="1"/>
  <c r="C221"/>
  <c r="C422" s="1"/>
  <c r="B221"/>
  <c r="B422" s="1"/>
  <c r="A221"/>
  <c r="A422" s="1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E220"/>
  <c r="E220" i="2" s="1"/>
  <c r="B220" i="3"/>
  <c r="A220"/>
  <c r="A220" i="2" s="1"/>
  <c r="FQ219" i="3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E219"/>
  <c r="E421" s="1"/>
  <c r="D219"/>
  <c r="D421" s="1"/>
  <c r="C219"/>
  <c r="C421" s="1"/>
  <c r="B219"/>
  <c r="B219" i="2" s="1"/>
  <c r="A219" i="3"/>
  <c r="A421" s="1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E218"/>
  <c r="E420" s="1"/>
  <c r="D218"/>
  <c r="D420" s="1"/>
  <c r="C218"/>
  <c r="C420" s="1"/>
  <c r="B218"/>
  <c r="B420" s="1"/>
  <c r="A218"/>
  <c r="A420" s="1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E217"/>
  <c r="E419" s="1"/>
  <c r="D217"/>
  <c r="D419" s="1"/>
  <c r="C217"/>
  <c r="C419" s="1"/>
  <c r="B217"/>
  <c r="B419" s="1"/>
  <c r="A217"/>
  <c r="A419" s="1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E216"/>
  <c r="E216" i="2" s="1"/>
  <c r="D216" i="3"/>
  <c r="D418" s="1"/>
  <c r="C216"/>
  <c r="C418" s="1"/>
  <c r="B216"/>
  <c r="B418" s="1"/>
  <c r="A216"/>
  <c r="A418" s="1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E215"/>
  <c r="E417" s="1"/>
  <c r="D215"/>
  <c r="D417" s="1"/>
  <c r="C215"/>
  <c r="C417" s="1"/>
  <c r="B215"/>
  <c r="B417" s="1"/>
  <c r="A215"/>
  <c r="A417" s="1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E214"/>
  <c r="E416" s="1"/>
  <c r="D214"/>
  <c r="D416" s="1"/>
  <c r="C214"/>
  <c r="C416" s="1"/>
  <c r="B214"/>
  <c r="B416" s="1"/>
  <c r="A214"/>
  <c r="A416" s="1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E213"/>
  <c r="E415" s="1"/>
  <c r="D213"/>
  <c r="D415" s="1"/>
  <c r="C213"/>
  <c r="C415" s="1"/>
  <c r="B213"/>
  <c r="B415" s="1"/>
  <c r="A213"/>
  <c r="A415" s="1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E212"/>
  <c r="B212"/>
  <c r="A212"/>
  <c r="A212" i="2" s="1"/>
  <c r="FQ211" i="3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E211"/>
  <c r="E414" s="1"/>
  <c r="D211"/>
  <c r="D414" s="1"/>
  <c r="C211"/>
  <c r="C414" s="1"/>
  <c r="B211"/>
  <c r="B414" s="1"/>
  <c r="A211"/>
  <c r="A414" s="1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E210"/>
  <c r="E413" s="1"/>
  <c r="D210"/>
  <c r="D413" s="1"/>
  <c r="C210"/>
  <c r="C413" s="1"/>
  <c r="B210"/>
  <c r="B413" s="1"/>
  <c r="A210"/>
  <c r="A413" s="1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E209"/>
  <c r="E412" s="1"/>
  <c r="D209"/>
  <c r="D412" s="1"/>
  <c r="C209"/>
  <c r="C412" s="1"/>
  <c r="B209"/>
  <c r="B412" s="1"/>
  <c r="A209"/>
  <c r="A412" s="1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E208"/>
  <c r="E411" s="1"/>
  <c r="D208"/>
  <c r="D411" s="1"/>
  <c r="C208"/>
  <c r="C411" s="1"/>
  <c r="B208"/>
  <c r="B411" s="1"/>
  <c r="A208"/>
  <c r="A411" s="1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E207"/>
  <c r="E410" s="1"/>
  <c r="D207"/>
  <c r="D410" s="1"/>
  <c r="C207"/>
  <c r="C410" s="1"/>
  <c r="B207"/>
  <c r="B410" s="1"/>
  <c r="A207"/>
  <c r="A410" s="1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E206"/>
  <c r="E409" s="1"/>
  <c r="D206"/>
  <c r="D409" s="1"/>
  <c r="C206"/>
  <c r="C409" s="1"/>
  <c r="B206"/>
  <c r="B409" s="1"/>
  <c r="A206"/>
  <c r="A409" s="1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E205"/>
  <c r="E408" s="1"/>
  <c r="D205"/>
  <c r="D408" s="1"/>
  <c r="C205"/>
  <c r="C408" s="1"/>
  <c r="B205"/>
  <c r="B408" s="1"/>
  <c r="A205"/>
  <c r="A408" s="1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E204"/>
  <c r="B204"/>
  <c r="A204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E203"/>
  <c r="E407" s="1"/>
  <c r="D203"/>
  <c r="D407" s="1"/>
  <c r="C203"/>
  <c r="C407" s="1"/>
  <c r="B203"/>
  <c r="B407" s="1"/>
  <c r="A203"/>
  <c r="A407" s="1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E202"/>
  <c r="E406" s="1"/>
  <c r="D202"/>
  <c r="D406" s="1"/>
  <c r="C202"/>
  <c r="C406" s="1"/>
  <c r="B202"/>
  <c r="B406" s="1"/>
  <c r="A202"/>
  <c r="A406" s="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E201"/>
  <c r="E405" s="1"/>
  <c r="D201"/>
  <c r="D405" s="1"/>
  <c r="C201"/>
  <c r="C405" s="1"/>
  <c r="B201"/>
  <c r="B405" s="1"/>
  <c r="A201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E200"/>
  <c r="E404" s="1"/>
  <c r="D200"/>
  <c r="D404" s="1"/>
  <c r="C200"/>
  <c r="C404" s="1"/>
  <c r="B200"/>
  <c r="B404" s="1"/>
  <c r="A200"/>
  <c r="A404" s="1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E199"/>
  <c r="E403" s="1"/>
  <c r="D199"/>
  <c r="D403" s="1"/>
  <c r="C199"/>
  <c r="C403" s="1"/>
  <c r="B199"/>
  <c r="B403" s="1"/>
  <c r="A199"/>
  <c r="A403" s="1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E198"/>
  <c r="E402" s="1"/>
  <c r="D198"/>
  <c r="D402" s="1"/>
  <c r="C198"/>
  <c r="C402" s="1"/>
  <c r="B198"/>
  <c r="B402" s="1"/>
  <c r="A198"/>
  <c r="A402" s="1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E197"/>
  <c r="E401" s="1"/>
  <c r="D197"/>
  <c r="D401" s="1"/>
  <c r="C197"/>
  <c r="C401" s="1"/>
  <c r="B197"/>
  <c r="B401" s="1"/>
  <c r="A197"/>
  <c r="A401" s="1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E196"/>
  <c r="E196" i="2" s="1"/>
  <c r="B196" i="3"/>
  <c r="A196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E195"/>
  <c r="D195"/>
  <c r="D400" s="1"/>
  <c r="C195"/>
  <c r="C400" s="1"/>
  <c r="B195"/>
  <c r="B400" s="1"/>
  <c r="A195"/>
  <c r="A400" s="1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E194"/>
  <c r="E399" s="1"/>
  <c r="D194"/>
  <c r="D399" s="1"/>
  <c r="C194"/>
  <c r="C399" s="1"/>
  <c r="B194"/>
  <c r="B399" s="1"/>
  <c r="A194"/>
  <c r="A399" s="1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E193"/>
  <c r="E398" s="1"/>
  <c r="D193"/>
  <c r="D398" s="1"/>
  <c r="C193"/>
  <c r="C398" s="1"/>
  <c r="B193"/>
  <c r="B398" s="1"/>
  <c r="A193"/>
  <c r="A398" s="1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E192"/>
  <c r="E397" s="1"/>
  <c r="D192"/>
  <c r="D397" s="1"/>
  <c r="C192"/>
  <c r="C397" s="1"/>
  <c r="B192"/>
  <c r="B397" s="1"/>
  <c r="A192"/>
  <c r="A397" s="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E191"/>
  <c r="E396" s="1"/>
  <c r="D191"/>
  <c r="D396" s="1"/>
  <c r="C191"/>
  <c r="C396" s="1"/>
  <c r="B191"/>
  <c r="A191"/>
  <c r="A396" s="1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E190"/>
  <c r="E395" s="1"/>
  <c r="D190"/>
  <c r="D395" s="1"/>
  <c r="C190"/>
  <c r="C395" s="1"/>
  <c r="B190"/>
  <c r="B395" s="1"/>
  <c r="A190"/>
  <c r="A395" s="1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E189"/>
  <c r="D189"/>
  <c r="D394" s="1"/>
  <c r="C189"/>
  <c r="C394" s="1"/>
  <c r="B189"/>
  <c r="B394" s="1"/>
  <c r="A189"/>
  <c r="A394" s="1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E188"/>
  <c r="E393" s="1"/>
  <c r="D188"/>
  <c r="D393" s="1"/>
  <c r="C188"/>
  <c r="C393" s="1"/>
  <c r="B188"/>
  <c r="B393" s="1"/>
  <c r="A188"/>
  <c r="A393" s="1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E187"/>
  <c r="B187"/>
  <c r="B187" i="2" s="1"/>
  <c r="A187" i="3"/>
  <c r="A187" i="2" s="1"/>
  <c r="FQ186" i="3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E186"/>
  <c r="E392" s="1"/>
  <c r="D186"/>
  <c r="D392" s="1"/>
  <c r="C186"/>
  <c r="C392" s="1"/>
  <c r="B186"/>
  <c r="B392" s="1"/>
  <c r="A186"/>
  <c r="A392" s="1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E185"/>
  <c r="E391" s="1"/>
  <c r="D185"/>
  <c r="D391" s="1"/>
  <c r="C185"/>
  <c r="C391" s="1"/>
  <c r="B185"/>
  <c r="B391" s="1"/>
  <c r="A185"/>
  <c r="A391" s="1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E184"/>
  <c r="E390" s="1"/>
  <c r="D184"/>
  <c r="D390" s="1"/>
  <c r="C184"/>
  <c r="C390" s="1"/>
  <c r="B184"/>
  <c r="B390" s="1"/>
  <c r="A184"/>
  <c r="A390" s="1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E183"/>
  <c r="E389" s="1"/>
  <c r="D183"/>
  <c r="D389" s="1"/>
  <c r="C183"/>
  <c r="C389" s="1"/>
  <c r="B183"/>
  <c r="B389" s="1"/>
  <c r="A183"/>
  <c r="A389" s="1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E182"/>
  <c r="E388" s="1"/>
  <c r="D182"/>
  <c r="D388" s="1"/>
  <c r="C182"/>
  <c r="C388" s="1"/>
  <c r="B182"/>
  <c r="B388" s="1"/>
  <c r="A182"/>
  <c r="A388" s="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E181"/>
  <c r="E387" s="1"/>
  <c r="D181"/>
  <c r="D387" s="1"/>
  <c r="C181"/>
  <c r="C387" s="1"/>
  <c r="B181"/>
  <c r="B387" s="1"/>
  <c r="A181"/>
  <c r="A387" s="1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E180"/>
  <c r="E386" s="1"/>
  <c r="D180"/>
  <c r="D386" s="1"/>
  <c r="C180"/>
  <c r="C386" s="1"/>
  <c r="B180"/>
  <c r="B386" s="1"/>
  <c r="A180"/>
  <c r="A386" s="1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E179"/>
  <c r="E385" s="1"/>
  <c r="D179"/>
  <c r="D385" s="1"/>
  <c r="C179"/>
  <c r="C385" s="1"/>
  <c r="B179"/>
  <c r="B385" s="1"/>
  <c r="A179"/>
  <c r="A385" s="1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E178"/>
  <c r="B178"/>
  <c r="A178"/>
  <c r="A178" i="2" s="1"/>
  <c r="FQ177" i="3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E177"/>
  <c r="E384" s="1"/>
  <c r="D177"/>
  <c r="D384" s="1"/>
  <c r="C177"/>
  <c r="C384" s="1"/>
  <c r="B177"/>
  <c r="B384" s="1"/>
  <c r="A177"/>
  <c r="A384" s="1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E176"/>
  <c r="E383" s="1"/>
  <c r="D176"/>
  <c r="D383" s="1"/>
  <c r="C176"/>
  <c r="C383" s="1"/>
  <c r="B176"/>
  <c r="B383" s="1"/>
  <c r="A176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E175"/>
  <c r="E382" s="1"/>
  <c r="D175"/>
  <c r="D382" s="1"/>
  <c r="C175"/>
  <c r="C382" s="1"/>
  <c r="B175"/>
  <c r="B382" s="1"/>
  <c r="A175"/>
  <c r="A382" s="1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E174"/>
  <c r="E381" s="1"/>
  <c r="D174"/>
  <c r="D381" s="1"/>
  <c r="C174"/>
  <c r="C381" s="1"/>
  <c r="B174"/>
  <c r="B381" s="1"/>
  <c r="A174"/>
  <c r="A381" s="1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E173"/>
  <c r="E380" s="1"/>
  <c r="D173"/>
  <c r="D380" s="1"/>
  <c r="C173"/>
  <c r="C380" s="1"/>
  <c r="B173"/>
  <c r="B380" s="1"/>
  <c r="A173"/>
  <c r="A380" s="1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E172"/>
  <c r="E379" s="1"/>
  <c r="D172"/>
  <c r="D379" s="1"/>
  <c r="C172"/>
  <c r="C379" s="1"/>
  <c r="B172"/>
  <c r="B379" s="1"/>
  <c r="A172"/>
  <c r="A379" s="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E171"/>
  <c r="E378" s="1"/>
  <c r="D171"/>
  <c r="D378" s="1"/>
  <c r="C171"/>
  <c r="C378" s="1"/>
  <c r="B171"/>
  <c r="B378" s="1"/>
  <c r="A171"/>
  <c r="A378" s="1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E170"/>
  <c r="B170"/>
  <c r="A170"/>
  <c r="A170" i="2" s="1"/>
  <c r="FQ169" i="3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E169"/>
  <c r="E377" s="1"/>
  <c r="D169"/>
  <c r="D377" s="1"/>
  <c r="C169"/>
  <c r="C377" s="1"/>
  <c r="B169"/>
  <c r="B377" s="1"/>
  <c r="A169"/>
  <c r="A377" s="1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E168"/>
  <c r="E376" s="1"/>
  <c r="D168"/>
  <c r="D376" s="1"/>
  <c r="C168"/>
  <c r="C376" s="1"/>
  <c r="B168"/>
  <c r="B376" s="1"/>
  <c r="A168"/>
  <c r="A376" s="1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E167"/>
  <c r="E375" s="1"/>
  <c r="D167"/>
  <c r="D375" s="1"/>
  <c r="C167"/>
  <c r="C375" s="1"/>
  <c r="B167"/>
  <c r="B375" s="1"/>
  <c r="A167"/>
  <c r="A375" s="1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E166"/>
  <c r="E374" s="1"/>
  <c r="D166"/>
  <c r="D374" s="1"/>
  <c r="C166"/>
  <c r="C374" s="1"/>
  <c r="B166"/>
  <c r="B374" s="1"/>
  <c r="A166"/>
  <c r="A374" s="1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E165"/>
  <c r="E373" s="1"/>
  <c r="D165"/>
  <c r="D373" s="1"/>
  <c r="C165"/>
  <c r="C373" s="1"/>
  <c r="B165"/>
  <c r="B373" s="1"/>
  <c r="A165"/>
  <c r="A373" s="1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E164"/>
  <c r="E372" s="1"/>
  <c r="D164"/>
  <c r="D372" s="1"/>
  <c r="C164"/>
  <c r="C372" s="1"/>
  <c r="B164"/>
  <c r="B372" s="1"/>
  <c r="A164"/>
  <c r="A372" s="1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E163"/>
  <c r="E371" s="1"/>
  <c r="D163"/>
  <c r="D371" s="1"/>
  <c r="C163"/>
  <c r="C371" s="1"/>
  <c r="B163"/>
  <c r="B371" s="1"/>
  <c r="A163"/>
  <c r="A371" s="1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E162"/>
  <c r="E370" s="1"/>
  <c r="D162"/>
  <c r="D370" s="1"/>
  <c r="C162"/>
  <c r="C370" s="1"/>
  <c r="B162"/>
  <c r="B370" s="1"/>
  <c r="A162"/>
  <c r="A370" s="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E161"/>
  <c r="B161"/>
  <c r="A161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E160"/>
  <c r="E369" s="1"/>
  <c r="D160"/>
  <c r="D369" s="1"/>
  <c r="C160"/>
  <c r="C369" s="1"/>
  <c r="B160"/>
  <c r="B369" s="1"/>
  <c r="A160"/>
  <c r="A369" s="1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E159"/>
  <c r="E368" s="1"/>
  <c r="D159"/>
  <c r="D368" s="1"/>
  <c r="C159"/>
  <c r="C368" s="1"/>
  <c r="B159"/>
  <c r="B368" s="1"/>
  <c r="A159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E158"/>
  <c r="E367" s="1"/>
  <c r="D158"/>
  <c r="D367" s="1"/>
  <c r="C158"/>
  <c r="C367" s="1"/>
  <c r="B158"/>
  <c r="B367" s="1"/>
  <c r="A158"/>
  <c r="A367" s="1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E157"/>
  <c r="E366" s="1"/>
  <c r="D157"/>
  <c r="D366" s="1"/>
  <c r="C157"/>
  <c r="C366" s="1"/>
  <c r="B157"/>
  <c r="B366" s="1"/>
  <c r="A157"/>
  <c r="A366" s="1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E156"/>
  <c r="E365" s="1"/>
  <c r="D156"/>
  <c r="D365" s="1"/>
  <c r="C156"/>
  <c r="C365" s="1"/>
  <c r="B156"/>
  <c r="B365" s="1"/>
  <c r="A156"/>
  <c r="A365" s="1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E155"/>
  <c r="E364" s="1"/>
  <c r="D155"/>
  <c r="D364" s="1"/>
  <c r="C155"/>
  <c r="C364" s="1"/>
  <c r="B155"/>
  <c r="B364" s="1"/>
  <c r="A155"/>
  <c r="A364" s="1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E154"/>
  <c r="E363" s="1"/>
  <c r="D154"/>
  <c r="D363" s="1"/>
  <c r="C154"/>
  <c r="C363" s="1"/>
  <c r="B154"/>
  <c r="B363" s="1"/>
  <c r="A154"/>
  <c r="A363" s="1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E153"/>
  <c r="E362" s="1"/>
  <c r="D153"/>
  <c r="D362" s="1"/>
  <c r="C153"/>
  <c r="B153"/>
  <c r="B362" s="1"/>
  <c r="A153"/>
  <c r="A362" s="1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E152"/>
  <c r="B152"/>
  <c r="A152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E151"/>
  <c r="E361" s="1"/>
  <c r="D151"/>
  <c r="D361" s="1"/>
  <c r="C151"/>
  <c r="C361" s="1"/>
  <c r="B151"/>
  <c r="B361" s="1"/>
  <c r="A151"/>
  <c r="A361" s="1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E150"/>
  <c r="E360" s="1"/>
  <c r="D150"/>
  <c r="D360" s="1"/>
  <c r="C150"/>
  <c r="C360" s="1"/>
  <c r="B150"/>
  <c r="B360" s="1"/>
  <c r="A150"/>
  <c r="A360" s="1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E149"/>
  <c r="E359" s="1"/>
  <c r="D149"/>
  <c r="D359" s="1"/>
  <c r="C149"/>
  <c r="C359" s="1"/>
  <c r="B149"/>
  <c r="B359" s="1"/>
  <c r="A149"/>
  <c r="A359" s="1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E148"/>
  <c r="E358" s="1"/>
  <c r="D148"/>
  <c r="D358" s="1"/>
  <c r="C148"/>
  <c r="C358" s="1"/>
  <c r="B148"/>
  <c r="B358" s="1"/>
  <c r="A148"/>
  <c r="A358" s="1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E147"/>
  <c r="E357" s="1"/>
  <c r="D147"/>
  <c r="D357" s="1"/>
  <c r="C147"/>
  <c r="C357" s="1"/>
  <c r="B147"/>
  <c r="B357" s="1"/>
  <c r="A147"/>
  <c r="A357" s="1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E146"/>
  <c r="E356" s="1"/>
  <c r="D146"/>
  <c r="D356" s="1"/>
  <c r="C146"/>
  <c r="C356" s="1"/>
  <c r="B146"/>
  <c r="B356" s="1"/>
  <c r="A146"/>
  <c r="A356" s="1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E145"/>
  <c r="E355" s="1"/>
  <c r="D145"/>
  <c r="C145"/>
  <c r="C355" s="1"/>
  <c r="B145"/>
  <c r="B355" s="1"/>
  <c r="A145"/>
  <c r="A355" s="1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E144"/>
  <c r="E354" s="1"/>
  <c r="D144"/>
  <c r="D354" s="1"/>
  <c r="C144"/>
  <c r="C354" s="1"/>
  <c r="B144"/>
  <c r="B354" s="1"/>
  <c r="A144"/>
  <c r="A354" s="1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E143"/>
  <c r="B143"/>
  <c r="A143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E142"/>
  <c r="E353" s="1"/>
  <c r="D142"/>
  <c r="D353" s="1"/>
  <c r="C142"/>
  <c r="B142"/>
  <c r="B353" s="1"/>
  <c r="A142"/>
  <c r="A353" s="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E141"/>
  <c r="E352" s="1"/>
  <c r="D141"/>
  <c r="C141"/>
  <c r="C352" s="1"/>
  <c r="B141"/>
  <c r="B352" s="1"/>
  <c r="A141"/>
  <c r="A352" s="1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E140"/>
  <c r="E351" s="1"/>
  <c r="D140"/>
  <c r="D351" s="1"/>
  <c r="C140"/>
  <c r="C351" s="1"/>
  <c r="B140"/>
  <c r="B351" s="1"/>
  <c r="A140"/>
  <c r="A351" s="1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E139"/>
  <c r="E350" s="1"/>
  <c r="D139"/>
  <c r="D350" s="1"/>
  <c r="C139"/>
  <c r="C350" s="1"/>
  <c r="B139"/>
  <c r="B350" s="1"/>
  <c r="A139"/>
  <c r="A350" s="1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E138"/>
  <c r="E349" s="1"/>
  <c r="D138"/>
  <c r="D349" s="1"/>
  <c r="C138"/>
  <c r="C349" s="1"/>
  <c r="B138"/>
  <c r="B349" s="1"/>
  <c r="A138"/>
  <c r="A349" s="1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E137"/>
  <c r="E348" s="1"/>
  <c r="D137"/>
  <c r="D348" s="1"/>
  <c r="C137"/>
  <c r="C348" s="1"/>
  <c r="B137"/>
  <c r="B348" s="1"/>
  <c r="A137"/>
  <c r="A348" s="1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E136"/>
  <c r="E347" s="1"/>
  <c r="D136"/>
  <c r="C136"/>
  <c r="C347" s="1"/>
  <c r="B136"/>
  <c r="B347" s="1"/>
  <c r="A136"/>
  <c r="A347" s="1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E135"/>
  <c r="B135"/>
  <c r="A135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E134"/>
  <c r="E346" s="1"/>
  <c r="D134"/>
  <c r="D346" s="1"/>
  <c r="C134"/>
  <c r="C346" s="1"/>
  <c r="B134"/>
  <c r="B346" s="1"/>
  <c r="A134"/>
  <c r="A346" s="1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E133"/>
  <c r="E345" s="1"/>
  <c r="D133"/>
  <c r="D345" s="1"/>
  <c r="C133"/>
  <c r="C345" s="1"/>
  <c r="B133"/>
  <c r="B345" s="1"/>
  <c r="A133"/>
  <c r="A345" s="1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E132"/>
  <c r="E344" s="1"/>
  <c r="D132"/>
  <c r="D344" s="1"/>
  <c r="C132"/>
  <c r="C344" s="1"/>
  <c r="B132"/>
  <c r="B344" s="1"/>
  <c r="A132"/>
  <c r="A344" s="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E131"/>
  <c r="E343" s="1"/>
  <c r="D131"/>
  <c r="D343" s="1"/>
  <c r="C131"/>
  <c r="C343" s="1"/>
  <c r="B131"/>
  <c r="B343" s="1"/>
  <c r="A131"/>
  <c r="A343" s="1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E130"/>
  <c r="E342" s="1"/>
  <c r="D130"/>
  <c r="D342" s="1"/>
  <c r="C130"/>
  <c r="C342" s="1"/>
  <c r="B130"/>
  <c r="A130"/>
  <c r="A342" s="1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E129"/>
  <c r="E341" s="1"/>
  <c r="D129"/>
  <c r="C129"/>
  <c r="C341" s="1"/>
  <c r="B129"/>
  <c r="B341" s="1"/>
  <c r="A129"/>
  <c r="A341" s="1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E128"/>
  <c r="E340" s="1"/>
  <c r="D128"/>
  <c r="D340" s="1"/>
  <c r="C128"/>
  <c r="C340" s="1"/>
  <c r="B128"/>
  <c r="B340" s="1"/>
  <c r="A128"/>
  <c r="A340" s="1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E127"/>
  <c r="E339" s="1"/>
  <c r="D127"/>
  <c r="D339" s="1"/>
  <c r="C127"/>
  <c r="C339" s="1"/>
  <c r="B127"/>
  <c r="B339" s="1"/>
  <c r="A127"/>
  <c r="A339" s="1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E126"/>
  <c r="B126"/>
  <c r="A126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E125"/>
  <c r="E338" s="1"/>
  <c r="D125"/>
  <c r="D338" s="1"/>
  <c r="C125"/>
  <c r="C338" s="1"/>
  <c r="B125"/>
  <c r="B338" s="1"/>
  <c r="A125"/>
  <c r="A338" s="1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E124"/>
  <c r="E337" s="1"/>
  <c r="D124"/>
  <c r="D337" s="1"/>
  <c r="C124"/>
  <c r="C337" s="1"/>
  <c r="B124"/>
  <c r="B337" s="1"/>
  <c r="A124"/>
  <c r="A337" s="1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E123"/>
  <c r="E336" s="1"/>
  <c r="D123"/>
  <c r="D336" s="1"/>
  <c r="C123"/>
  <c r="C336" s="1"/>
  <c r="B123"/>
  <c r="B336" s="1"/>
  <c r="A123"/>
  <c r="A336" s="1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E122"/>
  <c r="E335" s="1"/>
  <c r="D122"/>
  <c r="D335" s="1"/>
  <c r="C122"/>
  <c r="C335" s="1"/>
  <c r="B122"/>
  <c r="B335" s="1"/>
  <c r="A122"/>
  <c r="A335" s="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E121"/>
  <c r="E334" s="1"/>
  <c r="D121"/>
  <c r="D334" s="1"/>
  <c r="C121"/>
  <c r="B121"/>
  <c r="B334" s="1"/>
  <c r="A121"/>
  <c r="A334" s="1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E120"/>
  <c r="E333" s="1"/>
  <c r="D120"/>
  <c r="D333" s="1"/>
  <c r="C120"/>
  <c r="C333" s="1"/>
  <c r="B120"/>
  <c r="B333" s="1"/>
  <c r="A120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E119"/>
  <c r="D119"/>
  <c r="D332" s="1"/>
  <c r="C119"/>
  <c r="C332" s="1"/>
  <c r="B119"/>
  <c r="B332" s="1"/>
  <c r="A119"/>
  <c r="A332" s="1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E118"/>
  <c r="B118"/>
  <c r="A118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E117"/>
  <c r="E331" s="1"/>
  <c r="D117"/>
  <c r="D331" s="1"/>
  <c r="C117"/>
  <c r="C331" s="1"/>
  <c r="B117"/>
  <c r="A117"/>
  <c r="A331" s="1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E116"/>
  <c r="E330" s="1"/>
  <c r="D116"/>
  <c r="D330" s="1"/>
  <c r="C116"/>
  <c r="C330" s="1"/>
  <c r="B116"/>
  <c r="B330" s="1"/>
  <c r="A116"/>
  <c r="A330" s="1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E115"/>
  <c r="E329" s="1"/>
  <c r="D115"/>
  <c r="D329" s="1"/>
  <c r="C115"/>
  <c r="C329" s="1"/>
  <c r="B115"/>
  <c r="A115"/>
  <c r="A329" s="1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E114"/>
  <c r="E328" s="1"/>
  <c r="D114"/>
  <c r="D328" s="1"/>
  <c r="C114"/>
  <c r="C328" s="1"/>
  <c r="B114"/>
  <c r="B328" s="1"/>
  <c r="A114"/>
  <c r="A328" s="1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E113"/>
  <c r="E327" s="1"/>
  <c r="D113"/>
  <c r="D327" s="1"/>
  <c r="C113"/>
  <c r="C327" s="1"/>
  <c r="B113"/>
  <c r="B327" s="1"/>
  <c r="A113"/>
  <c r="A327" s="1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E112"/>
  <c r="E326" s="1"/>
  <c r="D112"/>
  <c r="D326" s="1"/>
  <c r="C112"/>
  <c r="C326" s="1"/>
  <c r="B112"/>
  <c r="B326" s="1"/>
  <c r="A112"/>
  <c r="A326" s="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E111"/>
  <c r="E325" s="1"/>
  <c r="D111"/>
  <c r="D325" s="1"/>
  <c r="C111"/>
  <c r="C325" s="1"/>
  <c r="B111"/>
  <c r="A111"/>
  <c r="A325" s="1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E110"/>
  <c r="E324" s="1"/>
  <c r="D110"/>
  <c r="D324" s="1"/>
  <c r="C110"/>
  <c r="C324" s="1"/>
  <c r="B110"/>
  <c r="B324" s="1"/>
  <c r="A110"/>
  <c r="A324" s="1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E109"/>
  <c r="B109"/>
  <c r="A109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E108"/>
  <c r="B108"/>
  <c r="A108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E107"/>
  <c r="B107"/>
  <c r="A107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E106"/>
  <c r="B106"/>
  <c r="A106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E105"/>
  <c r="B105"/>
  <c r="A105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E104"/>
  <c r="B104"/>
  <c r="A104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E103"/>
  <c r="B103"/>
  <c r="A103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E102"/>
  <c r="B102"/>
  <c r="A102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E101"/>
  <c r="B101"/>
  <c r="B101" i="2" s="1"/>
  <c r="A101" i="3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E100"/>
  <c r="B100"/>
  <c r="A100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E99"/>
  <c r="B99"/>
  <c r="A99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E98"/>
  <c r="B98"/>
  <c r="A98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E97"/>
  <c r="B97"/>
  <c r="A97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E96"/>
  <c r="B96"/>
  <c r="A96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E95"/>
  <c r="B95"/>
  <c r="A95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E94"/>
  <c r="B94"/>
  <c r="A94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E93"/>
  <c r="B93"/>
  <c r="A93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E92"/>
  <c r="B92"/>
  <c r="A92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E91"/>
  <c r="B91"/>
  <c r="A91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E90"/>
  <c r="B90"/>
  <c r="A90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E89"/>
  <c r="B89"/>
  <c r="A89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E88"/>
  <c r="B88"/>
  <c r="A88"/>
  <c r="A88" i="2" s="1"/>
  <c r="FQ87" i="3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E87"/>
  <c r="B87"/>
  <c r="A87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E86"/>
  <c r="B86"/>
  <c r="A86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E85"/>
  <c r="B85"/>
  <c r="A85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E84"/>
  <c r="B84"/>
  <c r="A84"/>
  <c r="A84" i="2" s="1"/>
  <c r="FQ83" i="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E83"/>
  <c r="B83"/>
  <c r="A83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E82"/>
  <c r="D82"/>
  <c r="D323" s="1"/>
  <c r="C82"/>
  <c r="C323" s="1"/>
  <c r="B82"/>
  <c r="B323" s="1"/>
  <c r="A82"/>
  <c r="A323" s="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E81"/>
  <c r="E322" s="1"/>
  <c r="D81"/>
  <c r="D322" s="1"/>
  <c r="C81"/>
  <c r="C322" s="1"/>
  <c r="B81"/>
  <c r="B322" s="1"/>
  <c r="A81"/>
  <c r="A322" s="1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E80"/>
  <c r="E321" s="1"/>
  <c r="D80"/>
  <c r="D321" s="1"/>
  <c r="C80"/>
  <c r="C321" s="1"/>
  <c r="B80"/>
  <c r="B321" s="1"/>
  <c r="A80"/>
  <c r="A321" s="1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E79"/>
  <c r="E320" s="1"/>
  <c r="D79"/>
  <c r="D320" s="1"/>
  <c r="C79"/>
  <c r="C320" s="1"/>
  <c r="B79"/>
  <c r="A79"/>
  <c r="A320" s="1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E78"/>
  <c r="E319" s="1"/>
  <c r="D78"/>
  <c r="D319" s="1"/>
  <c r="C78"/>
  <c r="C319" s="1"/>
  <c r="B78"/>
  <c r="B319" s="1"/>
  <c r="A78"/>
  <c r="A319" s="1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E77"/>
  <c r="E318" s="1"/>
  <c r="D77"/>
  <c r="D318" s="1"/>
  <c r="C77"/>
  <c r="C318" s="1"/>
  <c r="B77"/>
  <c r="B318" s="1"/>
  <c r="A77"/>
  <c r="A318" s="1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E76"/>
  <c r="E317" s="1"/>
  <c r="D76"/>
  <c r="D317" s="1"/>
  <c r="C76"/>
  <c r="C317" s="1"/>
  <c r="B76"/>
  <c r="B317" s="1"/>
  <c r="A76"/>
  <c r="A317" s="1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E75"/>
  <c r="B75"/>
  <c r="A75"/>
  <c r="A75" i="2" s="1"/>
  <c r="FQ74" i="3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E74"/>
  <c r="E316" s="1"/>
  <c r="D74"/>
  <c r="D316" s="1"/>
  <c r="C74"/>
  <c r="C316" s="1"/>
  <c r="B74"/>
  <c r="B316" s="1"/>
  <c r="A74"/>
  <c r="A316" s="1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E73"/>
  <c r="E315" s="1"/>
  <c r="D73"/>
  <c r="D315" s="1"/>
  <c r="C73"/>
  <c r="C315" s="1"/>
  <c r="B73"/>
  <c r="B315" s="1"/>
  <c r="A73"/>
  <c r="A315" s="1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E72"/>
  <c r="E314" s="1"/>
  <c r="D72"/>
  <c r="D314" s="1"/>
  <c r="C72"/>
  <c r="B72"/>
  <c r="B314" s="1"/>
  <c r="A72"/>
  <c r="A314" s="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E71"/>
  <c r="E313" s="1"/>
  <c r="D71"/>
  <c r="D313" s="1"/>
  <c r="C71"/>
  <c r="C313" s="1"/>
  <c r="B71"/>
  <c r="B313" s="1"/>
  <c r="A71"/>
  <c r="A313" s="1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E70"/>
  <c r="E312" s="1"/>
  <c r="D70"/>
  <c r="D312" s="1"/>
  <c r="C70"/>
  <c r="C312" s="1"/>
  <c r="B70"/>
  <c r="B312" s="1"/>
  <c r="A70"/>
  <c r="A312" s="1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E69"/>
  <c r="E311" s="1"/>
  <c r="D69"/>
  <c r="D311" s="1"/>
  <c r="C69"/>
  <c r="C311" s="1"/>
  <c r="B69"/>
  <c r="B311" s="1"/>
  <c r="A69"/>
  <c r="A311" s="1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E68"/>
  <c r="D68"/>
  <c r="D310" s="1"/>
  <c r="C68"/>
  <c r="C310" s="1"/>
  <c r="B68"/>
  <c r="B310" s="1"/>
  <c r="A68"/>
  <c r="A310" s="1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E67"/>
  <c r="B67"/>
  <c r="A67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E66"/>
  <c r="E309" s="1"/>
  <c r="D66"/>
  <c r="D309" s="1"/>
  <c r="C66"/>
  <c r="B66"/>
  <c r="B309" s="1"/>
  <c r="A66"/>
  <c r="A309" s="1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E65"/>
  <c r="E308" s="1"/>
  <c r="D65"/>
  <c r="D308" s="1"/>
  <c r="C65"/>
  <c r="B65"/>
  <c r="B308" s="1"/>
  <c r="A65"/>
  <c r="A308" s="1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E64"/>
  <c r="E307" s="1"/>
  <c r="D64"/>
  <c r="D307" s="1"/>
  <c r="C64"/>
  <c r="C307" s="1"/>
  <c r="B64"/>
  <c r="B307" s="1"/>
  <c r="A64"/>
  <c r="A307" s="1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E63"/>
  <c r="E306" s="1"/>
  <c r="D63"/>
  <c r="D306" s="1"/>
  <c r="C63"/>
  <c r="C306" s="1"/>
  <c r="B63"/>
  <c r="B306" s="1"/>
  <c r="A63"/>
  <c r="A306" s="1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E62"/>
  <c r="E305" s="1"/>
  <c r="D62"/>
  <c r="D305" s="1"/>
  <c r="C62"/>
  <c r="C305" s="1"/>
  <c r="B62"/>
  <c r="B305" s="1"/>
  <c r="A62"/>
  <c r="A305" s="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E61"/>
  <c r="E304" s="1"/>
  <c r="D61"/>
  <c r="D304" s="1"/>
  <c r="C61"/>
  <c r="C304" s="1"/>
  <c r="B61"/>
  <c r="B304" s="1"/>
  <c r="A61"/>
  <c r="A304" s="1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E60"/>
  <c r="E303" s="1"/>
  <c r="D60"/>
  <c r="D303" s="1"/>
  <c r="C60"/>
  <c r="C303" s="1"/>
  <c r="B60"/>
  <c r="B303" s="1"/>
  <c r="A60"/>
  <c r="A303" s="1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E59"/>
  <c r="B59"/>
  <c r="B59" i="2" s="1"/>
  <c r="A59" i="3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E58"/>
  <c r="E302" s="1"/>
  <c r="D58"/>
  <c r="D302" s="1"/>
  <c r="C58"/>
  <c r="C302" s="1"/>
  <c r="B58"/>
  <c r="B302" s="1"/>
  <c r="A58"/>
  <c r="A302" s="1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E57"/>
  <c r="E301" s="1"/>
  <c r="D57"/>
  <c r="D301" s="1"/>
  <c r="C57"/>
  <c r="C301" s="1"/>
  <c r="B57"/>
  <c r="A57"/>
  <c r="A301" s="1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E56"/>
  <c r="D56"/>
  <c r="D300" s="1"/>
  <c r="C56"/>
  <c r="C300" s="1"/>
  <c r="B56"/>
  <c r="B300" s="1"/>
  <c r="A56"/>
  <c r="A300" s="1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E55"/>
  <c r="E299" s="1"/>
  <c r="D55"/>
  <c r="D299" s="1"/>
  <c r="C55"/>
  <c r="C299" s="1"/>
  <c r="B55"/>
  <c r="B299" s="1"/>
  <c r="A55"/>
  <c r="A299" s="1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E54"/>
  <c r="E298" s="1"/>
  <c r="D54"/>
  <c r="D298" s="1"/>
  <c r="C54"/>
  <c r="C298" s="1"/>
  <c r="B54"/>
  <c r="B298" s="1"/>
  <c r="A54"/>
  <c r="A298" s="1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E53"/>
  <c r="E297" s="1"/>
  <c r="D53"/>
  <c r="D297" s="1"/>
  <c r="C53"/>
  <c r="C297" s="1"/>
  <c r="B53"/>
  <c r="B297" s="1"/>
  <c r="A53"/>
  <c r="A297" s="1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E52"/>
  <c r="E296" s="1"/>
  <c r="D52"/>
  <c r="D296" s="1"/>
  <c r="C52"/>
  <c r="C296" s="1"/>
  <c r="B52"/>
  <c r="B296" s="1"/>
  <c r="A52"/>
  <c r="A296" s="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E51"/>
  <c r="B51"/>
  <c r="A51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E50"/>
  <c r="D50"/>
  <c r="D295" s="1"/>
  <c r="C50"/>
  <c r="C295" s="1"/>
  <c r="B50"/>
  <c r="B295" s="1"/>
  <c r="A50"/>
  <c r="A295" s="1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E49"/>
  <c r="E294" s="1"/>
  <c r="D49"/>
  <c r="D294" s="1"/>
  <c r="C49"/>
  <c r="C294" s="1"/>
  <c r="B49"/>
  <c r="B294" s="1"/>
  <c r="A49"/>
  <c r="A294" s="1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E48"/>
  <c r="E293" s="1"/>
  <c r="D48"/>
  <c r="C48"/>
  <c r="B48"/>
  <c r="B293" s="1"/>
  <c r="A48"/>
  <c r="A293" s="1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E47"/>
  <c r="E292" s="1"/>
  <c r="D47"/>
  <c r="D292" s="1"/>
  <c r="C47"/>
  <c r="C292" s="1"/>
  <c r="B47"/>
  <c r="B292" s="1"/>
  <c r="A47"/>
  <c r="A292" s="1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E46"/>
  <c r="D46"/>
  <c r="D291" s="1"/>
  <c r="C46"/>
  <c r="C291" s="1"/>
  <c r="B46"/>
  <c r="B291" s="1"/>
  <c r="A46"/>
  <c r="A291" s="1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E45"/>
  <c r="E290" s="1"/>
  <c r="D45"/>
  <c r="D290" s="1"/>
  <c r="C45"/>
  <c r="C290" s="1"/>
  <c r="B45"/>
  <c r="B290" s="1"/>
  <c r="A45"/>
  <c r="A290" s="1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E44"/>
  <c r="E289" s="1"/>
  <c r="D44"/>
  <c r="D289" s="1"/>
  <c r="C44"/>
  <c r="C289" s="1"/>
  <c r="B44"/>
  <c r="B289" s="1"/>
  <c r="A44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E43"/>
  <c r="B43"/>
  <c r="A43"/>
  <c r="A43" i="2" s="1"/>
  <c r="FQ42" i="3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E42"/>
  <c r="E288" s="1"/>
  <c r="D42"/>
  <c r="D288" s="1"/>
  <c r="C42"/>
  <c r="C288" s="1"/>
  <c r="B42"/>
  <c r="B288" s="1"/>
  <c r="A42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E41"/>
  <c r="E287" s="1"/>
  <c r="D41"/>
  <c r="D287" s="1"/>
  <c r="C41"/>
  <c r="C287" s="1"/>
  <c r="B41"/>
  <c r="B287" s="1"/>
  <c r="A41"/>
  <c r="A287" s="1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E40"/>
  <c r="E286" s="1"/>
  <c r="D40"/>
  <c r="D286" s="1"/>
  <c r="C40"/>
  <c r="C286" s="1"/>
  <c r="B40"/>
  <c r="B286" s="1"/>
  <c r="A40"/>
  <c r="A286" s="1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E39"/>
  <c r="E285" s="1"/>
  <c r="D39"/>
  <c r="D285" s="1"/>
  <c r="C39"/>
  <c r="C285" s="1"/>
  <c r="B39"/>
  <c r="B285" s="1"/>
  <c r="A39"/>
  <c r="A285" s="1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E38"/>
  <c r="E284" s="1"/>
  <c r="D38"/>
  <c r="D284" s="1"/>
  <c r="C38"/>
  <c r="C284" s="1"/>
  <c r="B38"/>
  <c r="B284" s="1"/>
  <c r="A38"/>
  <c r="A284" s="1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E37"/>
  <c r="E283" s="1"/>
  <c r="D37"/>
  <c r="D283" s="1"/>
  <c r="C37"/>
  <c r="C283" s="1"/>
  <c r="B37"/>
  <c r="B283" s="1"/>
  <c r="A37"/>
  <c r="A283" s="1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E36"/>
  <c r="E282" s="1"/>
  <c r="D36"/>
  <c r="D282" s="1"/>
  <c r="C36"/>
  <c r="C282" s="1"/>
  <c r="B36"/>
  <c r="B282" s="1"/>
  <c r="A36"/>
  <c r="A282" s="1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E35"/>
  <c r="B35"/>
  <c r="B35" i="2" s="1"/>
  <c r="A35" i="3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E34"/>
  <c r="E281" s="1"/>
  <c r="D34"/>
  <c r="C34"/>
  <c r="C281" s="1"/>
  <c r="B34"/>
  <c r="B281" s="1"/>
  <c r="A34"/>
  <c r="A281" s="1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E33"/>
  <c r="E280" s="1"/>
  <c r="D33"/>
  <c r="D280" s="1"/>
  <c r="C33"/>
  <c r="C280" s="1"/>
  <c r="B33"/>
  <c r="B280" s="1"/>
  <c r="A33"/>
  <c r="A280" s="1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E32"/>
  <c r="E279" s="1"/>
  <c r="D32"/>
  <c r="D279" s="1"/>
  <c r="C32"/>
  <c r="C279" s="1"/>
  <c r="B32"/>
  <c r="B279" s="1"/>
  <c r="A32"/>
  <c r="A279" s="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E31"/>
  <c r="E278" s="1"/>
  <c r="D31"/>
  <c r="D278" s="1"/>
  <c r="C31"/>
  <c r="C278" s="1"/>
  <c r="B31"/>
  <c r="B278" s="1"/>
  <c r="A31"/>
  <c r="A278" s="1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E30"/>
  <c r="E277" s="1"/>
  <c r="D30"/>
  <c r="D277" s="1"/>
  <c r="C30"/>
  <c r="C277" s="1"/>
  <c r="B30"/>
  <c r="B277" s="1"/>
  <c r="A30"/>
  <c r="A277" s="1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E29"/>
  <c r="E276" s="1"/>
  <c r="D29"/>
  <c r="D276" s="1"/>
  <c r="C29"/>
  <c r="C276" s="1"/>
  <c r="B29"/>
  <c r="B276" s="1"/>
  <c r="A29"/>
  <c r="A276" s="1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E28"/>
  <c r="E275" s="1"/>
  <c r="D28"/>
  <c r="D275" s="1"/>
  <c r="C28"/>
  <c r="C275" s="1"/>
  <c r="B28"/>
  <c r="B275" s="1"/>
  <c r="A28"/>
  <c r="A275" s="1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E27"/>
  <c r="B27"/>
  <c r="A27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E26"/>
  <c r="E274" s="1"/>
  <c r="D26"/>
  <c r="D274" s="1"/>
  <c r="C26"/>
  <c r="C274" s="1"/>
  <c r="B26"/>
  <c r="B274" s="1"/>
  <c r="A26"/>
  <c r="A274" s="1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E25"/>
  <c r="E273" s="1"/>
  <c r="D25"/>
  <c r="C25"/>
  <c r="C273" s="1"/>
  <c r="B25"/>
  <c r="B273" s="1"/>
  <c r="A25"/>
  <c r="A273" s="1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E24"/>
  <c r="E272" s="1"/>
  <c r="D24"/>
  <c r="D272" s="1"/>
  <c r="C24"/>
  <c r="C272" s="1"/>
  <c r="B24"/>
  <c r="B272" s="1"/>
  <c r="A24"/>
  <c r="A272" s="1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E23"/>
  <c r="E271" s="1"/>
  <c r="D23"/>
  <c r="D271" s="1"/>
  <c r="C23"/>
  <c r="C271" s="1"/>
  <c r="B23"/>
  <c r="B271" s="1"/>
  <c r="A23"/>
  <c r="A271" s="1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E22"/>
  <c r="E270" s="1"/>
  <c r="D22"/>
  <c r="D270" s="1"/>
  <c r="C22"/>
  <c r="C270" s="1"/>
  <c r="B22"/>
  <c r="B270" s="1"/>
  <c r="A22"/>
  <c r="A270" s="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E21"/>
  <c r="E269" s="1"/>
  <c r="D21"/>
  <c r="D269" s="1"/>
  <c r="C21"/>
  <c r="C269" s="1"/>
  <c r="B21"/>
  <c r="B269" s="1"/>
  <c r="A21"/>
  <c r="A269" s="1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E20"/>
  <c r="E268" s="1"/>
  <c r="D20"/>
  <c r="D268" s="1"/>
  <c r="C20"/>
  <c r="C268" s="1"/>
  <c r="B20"/>
  <c r="B268" s="1"/>
  <c r="A20"/>
  <c r="A268" s="1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E19"/>
  <c r="E19" i="2" s="1"/>
  <c r="B19" i="3"/>
  <c r="B19" i="2" s="1"/>
  <c r="A19" i="3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E18"/>
  <c r="E267" s="1"/>
  <c r="D18"/>
  <c r="D267" s="1"/>
  <c r="C18"/>
  <c r="B18"/>
  <c r="B267" s="1"/>
  <c r="A18"/>
  <c r="A267" s="1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E17"/>
  <c r="E266" s="1"/>
  <c r="D17"/>
  <c r="C17"/>
  <c r="C266" s="1"/>
  <c r="B17"/>
  <c r="A17"/>
  <c r="A266" s="1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E16"/>
  <c r="D16"/>
  <c r="D265" s="1"/>
  <c r="C16"/>
  <c r="C265" s="1"/>
  <c r="B16"/>
  <c r="B265" s="1"/>
  <c r="A16"/>
  <c r="A265" s="1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E15"/>
  <c r="D15"/>
  <c r="C15"/>
  <c r="C264" s="1"/>
  <c r="B15"/>
  <c r="B264" s="1"/>
  <c r="A15"/>
  <c r="A264" s="1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E14"/>
  <c r="E263" s="1"/>
  <c r="D14"/>
  <c r="D263" s="1"/>
  <c r="C14"/>
  <c r="C263" s="1"/>
  <c r="B14"/>
  <c r="B263" s="1"/>
  <c r="A14"/>
  <c r="A263" s="1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E13"/>
  <c r="E262" s="1"/>
  <c r="D13"/>
  <c r="D262" s="1"/>
  <c r="C13"/>
  <c r="C262" s="1"/>
  <c r="B13"/>
  <c r="B262" s="1"/>
  <c r="A13"/>
  <c r="A262" s="1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E12"/>
  <c r="E261" s="1"/>
  <c r="D12"/>
  <c r="D261" s="1"/>
  <c r="C12"/>
  <c r="B12"/>
  <c r="B261" s="1"/>
  <c r="A12"/>
  <c r="A261" s="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E11"/>
  <c r="B11"/>
  <c r="A11"/>
  <c r="A11" i="2" s="1"/>
  <c r="FQ10" i="3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E10"/>
  <c r="E260" s="1"/>
  <c r="D10"/>
  <c r="D260" s="1"/>
  <c r="C10"/>
  <c r="C260" s="1"/>
  <c r="B10"/>
  <c r="B260" s="1"/>
  <c r="A10"/>
  <c r="A260" s="1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E9"/>
  <c r="E259" s="1"/>
  <c r="D9"/>
  <c r="D259" s="1"/>
  <c r="C9"/>
  <c r="B9"/>
  <c r="B259" s="1"/>
  <c r="A9"/>
  <c r="A259" s="1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E8"/>
  <c r="E258" s="1"/>
  <c r="D8"/>
  <c r="D258" s="1"/>
  <c r="C8"/>
  <c r="C258" s="1"/>
  <c r="B8"/>
  <c r="B258" s="1"/>
  <c r="A8"/>
  <c r="A258" s="1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E7"/>
  <c r="E257" s="1"/>
  <c r="D7"/>
  <c r="D257" s="1"/>
  <c r="C7"/>
  <c r="C257" s="1"/>
  <c r="B7"/>
  <c r="B257" s="1"/>
  <c r="A7"/>
  <c r="A257" s="1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E6"/>
  <c r="E256" s="1"/>
  <c r="D6"/>
  <c r="D256" s="1"/>
  <c r="C6"/>
  <c r="C256" s="1"/>
  <c r="B6"/>
  <c r="B256" s="1"/>
  <c r="A6"/>
  <c r="A256" s="1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E5"/>
  <c r="E255" s="1"/>
  <c r="D5"/>
  <c r="D255" s="1"/>
  <c r="C5"/>
  <c r="C255" s="1"/>
  <c r="B5"/>
  <c r="B255" s="1"/>
  <c r="A5"/>
  <c r="A255" s="1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E4"/>
  <c r="E254" s="1"/>
  <c r="D4"/>
  <c r="D254" s="1"/>
  <c r="C4"/>
  <c r="C254" s="1"/>
  <c r="B4"/>
  <c r="B254" s="1"/>
  <c r="A4"/>
  <c r="A254" s="1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E3"/>
  <c r="B3"/>
  <c r="A3"/>
  <c r="E2"/>
  <c r="D2"/>
  <c r="D2" i="2" s="1"/>
  <c r="C2" i="3"/>
  <c r="B2"/>
  <c r="B2" i="2" s="1"/>
  <c r="A2" i="3"/>
  <c r="D236" i="2"/>
  <c r="C236"/>
  <c r="B236"/>
  <c r="A236"/>
  <c r="D235"/>
  <c r="C235"/>
  <c r="B235"/>
  <c r="A235"/>
  <c r="E234"/>
  <c r="D234"/>
  <c r="C234"/>
  <c r="B234"/>
  <c r="E233"/>
  <c r="D233"/>
  <c r="C233"/>
  <c r="A233"/>
  <c r="E232"/>
  <c r="D232"/>
  <c r="B232"/>
  <c r="E231"/>
  <c r="C231"/>
  <c r="D230"/>
  <c r="B230"/>
  <c r="A230"/>
  <c r="E229"/>
  <c r="D229"/>
  <c r="C229"/>
  <c r="D228"/>
  <c r="B228"/>
  <c r="A228"/>
  <c r="E227"/>
  <c r="B227"/>
  <c r="A227"/>
  <c r="D226"/>
  <c r="C226"/>
  <c r="B226"/>
  <c r="A226"/>
  <c r="D225"/>
  <c r="C225"/>
  <c r="B225"/>
  <c r="A225"/>
  <c r="E224"/>
  <c r="D224"/>
  <c r="C224"/>
  <c r="B224"/>
  <c r="E223"/>
  <c r="D223"/>
  <c r="C223"/>
  <c r="A223"/>
  <c r="E222"/>
  <c r="D222"/>
  <c r="B222"/>
  <c r="E221"/>
  <c r="C221"/>
  <c r="D220"/>
  <c r="C220"/>
  <c r="B220"/>
  <c r="E219"/>
  <c r="C219"/>
  <c r="A219"/>
  <c r="D218"/>
  <c r="A218"/>
  <c r="E217"/>
  <c r="C217"/>
  <c r="B217"/>
  <c r="A217"/>
  <c r="C216"/>
  <c r="B216"/>
  <c r="A216"/>
  <c r="E215"/>
  <c r="D215"/>
  <c r="C215"/>
  <c r="B215"/>
  <c r="A215"/>
  <c r="E214"/>
  <c r="D214"/>
  <c r="C214"/>
  <c r="B214"/>
  <c r="E213"/>
  <c r="D213"/>
  <c r="C213"/>
  <c r="A213"/>
  <c r="E212"/>
  <c r="D212"/>
  <c r="C212"/>
  <c r="B212"/>
  <c r="E211"/>
  <c r="D211"/>
  <c r="C211"/>
  <c r="A211"/>
  <c r="E210"/>
  <c r="D210"/>
  <c r="B210"/>
  <c r="E209"/>
  <c r="C209"/>
  <c r="A209"/>
  <c r="D208"/>
  <c r="A208"/>
  <c r="E207"/>
  <c r="C207"/>
  <c r="B207"/>
  <c r="A207"/>
  <c r="C206"/>
  <c r="B206"/>
  <c r="A206"/>
  <c r="E205"/>
  <c r="D205"/>
  <c r="C205"/>
  <c r="B205"/>
  <c r="A205"/>
  <c r="E204"/>
  <c r="D204"/>
  <c r="C204"/>
  <c r="B204"/>
  <c r="A204"/>
  <c r="D203"/>
  <c r="C203"/>
  <c r="B203"/>
  <c r="A203"/>
  <c r="E202"/>
  <c r="D202"/>
  <c r="C202"/>
  <c r="B202"/>
  <c r="E201"/>
  <c r="D201"/>
  <c r="C201"/>
  <c r="A201"/>
  <c r="E200"/>
  <c r="D200"/>
  <c r="B200"/>
  <c r="E199"/>
  <c r="C199"/>
  <c r="D198"/>
  <c r="B198"/>
  <c r="A198"/>
  <c r="E197"/>
  <c r="B197"/>
  <c r="A197"/>
  <c r="D196"/>
  <c r="C196"/>
  <c r="B196"/>
  <c r="A196"/>
  <c r="B195"/>
  <c r="A195"/>
  <c r="E194"/>
  <c r="C194"/>
  <c r="B194"/>
  <c r="A194"/>
  <c r="D193"/>
  <c r="C193"/>
  <c r="B193"/>
  <c r="A193"/>
  <c r="E192"/>
  <c r="D192"/>
  <c r="C192"/>
  <c r="B192"/>
  <c r="E191"/>
  <c r="D191"/>
  <c r="C191"/>
  <c r="B191"/>
  <c r="A191"/>
  <c r="E190"/>
  <c r="D190"/>
  <c r="B190"/>
  <c r="A190"/>
  <c r="E189"/>
  <c r="D189"/>
  <c r="C189"/>
  <c r="D188"/>
  <c r="C188"/>
  <c r="A188"/>
  <c r="E187"/>
  <c r="D187"/>
  <c r="C187"/>
  <c r="E186"/>
  <c r="D186"/>
  <c r="C186"/>
  <c r="B186"/>
  <c r="A186"/>
  <c r="E185"/>
  <c r="B185"/>
  <c r="A185"/>
  <c r="E184"/>
  <c r="D184"/>
  <c r="C184"/>
  <c r="B184"/>
  <c r="A184"/>
  <c r="D183"/>
  <c r="C183"/>
  <c r="B183"/>
  <c r="A183"/>
  <c r="E182"/>
  <c r="D182"/>
  <c r="C182"/>
  <c r="B182"/>
  <c r="A182"/>
  <c r="E181"/>
  <c r="D181"/>
  <c r="C181"/>
  <c r="A181"/>
  <c r="E180"/>
  <c r="D180"/>
  <c r="C180"/>
  <c r="B180"/>
  <c r="A180"/>
  <c r="E179"/>
  <c r="C179"/>
  <c r="E178"/>
  <c r="D178"/>
  <c r="C178"/>
  <c r="B178"/>
  <c r="E177"/>
  <c r="C177"/>
  <c r="B177"/>
  <c r="E176"/>
  <c r="D176"/>
  <c r="A176"/>
  <c r="E175"/>
  <c r="D175"/>
  <c r="B175"/>
  <c r="A175"/>
  <c r="C174"/>
  <c r="B174"/>
  <c r="A174"/>
  <c r="D173"/>
  <c r="C173"/>
  <c r="B173"/>
  <c r="A173"/>
  <c r="E172"/>
  <c r="D172"/>
  <c r="C172"/>
  <c r="B172"/>
  <c r="A172"/>
  <c r="E171"/>
  <c r="D171"/>
  <c r="C171"/>
  <c r="A171"/>
  <c r="E170"/>
  <c r="D170"/>
  <c r="C170"/>
  <c r="B170"/>
  <c r="E169"/>
  <c r="D169"/>
  <c r="C169"/>
  <c r="B169"/>
  <c r="A169"/>
  <c r="E168"/>
  <c r="D168"/>
  <c r="B168"/>
  <c r="E167"/>
  <c r="D167"/>
  <c r="C167"/>
  <c r="B167"/>
  <c r="A167"/>
  <c r="D166"/>
  <c r="A166"/>
  <c r="E165"/>
  <c r="D165"/>
  <c r="C165"/>
  <c r="B165"/>
  <c r="A165"/>
  <c r="C164"/>
  <c r="B164"/>
  <c r="A164"/>
  <c r="E163"/>
  <c r="D163"/>
  <c r="C163"/>
  <c r="B163"/>
  <c r="A163"/>
  <c r="E162"/>
  <c r="D162"/>
  <c r="C162"/>
  <c r="B162"/>
  <c r="E161"/>
  <c r="D161"/>
  <c r="C161"/>
  <c r="B161"/>
  <c r="A161"/>
  <c r="E160"/>
  <c r="D160"/>
  <c r="C160"/>
  <c r="B160"/>
  <c r="E159"/>
  <c r="D159"/>
  <c r="C159"/>
  <c r="B159"/>
  <c r="A159"/>
  <c r="E158"/>
  <c r="D158"/>
  <c r="B158"/>
  <c r="A158"/>
  <c r="E157"/>
  <c r="D157"/>
  <c r="C157"/>
  <c r="D156"/>
  <c r="C156"/>
  <c r="A156"/>
  <c r="E155"/>
  <c r="B155"/>
  <c r="A155"/>
  <c r="E154"/>
  <c r="C154"/>
  <c r="B154"/>
  <c r="A154"/>
  <c r="D153"/>
  <c r="B153"/>
  <c r="A153"/>
  <c r="E152"/>
  <c r="D152"/>
  <c r="C152"/>
  <c r="B152"/>
  <c r="A152"/>
  <c r="D151"/>
  <c r="C151"/>
  <c r="B151"/>
  <c r="A151"/>
  <c r="E150"/>
  <c r="D150"/>
  <c r="C150"/>
  <c r="B150"/>
  <c r="E149"/>
  <c r="D149"/>
  <c r="C149"/>
  <c r="A149"/>
  <c r="E148"/>
  <c r="D148"/>
  <c r="B148"/>
  <c r="E147"/>
  <c r="C147"/>
  <c r="D146"/>
  <c r="B146"/>
  <c r="A146"/>
  <c r="E145"/>
  <c r="B145"/>
  <c r="A145"/>
  <c r="E144"/>
  <c r="D144"/>
  <c r="C144"/>
  <c r="B144"/>
  <c r="A144"/>
  <c r="E143"/>
  <c r="D143"/>
  <c r="C143"/>
  <c r="B143"/>
  <c r="A143"/>
  <c r="E142"/>
  <c r="D142"/>
  <c r="B142"/>
  <c r="A142"/>
  <c r="E141"/>
  <c r="C141"/>
  <c r="B141"/>
  <c r="A141"/>
  <c r="E140"/>
  <c r="D140"/>
  <c r="C140"/>
  <c r="B140"/>
  <c r="A140"/>
  <c r="E139"/>
  <c r="D139"/>
  <c r="C139"/>
  <c r="B139"/>
  <c r="A139"/>
  <c r="E138"/>
  <c r="D138"/>
  <c r="C138"/>
  <c r="B138"/>
  <c r="A138"/>
  <c r="E137"/>
  <c r="D137"/>
  <c r="C137"/>
  <c r="B137"/>
  <c r="A137"/>
  <c r="E136"/>
  <c r="D136"/>
  <c r="C136"/>
  <c r="B136"/>
  <c r="A136"/>
  <c r="E135"/>
  <c r="D135"/>
  <c r="C135"/>
  <c r="B135"/>
  <c r="A135"/>
  <c r="E134"/>
  <c r="D134"/>
  <c r="C134"/>
  <c r="B134"/>
  <c r="A134"/>
  <c r="E133"/>
  <c r="D133"/>
  <c r="C133"/>
  <c r="B133"/>
  <c r="A133"/>
  <c r="E132"/>
  <c r="D132"/>
  <c r="C132"/>
  <c r="B132"/>
  <c r="A132"/>
  <c r="E131"/>
  <c r="D131"/>
  <c r="C131"/>
  <c r="B131"/>
  <c r="A131"/>
  <c r="E130"/>
  <c r="D130"/>
  <c r="C130"/>
  <c r="A130"/>
  <c r="E129"/>
  <c r="C129"/>
  <c r="B129"/>
  <c r="A129"/>
  <c r="E128"/>
  <c r="D128"/>
  <c r="C128"/>
  <c r="B128"/>
  <c r="A128"/>
  <c r="E127"/>
  <c r="D127"/>
  <c r="C127"/>
  <c r="B127"/>
  <c r="A127"/>
  <c r="E126"/>
  <c r="D126"/>
  <c r="C126"/>
  <c r="B126"/>
  <c r="A126"/>
  <c r="E125"/>
  <c r="D125"/>
  <c r="C125"/>
  <c r="B125"/>
  <c r="A125"/>
  <c r="E124"/>
  <c r="D124"/>
  <c r="C124"/>
  <c r="B124"/>
  <c r="A124"/>
  <c r="E123"/>
  <c r="D123"/>
  <c r="C123"/>
  <c r="B123"/>
  <c r="A123"/>
  <c r="E122"/>
  <c r="D122"/>
  <c r="C122"/>
  <c r="B122"/>
  <c r="A122"/>
  <c r="E121"/>
  <c r="D121"/>
  <c r="C121"/>
  <c r="B121"/>
  <c r="A121"/>
  <c r="E120"/>
  <c r="D120"/>
  <c r="C120"/>
  <c r="B120"/>
  <c r="D119"/>
  <c r="C119"/>
  <c r="B119"/>
  <c r="A119"/>
  <c r="E118"/>
  <c r="D118"/>
  <c r="C118"/>
  <c r="B118"/>
  <c r="A118"/>
  <c r="E117"/>
  <c r="D117"/>
  <c r="C117"/>
  <c r="A117"/>
  <c r="E116"/>
  <c r="D116"/>
  <c r="C116"/>
  <c r="B116"/>
  <c r="A116"/>
  <c r="E115"/>
  <c r="D115"/>
  <c r="C115"/>
  <c r="A115"/>
  <c r="E114"/>
  <c r="D114"/>
  <c r="C114"/>
  <c r="B114"/>
  <c r="A114"/>
  <c r="E113"/>
  <c r="D113"/>
  <c r="C113"/>
  <c r="B113"/>
  <c r="A113"/>
  <c r="E112"/>
  <c r="D112"/>
  <c r="C112"/>
  <c r="B112"/>
  <c r="A112"/>
  <c r="E111"/>
  <c r="D111"/>
  <c r="C111"/>
  <c r="A111"/>
  <c r="E110"/>
  <c r="D110"/>
  <c r="C110"/>
  <c r="B110"/>
  <c r="A110"/>
  <c r="E109"/>
  <c r="D109"/>
  <c r="C109"/>
  <c r="B109"/>
  <c r="A109"/>
  <c r="E108"/>
  <c r="D108"/>
  <c r="C108"/>
  <c r="B108"/>
  <c r="A108"/>
  <c r="E107"/>
  <c r="D107"/>
  <c r="C107"/>
  <c r="B107"/>
  <c r="A107"/>
  <c r="E106"/>
  <c r="D106"/>
  <c r="C106"/>
  <c r="B106"/>
  <c r="A106"/>
  <c r="E105"/>
  <c r="D105"/>
  <c r="C105"/>
  <c r="B105"/>
  <c r="A105"/>
  <c r="E104"/>
  <c r="D104"/>
  <c r="C104"/>
  <c r="B104"/>
  <c r="A104"/>
  <c r="E103"/>
  <c r="D103"/>
  <c r="C103"/>
  <c r="B103"/>
  <c r="A103"/>
  <c r="E102"/>
  <c r="D102"/>
  <c r="C102"/>
  <c r="B102"/>
  <c r="A102"/>
  <c r="E101"/>
  <c r="D101"/>
  <c r="C101"/>
  <c r="A101"/>
  <c r="E100"/>
  <c r="D100"/>
  <c r="C100"/>
  <c r="B100"/>
  <c r="A100"/>
  <c r="E99"/>
  <c r="D99"/>
  <c r="C99"/>
  <c r="B99"/>
  <c r="A99"/>
  <c r="E98"/>
  <c r="D98"/>
  <c r="C98"/>
  <c r="B98"/>
  <c r="A98"/>
  <c r="E97"/>
  <c r="D97"/>
  <c r="C97"/>
  <c r="B97"/>
  <c r="A97"/>
  <c r="E96"/>
  <c r="D96"/>
  <c r="C96"/>
  <c r="B96"/>
  <c r="A96"/>
  <c r="E95"/>
  <c r="D95"/>
  <c r="C95"/>
  <c r="B95"/>
  <c r="A95"/>
  <c r="E94"/>
  <c r="D94"/>
  <c r="C94"/>
  <c r="B94"/>
  <c r="A94"/>
  <c r="E93"/>
  <c r="D93"/>
  <c r="C93"/>
  <c r="B93"/>
  <c r="A93"/>
  <c r="E92"/>
  <c r="D92"/>
  <c r="C92"/>
  <c r="B92"/>
  <c r="A92"/>
  <c r="E91"/>
  <c r="D91"/>
  <c r="C91"/>
  <c r="B91"/>
  <c r="A91"/>
  <c r="E90"/>
  <c r="D90"/>
  <c r="C90"/>
  <c r="B90"/>
  <c r="A90"/>
  <c r="E89"/>
  <c r="D89"/>
  <c r="C89"/>
  <c r="B89"/>
  <c r="A89"/>
  <c r="E88"/>
  <c r="D88"/>
  <c r="C88"/>
  <c r="B88"/>
  <c r="E87"/>
  <c r="D87"/>
  <c r="C87"/>
  <c r="B87"/>
  <c r="A87"/>
  <c r="E86"/>
  <c r="D86"/>
  <c r="C86"/>
  <c r="B86"/>
  <c r="A86"/>
  <c r="E85"/>
  <c r="D85"/>
  <c r="C85"/>
  <c r="B85"/>
  <c r="A85"/>
  <c r="E84"/>
  <c r="D84"/>
  <c r="C84"/>
  <c r="B84"/>
  <c r="E83"/>
  <c r="D83"/>
  <c r="C83"/>
  <c r="B83"/>
  <c r="A83"/>
  <c r="D82"/>
  <c r="C82"/>
  <c r="B82"/>
  <c r="A82"/>
  <c r="E81"/>
  <c r="D81"/>
  <c r="C81"/>
  <c r="B81"/>
  <c r="A81"/>
  <c r="E80"/>
  <c r="D80"/>
  <c r="C80"/>
  <c r="B80"/>
  <c r="A80"/>
  <c r="E79"/>
  <c r="D79"/>
  <c r="C79"/>
  <c r="A79"/>
  <c r="E78"/>
  <c r="D78"/>
  <c r="C78"/>
  <c r="B78"/>
  <c r="A78"/>
  <c r="E77"/>
  <c r="D77"/>
  <c r="C77"/>
  <c r="B77"/>
  <c r="A77"/>
  <c r="E76"/>
  <c r="D76"/>
  <c r="C76"/>
  <c r="B76"/>
  <c r="A76"/>
  <c r="E75"/>
  <c r="D75"/>
  <c r="C75"/>
  <c r="B75"/>
  <c r="E74"/>
  <c r="D74"/>
  <c r="C74"/>
  <c r="B74"/>
  <c r="A74"/>
  <c r="E73"/>
  <c r="D73"/>
  <c r="C73"/>
  <c r="B73"/>
  <c r="A73"/>
  <c r="E72"/>
  <c r="D72"/>
  <c r="B72"/>
  <c r="A72"/>
  <c r="E71"/>
  <c r="D71"/>
  <c r="C71"/>
  <c r="B71"/>
  <c r="A71"/>
  <c r="E70"/>
  <c r="D70"/>
  <c r="C70"/>
  <c r="B70"/>
  <c r="A70"/>
  <c r="E69"/>
  <c r="D69"/>
  <c r="C69"/>
  <c r="B69"/>
  <c r="A69"/>
  <c r="D68"/>
  <c r="C68"/>
  <c r="B68"/>
  <c r="A68"/>
  <c r="E67"/>
  <c r="D67"/>
  <c r="C67"/>
  <c r="B67"/>
  <c r="A67"/>
  <c r="E66"/>
  <c r="D66"/>
  <c r="B66"/>
  <c r="A66"/>
  <c r="E65"/>
  <c r="D65"/>
  <c r="A65"/>
  <c r="E64"/>
  <c r="D64"/>
  <c r="C64"/>
  <c r="B64"/>
  <c r="A64"/>
  <c r="E63"/>
  <c r="D63"/>
  <c r="C63"/>
  <c r="B63"/>
  <c r="A63"/>
  <c r="E62"/>
  <c r="D62"/>
  <c r="C62"/>
  <c r="B62"/>
  <c r="A62"/>
  <c r="E61"/>
  <c r="D61"/>
  <c r="C61"/>
  <c r="B61"/>
  <c r="A61"/>
  <c r="E60"/>
  <c r="D60"/>
  <c r="C60"/>
  <c r="B60"/>
  <c r="A60"/>
  <c r="E59"/>
  <c r="D59"/>
  <c r="C59"/>
  <c r="A59"/>
  <c r="E58"/>
  <c r="D58"/>
  <c r="C58"/>
  <c r="B58"/>
  <c r="A58"/>
  <c r="E57"/>
  <c r="D57"/>
  <c r="C57"/>
  <c r="A57"/>
  <c r="D56"/>
  <c r="C56"/>
  <c r="B56"/>
  <c r="A56"/>
  <c r="E55"/>
  <c r="D55"/>
  <c r="C55"/>
  <c r="B55"/>
  <c r="A55"/>
  <c r="E54"/>
  <c r="D54"/>
  <c r="C54"/>
  <c r="B54"/>
  <c r="A54"/>
  <c r="E53"/>
  <c r="D53"/>
  <c r="C53"/>
  <c r="B53"/>
  <c r="A53"/>
  <c r="E52"/>
  <c r="D52"/>
  <c r="C52"/>
  <c r="B52"/>
  <c r="A52"/>
  <c r="E51"/>
  <c r="D51"/>
  <c r="C51"/>
  <c r="B51"/>
  <c r="A51"/>
  <c r="D50"/>
  <c r="C50"/>
  <c r="B50"/>
  <c r="A50"/>
  <c r="E49"/>
  <c r="D49"/>
  <c r="C49"/>
  <c r="B49"/>
  <c r="A49"/>
  <c r="E48"/>
  <c r="B48"/>
  <c r="A48"/>
  <c r="E47"/>
  <c r="D47"/>
  <c r="C47"/>
  <c r="B47"/>
  <c r="A47"/>
  <c r="E46"/>
  <c r="D46"/>
  <c r="C46"/>
  <c r="B46"/>
  <c r="A46"/>
  <c r="E45"/>
  <c r="D45"/>
  <c r="C45"/>
  <c r="B45"/>
  <c r="A45"/>
  <c r="E44"/>
  <c r="D44"/>
  <c r="C44"/>
  <c r="B44"/>
  <c r="E43"/>
  <c r="D43"/>
  <c r="C43"/>
  <c r="B43"/>
  <c r="E42"/>
  <c r="D42"/>
  <c r="C42"/>
  <c r="B42"/>
  <c r="E41"/>
  <c r="D41"/>
  <c r="C41"/>
  <c r="B41"/>
  <c r="A41"/>
  <c r="E40"/>
  <c r="D40"/>
  <c r="C40"/>
  <c r="B40"/>
  <c r="A40"/>
  <c r="E39"/>
  <c r="D39"/>
  <c r="C39"/>
  <c r="B39"/>
  <c r="A39"/>
  <c r="E38"/>
  <c r="D38"/>
  <c r="C38"/>
  <c r="B38"/>
  <c r="A38"/>
  <c r="E37"/>
  <c r="C37"/>
  <c r="B37"/>
  <c r="A37"/>
  <c r="E36"/>
  <c r="D36"/>
  <c r="C36"/>
  <c r="B36"/>
  <c r="A36"/>
  <c r="E35"/>
  <c r="D35"/>
  <c r="C35"/>
  <c r="A35"/>
  <c r="E34"/>
  <c r="C34"/>
  <c r="B34"/>
  <c r="A34"/>
  <c r="E33"/>
  <c r="D33"/>
  <c r="C33"/>
  <c r="B33"/>
  <c r="A33"/>
  <c r="E32"/>
  <c r="D32"/>
  <c r="C32"/>
  <c r="B32"/>
  <c r="A32"/>
  <c r="E31"/>
  <c r="D31"/>
  <c r="B31"/>
  <c r="A31"/>
  <c r="E30"/>
  <c r="D30"/>
  <c r="C30"/>
  <c r="B30"/>
  <c r="A30"/>
  <c r="E29"/>
  <c r="D29"/>
  <c r="C29"/>
  <c r="B29"/>
  <c r="A29"/>
  <c r="E28"/>
  <c r="D28"/>
  <c r="C28"/>
  <c r="B28"/>
  <c r="A28"/>
  <c r="E27"/>
  <c r="D27"/>
  <c r="C27"/>
  <c r="B27"/>
  <c r="A27"/>
  <c r="E26"/>
  <c r="D26"/>
  <c r="C26"/>
  <c r="A26"/>
  <c r="E25"/>
  <c r="C25"/>
  <c r="B25"/>
  <c r="A25"/>
  <c r="E24"/>
  <c r="C24"/>
  <c r="B24"/>
  <c r="A24"/>
  <c r="E23"/>
  <c r="D23"/>
  <c r="C23"/>
  <c r="B23"/>
  <c r="A23"/>
  <c r="E22"/>
  <c r="D22"/>
  <c r="C22"/>
  <c r="B22"/>
  <c r="A22"/>
  <c r="E21"/>
  <c r="D21"/>
  <c r="C21"/>
  <c r="B21"/>
  <c r="A21"/>
  <c r="E20"/>
  <c r="D20"/>
  <c r="C20"/>
  <c r="B20"/>
  <c r="A20"/>
  <c r="D19"/>
  <c r="C19"/>
  <c r="A19"/>
  <c r="E18"/>
  <c r="D18"/>
  <c r="B18"/>
  <c r="A18"/>
  <c r="E17"/>
  <c r="C17"/>
  <c r="A17"/>
  <c r="D16"/>
  <c r="C16"/>
  <c r="B16"/>
  <c r="A16"/>
  <c r="C15"/>
  <c r="B15"/>
  <c r="A15"/>
  <c r="E14"/>
  <c r="D14"/>
  <c r="C14"/>
  <c r="B14"/>
  <c r="A14"/>
  <c r="E13"/>
  <c r="D13"/>
  <c r="C13"/>
  <c r="B13"/>
  <c r="A13"/>
  <c r="E12"/>
  <c r="D12"/>
  <c r="B12"/>
  <c r="A12"/>
  <c r="E11"/>
  <c r="D11"/>
  <c r="C11"/>
  <c r="B11"/>
  <c r="E10"/>
  <c r="D10"/>
  <c r="C10"/>
  <c r="B10"/>
  <c r="A10"/>
  <c r="E9"/>
  <c r="D9"/>
  <c r="B9"/>
  <c r="A9"/>
  <c r="E8"/>
  <c r="D8"/>
  <c r="C8"/>
  <c r="B8"/>
  <c r="A8"/>
  <c r="E7"/>
  <c r="D7"/>
  <c r="C7"/>
  <c r="B7"/>
  <c r="A7"/>
  <c r="E6"/>
  <c r="D6"/>
  <c r="C6"/>
  <c r="B6"/>
  <c r="A6"/>
  <c r="E5"/>
  <c r="D5"/>
  <c r="C5"/>
  <c r="B5"/>
  <c r="A5"/>
  <c r="E4"/>
  <c r="D4"/>
  <c r="C4"/>
  <c r="B4"/>
  <c r="A4"/>
  <c r="E3"/>
  <c r="D3"/>
  <c r="C3"/>
  <c r="B3"/>
  <c r="A3"/>
  <c r="E2"/>
  <c r="C2"/>
  <c r="A2"/>
  <c r="A246" i="3"/>
  <c r="B421" l="1"/>
  <c r="E208" i="2"/>
  <c r="C218"/>
  <c r="C195"/>
  <c r="A210"/>
  <c r="A147"/>
  <c r="E156"/>
  <c r="A160"/>
  <c r="C166"/>
  <c r="A168"/>
  <c r="B171"/>
  <c r="C190"/>
  <c r="D206"/>
  <c r="B208"/>
  <c r="A221"/>
  <c r="C227"/>
  <c r="E146"/>
  <c r="C148"/>
  <c r="A150"/>
  <c r="D164"/>
  <c r="B166"/>
  <c r="A179"/>
  <c r="E183"/>
  <c r="C185"/>
  <c r="C198"/>
  <c r="A200"/>
  <c r="D209"/>
  <c r="B211"/>
  <c r="D217"/>
  <c r="C222"/>
  <c r="A224"/>
  <c r="E228"/>
  <c r="C230"/>
  <c r="A232"/>
  <c r="E236"/>
  <c r="E418" i="3"/>
  <c r="E430"/>
  <c r="C146" i="2"/>
  <c r="A148"/>
  <c r="D154"/>
  <c r="B156"/>
  <c r="E173"/>
  <c r="C175"/>
  <c r="A177"/>
  <c r="B188"/>
  <c r="D194"/>
  <c r="D199"/>
  <c r="B201"/>
  <c r="D207"/>
  <c r="B209"/>
  <c r="A214"/>
  <c r="E218"/>
  <c r="A222"/>
  <c r="E226"/>
  <c r="C228"/>
  <c r="B233"/>
  <c r="D428" i="3"/>
  <c r="E435"/>
  <c r="D147" i="2"/>
  <c r="D197"/>
  <c r="C210"/>
  <c r="B231"/>
  <c r="D155"/>
  <c r="B157"/>
  <c r="A162"/>
  <c r="E166"/>
  <c r="C168"/>
  <c r="E174"/>
  <c r="C176"/>
  <c r="D179"/>
  <c r="B181"/>
  <c r="B189"/>
  <c r="D195"/>
  <c r="C197"/>
  <c r="A199"/>
  <c r="E203"/>
  <c r="D216"/>
  <c r="B218"/>
  <c r="A231"/>
  <c r="B149"/>
  <c r="B199"/>
  <c r="B223"/>
  <c r="C155"/>
  <c r="D174"/>
  <c r="A189"/>
  <c r="E193"/>
  <c r="C200"/>
  <c r="C208"/>
  <c r="A234"/>
  <c r="D221"/>
  <c r="C145"/>
  <c r="B147"/>
  <c r="E153"/>
  <c r="A157"/>
  <c r="B176"/>
  <c r="E198"/>
  <c r="A202"/>
  <c r="E206"/>
  <c r="B213"/>
  <c r="D219"/>
  <c r="B221"/>
  <c r="C232"/>
  <c r="E151"/>
  <c r="C158"/>
  <c r="E164"/>
  <c r="D177"/>
  <c r="B179"/>
  <c r="D185"/>
  <c r="E188"/>
  <c r="A192"/>
  <c r="E225"/>
  <c r="C267" i="3"/>
  <c r="C18" i="2"/>
  <c r="E295" i="3"/>
  <c r="E50" i="2"/>
  <c r="C259" i="3"/>
  <c r="C9" i="2"/>
  <c r="A288" i="3"/>
  <c r="A42" i="2"/>
  <c r="C261" i="3"/>
  <c r="C12" i="2"/>
  <c r="E323" i="3"/>
  <c r="E82" i="2"/>
  <c r="B266" i="3"/>
  <c r="B17" i="2"/>
  <c r="C314" i="3"/>
  <c r="C72" i="2"/>
  <c r="E332" i="3"/>
  <c r="E119" i="2"/>
  <c r="A289" i="3"/>
  <c r="A44" i="2"/>
  <c r="A333" i="3"/>
  <c r="A120" i="2"/>
  <c r="D355" i="3"/>
  <c r="D145" i="2"/>
  <c r="D281" i="3"/>
  <c r="D34" i="2"/>
  <c r="E300" i="3"/>
  <c r="E56" i="2"/>
  <c r="E400" i="3"/>
  <c r="E195" i="2"/>
  <c r="C308" i="3"/>
  <c r="C65" i="2"/>
  <c r="D37"/>
  <c r="C31"/>
  <c r="D273" i="3"/>
  <c r="D25" i="2"/>
  <c r="B342" i="3"/>
  <c r="B130" i="2"/>
  <c r="E264" i="3"/>
  <c r="E15" i="2"/>
  <c r="D293" i="3"/>
  <c r="D48" i="2"/>
  <c r="C309" i="3"/>
  <c r="C66" i="2"/>
  <c r="B331" i="3"/>
  <c r="B117" i="2"/>
  <c r="D264" i="3"/>
  <c r="D15" i="2"/>
  <c r="E265" i="3"/>
  <c r="E16" i="2"/>
  <c r="D266" i="3"/>
  <c r="D17" i="2"/>
  <c r="C293" i="3"/>
  <c r="C48" i="2"/>
  <c r="B301" i="3"/>
  <c r="B57" i="2"/>
  <c r="E310" i="3"/>
  <c r="E68" i="2"/>
  <c r="C362" i="3"/>
  <c r="C153" i="2"/>
  <c r="D24"/>
  <c r="B26"/>
  <c r="D352" i="3"/>
  <c r="D141" i="2"/>
  <c r="B65"/>
  <c r="B329" i="3"/>
  <c r="B115" i="2"/>
  <c r="B320" i="3"/>
  <c r="B79" i="2"/>
  <c r="D341" i="3"/>
  <c r="D129" i="2"/>
  <c r="B325" i="3"/>
  <c r="B111" i="2"/>
  <c r="C353" i="3"/>
  <c r="C142" i="2"/>
  <c r="C250" i="3"/>
  <c r="B250"/>
  <c r="F344"/>
  <c r="F254"/>
  <c r="F328"/>
  <c r="F288"/>
  <c r="F360"/>
  <c r="F331"/>
  <c r="F418"/>
  <c r="F400"/>
  <c r="F316"/>
  <c r="F380"/>
  <c r="F276"/>
  <c r="F340"/>
  <c r="F404"/>
  <c r="F416"/>
  <c r="F405"/>
  <c r="F373"/>
  <c r="F341"/>
  <c r="F309"/>
  <c r="F277"/>
  <c r="F291"/>
  <c r="F430"/>
  <c r="F263"/>
  <c r="F320"/>
  <c r="F379"/>
  <c r="F384"/>
  <c r="F415"/>
  <c r="F428"/>
  <c r="F353"/>
  <c r="F257"/>
  <c r="F315"/>
  <c r="F402"/>
  <c r="F383"/>
  <c r="F412"/>
  <c r="F432"/>
  <c r="F357"/>
  <c r="F261"/>
  <c r="F407"/>
  <c r="F359"/>
  <c r="F334"/>
  <c r="F358"/>
  <c r="F393"/>
  <c r="F297"/>
  <c r="F264"/>
  <c r="F280"/>
  <c r="F354"/>
  <c r="F396"/>
  <c r="F426"/>
  <c r="F365"/>
  <c r="F269"/>
  <c r="F298"/>
  <c r="F318"/>
  <c r="F342"/>
  <c r="F401"/>
  <c r="F305"/>
  <c r="F435"/>
  <c r="F267"/>
  <c r="F431"/>
  <c r="F376"/>
  <c r="F362"/>
  <c r="F352"/>
  <c r="F423"/>
  <c r="F311"/>
  <c r="F255"/>
  <c r="F386"/>
  <c r="F256"/>
  <c r="F303"/>
  <c r="F422"/>
  <c r="F427"/>
  <c r="C459"/>
  <c r="F271"/>
  <c r="F295"/>
  <c r="F272"/>
  <c r="F283"/>
  <c r="F330"/>
  <c r="F338"/>
  <c r="C451"/>
  <c r="C449"/>
  <c r="C453"/>
  <c r="C457"/>
  <c r="C461"/>
  <c r="F314"/>
  <c r="F335"/>
  <c r="F299"/>
  <c r="F367"/>
  <c r="F319"/>
  <c r="F411"/>
  <c r="F395"/>
  <c r="F302"/>
  <c r="F366"/>
  <c r="F262"/>
  <c r="F326"/>
  <c r="F390"/>
  <c r="F420"/>
  <c r="F409"/>
  <c r="F377"/>
  <c r="F345"/>
  <c r="F313"/>
  <c r="F281"/>
  <c r="F275"/>
  <c r="F403"/>
  <c r="F327"/>
  <c r="F391"/>
  <c r="F350"/>
  <c r="F310"/>
  <c r="F417"/>
  <c r="F321"/>
  <c r="F371"/>
  <c r="F370"/>
  <c r="F296"/>
  <c r="F284"/>
  <c r="F372"/>
  <c r="F389"/>
  <c r="F293"/>
  <c r="F304"/>
  <c r="F375"/>
  <c r="F274"/>
  <c r="F270"/>
  <c r="F294"/>
  <c r="F425"/>
  <c r="F329"/>
  <c r="F339"/>
  <c r="F414"/>
  <c r="F279"/>
  <c r="F332"/>
  <c r="F292"/>
  <c r="F429"/>
  <c r="F333"/>
  <c r="F419"/>
  <c r="F266"/>
  <c r="F343"/>
  <c r="F434"/>
  <c r="F278"/>
  <c r="F433"/>
  <c r="F337"/>
  <c r="F307"/>
  <c r="F282"/>
  <c r="F351"/>
  <c r="F336"/>
  <c r="F322"/>
  <c r="F368"/>
  <c r="F312"/>
  <c r="F399"/>
  <c r="F392"/>
  <c r="F300"/>
  <c r="F364"/>
  <c r="F260"/>
  <c r="F324"/>
  <c r="F388"/>
  <c r="F424"/>
  <c r="F413"/>
  <c r="F381"/>
  <c r="F349"/>
  <c r="F317"/>
  <c r="F285"/>
  <c r="F259"/>
  <c r="F387"/>
  <c r="F347"/>
  <c r="F306"/>
  <c r="F286"/>
  <c r="F374"/>
  <c r="F385"/>
  <c r="F289"/>
  <c r="F258"/>
  <c r="F346"/>
  <c r="F378"/>
  <c r="F348"/>
  <c r="F308"/>
  <c r="F421"/>
  <c r="F325"/>
  <c r="F355"/>
  <c r="F408"/>
  <c r="F363"/>
  <c r="F398"/>
  <c r="F436"/>
  <c r="F361"/>
  <c r="F265"/>
  <c r="F394"/>
  <c r="F410"/>
  <c r="F268"/>
  <c r="F356"/>
  <c r="F397"/>
  <c r="F301"/>
  <c r="F323"/>
  <c r="F287"/>
  <c r="F290"/>
  <c r="F382"/>
  <c r="F406"/>
  <c r="F369"/>
  <c r="F273"/>
  <c r="B461" l="1"/>
  <c r="B457"/>
  <c r="B453"/>
  <c r="B449"/>
  <c r="B451"/>
  <c r="B459"/>
  <c r="CH455" l="1"/>
  <c r="CH456" s="1"/>
  <c r="BZ455"/>
  <c r="BZ456" s="1"/>
  <c r="BR455"/>
  <c r="BR456" s="1"/>
  <c r="BJ455"/>
  <c r="BJ456" s="1"/>
  <c r="BB455"/>
  <c r="BB456" s="1"/>
  <c r="AT455"/>
  <c r="AT456" s="1"/>
  <c r="AL455"/>
  <c r="AL456" s="1"/>
  <c r="AD455"/>
  <c r="AD456" s="1"/>
  <c r="V455"/>
  <c r="V456" s="1"/>
  <c r="N455"/>
  <c r="N456" s="1"/>
  <c r="F455"/>
  <c r="F456" s="1"/>
  <c r="CA455"/>
  <c r="CA456" s="1"/>
  <c r="BS455"/>
  <c r="BS456" s="1"/>
  <c r="BK455"/>
  <c r="BK456" s="1"/>
  <c r="BC455"/>
  <c r="BC456" s="1"/>
  <c r="AU455"/>
  <c r="AU456" s="1"/>
  <c r="AM455"/>
  <c r="AM456" s="1"/>
  <c r="AE455"/>
  <c r="AE456" s="1"/>
  <c r="W455"/>
  <c r="W456" s="1"/>
  <c r="O455"/>
  <c r="O456" s="1"/>
  <c r="G455"/>
  <c r="G456" s="1"/>
  <c r="CC455"/>
  <c r="CC456" s="1"/>
  <c r="BU455"/>
  <c r="BU456" s="1"/>
  <c r="BM455"/>
  <c r="BM456" s="1"/>
  <c r="BE455"/>
  <c r="BE456" s="1"/>
  <c r="AW455"/>
  <c r="AW456" s="1"/>
  <c r="AO455"/>
  <c r="AO456" s="1"/>
  <c r="AG455"/>
  <c r="AG456" s="1"/>
  <c r="Y455"/>
  <c r="Y456" s="1"/>
  <c r="Q455"/>
  <c r="Q456" s="1"/>
  <c r="I455"/>
  <c r="I456" s="1"/>
  <c r="CD455"/>
  <c r="CD456" s="1"/>
  <c r="BP455"/>
  <c r="BP456" s="1"/>
  <c r="BD455"/>
  <c r="BD456" s="1"/>
  <c r="AQ455"/>
  <c r="AQ456" s="1"/>
  <c r="AC455"/>
  <c r="AC456" s="1"/>
  <c r="R455"/>
  <c r="R456" s="1"/>
  <c r="D455"/>
  <c r="D456" s="1"/>
  <c r="CE455"/>
  <c r="CE456" s="1"/>
  <c r="BQ455"/>
  <c r="BQ456" s="1"/>
  <c r="BF455"/>
  <c r="BF456" s="1"/>
  <c r="AR455"/>
  <c r="AR456" s="1"/>
  <c r="AF455"/>
  <c r="AF456" s="1"/>
  <c r="S455"/>
  <c r="S456" s="1"/>
  <c r="E455"/>
  <c r="E456" s="1"/>
  <c r="BX455"/>
  <c r="BX456" s="1"/>
  <c r="BL455"/>
  <c r="BL456" s="1"/>
  <c r="AY455"/>
  <c r="AY456" s="1"/>
  <c r="AK455"/>
  <c r="AK456" s="1"/>
  <c r="Z455"/>
  <c r="Z456" s="1"/>
  <c r="L455"/>
  <c r="L456" s="1"/>
  <c r="CG455"/>
  <c r="CG456" s="1"/>
  <c r="BN455"/>
  <c r="BN456" s="1"/>
  <c r="AS455"/>
  <c r="AS456" s="1"/>
  <c r="X455"/>
  <c r="X456" s="1"/>
  <c r="C455"/>
  <c r="C456" s="1"/>
  <c r="BO455"/>
  <c r="BO456" s="1"/>
  <c r="AV455"/>
  <c r="AV456" s="1"/>
  <c r="AA455"/>
  <c r="AA456" s="1"/>
  <c r="H455"/>
  <c r="H456" s="1"/>
  <c r="BT455"/>
  <c r="BT456" s="1"/>
  <c r="AX455"/>
  <c r="AX456" s="1"/>
  <c r="AB455"/>
  <c r="AB456" s="1"/>
  <c r="J455"/>
  <c r="J456" s="1"/>
  <c r="BV455"/>
  <c r="BV456" s="1"/>
  <c r="AJ455"/>
  <c r="AJ456" s="1"/>
  <c r="B455"/>
  <c r="B456" s="1"/>
  <c r="BY455"/>
  <c r="BY456" s="1"/>
  <c r="AP455"/>
  <c r="AP456" s="1"/>
  <c r="M455"/>
  <c r="M456" s="1"/>
  <c r="CF455"/>
  <c r="CF456" s="1"/>
  <c r="BA455"/>
  <c r="BA456" s="1"/>
  <c r="T455"/>
  <c r="T456" s="1"/>
  <c r="BH455"/>
  <c r="BH456" s="1"/>
  <c r="K455"/>
  <c r="K456" s="1"/>
  <c r="BW455"/>
  <c r="BW456" s="1"/>
  <c r="U455"/>
  <c r="U456" s="1"/>
  <c r="AI455"/>
  <c r="AI456" s="1"/>
  <c r="BG455"/>
  <c r="BG456" s="1"/>
  <c r="AH455"/>
  <c r="AH456" s="1"/>
  <c r="AZ455"/>
  <c r="AZ456" s="1"/>
  <c r="CB455"/>
  <c r="CB456" s="1"/>
  <c r="AN455"/>
  <c r="AN456" s="1"/>
  <c r="P455"/>
  <c r="P456" s="1"/>
  <c r="BI455"/>
  <c r="BI456" s="1"/>
  <c r="CH463"/>
  <c r="CH464" s="1"/>
  <c r="BZ463"/>
  <c r="BZ464" s="1"/>
  <c r="BR463"/>
  <c r="BR464" s="1"/>
  <c r="BJ463"/>
  <c r="BJ464" s="1"/>
  <c r="BB463"/>
  <c r="BB464" s="1"/>
  <c r="AT463"/>
  <c r="AT464" s="1"/>
  <c r="AL463"/>
  <c r="AL464" s="1"/>
  <c r="AD463"/>
  <c r="AD464" s="1"/>
  <c r="V463"/>
  <c r="V464" s="1"/>
  <c r="N463"/>
  <c r="N464" s="1"/>
  <c r="F463"/>
  <c r="F464" s="1"/>
  <c r="CA463"/>
  <c r="CA464" s="1"/>
  <c r="BS463"/>
  <c r="BS464" s="1"/>
  <c r="BK463"/>
  <c r="BK464" s="1"/>
  <c r="BC463"/>
  <c r="BC464" s="1"/>
  <c r="AU463"/>
  <c r="AU464" s="1"/>
  <c r="AM463"/>
  <c r="AM464" s="1"/>
  <c r="AE463"/>
  <c r="AE464" s="1"/>
  <c r="W463"/>
  <c r="W464" s="1"/>
  <c r="O463"/>
  <c r="O464" s="1"/>
  <c r="G463"/>
  <c r="G464" s="1"/>
  <c r="CC463"/>
  <c r="CC464" s="1"/>
  <c r="BU463"/>
  <c r="BU464" s="1"/>
  <c r="BM463"/>
  <c r="BM464" s="1"/>
  <c r="BE463"/>
  <c r="BE464" s="1"/>
  <c r="AW463"/>
  <c r="AW464" s="1"/>
  <c r="AO463"/>
  <c r="AO464" s="1"/>
  <c r="AG463"/>
  <c r="AG464" s="1"/>
  <c r="Y463"/>
  <c r="Y464" s="1"/>
  <c r="Q463"/>
  <c r="Q464" s="1"/>
  <c r="I463"/>
  <c r="I464" s="1"/>
  <c r="CG463"/>
  <c r="CG464" s="1"/>
  <c r="BV463"/>
  <c r="BV464" s="1"/>
  <c r="BH463"/>
  <c r="BH464" s="1"/>
  <c r="AV463"/>
  <c r="AV464" s="1"/>
  <c r="AI463"/>
  <c r="AI464" s="1"/>
  <c r="U463"/>
  <c r="U464" s="1"/>
  <c r="J463"/>
  <c r="J464" s="1"/>
  <c r="BW463"/>
  <c r="BW464" s="1"/>
  <c r="BI463"/>
  <c r="BI464" s="1"/>
  <c r="AX463"/>
  <c r="AX464" s="1"/>
  <c r="AJ463"/>
  <c r="AJ464" s="1"/>
  <c r="X463"/>
  <c r="X464" s="1"/>
  <c r="K463"/>
  <c r="K464" s="1"/>
  <c r="CD463"/>
  <c r="CD464" s="1"/>
  <c r="BP463"/>
  <c r="BP464" s="1"/>
  <c r="BD463"/>
  <c r="BD464" s="1"/>
  <c r="AQ463"/>
  <c r="AQ464" s="1"/>
  <c r="AC463"/>
  <c r="AC464" s="1"/>
  <c r="R463"/>
  <c r="R464" s="1"/>
  <c r="D463"/>
  <c r="D464" s="1"/>
  <c r="BX463"/>
  <c r="BX464" s="1"/>
  <c r="BA463"/>
  <c r="BA464" s="1"/>
  <c r="AH463"/>
  <c r="AH464" s="1"/>
  <c r="M463"/>
  <c r="M464" s="1"/>
  <c r="BY463"/>
  <c r="BY464" s="1"/>
  <c r="BF463"/>
  <c r="BF464" s="1"/>
  <c r="AK463"/>
  <c r="AK464" s="1"/>
  <c r="P463"/>
  <c r="P464" s="1"/>
  <c r="CB463"/>
  <c r="CB464" s="1"/>
  <c r="BG463"/>
  <c r="BG464" s="1"/>
  <c r="AN463"/>
  <c r="AN464" s="1"/>
  <c r="S463"/>
  <c r="S464" s="1"/>
  <c r="CF463"/>
  <c r="CF464" s="1"/>
  <c r="AY463"/>
  <c r="AY464" s="1"/>
  <c r="T463"/>
  <c r="T464" s="1"/>
  <c r="BL463"/>
  <c r="BL464" s="1"/>
  <c r="AA463"/>
  <c r="AA464" s="1"/>
  <c r="BO463"/>
  <c r="BO464" s="1"/>
  <c r="AF463"/>
  <c r="AF464" s="1"/>
  <c r="C463"/>
  <c r="C464" s="1"/>
  <c r="AP463"/>
  <c r="AP464" s="1"/>
  <c r="AS463"/>
  <c r="AS464" s="1"/>
  <c r="B463"/>
  <c r="B464" s="1"/>
  <c r="BN463"/>
  <c r="BN464" s="1"/>
  <c r="CE463"/>
  <c r="CE464" s="1"/>
  <c r="L463"/>
  <c r="L464" s="1"/>
  <c r="AB463"/>
  <c r="AB464" s="1"/>
  <c r="AZ463"/>
  <c r="AZ464" s="1"/>
  <c r="BT463"/>
  <c r="BT464" s="1"/>
  <c r="BQ463"/>
  <c r="BQ464" s="1"/>
  <c r="E463"/>
  <c r="E464" s="1"/>
  <c r="Z463"/>
  <c r="Z464" s="1"/>
  <c r="AR463"/>
  <c r="AR464" s="1"/>
  <c r="H463"/>
  <c r="H464" s="1"/>
  <c r="BC2" l="1"/>
  <c r="BC2" i="2" s="1"/>
  <c r="EI2" i="3"/>
  <c r="EN2"/>
  <c r="BH2"/>
  <c r="BH2" i="2" s="1"/>
  <c r="FK2" i="3"/>
  <c r="CE2"/>
  <c r="CE2" i="2" s="1"/>
  <c r="EQ2" i="3"/>
  <c r="BK2"/>
  <c r="BK2" i="2" s="1"/>
  <c r="DS2" i="3"/>
  <c r="AM2"/>
  <c r="AM2" i="2" s="1"/>
  <c r="AY2" i="3"/>
  <c r="AY2" i="2" s="1"/>
  <c r="EE2" i="3"/>
  <c r="AC2"/>
  <c r="AC2" i="2" s="1"/>
  <c r="DI2" i="3"/>
  <c r="AU2"/>
  <c r="AU2" i="2" s="1"/>
  <c r="EA2" i="3"/>
  <c r="BG2"/>
  <c r="BG2" i="2" s="1"/>
  <c r="EM2" i="3"/>
  <c r="EF2"/>
  <c r="AZ2"/>
  <c r="AZ2" i="2" s="1"/>
  <c r="AH2" i="3"/>
  <c r="AH2" i="2" s="1"/>
  <c r="DN2" i="3"/>
  <c r="CW2"/>
  <c r="Q2"/>
  <c r="Q2" i="2" s="1"/>
  <c r="FI2" i="3"/>
  <c r="CC2"/>
  <c r="CC2" i="2" s="1"/>
  <c r="DW2" i="3"/>
  <c r="AQ2"/>
  <c r="AQ2" i="2" s="1"/>
  <c r="CT2" i="3"/>
  <c r="N2"/>
  <c r="N2" i="2" s="1"/>
  <c r="AD2" i="3"/>
  <c r="AD2" i="2" s="1"/>
  <c r="DJ2" i="3"/>
  <c r="O2"/>
  <c r="O2" i="2" s="1"/>
  <c r="CU2" i="3"/>
  <c r="DO2"/>
  <c r="AI2"/>
  <c r="AI2" i="2" s="1"/>
  <c r="DZ2" i="3"/>
  <c r="AT2"/>
  <c r="AT2" i="2" s="1"/>
  <c r="DX2" i="3"/>
  <c r="AR2"/>
  <c r="AR2" i="2" s="1"/>
  <c r="DF2" i="3"/>
  <c r="Z2"/>
  <c r="Z2" i="2" s="1"/>
  <c r="CO2" i="3"/>
  <c r="I2"/>
  <c r="I2" i="2" s="1"/>
  <c r="FA2" i="3"/>
  <c r="BU2"/>
  <c r="BU2" i="2" s="1"/>
  <c r="B252" i="3"/>
  <c r="BR2"/>
  <c r="BR2" i="2" s="1"/>
  <c r="EX2" i="3"/>
  <c r="EY2"/>
  <c r="BS2"/>
  <c r="BS2" i="2" s="1"/>
  <c r="FQ2" i="3"/>
  <c r="CK2"/>
  <c r="CK2" i="2" s="1"/>
  <c r="S2" i="3"/>
  <c r="S2" i="2" s="1"/>
  <c r="CY2" i="3"/>
  <c r="CQ2"/>
  <c r="K2"/>
  <c r="K2" i="2" s="1"/>
  <c r="AF2" i="3"/>
  <c r="AF2" i="2" s="1"/>
  <c r="DL2" i="3"/>
  <c r="ES2"/>
  <c r="BM2"/>
  <c r="BM2" i="2" s="1"/>
  <c r="X2" i="3"/>
  <c r="X2" i="2" s="1"/>
  <c r="DD2" i="3"/>
  <c r="BQ2"/>
  <c r="BQ2" i="2" s="1"/>
  <c r="EW2" i="3"/>
  <c r="BV2"/>
  <c r="BV2" i="2" s="1"/>
  <c r="FB2" i="3"/>
  <c r="AL2"/>
  <c r="AL2" i="2" s="1"/>
  <c r="DR2" i="3"/>
  <c r="P2"/>
  <c r="P2" i="2" s="1"/>
  <c r="CV2" i="3"/>
  <c r="BA2"/>
  <c r="BA2" i="2" s="1"/>
  <c r="EG2" i="3"/>
  <c r="AV2"/>
  <c r="AV2" i="2" s="1"/>
  <c r="EB2" i="3"/>
  <c r="CA2"/>
  <c r="CA2" i="2" s="1"/>
  <c r="FG2" i="3"/>
  <c r="CM2"/>
  <c r="G2"/>
  <c r="G2" i="2" s="1"/>
  <c r="CZ2" i="3"/>
  <c r="T2"/>
  <c r="T2" i="2" s="1"/>
  <c r="FL2" i="3"/>
  <c r="CF2"/>
  <c r="CF2" i="2" s="1"/>
  <c r="BN2" i="3"/>
  <c r="BN2" i="2" s="1"/>
  <c r="ET2" i="3"/>
  <c r="EC2"/>
  <c r="AW2"/>
  <c r="AW2" i="2" s="1"/>
  <c r="BY2" i="3"/>
  <c r="BY2" i="2" s="1"/>
  <c r="FE2" i="3"/>
  <c r="BI2"/>
  <c r="BI2" i="2" s="1"/>
  <c r="EO2" i="3"/>
  <c r="DE2"/>
  <c r="Y2"/>
  <c r="Y2" i="2" s="1"/>
  <c r="CB2" i="3"/>
  <c r="CB2" i="2" s="1"/>
  <c r="FH2" i="3"/>
  <c r="DB2"/>
  <c r="V2"/>
  <c r="V2" i="2" s="1"/>
  <c r="CX2" i="3"/>
  <c r="R2"/>
  <c r="R2" i="2" s="1"/>
  <c r="AS2" i="3"/>
  <c r="AS2" i="2" s="1"/>
  <c r="DY2" i="3"/>
  <c r="DH2"/>
  <c r="AB2"/>
  <c r="AB2" i="2" s="1"/>
  <c r="EK2" i="3"/>
  <c r="BE2"/>
  <c r="BE2" i="2" s="1"/>
  <c r="BJ2" i="3"/>
  <c r="BJ2" i="2" s="1"/>
  <c r="EP2" i="3"/>
  <c r="CI2"/>
  <c r="CI2" i="2" s="1"/>
  <c r="FO2" i="3"/>
  <c r="AE2"/>
  <c r="AE2" i="2" s="1"/>
  <c r="DK2" i="3"/>
  <c r="AA2"/>
  <c r="AA2" i="2" s="1"/>
  <c r="DG2" i="3"/>
  <c r="EU2"/>
  <c r="BO2"/>
  <c r="BO2" i="2" s="1"/>
  <c r="FN2" i="3"/>
  <c r="CH2"/>
  <c r="CH2" i="2" s="1"/>
  <c r="CR2" i="3"/>
  <c r="L2"/>
  <c r="L2" i="2" s="1"/>
  <c r="FD2" i="3"/>
  <c r="BX2"/>
  <c r="BX2" i="2" s="1"/>
  <c r="BF2" i="3"/>
  <c r="BF2" i="2" s="1"/>
  <c r="EL2" i="3"/>
  <c r="DU2"/>
  <c r="AO2"/>
  <c r="AO2" i="2" s="1"/>
  <c r="W2" i="3"/>
  <c r="W2" i="2" s="1"/>
  <c r="DC2" i="3"/>
  <c r="AN2"/>
  <c r="AN2" i="2" s="1"/>
  <c r="DT2" i="3"/>
  <c r="DV2"/>
  <c r="AP2"/>
  <c r="AP2" i="2" s="1"/>
  <c r="FF2" i="3"/>
  <c r="BZ2"/>
  <c r="BZ2" i="2" s="1"/>
  <c r="CJ2" i="3"/>
  <c r="CJ2" i="2" s="1"/>
  <c r="FP2" i="3"/>
  <c r="DP2"/>
  <c r="AJ2"/>
  <c r="AJ2" i="2" s="1"/>
  <c r="FJ2" i="3"/>
  <c r="CD2"/>
  <c r="CD2" i="2" s="1"/>
  <c r="BL2" i="3"/>
  <c r="BL2" i="2" s="1"/>
  <c r="ER2" i="3"/>
  <c r="BW2"/>
  <c r="BW2" i="2" s="1"/>
  <c r="FC2" i="3"/>
  <c r="H2"/>
  <c r="H2" i="2" s="1"/>
  <c r="CN2" i="3"/>
  <c r="U2"/>
  <c r="U2" i="2" s="1"/>
  <c r="DA2" i="3"/>
  <c r="J2"/>
  <c r="J2" i="2" s="1"/>
  <c r="CP2" i="3"/>
  <c r="AK2"/>
  <c r="AK2" i="2" s="1"/>
  <c r="DQ2" i="3"/>
  <c r="BD2"/>
  <c r="BD2" i="2" s="1"/>
  <c r="EJ2" i="3"/>
  <c r="M2"/>
  <c r="M2" i="2" s="1"/>
  <c r="CS2" i="3"/>
  <c r="F2"/>
  <c r="F2" i="2" s="1"/>
  <c r="CL2" i="3"/>
  <c r="EH2"/>
  <c r="BB2"/>
  <c r="BB2" i="2" s="1"/>
  <c r="BT2" i="3"/>
  <c r="BT2" i="2" s="1"/>
  <c r="EZ2" i="3"/>
  <c r="CG2"/>
  <c r="CG2" i="2" s="1"/>
  <c r="FM2" i="3"/>
  <c r="EV2"/>
  <c r="BP2"/>
  <c r="BP2" i="2" s="1"/>
  <c r="ED2" i="3"/>
  <c r="AX2"/>
  <c r="AX2" i="2" s="1"/>
  <c r="DM2" i="3"/>
  <c r="AG2"/>
  <c r="AG2" i="2" s="1"/>
  <c r="AA236" i="3"/>
  <c r="AV235"/>
  <c r="BQ234"/>
  <c r="CD233"/>
  <c r="R233"/>
  <c r="AM232"/>
  <c r="BH231"/>
  <c r="CC230"/>
  <c r="CH236"/>
  <c r="V236"/>
  <c r="AI235"/>
  <c r="BD234"/>
  <c r="BY233"/>
  <c r="M233"/>
  <c r="Z232"/>
  <c r="AU231"/>
  <c r="BP230"/>
  <c r="BY236"/>
  <c r="BY235"/>
  <c r="BX234"/>
  <c r="BZ233"/>
  <c r="BZ232"/>
  <c r="BZ231"/>
  <c r="BZ230"/>
  <c r="CI228"/>
  <c r="W228"/>
  <c r="AR227"/>
  <c r="BM226"/>
  <c r="CH225"/>
  <c r="V225"/>
  <c r="AI224"/>
  <c r="BD223"/>
  <c r="BY222"/>
  <c r="M222"/>
  <c r="Z221"/>
  <c r="AP219"/>
  <c r="BK218"/>
  <c r="CK236"/>
  <c r="CK235"/>
  <c r="CK234"/>
  <c r="CK233"/>
  <c r="CB232"/>
  <c r="BQ231"/>
  <c r="BF230"/>
  <c r="BT228"/>
  <c r="H228"/>
  <c r="AC227"/>
  <c r="AP226"/>
  <c r="BK225"/>
  <c r="CF224"/>
  <c r="BK236"/>
  <c r="BJ235"/>
  <c r="BJ234"/>
  <c r="BK233"/>
  <c r="BL232"/>
  <c r="BL231"/>
  <c r="BK230"/>
  <c r="BP228"/>
  <c r="CK227"/>
  <c r="Y227"/>
  <c r="AT226"/>
  <c r="BG225"/>
  <c r="CB224"/>
  <c r="P224"/>
  <c r="AK223"/>
  <c r="BF236"/>
  <c r="BV234"/>
  <c r="G233"/>
  <c r="AS231"/>
  <c r="CC228"/>
  <c r="BK227"/>
  <c r="AU226"/>
  <c r="AC225"/>
  <c r="Q224"/>
  <c r="CC222"/>
  <c r="CE221"/>
  <c r="I221"/>
  <c r="AP236"/>
  <c r="CB236"/>
  <c r="AB235"/>
  <c r="BJ233"/>
  <c r="M232"/>
  <c r="AY230"/>
  <c r="S228"/>
  <c r="BX226"/>
  <c r="BF225"/>
  <c r="AO224"/>
  <c r="AO223"/>
  <c r="AR222"/>
  <c r="BE221"/>
  <c r="BR219"/>
  <c r="BU218"/>
  <c r="CG217"/>
  <c r="U217"/>
  <c r="AH216"/>
  <c r="BC215"/>
  <c r="BX214"/>
  <c r="L214"/>
  <c r="AL235"/>
  <c r="CJ232"/>
  <c r="CB230"/>
  <c r="M228"/>
  <c r="AV226"/>
  <c r="CD224"/>
  <c r="AT223"/>
  <c r="Y222"/>
  <c r="N221"/>
  <c r="CB218"/>
  <c r="BU217"/>
  <c r="Q236"/>
  <c r="BT233"/>
  <c r="V231"/>
  <c r="AI228"/>
  <c r="BQ226"/>
  <c r="R225"/>
  <c r="BM223"/>
  <c r="AN222"/>
  <c r="AC221"/>
  <c r="S219"/>
  <c r="T218"/>
  <c r="AD217"/>
  <c r="AQ216"/>
  <c r="AS215"/>
  <c r="BE214"/>
  <c r="BQ213"/>
  <c r="CG211"/>
  <c r="U211"/>
  <c r="AH210"/>
  <c r="BC209"/>
  <c r="BX208"/>
  <c r="L208"/>
  <c r="AG207"/>
  <c r="BB206"/>
  <c r="U236"/>
  <c r="CC233"/>
  <c r="BU231"/>
  <c r="AL228"/>
  <c r="AN226"/>
  <c r="AM224"/>
  <c r="K223"/>
  <c r="CB221"/>
  <c r="BM219"/>
  <c r="BM218"/>
  <c r="BP217"/>
  <c r="BT216"/>
  <c r="CF215"/>
  <c r="K215"/>
  <c r="W214"/>
  <c r="CI236"/>
  <c r="AF233"/>
  <c r="J230"/>
  <c r="BC226"/>
  <c r="O224"/>
  <c r="N222"/>
  <c r="V219"/>
  <c r="AW217"/>
  <c r="AI216"/>
  <c r="V215"/>
  <c r="I214"/>
  <c r="K213"/>
  <c r="Y211"/>
  <c r="AL210"/>
  <c r="AX209"/>
  <c r="BJ208"/>
  <c r="BV207"/>
  <c r="CG206"/>
  <c r="L206"/>
  <c r="AF205"/>
  <c r="BD203"/>
  <c r="BY202"/>
  <c r="M202"/>
  <c r="Z201"/>
  <c r="BB235"/>
  <c r="BW231"/>
  <c r="BF227"/>
  <c r="BV224"/>
  <c r="BF222"/>
  <c r="CC219"/>
  <c r="AC218"/>
  <c r="CH216"/>
  <c r="BV215"/>
  <c r="BJ214"/>
  <c r="AZ213"/>
  <c r="BC211"/>
  <c r="BP210"/>
  <c r="CB209"/>
  <c r="CD208"/>
  <c r="I208"/>
  <c r="U207"/>
  <c r="AG206"/>
  <c r="AP205"/>
  <c r="BF203"/>
  <c r="CA202"/>
  <c r="O202"/>
  <c r="AJ201"/>
  <c r="BE200"/>
  <c r="BZ199"/>
  <c r="N199"/>
  <c r="AA198"/>
  <c r="AV197"/>
  <c r="BT195"/>
  <c r="H195"/>
  <c r="AC194"/>
  <c r="AP193"/>
  <c r="BK192"/>
  <c r="BB233"/>
  <c r="AP227"/>
  <c r="U224"/>
  <c r="AZ221"/>
  <c r="U218"/>
  <c r="AV216"/>
  <c r="CK214"/>
  <c r="AV213"/>
  <c r="AF211"/>
  <c r="U210"/>
  <c r="I209"/>
  <c r="CB207"/>
  <c r="BP206"/>
  <c r="BI205"/>
  <c r="BG203"/>
  <c r="AV202"/>
  <c r="AL201"/>
  <c r="AF200"/>
  <c r="AI199"/>
  <c r="AU198"/>
  <c r="BG197"/>
  <c r="BJ195"/>
  <c r="BV194"/>
  <c r="CI193"/>
  <c r="N193"/>
  <c r="T192"/>
  <c r="AO191"/>
  <c r="BJ190"/>
  <c r="BW189"/>
  <c r="K189"/>
  <c r="AF188"/>
  <c r="BD186"/>
  <c r="BY185"/>
  <c r="M185"/>
  <c r="Z184"/>
  <c r="AU183"/>
  <c r="BP182"/>
  <c r="CK181"/>
  <c r="Y181"/>
  <c r="AT180"/>
  <c r="BG179"/>
  <c r="BW177"/>
  <c r="K177"/>
  <c r="AF176"/>
  <c r="BA175"/>
  <c r="BN174"/>
  <c r="CI173"/>
  <c r="W173"/>
  <c r="AR172"/>
  <c r="BM171"/>
  <c r="CK169"/>
  <c r="AI236"/>
  <c r="BD235"/>
  <c r="BY234"/>
  <c r="M234"/>
  <c r="Z233"/>
  <c r="AU232"/>
  <c r="BP231"/>
  <c r="CK230"/>
  <c r="Y230"/>
  <c r="AD236"/>
  <c r="AQ235"/>
  <c r="BL234"/>
  <c r="CG233"/>
  <c r="U233"/>
  <c r="AH232"/>
  <c r="BC231"/>
  <c r="BX230"/>
  <c r="CJ236"/>
  <c r="CI235"/>
  <c r="CI234"/>
  <c r="CJ233"/>
  <c r="CK232"/>
  <c r="CK231"/>
  <c r="CJ230"/>
  <c r="G230"/>
  <c r="AE228"/>
  <c r="AZ227"/>
  <c r="BU226"/>
  <c r="I226"/>
  <c r="AD225"/>
  <c r="AQ224"/>
  <c r="BL223"/>
  <c r="CG222"/>
  <c r="U222"/>
  <c r="AH221"/>
  <c r="AX219"/>
  <c r="BS218"/>
  <c r="G218"/>
  <c r="O236"/>
  <c r="N235"/>
  <c r="N234"/>
  <c r="O233"/>
  <c r="CB231"/>
  <c r="BQ230"/>
  <c r="CB228"/>
  <c r="P228"/>
  <c r="AK227"/>
  <c r="AX226"/>
  <c r="BS225"/>
  <c r="G225"/>
  <c r="BU236"/>
  <c r="BU235"/>
  <c r="BU234"/>
  <c r="BU233"/>
  <c r="BW232"/>
  <c r="BV231"/>
  <c r="BV230"/>
  <c r="BX228"/>
  <c r="L228"/>
  <c r="AG227"/>
  <c r="BB226"/>
  <c r="BO225"/>
  <c r="CJ224"/>
  <c r="X224"/>
  <c r="AS223"/>
  <c r="BV236"/>
  <c r="V235"/>
  <c r="W233"/>
  <c r="BJ231"/>
  <c r="N230"/>
  <c r="BW227"/>
  <c r="BH226"/>
  <c r="AP225"/>
  <c r="AB224"/>
  <c r="Q223"/>
  <c r="O222"/>
  <c r="S221"/>
  <c r="BH236"/>
  <c r="G235"/>
  <c r="AR235"/>
  <c r="CB233"/>
  <c r="AD232"/>
  <c r="BR230"/>
  <c r="AG228"/>
  <c r="CJ226"/>
  <c r="BT225"/>
  <c r="BB224"/>
  <c r="AY223"/>
  <c r="BB222"/>
  <c r="BO221"/>
  <c r="CA219"/>
  <c r="CD218"/>
  <c r="I218"/>
  <c r="AC217"/>
  <c r="AP216"/>
  <c r="BK215"/>
  <c r="CF214"/>
  <c r="T214"/>
  <c r="BQ235"/>
  <c r="V233"/>
  <c r="R231"/>
  <c r="AD228"/>
  <c r="BO226"/>
  <c r="M225"/>
  <c r="BH223"/>
  <c r="AL222"/>
  <c r="Y221"/>
  <c r="P219"/>
  <c r="CD217"/>
  <c r="AV236"/>
  <c r="K234"/>
  <c r="AQ231"/>
  <c r="AY228"/>
  <c r="CI226"/>
  <c r="AJ225"/>
  <c r="BZ223"/>
  <c r="AZ222"/>
  <c r="AO221"/>
  <c r="AC219"/>
  <c r="AD218"/>
  <c r="AM217"/>
  <c r="AZ216"/>
  <c r="BB215"/>
  <c r="BN214"/>
  <c r="BZ213"/>
  <c r="M213"/>
  <c r="AC211"/>
  <c r="AP210"/>
  <c r="BK209"/>
  <c r="CF208"/>
  <c r="T208"/>
  <c r="AO207"/>
  <c r="BJ206"/>
  <c r="AX236"/>
  <c r="Q234"/>
  <c r="H232"/>
  <c r="BE228"/>
  <c r="BD226"/>
  <c r="BE224"/>
  <c r="Y223"/>
  <c r="G222"/>
  <c r="BZ219"/>
  <c r="BW218"/>
  <c r="BZ217"/>
  <c r="CC216"/>
  <c r="H216"/>
  <c r="T215"/>
  <c r="AF214"/>
  <c r="AM213"/>
  <c r="BM233"/>
  <c r="AQ230"/>
  <c r="CB226"/>
  <c r="AP224"/>
  <c r="AH222"/>
  <c r="AL219"/>
  <c r="BK217"/>
  <c r="AU216"/>
  <c r="AH215"/>
  <c r="V214"/>
  <c r="T213"/>
  <c r="AH211"/>
  <c r="AU210"/>
  <c r="BG209"/>
  <c r="BS208"/>
  <c r="CE207"/>
  <c r="J207"/>
  <c r="U206"/>
  <c r="AN205"/>
  <c r="BL203"/>
  <c r="CG202"/>
  <c r="U202"/>
  <c r="AH201"/>
  <c r="P236"/>
  <c r="S232"/>
  <c r="CE227"/>
  <c r="L225"/>
  <c r="CB222"/>
  <c r="H221"/>
  <c r="AT218"/>
  <c r="J217"/>
  <c r="CH215"/>
  <c r="BU214"/>
  <c r="BL213"/>
  <c r="BL211"/>
  <c r="BY210"/>
  <c r="CK209"/>
  <c r="P209"/>
  <c r="R208"/>
  <c r="AD207"/>
  <c r="AP206"/>
  <c r="AX205"/>
  <c r="BN203"/>
  <c r="CI202"/>
  <c r="W202"/>
  <c r="AR201"/>
  <c r="BM200"/>
  <c r="CH199"/>
  <c r="V199"/>
  <c r="AI198"/>
  <c r="BD197"/>
  <c r="CB195"/>
  <c r="P195"/>
  <c r="AK194"/>
  <c r="AX193"/>
  <c r="BS192"/>
  <c r="G234"/>
  <c r="BV227"/>
  <c r="BC224"/>
  <c r="BY221"/>
  <c r="AR218"/>
  <c r="BM216"/>
  <c r="S215"/>
  <c r="BJ213"/>
  <c r="AR211"/>
  <c r="AG210"/>
  <c r="T209"/>
  <c r="H208"/>
  <c r="CC206"/>
  <c r="BS205"/>
  <c r="BQ203"/>
  <c r="BF202"/>
  <c r="AV201"/>
  <c r="AP200"/>
  <c r="AR199"/>
  <c r="BD198"/>
  <c r="BP197"/>
  <c r="BS195"/>
  <c r="CE194"/>
  <c r="J194"/>
  <c r="W193"/>
  <c r="AB192"/>
  <c r="AW191"/>
  <c r="BR190"/>
  <c r="CE189"/>
  <c r="S189"/>
  <c r="AN188"/>
  <c r="BL186"/>
  <c r="CG185"/>
  <c r="U185"/>
  <c r="AH184"/>
  <c r="BC183"/>
  <c r="BX182"/>
  <c r="L182"/>
  <c r="AG181"/>
  <c r="BB180"/>
  <c r="BO179"/>
  <c r="CE177"/>
  <c r="S177"/>
  <c r="AN176"/>
  <c r="BI175"/>
  <c r="AQ236"/>
  <c r="BL235"/>
  <c r="CG234"/>
  <c r="U234"/>
  <c r="AH233"/>
  <c r="BC232"/>
  <c r="BX231"/>
  <c r="L231"/>
  <c r="AG230"/>
  <c r="AL236"/>
  <c r="AY235"/>
  <c r="BT234"/>
  <c r="H234"/>
  <c r="AC233"/>
  <c r="AP232"/>
  <c r="BK231"/>
  <c r="CF230"/>
  <c r="T230"/>
  <c r="M236"/>
  <c r="M235"/>
  <c r="L234"/>
  <c r="N233"/>
  <c r="N232"/>
  <c r="N231"/>
  <c r="O230"/>
  <c r="AM228"/>
  <c r="BH227"/>
  <c r="CC226"/>
  <c r="Q226"/>
  <c r="AL225"/>
  <c r="AY224"/>
  <c r="BT223"/>
  <c r="H223"/>
  <c r="AC222"/>
  <c r="AP221"/>
  <c r="BF219"/>
  <c r="CA218"/>
  <c r="O218"/>
  <c r="Y236"/>
  <c r="Y235"/>
  <c r="Y234"/>
  <c r="Y233"/>
  <c r="P232"/>
  <c r="CA230"/>
  <c r="CJ228"/>
  <c r="X228"/>
  <c r="AS227"/>
  <c r="BF226"/>
  <c r="CA225"/>
  <c r="O225"/>
  <c r="CF236"/>
  <c r="CF235"/>
  <c r="CE234"/>
  <c r="CF233"/>
  <c r="CG232"/>
  <c r="CG231"/>
  <c r="CG230"/>
  <c r="CF228"/>
  <c r="T228"/>
  <c r="AO227"/>
  <c r="BJ226"/>
  <c r="BW225"/>
  <c r="K225"/>
  <c r="AF224"/>
  <c r="BA223"/>
  <c r="BN222"/>
  <c r="AM235"/>
  <c r="AN233"/>
  <c r="CC231"/>
  <c r="AD230"/>
  <c r="CJ227"/>
  <c r="BT226"/>
  <c r="BD225"/>
  <c r="AL224"/>
  <c r="AA223"/>
  <c r="X222"/>
  <c r="AB221"/>
  <c r="BX236"/>
  <c r="Z235"/>
  <c r="BI235"/>
  <c r="J234"/>
  <c r="AW232"/>
  <c r="CH230"/>
  <c r="AS228"/>
  <c r="O227"/>
  <c r="CF225"/>
  <c r="BN224"/>
  <c r="BJ223"/>
  <c r="BK222"/>
  <c r="BX221"/>
  <c r="CJ219"/>
  <c r="O219"/>
  <c r="R218"/>
  <c r="AK217"/>
  <c r="AX216"/>
  <c r="BS215"/>
  <c r="G215"/>
  <c r="AB214"/>
  <c r="L236"/>
  <c r="AV233"/>
  <c r="AN231"/>
  <c r="AW228"/>
  <c r="CE226"/>
  <c r="AF225"/>
  <c r="BW223"/>
  <c r="AW222"/>
  <c r="AL221"/>
  <c r="AA219"/>
  <c r="Q218"/>
  <c r="BS236"/>
  <c r="AG234"/>
  <c r="BR231"/>
  <c r="BQ228"/>
  <c r="R227"/>
  <c r="AZ225"/>
  <c r="G224"/>
  <c r="BM222"/>
  <c r="BA221"/>
  <c r="AM219"/>
  <c r="AO218"/>
  <c r="AV217"/>
  <c r="BI216"/>
  <c r="BL215"/>
  <c r="BW214"/>
  <c r="CI213"/>
  <c r="U213"/>
  <c r="AK211"/>
  <c r="AX210"/>
  <c r="BS209"/>
  <c r="G209"/>
  <c r="AB208"/>
  <c r="AW207"/>
  <c r="BR206"/>
  <c r="CC236"/>
  <c r="AL234"/>
  <c r="AG232"/>
  <c r="BV228"/>
  <c r="BW226"/>
  <c r="BU224"/>
  <c r="AM223"/>
  <c r="S222"/>
  <c r="G221"/>
  <c r="CG218"/>
  <c r="CI217"/>
  <c r="N217"/>
  <c r="Q216"/>
  <c r="AC215"/>
  <c r="AO214"/>
  <c r="AU213"/>
  <c r="O234"/>
  <c r="BY230"/>
  <c r="W227"/>
  <c r="BQ224"/>
  <c r="BC222"/>
  <c r="BD219"/>
  <c r="CA217"/>
  <c r="BG216"/>
  <c r="AT215"/>
  <c r="AH214"/>
  <c r="AD213"/>
  <c r="AQ211"/>
  <c r="BD210"/>
  <c r="BP209"/>
  <c r="CB208"/>
  <c r="G208"/>
  <c r="S207"/>
  <c r="AE206"/>
  <c r="AV205"/>
  <c r="BT203"/>
  <c r="H203"/>
  <c r="AC202"/>
  <c r="AP201"/>
  <c r="BC236"/>
  <c r="BD232"/>
  <c r="Y228"/>
  <c r="AO225"/>
  <c r="O223"/>
  <c r="AA221"/>
  <c r="BJ218"/>
  <c r="X217"/>
  <c r="M216"/>
  <c r="CH214"/>
  <c r="BW213"/>
  <c r="BU211"/>
  <c r="CH210"/>
  <c r="M210"/>
  <c r="Y209"/>
  <c r="AA208"/>
  <c r="AM207"/>
  <c r="AY206"/>
  <c r="BF205"/>
  <c r="BV203"/>
  <c r="J203"/>
  <c r="AE202"/>
  <c r="AZ201"/>
  <c r="BU200"/>
  <c r="I200"/>
  <c r="AD199"/>
  <c r="AQ198"/>
  <c r="BL197"/>
  <c r="CJ195"/>
  <c r="X195"/>
  <c r="AS194"/>
  <c r="BF193"/>
  <c r="CA192"/>
  <c r="BM234"/>
  <c r="Z228"/>
  <c r="CI224"/>
  <c r="R222"/>
  <c r="BO218"/>
  <c r="CB216"/>
  <c r="AI215"/>
  <c r="BY213"/>
  <c r="BE211"/>
  <c r="AS210"/>
  <c r="AG209"/>
  <c r="U208"/>
  <c r="G207"/>
  <c r="CE205"/>
  <c r="CA203"/>
  <c r="BP202"/>
  <c r="BG201"/>
  <c r="AY200"/>
  <c r="BA199"/>
  <c r="BM198"/>
  <c r="BY197"/>
  <c r="CC195"/>
  <c r="G195"/>
  <c r="S194"/>
  <c r="AF193"/>
  <c r="AJ192"/>
  <c r="BE191"/>
  <c r="BZ190"/>
  <c r="N190"/>
  <c r="AA189"/>
  <c r="AV188"/>
  <c r="BT186"/>
  <c r="H186"/>
  <c r="AC185"/>
  <c r="AP184"/>
  <c r="BK183"/>
  <c r="CF182"/>
  <c r="T182"/>
  <c r="AO181"/>
  <c r="BJ180"/>
  <c r="BW179"/>
  <c r="K179"/>
  <c r="AA177"/>
  <c r="AV176"/>
  <c r="BQ175"/>
  <c r="BO236"/>
  <c r="CJ235"/>
  <c r="X235"/>
  <c r="AS234"/>
  <c r="BF233"/>
  <c r="CA232"/>
  <c r="O232"/>
  <c r="AJ231"/>
  <c r="BE230"/>
  <c r="BJ236"/>
  <c r="BW235"/>
  <c r="K235"/>
  <c r="AF234"/>
  <c r="BA233"/>
  <c r="BN232"/>
  <c r="CI231"/>
  <c r="W231"/>
  <c r="AR230"/>
  <c r="AS236"/>
  <c r="AS235"/>
  <c r="AR234"/>
  <c r="AT233"/>
  <c r="AT232"/>
  <c r="AT231"/>
  <c r="AT230"/>
  <c r="BK228"/>
  <c r="CF227"/>
  <c r="T227"/>
  <c r="AO226"/>
  <c r="BJ225"/>
  <c r="BW224"/>
  <c r="K224"/>
  <c r="AF223"/>
  <c r="BA222"/>
  <c r="BN221"/>
  <c r="CD219"/>
  <c r="R219"/>
  <c r="AM218"/>
  <c r="BE236"/>
  <c r="BE235"/>
  <c r="BE234"/>
  <c r="BE233"/>
  <c r="AV232"/>
  <c r="AK231"/>
  <c r="Z230"/>
  <c r="AV228"/>
  <c r="BQ227"/>
  <c r="CD226"/>
  <c r="R226"/>
  <c r="AM225"/>
  <c r="BH224"/>
  <c r="AE236"/>
  <c r="AD235"/>
  <c r="AD234"/>
  <c r="AE233"/>
  <c r="AF232"/>
  <c r="AF231"/>
  <c r="AE230"/>
  <c r="AR228"/>
  <c r="BM227"/>
  <c r="CH226"/>
  <c r="V226"/>
  <c r="AI225"/>
  <c r="BD224"/>
  <c r="BY223"/>
  <c r="M223"/>
  <c r="G236"/>
  <c r="V234"/>
  <c r="AR232"/>
  <c r="CD230"/>
  <c r="AP228"/>
  <c r="X227"/>
  <c r="H226"/>
  <c r="BY224"/>
  <c r="BG223"/>
  <c r="AY222"/>
  <c r="BC221"/>
  <c r="BP219"/>
  <c r="BX235"/>
  <c r="AB236"/>
  <c r="BH234"/>
  <c r="K233"/>
  <c r="AX231"/>
  <c r="CE228"/>
  <c r="BB227"/>
  <c r="AK226"/>
  <c r="T225"/>
  <c r="I224"/>
  <c r="I223"/>
  <c r="Q222"/>
  <c r="AD221"/>
  <c r="AQ219"/>
  <c r="AS218"/>
  <c r="BI217"/>
  <c r="BV216"/>
  <c r="J216"/>
  <c r="AE215"/>
  <c r="AZ214"/>
  <c r="BU213"/>
  <c r="AX234"/>
  <c r="T232"/>
  <c r="M230"/>
  <c r="AU227"/>
  <c r="CD225"/>
  <c r="AG224"/>
  <c r="CK222"/>
  <c r="BW221"/>
  <c r="BH219"/>
  <c r="AW218"/>
  <c r="AT217"/>
  <c r="R235"/>
  <c r="BT232"/>
  <c r="AN230"/>
  <c r="BR227"/>
  <c r="S226"/>
  <c r="BA224"/>
  <c r="V223"/>
  <c r="CK221"/>
  <c r="BW219"/>
  <c r="BT218"/>
  <c r="BW217"/>
  <c r="CJ216"/>
  <c r="O216"/>
  <c r="R215"/>
  <c r="AD214"/>
  <c r="AS213"/>
  <c r="BI211"/>
  <c r="BV210"/>
  <c r="J210"/>
  <c r="AE209"/>
  <c r="AZ208"/>
  <c r="BU207"/>
  <c r="I207"/>
  <c r="AD206"/>
  <c r="AC235"/>
  <c r="L233"/>
  <c r="BS230"/>
  <c r="BD227"/>
  <c r="BE225"/>
  <c r="CD223"/>
  <c r="BD222"/>
  <c r="AR221"/>
  <c r="AE219"/>
  <c r="AG218"/>
  <c r="AO217"/>
  <c r="AS216"/>
  <c r="BE215"/>
  <c r="BQ214"/>
  <c r="BS213"/>
  <c r="AU235"/>
  <c r="L232"/>
  <c r="N228"/>
  <c r="BI225"/>
  <c r="AH223"/>
  <c r="AQ221"/>
  <c r="AP218"/>
  <c r="H217"/>
  <c r="CE215"/>
  <c r="BS214"/>
  <c r="BH213"/>
  <c r="BS211"/>
  <c r="CF210"/>
  <c r="K210"/>
  <c r="V209"/>
  <c r="AH208"/>
  <c r="AT207"/>
  <c r="BF206"/>
  <c r="BT205"/>
  <c r="H205"/>
  <c r="AF203"/>
  <c r="BA202"/>
  <c r="BN201"/>
  <c r="CI200"/>
  <c r="T234"/>
  <c r="Q230"/>
  <c r="AF226"/>
  <c r="CH223"/>
  <c r="CH221"/>
  <c r="Y219"/>
  <c r="BO217"/>
  <c r="AW216"/>
  <c r="AK215"/>
  <c r="Y214"/>
  <c r="W213"/>
  <c r="AA211"/>
  <c r="AN210"/>
  <c r="AZ209"/>
  <c r="BC208"/>
  <c r="BO207"/>
  <c r="CA206"/>
  <c r="CD205"/>
  <c r="R205"/>
  <c r="AH203"/>
  <c r="BC202"/>
  <c r="BX201"/>
  <c r="L201"/>
  <c r="AG200"/>
  <c r="BB199"/>
  <c r="BO198"/>
  <c r="CJ197"/>
  <c r="X197"/>
  <c r="AV195"/>
  <c r="BQ194"/>
  <c r="CD193"/>
  <c r="R193"/>
  <c r="BL236"/>
  <c r="AW231"/>
  <c r="T226"/>
  <c r="N223"/>
  <c r="AS219"/>
  <c r="AR217"/>
  <c r="CG215"/>
  <c r="AN214"/>
  <c r="I213"/>
  <c r="CC210"/>
  <c r="BQ209"/>
  <c r="BE208"/>
  <c r="AR207"/>
  <c r="AF206"/>
  <c r="AC205"/>
  <c r="AA203"/>
  <c r="P202"/>
  <c r="CB200"/>
  <c r="CC199"/>
  <c r="H199"/>
  <c r="T198"/>
  <c r="AE197"/>
  <c r="AI195"/>
  <c r="AU194"/>
  <c r="BH193"/>
  <c r="BJ192"/>
  <c r="CC191"/>
  <c r="Q191"/>
  <c r="AL190"/>
  <c r="AY189"/>
  <c r="BT188"/>
  <c r="H188"/>
  <c r="AF186"/>
  <c r="BA185"/>
  <c r="BN184"/>
  <c r="CI183"/>
  <c r="W183"/>
  <c r="AR182"/>
  <c r="BM181"/>
  <c r="CH180"/>
  <c r="V180"/>
  <c r="AI179"/>
  <c r="AY177"/>
  <c r="BT235"/>
  <c r="AC234"/>
  <c r="BK232"/>
  <c r="T231"/>
  <c r="AT236"/>
  <c r="CB234"/>
  <c r="AK233"/>
  <c r="BS231"/>
  <c r="AB230"/>
  <c r="W235"/>
  <c r="X233"/>
  <c r="Y231"/>
  <c r="AU228"/>
  <c r="CK226"/>
  <c r="AT225"/>
  <c r="CB223"/>
  <c r="AK222"/>
  <c r="BN219"/>
  <c r="W218"/>
  <c r="AJ235"/>
  <c r="AJ233"/>
  <c r="P231"/>
  <c r="AF228"/>
  <c r="BN226"/>
  <c r="W225"/>
  <c r="I236"/>
  <c r="I234"/>
  <c r="K232"/>
  <c r="L230"/>
  <c r="AW227"/>
  <c r="CE225"/>
  <c r="AN224"/>
  <c r="BV222"/>
  <c r="BG233"/>
  <c r="AV230"/>
  <c r="CG226"/>
  <c r="AX224"/>
  <c r="AG222"/>
  <c r="AW219"/>
  <c r="CA235"/>
  <c r="BM232"/>
  <c r="BF228"/>
  <c r="L226"/>
  <c r="BU223"/>
  <c r="CG221"/>
  <c r="X219"/>
  <c r="AS217"/>
  <c r="CA215"/>
  <c r="AJ214"/>
  <c r="BR233"/>
  <c r="BM228"/>
  <c r="AW225"/>
  <c r="BJ222"/>
  <c r="AK219"/>
  <c r="AA217"/>
  <c r="X232"/>
  <c r="AH227"/>
  <c r="V224"/>
  <c r="BM221"/>
  <c r="AY218"/>
  <c r="BR216"/>
  <c r="CG214"/>
  <c r="AC213"/>
  <c r="BF210"/>
  <c r="O209"/>
  <c r="BE207"/>
  <c r="N206"/>
  <c r="BB232"/>
  <c r="V227"/>
  <c r="BB223"/>
  <c r="T221"/>
  <c r="L218"/>
  <c r="AA216"/>
  <c r="AX214"/>
  <c r="AW234"/>
  <c r="AV227"/>
  <c r="BW222"/>
  <c r="H218"/>
  <c r="BG215"/>
  <c r="AN213"/>
  <c r="BM210"/>
  <c r="CK208"/>
  <c r="AB207"/>
  <c r="BD205"/>
  <c r="P203"/>
  <c r="AX201"/>
  <c r="AM233"/>
  <c r="BN225"/>
  <c r="AU221"/>
  <c r="AL217"/>
  <c r="M215"/>
  <c r="CD211"/>
  <c r="V210"/>
  <c r="AK208"/>
  <c r="BH206"/>
  <c r="CD203"/>
  <c r="AM202"/>
  <c r="CC200"/>
  <c r="AL199"/>
  <c r="BT197"/>
  <c r="AF195"/>
  <c r="BN193"/>
  <c r="AE235"/>
  <c r="AK225"/>
  <c r="CJ218"/>
  <c r="AZ215"/>
  <c r="BP211"/>
  <c r="AS209"/>
  <c r="T207"/>
  <c r="G205"/>
  <c r="BR201"/>
  <c r="BK199"/>
  <c r="CH197"/>
  <c r="Q195"/>
  <c r="AO193"/>
  <c r="BM191"/>
  <c r="V190"/>
  <c r="BD188"/>
  <c r="P186"/>
  <c r="AX184"/>
  <c r="G183"/>
  <c r="AW181"/>
  <c r="CE179"/>
  <c r="AI177"/>
  <c r="H176"/>
  <c r="CD174"/>
  <c r="J174"/>
  <c r="O173"/>
  <c r="AB172"/>
  <c r="AO171"/>
  <c r="AX235"/>
  <c r="M231"/>
  <c r="AM226"/>
  <c r="Z223"/>
  <c r="CB219"/>
  <c r="BB217"/>
  <c r="BX215"/>
  <c r="AC214"/>
  <c r="CH211"/>
  <c r="BU210"/>
  <c r="BJ209"/>
  <c r="AW208"/>
  <c r="AJ207"/>
  <c r="Y206"/>
  <c r="V205"/>
  <c r="T203"/>
  <c r="S202"/>
  <c r="U201"/>
  <c r="AA200"/>
  <c r="AM199"/>
  <c r="AX198"/>
  <c r="BA197"/>
  <c r="BN195"/>
  <c r="BZ194"/>
  <c r="CC193"/>
  <c r="H193"/>
  <c r="W192"/>
  <c r="AR191"/>
  <c r="BM190"/>
  <c r="CH189"/>
  <c r="V189"/>
  <c r="AI188"/>
  <c r="AY186"/>
  <c r="BT185"/>
  <c r="H185"/>
  <c r="AC184"/>
  <c r="AP183"/>
  <c r="BK182"/>
  <c r="CF181"/>
  <c r="T181"/>
  <c r="AO180"/>
  <c r="BJ179"/>
  <c r="BZ177"/>
  <c r="N177"/>
  <c r="AA176"/>
  <c r="AV175"/>
  <c r="BQ174"/>
  <c r="CD173"/>
  <c r="R173"/>
  <c r="AM172"/>
  <c r="BH171"/>
  <c r="BX169"/>
  <c r="L169"/>
  <c r="AG168"/>
  <c r="CH232"/>
  <c r="CB225"/>
  <c r="I222"/>
  <c r="CJ217"/>
  <c r="BZ215"/>
  <c r="BX213"/>
  <c r="K211"/>
  <c r="BA209"/>
  <c r="BY207"/>
  <c r="AC206"/>
  <c r="CE203"/>
  <c r="BD202"/>
  <c r="AD201"/>
  <c r="K200"/>
  <c r="CG198"/>
  <c r="BV197"/>
  <c r="BG195"/>
  <c r="AT194"/>
  <c r="AK193"/>
  <c r="AA192"/>
  <c r="P191"/>
  <c r="CB189"/>
  <c r="BQ188"/>
  <c r="BN186"/>
  <c r="BN185"/>
  <c r="BO184"/>
  <c r="BP183"/>
  <c r="BO182"/>
  <c r="BO181"/>
  <c r="BO180"/>
  <c r="BN179"/>
  <c r="BL177"/>
  <c r="BK176"/>
  <c r="BK175"/>
  <c r="BL174"/>
  <c r="BM173"/>
  <c r="BM172"/>
  <c r="BL171"/>
  <c r="BK169"/>
  <c r="BW168"/>
  <c r="CI167"/>
  <c r="W167"/>
  <c r="AR166"/>
  <c r="BM165"/>
  <c r="CH164"/>
  <c r="V164"/>
  <c r="AI163"/>
  <c r="CB235"/>
  <c r="AK234"/>
  <c r="BS232"/>
  <c r="AB231"/>
  <c r="BB236"/>
  <c r="CJ234"/>
  <c r="AS233"/>
  <c r="CA231"/>
  <c r="AJ230"/>
  <c r="AH235"/>
  <c r="AI233"/>
  <c r="AI231"/>
  <c r="BC228"/>
  <c r="L227"/>
  <c r="BB225"/>
  <c r="CJ223"/>
  <c r="AS222"/>
  <c r="BV219"/>
  <c r="AE218"/>
  <c r="AT235"/>
  <c r="AU233"/>
  <c r="Z231"/>
  <c r="AN228"/>
  <c r="BV226"/>
  <c r="AE225"/>
  <c r="T236"/>
  <c r="S234"/>
  <c r="U232"/>
  <c r="U230"/>
  <c r="BE227"/>
  <c r="N226"/>
  <c r="AV224"/>
  <c r="CD222"/>
  <c r="BW233"/>
  <c r="BL230"/>
  <c r="K227"/>
  <c r="BK224"/>
  <c r="AP222"/>
  <c r="BG219"/>
  <c r="J236"/>
  <c r="CE232"/>
  <c r="BR228"/>
  <c r="X226"/>
  <c r="CE223"/>
  <c r="H222"/>
  <c r="AG219"/>
  <c r="BA217"/>
  <c r="CI215"/>
  <c r="AR214"/>
  <c r="AB234"/>
  <c r="CD228"/>
  <c r="BM225"/>
  <c r="BX222"/>
  <c r="AU219"/>
  <c r="AJ217"/>
  <c r="AY232"/>
  <c r="AY227"/>
  <c r="AJ224"/>
  <c r="BZ221"/>
  <c r="BI218"/>
  <c r="CA216"/>
  <c r="I215"/>
  <c r="AK213"/>
  <c r="BN210"/>
  <c r="W209"/>
  <c r="BM207"/>
  <c r="V206"/>
  <c r="BX232"/>
  <c r="AM227"/>
  <c r="BO223"/>
  <c r="AF221"/>
  <c r="V218"/>
  <c r="AJ216"/>
  <c r="BG214"/>
  <c r="CH234"/>
  <c r="BZ227"/>
  <c r="L223"/>
  <c r="Y218"/>
  <c r="BR215"/>
  <c r="AX213"/>
  <c r="BW210"/>
  <c r="M209"/>
  <c r="AK207"/>
  <c r="BL205"/>
  <c r="X203"/>
  <c r="BF201"/>
  <c r="BX233"/>
  <c r="G226"/>
  <c r="BP221"/>
  <c r="AZ217"/>
  <c r="Y215"/>
  <c r="N213"/>
  <c r="AE210"/>
  <c r="AT208"/>
  <c r="BQ206"/>
  <c r="J205"/>
  <c r="AU202"/>
  <c r="CK200"/>
  <c r="AT199"/>
  <c r="CB197"/>
  <c r="AN195"/>
  <c r="BV193"/>
  <c r="CG235"/>
  <c r="BX225"/>
  <c r="T219"/>
  <c r="BP215"/>
  <c r="CC211"/>
  <c r="BE209"/>
  <c r="AF207"/>
  <c r="S205"/>
  <c r="CB201"/>
  <c r="BT199"/>
  <c r="J198"/>
  <c r="Z195"/>
  <c r="AY193"/>
  <c r="BU191"/>
  <c r="AD190"/>
  <c r="BL188"/>
  <c r="X186"/>
  <c r="BF184"/>
  <c r="O183"/>
  <c r="BE181"/>
  <c r="N180"/>
  <c r="AQ177"/>
  <c r="P176"/>
  <c r="M175"/>
  <c r="R174"/>
  <c r="AE173"/>
  <c r="AJ172"/>
  <c r="AW171"/>
  <c r="AC236"/>
  <c r="BG231"/>
  <c r="BS226"/>
  <c r="BC223"/>
  <c r="K221"/>
  <c r="BT217"/>
  <c r="U216"/>
  <c r="AS214"/>
  <c r="O213"/>
  <c r="CI210"/>
  <c r="BV209"/>
  <c r="BI208"/>
  <c r="AX207"/>
  <c r="AJ206"/>
  <c r="AG205"/>
  <c r="AD203"/>
  <c r="AD202"/>
  <c r="AE201"/>
  <c r="AJ200"/>
  <c r="AV199"/>
  <c r="BH198"/>
  <c r="BJ197"/>
  <c r="BW195"/>
  <c r="CI194"/>
  <c r="N194"/>
  <c r="Q193"/>
  <c r="AE192"/>
  <c r="AZ191"/>
  <c r="BU190"/>
  <c r="I190"/>
  <c r="AD189"/>
  <c r="AQ188"/>
  <c r="BG186"/>
  <c r="CB185"/>
  <c r="P185"/>
  <c r="AK184"/>
  <c r="AX183"/>
  <c r="BS182"/>
  <c r="G182"/>
  <c r="AB181"/>
  <c r="AW180"/>
  <c r="BR179"/>
  <c r="CH177"/>
  <c r="V177"/>
  <c r="AI176"/>
  <c r="BD175"/>
  <c r="BY174"/>
  <c r="M174"/>
  <c r="Z173"/>
  <c r="AU172"/>
  <c r="BP171"/>
  <c r="CF169"/>
  <c r="T169"/>
  <c r="AO168"/>
  <c r="BH233"/>
  <c r="AR226"/>
  <c r="AO222"/>
  <c r="Z218"/>
  <c r="L216"/>
  <c r="J214"/>
  <c r="AB211"/>
  <c r="BO209"/>
  <c r="W208"/>
  <c r="AU206"/>
  <c r="N205"/>
  <c r="BR202"/>
  <c r="AS201"/>
  <c r="V200"/>
  <c r="L199"/>
  <c r="CG197"/>
  <c r="BR195"/>
  <c r="BF194"/>
  <c r="AV193"/>
  <c r="AL192"/>
  <c r="AA191"/>
  <c r="P190"/>
  <c r="CA188"/>
  <c r="BY186"/>
  <c r="BX185"/>
  <c r="BZ184"/>
  <c r="BZ183"/>
  <c r="BZ182"/>
  <c r="BZ181"/>
  <c r="BY180"/>
  <c r="BY179"/>
  <c r="BV177"/>
  <c r="BV176"/>
  <c r="BV175"/>
  <c r="BW174"/>
  <c r="BX173"/>
  <c r="BW172"/>
  <c r="BW171"/>
  <c r="BT169"/>
  <c r="CF168"/>
  <c r="K168"/>
  <c r="AE167"/>
  <c r="AZ166"/>
  <c r="BU165"/>
  <c r="I165"/>
  <c r="AD164"/>
  <c r="AQ163"/>
  <c r="S236"/>
  <c r="BI234"/>
  <c r="J233"/>
  <c r="AZ231"/>
  <c r="BZ236"/>
  <c r="AA235"/>
  <c r="BQ233"/>
  <c r="R232"/>
  <c r="BH230"/>
  <c r="BN235"/>
  <c r="BO233"/>
  <c r="BO231"/>
  <c r="CA228"/>
  <c r="AJ227"/>
  <c r="BZ225"/>
  <c r="AA224"/>
  <c r="BQ222"/>
  <c r="R221"/>
  <c r="BC218"/>
  <c r="BZ235"/>
  <c r="CA233"/>
  <c r="BF231"/>
  <c r="BL228"/>
  <c r="U227"/>
  <c r="BC225"/>
  <c r="AZ236"/>
  <c r="AY234"/>
  <c r="BA232"/>
  <c r="BA230"/>
  <c r="CC227"/>
  <c r="AL226"/>
  <c r="BT224"/>
  <c r="AC223"/>
  <c r="BF234"/>
  <c r="AC231"/>
  <c r="AX227"/>
  <c r="Q225"/>
  <c r="BS222"/>
  <c r="CH219"/>
  <c r="BI236"/>
  <c r="AR233"/>
  <c r="AH230"/>
  <c r="BK226"/>
  <c r="AD224"/>
  <c r="AI222"/>
  <c r="BI219"/>
  <c r="BY217"/>
  <c r="Z216"/>
  <c r="BP214"/>
  <c r="O235"/>
  <c r="BG230"/>
  <c r="AE226"/>
  <c r="AG223"/>
  <c r="CF219"/>
  <c r="BL217"/>
  <c r="AY233"/>
  <c r="R228"/>
  <c r="CH224"/>
  <c r="AB222"/>
  <c r="H219"/>
  <c r="T217"/>
  <c r="AJ215"/>
  <c r="BI213"/>
  <c r="M211"/>
  <c r="AU209"/>
  <c r="CK207"/>
  <c r="AT206"/>
  <c r="BC233"/>
  <c r="V228"/>
  <c r="Y224"/>
  <c r="BQ221"/>
  <c r="BA218"/>
  <c r="BK216"/>
  <c r="CI214"/>
  <c r="AW236"/>
  <c r="BU228"/>
  <c r="CA223"/>
  <c r="BX218"/>
  <c r="V216"/>
  <c r="CF213"/>
  <c r="P211"/>
  <c r="AO209"/>
  <c r="BL207"/>
  <c r="CJ205"/>
  <c r="AV203"/>
  <c r="CD201"/>
  <c r="L235"/>
  <c r="AD227"/>
  <c r="AM222"/>
  <c r="M218"/>
  <c r="BI215"/>
  <c r="AP213"/>
  <c r="BG210"/>
  <c r="BU208"/>
  <c r="L207"/>
  <c r="AH205"/>
  <c r="BS202"/>
  <c r="AB201"/>
  <c r="BR199"/>
  <c r="S198"/>
  <c r="BL195"/>
  <c r="U194"/>
  <c r="BC192"/>
  <c r="G227"/>
  <c r="X221"/>
  <c r="AE216"/>
  <c r="AH213"/>
  <c r="H210"/>
  <c r="BQ207"/>
  <c r="AY205"/>
  <c r="AJ202"/>
  <c r="W200"/>
  <c r="AL198"/>
  <c r="BA195"/>
  <c r="BZ193"/>
  <c r="L192"/>
  <c r="BB190"/>
  <c r="CJ188"/>
  <c r="AV186"/>
  <c r="CD184"/>
  <c r="AM183"/>
  <c r="CC181"/>
  <c r="AL180"/>
  <c r="BO177"/>
  <c r="BD176"/>
  <c r="AC175"/>
  <c r="AH174"/>
  <c r="AU173"/>
  <c r="BH172"/>
  <c r="BU171"/>
  <c r="CC169"/>
  <c r="BR232"/>
  <c r="BC227"/>
  <c r="AE224"/>
  <c r="BH221"/>
  <c r="AZ218"/>
  <c r="BC216"/>
  <c r="CA214"/>
  <c r="AL213"/>
  <c r="X211"/>
  <c r="N210"/>
  <c r="CH208"/>
  <c r="BT207"/>
  <c r="BI206"/>
  <c r="BB205"/>
  <c r="AZ203"/>
  <c r="AY202"/>
  <c r="BA201"/>
  <c r="BB200"/>
  <c r="BN199"/>
  <c r="BZ198"/>
  <c r="CC197"/>
  <c r="G197"/>
  <c r="T195"/>
  <c r="AF194"/>
  <c r="AJ193"/>
  <c r="AV192"/>
  <c r="BP191"/>
  <c r="CK190"/>
  <c r="Y190"/>
  <c r="AT189"/>
  <c r="BG188"/>
  <c r="BW186"/>
  <c r="K186"/>
  <c r="AF185"/>
  <c r="BA184"/>
  <c r="BN183"/>
  <c r="CI182"/>
  <c r="W182"/>
  <c r="AR181"/>
  <c r="BM180"/>
  <c r="CH179"/>
  <c r="V179"/>
  <c r="AL177"/>
  <c r="AY176"/>
  <c r="BT175"/>
  <c r="H175"/>
  <c r="AC174"/>
  <c r="AP173"/>
  <c r="BK172"/>
  <c r="CF171"/>
  <c r="T171"/>
  <c r="AJ169"/>
  <c r="BE168"/>
  <c r="Q235"/>
  <c r="I228"/>
  <c r="AE223"/>
  <c r="CH218"/>
  <c r="BD216"/>
  <c r="BB214"/>
  <c r="BG211"/>
  <c r="P210"/>
  <c r="BD208"/>
  <c r="CB206"/>
  <c r="AQ205"/>
  <c r="L203"/>
  <c r="BT201"/>
  <c r="AU200"/>
  <c r="AJ199"/>
  <c r="X198"/>
  <c r="L197"/>
  <c r="CD194"/>
  <c r="BU193"/>
  <c r="BI192"/>
  <c r="AV191"/>
  <c r="AK190"/>
  <c r="Z189"/>
  <c r="O188"/>
  <c r="M186"/>
  <c r="L185"/>
  <c r="N184"/>
  <c r="N183"/>
  <c r="N182"/>
  <c r="N181"/>
  <c r="M180"/>
  <c r="M179"/>
  <c r="J177"/>
  <c r="J176"/>
  <c r="J175"/>
  <c r="K174"/>
  <c r="L173"/>
  <c r="K172"/>
  <c r="K171"/>
  <c r="Q169"/>
  <c r="AC168"/>
  <c r="AU167"/>
  <c r="BP166"/>
  <c r="CK165"/>
  <c r="Y165"/>
  <c r="AT164"/>
  <c r="BG163"/>
  <c r="CB162"/>
  <c r="P162"/>
  <c r="AN160"/>
  <c r="BI159"/>
  <c r="BV158"/>
  <c r="J158"/>
  <c r="AE157"/>
  <c r="AZ156"/>
  <c r="BY231"/>
  <c r="K226"/>
  <c r="K222"/>
  <c r="AP217"/>
  <c r="AO215"/>
  <c r="AQ213"/>
  <c r="CG210"/>
  <c r="X209"/>
  <c r="BK207"/>
  <c r="R206"/>
  <c r="BS203"/>
  <c r="AR202"/>
  <c r="S201"/>
  <c r="BX199"/>
  <c r="BK198"/>
  <c r="AZ197"/>
  <c r="AK195"/>
  <c r="P235"/>
  <c r="AE232"/>
  <c r="AO230"/>
  <c r="AN234"/>
  <c r="J232"/>
  <c r="AH236"/>
  <c r="BP232"/>
  <c r="X230"/>
  <c r="AW226"/>
  <c r="S224"/>
  <c r="BF221"/>
  <c r="CA236"/>
  <c r="AI234"/>
  <c r="AK230"/>
  <c r="M227"/>
  <c r="AZ224"/>
  <c r="AZ233"/>
  <c r="J231"/>
  <c r="I227"/>
  <c r="BL224"/>
  <c r="BV235"/>
  <c r="BO228"/>
  <c r="BP225"/>
  <c r="BL221"/>
  <c r="AR236"/>
  <c r="AG231"/>
  <c r="AS225"/>
  <c r="BU222"/>
  <c r="BB218"/>
  <c r="R216"/>
  <c r="BM236"/>
  <c r="CD227"/>
  <c r="CK223"/>
  <c r="BG218"/>
  <c r="AD233"/>
  <c r="CJ225"/>
  <c r="P221"/>
  <c r="BE217"/>
  <c r="AM214"/>
  <c r="CD210"/>
  <c r="AR208"/>
  <c r="CD235"/>
  <c r="W230"/>
  <c r="BP222"/>
  <c r="AQ218"/>
  <c r="AV215"/>
  <c r="CF232"/>
  <c r="I225"/>
  <c r="S217"/>
  <c r="BT213"/>
  <c r="CH209"/>
  <c r="BX206"/>
  <c r="CB203"/>
  <c r="J201"/>
  <c r="BI226"/>
  <c r="I219"/>
  <c r="AW214"/>
  <c r="I211"/>
  <c r="BX207"/>
  <c r="Z205"/>
  <c r="BP201"/>
  <c r="CE198"/>
  <c r="H197"/>
  <c r="Z193"/>
  <c r="BG226"/>
  <c r="Z217"/>
  <c r="T211"/>
  <c r="AF208"/>
  <c r="AK203"/>
  <c r="N200"/>
  <c r="V197"/>
  <c r="CC192"/>
  <c r="CH190"/>
  <c r="P188"/>
  <c r="BV184"/>
  <c r="AJ182"/>
  <c r="AY179"/>
  <c r="BL176"/>
  <c r="BF174"/>
  <c r="AM173"/>
  <c r="CK171"/>
  <c r="BW234"/>
  <c r="AK228"/>
  <c r="AX222"/>
  <c r="AF218"/>
  <c r="Z215"/>
  <c r="BV211"/>
  <c r="Y210"/>
  <c r="X208"/>
  <c r="AV206"/>
  <c r="BU203"/>
  <c r="I202"/>
  <c r="BK200"/>
  <c r="T199"/>
  <c r="BS197"/>
  <c r="AL195"/>
  <c r="BT193"/>
  <c r="BE192"/>
  <c r="AB191"/>
  <c r="Q190"/>
  <c r="BW188"/>
  <c r="AQ186"/>
  <c r="AN185"/>
  <c r="M184"/>
  <c r="CA182"/>
  <c r="BH181"/>
  <c r="AG180"/>
  <c r="AD179"/>
  <c r="BW176"/>
  <c r="BL175"/>
  <c r="AS174"/>
  <c r="J173"/>
  <c r="G172"/>
  <c r="BH169"/>
  <c r="AW168"/>
  <c r="AC230"/>
  <c r="BG221"/>
  <c r="BY216"/>
  <c r="AJ213"/>
  <c r="CF209"/>
  <c r="AA207"/>
  <c r="BP203"/>
  <c r="CI201"/>
  <c r="BU199"/>
  <c r="L198"/>
  <c r="V195"/>
  <c r="X193"/>
  <c r="BG191"/>
  <c r="BF189"/>
  <c r="CI186"/>
  <c r="AH185"/>
  <c r="BE183"/>
  <c r="Y182"/>
  <c r="AS180"/>
  <c r="CG177"/>
  <c r="AE176"/>
  <c r="BB174"/>
  <c r="V173"/>
  <c r="AQ171"/>
  <c r="H169"/>
  <c r="BK167"/>
  <c r="AJ166"/>
  <c r="AG165"/>
  <c r="CE163"/>
  <c r="BT162"/>
  <c r="CJ160"/>
  <c r="P160"/>
  <c r="AC159"/>
  <c r="AH158"/>
  <c r="AU157"/>
  <c r="BH156"/>
  <c r="I231"/>
  <c r="CG224"/>
  <c r="BO219"/>
  <c r="AN216"/>
  <c r="Q214"/>
  <c r="AE211"/>
  <c r="AN209"/>
  <c r="AU207"/>
  <c r="BW205"/>
  <c r="AC203"/>
  <c r="BY201"/>
  <c r="Z200"/>
  <c r="CJ198"/>
  <c r="BM197"/>
  <c r="Y195"/>
  <c r="L194"/>
  <c r="CK192"/>
  <c r="CE191"/>
  <c r="CE190"/>
  <c r="CD189"/>
  <c r="CD188"/>
  <c r="CA186"/>
  <c r="BP185"/>
  <c r="BG184"/>
  <c r="AW183"/>
  <c r="AL182"/>
  <c r="AA181"/>
  <c r="P180"/>
  <c r="CJ177"/>
  <c r="CI176"/>
  <c r="CI175"/>
  <c r="CJ174"/>
  <c r="CK173"/>
  <c r="CK172"/>
  <c r="CJ171"/>
  <c r="CG169"/>
  <c r="J169"/>
  <c r="V168"/>
  <c r="AO167"/>
  <c r="BJ166"/>
  <c r="BW165"/>
  <c r="K165"/>
  <c r="AF164"/>
  <c r="BA163"/>
  <c r="BN162"/>
  <c r="CD160"/>
  <c r="R160"/>
  <c r="AM159"/>
  <c r="BH158"/>
  <c r="CC157"/>
  <c r="Q157"/>
  <c r="CJ231"/>
  <c r="P226"/>
  <c r="W222"/>
  <c r="N218"/>
  <c r="CK215"/>
  <c r="CJ213"/>
  <c r="AI211"/>
  <c r="BX209"/>
  <c r="AE208"/>
  <c r="BT206"/>
  <c r="AJ205"/>
  <c r="BX202"/>
  <c r="AK201"/>
  <c r="P200"/>
  <c r="BN198"/>
  <c r="AQ197"/>
  <c r="AB195"/>
  <c r="P194"/>
  <c r="BP192"/>
  <c r="BL191"/>
  <c r="BL190"/>
  <c r="BL189"/>
  <c r="BK188"/>
  <c r="BI186"/>
  <c r="BH185"/>
  <c r="BJ184"/>
  <c r="BJ183"/>
  <c r="BJ182"/>
  <c r="BJ181"/>
  <c r="BI180"/>
  <c r="BI179"/>
  <c r="BF177"/>
  <c r="AU176"/>
  <c r="AJ175"/>
  <c r="AA174"/>
  <c r="Q173"/>
  <c r="CB171"/>
  <c r="BY169"/>
  <c r="CJ168"/>
  <c r="O168"/>
  <c r="AA167"/>
  <c r="AV166"/>
  <c r="BQ165"/>
  <c r="CD164"/>
  <c r="R164"/>
  <c r="AM163"/>
  <c r="BH162"/>
  <c r="BX160"/>
  <c r="L160"/>
  <c r="AG159"/>
  <c r="BB158"/>
  <c r="BO157"/>
  <c r="CJ156"/>
  <c r="AW233"/>
  <c r="AF235"/>
  <c r="CI232"/>
  <c r="AW230"/>
  <c r="AV234"/>
  <c r="AX232"/>
  <c r="BD236"/>
  <c r="BD233"/>
  <c r="AI230"/>
  <c r="BE226"/>
  <c r="BG224"/>
  <c r="BV221"/>
  <c r="AU218"/>
  <c r="AT234"/>
  <c r="AU230"/>
  <c r="BA227"/>
  <c r="BP224"/>
  <c r="AO234"/>
  <c r="U231"/>
  <c r="Q227"/>
  <c r="S225"/>
  <c r="W236"/>
  <c r="K231"/>
  <c r="CC225"/>
  <c r="BU221"/>
  <c r="AP235"/>
  <c r="BN231"/>
  <c r="AY226"/>
  <c r="CF222"/>
  <c r="BL218"/>
  <c r="BF216"/>
  <c r="CC213"/>
  <c r="AL230"/>
  <c r="R224"/>
  <c r="BQ218"/>
  <c r="BB234"/>
  <c r="AJ226"/>
  <c r="P222"/>
  <c r="BN217"/>
  <c r="AV214"/>
  <c r="AS211"/>
  <c r="BH208"/>
  <c r="AL206"/>
  <c r="AS230"/>
  <c r="CE222"/>
  <c r="K219"/>
  <c r="BN215"/>
  <c r="CH235"/>
  <c r="AH225"/>
  <c r="AH217"/>
  <c r="AT214"/>
  <c r="T210"/>
  <c r="BC207"/>
  <c r="CJ203"/>
  <c r="R201"/>
  <c r="AX228"/>
  <c r="AR219"/>
  <c r="AX215"/>
  <c r="R211"/>
  <c r="CG207"/>
  <c r="BN205"/>
  <c r="CF201"/>
  <c r="BJ199"/>
  <c r="P197"/>
  <c r="AH193"/>
  <c r="BI228"/>
  <c r="BM217"/>
  <c r="V213"/>
  <c r="AS208"/>
  <c r="AU203"/>
  <c r="BH200"/>
  <c r="AO197"/>
  <c r="BQ193"/>
  <c r="I191"/>
  <c r="X188"/>
  <c r="AK185"/>
  <c r="AZ182"/>
  <c r="AD180"/>
  <c r="BT176"/>
  <c r="BV174"/>
  <c r="BC173"/>
  <c r="L172"/>
  <c r="CD236"/>
  <c r="BW228"/>
  <c r="CH222"/>
  <c r="BV218"/>
  <c r="AP215"/>
  <c r="Z213"/>
  <c r="AK210"/>
  <c r="AL208"/>
  <c r="BU206"/>
  <c r="CF203"/>
  <c r="AO202"/>
  <c r="BV200"/>
  <c r="AC199"/>
  <c r="N198"/>
  <c r="AU195"/>
  <c r="W194"/>
  <c r="BN192"/>
  <c r="AJ191"/>
  <c r="AG190"/>
  <c r="CE188"/>
  <c r="BO186"/>
  <c r="AV185"/>
  <c r="U184"/>
  <c r="J183"/>
  <c r="BP181"/>
  <c r="BE180"/>
  <c r="AL179"/>
  <c r="CE176"/>
  <c r="CB175"/>
  <c r="BA174"/>
  <c r="AH173"/>
  <c r="O172"/>
  <c r="BP169"/>
  <c r="BM168"/>
  <c r="BD231"/>
  <c r="BZ222"/>
  <c r="L217"/>
  <c r="BE213"/>
  <c r="AF210"/>
  <c r="AQ207"/>
  <c r="AB205"/>
  <c r="L202"/>
  <c r="CG199"/>
  <c r="AJ198"/>
  <c r="AH195"/>
  <c r="BI193"/>
  <c r="BR191"/>
  <c r="BQ189"/>
  <c r="Z188"/>
  <c r="AR185"/>
  <c r="CK183"/>
  <c r="AI182"/>
  <c r="BD180"/>
  <c r="X179"/>
  <c r="AP176"/>
  <c r="CH174"/>
  <c r="AG173"/>
  <c r="BB171"/>
  <c r="Z169"/>
  <c r="BS167"/>
  <c r="BH166"/>
  <c r="AO165"/>
  <c r="N164"/>
  <c r="CJ162"/>
  <c r="H162"/>
  <c r="X160"/>
  <c r="AK159"/>
  <c r="AP158"/>
  <c r="BC157"/>
  <c r="BP156"/>
  <c r="AL232"/>
  <c r="AV225"/>
  <c r="AG221"/>
  <c r="BH216"/>
  <c r="AL214"/>
  <c r="AV211"/>
  <c r="BD209"/>
  <c r="CA207"/>
  <c r="CK205"/>
  <c r="AR203"/>
  <c r="CK201"/>
  <c r="AL200"/>
  <c r="O199"/>
  <c r="BX197"/>
  <c r="AX195"/>
  <c r="Y194"/>
  <c r="O193"/>
  <c r="I192"/>
  <c r="H191"/>
  <c r="H190"/>
  <c r="H189"/>
  <c r="G188"/>
  <c r="CA185"/>
  <c r="BR184"/>
  <c r="BH183"/>
  <c r="AW182"/>
  <c r="AL181"/>
  <c r="AA180"/>
  <c r="P179"/>
  <c r="M177"/>
  <c r="M176"/>
  <c r="L175"/>
  <c r="N174"/>
  <c r="N173"/>
  <c r="N172"/>
  <c r="N171"/>
  <c r="S169"/>
  <c r="AE168"/>
  <c r="AW167"/>
  <c r="BR166"/>
  <c r="CE165"/>
  <c r="S165"/>
  <c r="AN164"/>
  <c r="BI163"/>
  <c r="BV162"/>
  <c r="J162"/>
  <c r="Z160"/>
  <c r="AU159"/>
  <c r="BP158"/>
  <c r="CK157"/>
  <c r="Y157"/>
  <c r="BH232"/>
  <c r="BP226"/>
  <c r="BG222"/>
  <c r="AN218"/>
  <c r="W216"/>
  <c r="S214"/>
  <c r="AY211"/>
  <c r="G210"/>
  <c r="AV208"/>
  <c r="CK206"/>
  <c r="AW205"/>
  <c r="S203"/>
  <c r="AY201"/>
  <c r="AC200"/>
  <c r="CA198"/>
  <c r="BC197"/>
  <c r="AO195"/>
  <c r="AA194"/>
  <c r="CB192"/>
  <c r="BW191"/>
  <c r="BW190"/>
  <c r="BV189"/>
  <c r="BV188"/>
  <c r="BS186"/>
  <c r="BS185"/>
  <c r="BT184"/>
  <c r="BU183"/>
  <c r="BU182"/>
  <c r="BT181"/>
  <c r="BT180"/>
  <c r="BT179"/>
  <c r="BQ177"/>
  <c r="BF176"/>
  <c r="AU175"/>
  <c r="AL174"/>
  <c r="AB173"/>
  <c r="Q172"/>
  <c r="CI169"/>
  <c r="M169"/>
  <c r="X168"/>
  <c r="AI167"/>
  <c r="BD166"/>
  <c r="BY165"/>
  <c r="M165"/>
  <c r="Z164"/>
  <c r="AU163"/>
  <c r="BP162"/>
  <c r="CF160"/>
  <c r="T160"/>
  <c r="AO159"/>
  <c r="BJ158"/>
  <c r="BW157"/>
  <c r="K157"/>
  <c r="BR234"/>
  <c r="K236"/>
  <c r="AX233"/>
  <c r="BU230"/>
  <c r="BG235"/>
  <c r="BV232"/>
  <c r="AZ230"/>
  <c r="AH234"/>
  <c r="BO230"/>
  <c r="BP227"/>
  <c r="CE224"/>
  <c r="BI222"/>
  <c r="J219"/>
  <c r="BZ234"/>
  <c r="AA232"/>
  <c r="BY227"/>
  <c r="AU225"/>
  <c r="T235"/>
  <c r="BA231"/>
  <c r="AB228"/>
  <c r="AQ225"/>
  <c r="U223"/>
  <c r="AB232"/>
  <c r="AI226"/>
  <c r="AL223"/>
  <c r="H236"/>
  <c r="AB233"/>
  <c r="AN227"/>
  <c r="AD223"/>
  <c r="L221"/>
  <c r="CD216"/>
  <c r="BH214"/>
  <c r="CH231"/>
  <c r="BM224"/>
  <c r="AY221"/>
  <c r="AW235"/>
  <c r="CH227"/>
  <c r="G223"/>
  <c r="J218"/>
  <c r="BU215"/>
  <c r="BQ211"/>
  <c r="AM209"/>
  <c r="CH206"/>
  <c r="AY231"/>
  <c r="X225"/>
  <c r="AO219"/>
  <c r="BB216"/>
  <c r="BK213"/>
  <c r="AB226"/>
  <c r="BX219"/>
  <c r="CD214"/>
  <c r="G211"/>
  <c r="Y208"/>
  <c r="X205"/>
  <c r="AK202"/>
  <c r="BB230"/>
  <c r="T222"/>
  <c r="AL216"/>
  <c r="AT211"/>
  <c r="AH209"/>
  <c r="O206"/>
  <c r="BK202"/>
  <c r="Y200"/>
  <c r="AN197"/>
  <c r="BA194"/>
  <c r="AZ232"/>
  <c r="BQ219"/>
  <c r="X214"/>
  <c r="CC208"/>
  <c r="H206"/>
  <c r="P201"/>
  <c r="AC198"/>
  <c r="AL194"/>
  <c r="AG191"/>
  <c r="AI189"/>
  <c r="BI185"/>
  <c r="AE183"/>
  <c r="BZ180"/>
  <c r="CJ176"/>
  <c r="AK175"/>
  <c r="BS173"/>
  <c r="AZ172"/>
  <c r="Q171"/>
  <c r="BI230"/>
  <c r="BJ224"/>
  <c r="AD219"/>
  <c r="AM216"/>
  <c r="BO213"/>
  <c r="BJ210"/>
  <c r="L209"/>
  <c r="M207"/>
  <c r="AR205"/>
  <c r="BU202"/>
  <c r="I201"/>
  <c r="BW199"/>
  <c r="AF198"/>
  <c r="CF195"/>
  <c r="AX194"/>
  <c r="CF192"/>
  <c r="BX191"/>
  <c r="AW190"/>
  <c r="AL189"/>
  <c r="K188"/>
  <c r="BL185"/>
  <c r="BI184"/>
  <c r="Z183"/>
  <c r="O182"/>
  <c r="CC180"/>
  <c r="BB179"/>
  <c r="AT177"/>
  <c r="K176"/>
  <c r="CG174"/>
  <c r="BF173"/>
  <c r="AE172"/>
  <c r="AB171"/>
  <c r="CC168"/>
  <c r="AJ234"/>
  <c r="AC224"/>
  <c r="BH217"/>
  <c r="BY214"/>
  <c r="BL210"/>
  <c r="AN208"/>
  <c r="BR205"/>
  <c r="AP202"/>
  <c r="BG200"/>
  <c r="BI198"/>
  <c r="CE195"/>
  <c r="I194"/>
  <c r="Q192"/>
  <c r="AV190"/>
  <c r="AU188"/>
  <c r="CI185"/>
  <c r="AI184"/>
  <c r="BE182"/>
  <c r="X181"/>
  <c r="AS179"/>
  <c r="CG176"/>
  <c r="AE175"/>
  <c r="BB173"/>
  <c r="V172"/>
  <c r="AS169"/>
  <c r="T168"/>
  <c r="CF166"/>
  <c r="BE165"/>
  <c r="BB164"/>
  <c r="S163"/>
  <c r="AF162"/>
  <c r="AV160"/>
  <c r="BA159"/>
  <c r="BF158"/>
  <c r="BS157"/>
  <c r="CF156"/>
  <c r="CE233"/>
  <c r="J227"/>
  <c r="AV222"/>
  <c r="Q217"/>
  <c r="CC214"/>
  <c r="CA211"/>
  <c r="S210"/>
  <c r="AC208"/>
  <c r="AZ206"/>
  <c r="CH203"/>
  <c r="AF202"/>
  <c r="BJ200"/>
  <c r="AN199"/>
  <c r="O198"/>
  <c r="BV195"/>
  <c r="AW194"/>
  <c r="AM193"/>
  <c r="AD192"/>
  <c r="AD191"/>
  <c r="AC190"/>
  <c r="AC189"/>
  <c r="AC188"/>
  <c r="Z186"/>
  <c r="O185"/>
  <c r="CC183"/>
  <c r="BR182"/>
  <c r="BG181"/>
  <c r="AV180"/>
  <c r="AK179"/>
  <c r="AH177"/>
  <c r="AH176"/>
  <c r="AH175"/>
  <c r="AI174"/>
  <c r="AJ173"/>
  <c r="AI172"/>
  <c r="AI171"/>
  <c r="AL169"/>
  <c r="AX168"/>
  <c r="BM167"/>
  <c r="CH166"/>
  <c r="V166"/>
  <c r="AI165"/>
  <c r="BD164"/>
  <c r="BY163"/>
  <c r="M163"/>
  <c r="Z162"/>
  <c r="AP160"/>
  <c r="BK159"/>
  <c r="CF158"/>
  <c r="T158"/>
  <c r="AO157"/>
  <c r="CI233"/>
  <c r="BS227"/>
  <c r="AZ223"/>
  <c r="M219"/>
  <c r="BO216"/>
  <c r="BM214"/>
  <c r="CF211"/>
  <c r="AO210"/>
  <c r="CA208"/>
  <c r="AI207"/>
  <c r="BZ205"/>
  <c r="AT203"/>
  <c r="CA201"/>
  <c r="BA200"/>
  <c r="AE199"/>
  <c r="CA197"/>
  <c r="BM195"/>
  <c r="AZ194"/>
  <c r="AD193"/>
  <c r="K192"/>
  <c r="K191"/>
  <c r="K190"/>
  <c r="J189"/>
  <c r="J188"/>
  <c r="G186"/>
  <c r="G185"/>
  <c r="H184"/>
  <c r="I183"/>
  <c r="I182"/>
  <c r="H181"/>
  <c r="H180"/>
  <c r="H179"/>
  <c r="CA176"/>
  <c r="BP175"/>
  <c r="BG174"/>
  <c r="AW173"/>
  <c r="AL172"/>
  <c r="AA171"/>
  <c r="AE169"/>
  <c r="AQ168"/>
  <c r="AY167"/>
  <c r="BT166"/>
  <c r="H166"/>
  <c r="AC165"/>
  <c r="AP164"/>
  <c r="BK163"/>
  <c r="CF162"/>
  <c r="T162"/>
  <c r="AJ160"/>
  <c r="BE159"/>
  <c r="BZ158"/>
  <c r="N158"/>
  <c r="AA157"/>
  <c r="AV156"/>
  <c r="CI227"/>
  <c r="M221"/>
  <c r="AT216"/>
  <c r="AG213"/>
  <c r="BM209"/>
  <c r="Z207"/>
  <c r="BG236"/>
  <c r="BV233"/>
  <c r="CF231"/>
  <c r="CE235"/>
  <c r="BI233"/>
  <c r="O231"/>
  <c r="BN234"/>
  <c r="Y232"/>
  <c r="G228"/>
  <c r="BR225"/>
  <c r="X223"/>
  <c r="AH219"/>
  <c r="AJ236"/>
  <c r="BG232"/>
  <c r="BD228"/>
  <c r="J226"/>
  <c r="AZ235"/>
  <c r="I233"/>
  <c r="AZ228"/>
  <c r="AD226"/>
  <c r="BQ223"/>
  <c r="BY232"/>
  <c r="Q228"/>
  <c r="BR223"/>
  <c r="BY219"/>
  <c r="AQ234"/>
  <c r="CA227"/>
  <c r="CA224"/>
  <c r="AM221"/>
  <c r="BQ217"/>
  <c r="W215"/>
  <c r="BO232"/>
  <c r="N227"/>
  <c r="CI221"/>
  <c r="BC217"/>
  <c r="S230"/>
  <c r="AX223"/>
  <c r="AY219"/>
  <c r="X216"/>
  <c r="BA213"/>
  <c r="CI209"/>
  <c r="Y207"/>
  <c r="BK234"/>
  <c r="BV225"/>
  <c r="BD221"/>
  <c r="AF217"/>
  <c r="N214"/>
  <c r="AD231"/>
  <c r="BI221"/>
  <c r="K216"/>
  <c r="BJ211"/>
  <c r="BA208"/>
  <c r="AN206"/>
  <c r="BI202"/>
  <c r="BG234"/>
  <c r="BK223"/>
  <c r="BW216"/>
  <c r="CH213"/>
  <c r="BI209"/>
  <c r="CJ206"/>
  <c r="Z203"/>
  <c r="AW200"/>
  <c r="AY198"/>
  <c r="BY194"/>
  <c r="AU192"/>
  <c r="BR222"/>
  <c r="BT214"/>
  <c r="BE210"/>
  <c r="AR206"/>
  <c r="Z202"/>
  <c r="CF198"/>
  <c r="BM194"/>
  <c r="AR192"/>
  <c r="BG189"/>
  <c r="AN186"/>
  <c r="CA183"/>
  <c r="Q181"/>
  <c r="S179"/>
  <c r="BY175"/>
  <c r="Z174"/>
  <c r="BX172"/>
  <c r="AG171"/>
  <c r="S233"/>
  <c r="AX225"/>
  <c r="AI221"/>
  <c r="CI216"/>
  <c r="O214"/>
  <c r="AL211"/>
  <c r="AK209"/>
  <c r="BI207"/>
  <c r="BX205"/>
  <c r="I203"/>
  <c r="BK201"/>
  <c r="H200"/>
  <c r="BQ198"/>
  <c r="Z197"/>
  <c r="BP194"/>
  <c r="AS193"/>
  <c r="G192"/>
  <c r="CC190"/>
  <c r="BJ189"/>
  <c r="AA188"/>
  <c r="S186"/>
  <c r="BY184"/>
  <c r="BF183"/>
  <c r="AM182"/>
  <c r="L181"/>
  <c r="I180"/>
  <c r="BJ177"/>
  <c r="AQ176"/>
  <c r="X175"/>
  <c r="BV173"/>
  <c r="BS172"/>
  <c r="AR171"/>
  <c r="AB169"/>
  <c r="I168"/>
  <c r="AB225"/>
  <c r="AB219"/>
  <c r="AG215"/>
  <c r="AP211"/>
  <c r="CJ208"/>
  <c r="P206"/>
  <c r="Y203"/>
  <c r="CH200"/>
  <c r="X199"/>
  <c r="AK197"/>
  <c r="AH194"/>
  <c r="BV192"/>
  <c r="BQ190"/>
  <c r="P189"/>
  <c r="AH186"/>
  <c r="BD184"/>
  <c r="Y183"/>
  <c r="AT181"/>
  <c r="CJ179"/>
  <c r="AF177"/>
  <c r="AZ175"/>
  <c r="V174"/>
  <c r="AQ172"/>
  <c r="CD169"/>
  <c r="AU168"/>
  <c r="O167"/>
  <c r="L166"/>
  <c r="BR164"/>
  <c r="AY163"/>
  <c r="AV162"/>
  <c r="BL160"/>
  <c r="BY159"/>
  <c r="CD158"/>
  <c r="CI157"/>
  <c r="O157"/>
  <c r="AG235"/>
  <c r="K228"/>
  <c r="AQ223"/>
  <c r="AI218"/>
  <c r="BJ215"/>
  <c r="Y213"/>
  <c r="BA210"/>
  <c r="BG208"/>
  <c r="CE206"/>
  <c r="AE205"/>
  <c r="BV202"/>
  <c r="AG201"/>
  <c r="BL199"/>
  <c r="AM198"/>
  <c r="O197"/>
  <c r="BU194"/>
  <c r="BL193"/>
  <c r="AZ192"/>
  <c r="AY191"/>
  <c r="AY190"/>
  <c r="AX189"/>
  <c r="AX188"/>
  <c r="AU186"/>
  <c r="AJ185"/>
  <c r="AA184"/>
  <c r="Q183"/>
  <c r="CB181"/>
  <c r="BQ180"/>
  <c r="BF179"/>
  <c r="BD177"/>
  <c r="BC176"/>
  <c r="BC175"/>
  <c r="BD174"/>
  <c r="BE173"/>
  <c r="BE172"/>
  <c r="BD171"/>
  <c r="BD169"/>
  <c r="BP168"/>
  <c r="CC167"/>
  <c r="Q167"/>
  <c r="AL166"/>
  <c r="AY165"/>
  <c r="BT164"/>
  <c r="H164"/>
  <c r="AC163"/>
  <c r="AP162"/>
  <c r="BF160"/>
  <c r="CA159"/>
  <c r="O159"/>
  <c r="AJ158"/>
  <c r="BE157"/>
  <c r="BK235"/>
  <c r="BZ228"/>
  <c r="AW224"/>
  <c r="BU219"/>
  <c r="V217"/>
  <c r="X215"/>
  <c r="AB213"/>
  <c r="BT210"/>
  <c r="AB209"/>
  <c r="BP207"/>
  <c r="W206"/>
  <c r="BX203"/>
  <c r="AH202"/>
  <c r="BZ200"/>
  <c r="BC199"/>
  <c r="AD198"/>
  <c r="CK195"/>
  <c r="BX194"/>
  <c r="BC193"/>
  <c r="AG192"/>
  <c r="AF191"/>
  <c r="AF190"/>
  <c r="AF189"/>
  <c r="AE188"/>
  <c r="AC186"/>
  <c r="AB185"/>
  <c r="AD184"/>
  <c r="AD183"/>
  <c r="AD182"/>
  <c r="AD181"/>
  <c r="AC180"/>
  <c r="AC179"/>
  <c r="Z177"/>
  <c r="O176"/>
  <c r="CB174"/>
  <c r="BR173"/>
  <c r="BG172"/>
  <c r="AV171"/>
  <c r="AW169"/>
  <c r="BI168"/>
  <c r="BO167"/>
  <c r="CJ166"/>
  <c r="X166"/>
  <c r="AS165"/>
  <c r="BF164"/>
  <c r="CA163"/>
  <c r="O163"/>
  <c r="AJ162"/>
  <c r="AZ160"/>
  <c r="BU159"/>
  <c r="I159"/>
  <c r="AD158"/>
  <c r="AQ157"/>
  <c r="BL156"/>
  <c r="AP233"/>
  <c r="S235"/>
  <c r="BN236"/>
  <c r="BD230"/>
  <c r="BO224"/>
  <c r="CI218"/>
  <c r="AV231"/>
  <c r="BX224"/>
  <c r="AP231"/>
  <c r="AA225"/>
  <c r="I232"/>
  <c r="BH222"/>
  <c r="CE231"/>
  <c r="S223"/>
  <c r="BN216"/>
  <c r="BI231"/>
  <c r="BT219"/>
  <c r="BA226"/>
  <c r="CF217"/>
  <c r="BA211"/>
  <c r="BZ206"/>
  <c r="L224"/>
  <c r="BW215"/>
  <c r="CK225"/>
  <c r="BF214"/>
  <c r="P208"/>
  <c r="BV201"/>
  <c r="BJ219"/>
  <c r="AJ211"/>
  <c r="BV205"/>
  <c r="Q200"/>
  <c r="M194"/>
  <c r="CH217"/>
  <c r="BQ208"/>
  <c r="BQ200"/>
  <c r="AB194"/>
  <c r="CB188"/>
  <c r="BH182"/>
  <c r="CB176"/>
  <c r="BK173"/>
  <c r="I171"/>
  <c r="CI223"/>
  <c r="BF215"/>
  <c r="AY210"/>
  <c r="CF206"/>
  <c r="BJ202"/>
  <c r="BE199"/>
  <c r="BE195"/>
  <c r="BW192"/>
  <c r="AO190"/>
  <c r="CE186"/>
  <c r="AS184"/>
  <c r="BX181"/>
  <c r="AT179"/>
  <c r="CJ175"/>
  <c r="AX173"/>
  <c r="L171"/>
  <c r="AC232"/>
  <c r="AI217"/>
  <c r="AV210"/>
  <c r="BE205"/>
  <c r="AI200"/>
  <c r="AT195"/>
  <c r="CB191"/>
  <c r="AK188"/>
  <c r="X184"/>
  <c r="CJ180"/>
  <c r="BA176"/>
  <c r="AR173"/>
  <c r="AI169"/>
  <c r="BX166"/>
  <c r="AL164"/>
  <c r="X162"/>
  <c r="AS159"/>
  <c r="BK157"/>
  <c r="P233"/>
  <c r="BR221"/>
  <c r="BI214"/>
  <c r="BU209"/>
  <c r="AI206"/>
  <c r="Q202"/>
  <c r="AA199"/>
  <c r="BI195"/>
  <c r="AB193"/>
  <c r="S191"/>
  <c r="R189"/>
  <c r="O186"/>
  <c r="BR183"/>
  <c r="AV181"/>
  <c r="Z179"/>
  <c r="W176"/>
  <c r="X174"/>
  <c r="Y172"/>
  <c r="AC169"/>
  <c r="BE167"/>
  <c r="N166"/>
  <c r="AV164"/>
  <c r="CD162"/>
  <c r="AH160"/>
  <c r="BX158"/>
  <c r="AG157"/>
  <c r="Z227"/>
  <c r="BR218"/>
  <c r="AQ214"/>
  <c r="X210"/>
  <c r="R207"/>
  <c r="AG203"/>
  <c r="AN200"/>
  <c r="BO197"/>
  <c r="AN194"/>
  <c r="CH191"/>
  <c r="CG189"/>
  <c r="CD186"/>
  <c r="CE184"/>
  <c r="CE182"/>
  <c r="CE180"/>
  <c r="CB177"/>
  <c r="BF175"/>
  <c r="AL173"/>
  <c r="P171"/>
  <c r="AH168"/>
  <c r="BL166"/>
  <c r="U165"/>
  <c r="BC163"/>
  <c r="L162"/>
  <c r="AW159"/>
  <c r="CE157"/>
  <c r="AN156"/>
  <c r="BF224"/>
  <c r="BS217"/>
  <c r="H214"/>
  <c r="AB210"/>
  <c r="CI206"/>
  <c r="BA203"/>
  <c r="AW201"/>
  <c r="AO199"/>
  <c r="BF197"/>
  <c r="BW194"/>
  <c r="I193"/>
  <c r="AK191"/>
  <c r="BU189"/>
  <c r="BV186"/>
  <c r="I185"/>
  <c r="AS183"/>
  <c r="CA181"/>
  <c r="AB180"/>
  <c r="BK177"/>
  <c r="N176"/>
  <c r="AZ174"/>
  <c r="CJ172"/>
  <c r="AK171"/>
  <c r="CB168"/>
  <c r="BA167"/>
  <c r="AI166"/>
  <c r="R165"/>
  <c r="BV163"/>
  <c r="BG162"/>
  <c r="AU160"/>
  <c r="AD159"/>
  <c r="CH157"/>
  <c r="BU156"/>
  <c r="CG155"/>
  <c r="U155"/>
  <c r="AH154"/>
  <c r="BC153"/>
  <c r="CA151"/>
  <c r="O151"/>
  <c r="AJ150"/>
  <c r="BE149"/>
  <c r="BZ148"/>
  <c r="N148"/>
  <c r="AA147"/>
  <c r="AV146"/>
  <c r="BQ145"/>
  <c r="CD144"/>
  <c r="R144"/>
  <c r="AH142"/>
  <c r="BC141"/>
  <c r="BX140"/>
  <c r="L140"/>
  <c r="AG139"/>
  <c r="BB138"/>
  <c r="BO137"/>
  <c r="CJ136"/>
  <c r="X136"/>
  <c r="AV134"/>
  <c r="BQ133"/>
  <c r="CD132"/>
  <c r="R132"/>
  <c r="AM131"/>
  <c r="BH130"/>
  <c r="CC129"/>
  <c r="Q129"/>
  <c r="AL128"/>
  <c r="AY127"/>
  <c r="BO125"/>
  <c r="CJ124"/>
  <c r="X124"/>
  <c r="AS123"/>
  <c r="BF122"/>
  <c r="CA121"/>
  <c r="O121"/>
  <c r="AJ120"/>
  <c r="BE119"/>
  <c r="CC117"/>
  <c r="Q117"/>
  <c r="AL116"/>
  <c r="AY115"/>
  <c r="BT114"/>
  <c r="H114"/>
  <c r="AC113"/>
  <c r="AP112"/>
  <c r="BK111"/>
  <c r="CF110"/>
  <c r="T110"/>
  <c r="J228"/>
  <c r="Q221"/>
  <c r="T216"/>
  <c r="BZ211"/>
  <c r="AT209"/>
  <c r="BM206"/>
  <c r="BH203"/>
  <c r="BC201"/>
  <c r="BM199"/>
  <c r="CE197"/>
  <c r="CB194"/>
  <c r="CD192"/>
  <c r="X191"/>
  <c r="BH189"/>
  <c r="L188"/>
  <c r="AT185"/>
  <c r="CG183"/>
  <c r="AG182"/>
  <c r="BN180"/>
  <c r="Q179"/>
  <c r="AZ176"/>
  <c r="BU174"/>
  <c r="X173"/>
  <c r="BF171"/>
  <c r="AA169"/>
  <c r="CD167"/>
  <c r="AY166"/>
  <c r="AH165"/>
  <c r="S164"/>
  <c r="BW162"/>
  <c r="BK160"/>
  <c r="AT159"/>
  <c r="AE158"/>
  <c r="CH156"/>
  <c r="J156"/>
  <c r="AE155"/>
  <c r="AZ154"/>
  <c r="BU153"/>
  <c r="I153"/>
  <c r="AG151"/>
  <c r="BB150"/>
  <c r="BO149"/>
  <c r="CJ148"/>
  <c r="X148"/>
  <c r="AS147"/>
  <c r="BF146"/>
  <c r="CA145"/>
  <c r="O145"/>
  <c r="AJ144"/>
  <c r="AZ142"/>
  <c r="BU141"/>
  <c r="I141"/>
  <c r="AD140"/>
  <c r="AQ139"/>
  <c r="BL138"/>
  <c r="CG137"/>
  <c r="U137"/>
  <c r="AH136"/>
  <c r="AX134"/>
  <c r="BS133"/>
  <c r="G133"/>
  <c r="AB132"/>
  <c r="AW131"/>
  <c r="BR130"/>
  <c r="CE129"/>
  <c r="S129"/>
  <c r="AN128"/>
  <c r="BI127"/>
  <c r="BY125"/>
  <c r="M125"/>
  <c r="Z124"/>
  <c r="AU123"/>
  <c r="BP122"/>
  <c r="CK121"/>
  <c r="Y121"/>
  <c r="AT120"/>
  <c r="BG119"/>
  <c r="BW117"/>
  <c r="K117"/>
  <c r="AF116"/>
  <c r="BA115"/>
  <c r="BN114"/>
  <c r="CI113"/>
  <c r="W113"/>
  <c r="AR112"/>
  <c r="BM111"/>
  <c r="CH110"/>
  <c r="V110"/>
  <c r="U228"/>
  <c r="P218"/>
  <c r="AM211"/>
  <c r="AN207"/>
  <c r="W203"/>
  <c r="BD200"/>
  <c r="CF197"/>
  <c r="AV194"/>
  <c r="X192"/>
  <c r="L190"/>
  <c r="CG186"/>
  <c r="BX184"/>
  <c r="AQ182"/>
  <c r="AH180"/>
  <c r="AN177"/>
  <c r="AD175"/>
  <c r="AC173"/>
  <c r="BN169"/>
  <c r="CF167"/>
  <c r="AG166"/>
  <c r="BP164"/>
  <c r="R163"/>
  <c r="AW160"/>
  <c r="CI158"/>
  <c r="AK157"/>
  <c r="L156"/>
  <c r="K155"/>
  <c r="M154"/>
  <c r="L153"/>
  <c r="H151"/>
  <c r="H150"/>
  <c r="G149"/>
  <c r="G148"/>
  <c r="G147"/>
  <c r="G146"/>
  <c r="H145"/>
  <c r="H144"/>
  <c r="CB141"/>
  <c r="BQ140"/>
  <c r="BF139"/>
  <c r="AU138"/>
  <c r="AU137"/>
  <c r="AK136"/>
  <c r="AI134"/>
  <c r="AH133"/>
  <c r="AI132"/>
  <c r="AI131"/>
  <c r="AH130"/>
  <c r="AH129"/>
  <c r="AH128"/>
  <c r="AG127"/>
  <c r="AF125"/>
  <c r="AG124"/>
  <c r="AG123"/>
  <c r="AG122"/>
  <c r="AH121"/>
  <c r="AG120"/>
  <c r="AF119"/>
  <c r="AC117"/>
  <c r="AB116"/>
  <c r="AB115"/>
  <c r="AC114"/>
  <c r="AI227"/>
  <c r="AK218"/>
  <c r="AY213"/>
  <c r="AY209"/>
  <c r="AA206"/>
  <c r="CJ201"/>
  <c r="AU199"/>
  <c r="BX195"/>
  <c r="T193"/>
  <c r="BK190"/>
  <c r="BC188"/>
  <c r="BM185"/>
  <c r="BD183"/>
  <c r="V181"/>
  <c r="J179"/>
  <c r="CD175"/>
  <c r="CB173"/>
  <c r="AS171"/>
  <c r="AP168"/>
  <c r="BS166"/>
  <c r="T165"/>
  <c r="AO163"/>
  <c r="BB160"/>
  <c r="CK158"/>
  <c r="AP157"/>
  <c r="CK155"/>
  <c r="CK154"/>
  <c r="BZ153"/>
  <c r="BW151"/>
  <c r="BV150"/>
  <c r="BV149"/>
  <c r="BV148"/>
  <c r="BU147"/>
  <c r="BW146"/>
  <c r="BV145"/>
  <c r="BW144"/>
  <c r="BT142"/>
  <c r="BT141"/>
  <c r="BT140"/>
  <c r="BS139"/>
  <c r="BS138"/>
  <c r="BS137"/>
  <c r="BS136"/>
  <c r="BQ134"/>
  <c r="BF133"/>
  <c r="AV132"/>
  <c r="AK131"/>
  <c r="Z130"/>
  <c r="O129"/>
  <c r="CK127"/>
  <c r="CJ125"/>
  <c r="CK124"/>
  <c r="CK123"/>
  <c r="CK122"/>
  <c r="BZ121"/>
  <c r="CA120"/>
  <c r="BZ119"/>
  <c r="BV117"/>
  <c r="BV116"/>
  <c r="BU115"/>
  <c r="BW114"/>
  <c r="BV113"/>
  <c r="BW112"/>
  <c r="BW111"/>
  <c r="BV110"/>
  <c r="R234"/>
  <c r="Z224"/>
  <c r="Y217"/>
  <c r="X213"/>
  <c r="BW208"/>
  <c r="AA205"/>
  <c r="AM201"/>
  <c r="CH198"/>
  <c r="BC195"/>
  <c r="V193"/>
  <c r="BO190"/>
  <c r="BM188"/>
  <c r="V185"/>
  <c r="S183"/>
  <c r="BP180"/>
  <c r="AZ177"/>
  <c r="V175"/>
  <c r="P173"/>
  <c r="BZ169"/>
  <c r="BV167"/>
  <c r="G166"/>
  <c r="AQ164"/>
  <c r="CA162"/>
  <c r="W160"/>
  <c r="Y158"/>
  <c r="BO156"/>
  <c r="AW155"/>
  <c r="AM154"/>
  <c r="AL153"/>
  <c r="AI151"/>
  <c r="AH150"/>
  <c r="AH149"/>
  <c r="AH148"/>
  <c r="AG147"/>
  <c r="AI146"/>
  <c r="AH145"/>
  <c r="AI144"/>
  <c r="AF142"/>
  <c r="AF141"/>
  <c r="AF140"/>
  <c r="AE139"/>
  <c r="AE138"/>
  <c r="BN233"/>
  <c r="BO235"/>
  <c r="G231"/>
  <c r="BE231"/>
  <c r="N225"/>
  <c r="Z219"/>
  <c r="AK232"/>
  <c r="CI225"/>
  <c r="AQ232"/>
  <c r="AY225"/>
  <c r="BI232"/>
  <c r="AW223"/>
  <c r="AA234"/>
  <c r="T224"/>
  <c r="M217"/>
  <c r="AO232"/>
  <c r="BJ221"/>
  <c r="CH228"/>
  <c r="CE218"/>
  <c r="BY211"/>
  <c r="Q207"/>
  <c r="AN225"/>
  <c r="W217"/>
  <c r="AQ228"/>
  <c r="J215"/>
  <c r="AQ208"/>
  <c r="AS202"/>
  <c r="AP223"/>
  <c r="AF213"/>
  <c r="X206"/>
  <c r="AO200"/>
  <c r="BI194"/>
  <c r="AT222"/>
  <c r="CD209"/>
  <c r="AA201"/>
  <c r="BD194"/>
  <c r="AQ189"/>
  <c r="BS183"/>
  <c r="BG177"/>
  <c r="CA173"/>
  <c r="Y171"/>
  <c r="P225"/>
  <c r="BQ216"/>
  <c r="L211"/>
  <c r="X207"/>
  <c r="CE202"/>
  <c r="CF199"/>
  <c r="Q197"/>
  <c r="AA193"/>
  <c r="BE190"/>
  <c r="S188"/>
  <c r="BQ184"/>
  <c r="AE182"/>
  <c r="BZ179"/>
  <c r="S176"/>
  <c r="BN173"/>
  <c r="AJ171"/>
  <c r="CG236"/>
  <c r="BE218"/>
  <c r="CB210"/>
  <c r="CG205"/>
  <c r="BT200"/>
  <c r="Y197"/>
  <c r="AX192"/>
  <c r="BF188"/>
  <c r="AT184"/>
  <c r="AI181"/>
  <c r="U177"/>
  <c r="CH173"/>
  <c r="BB169"/>
  <c r="G167"/>
  <c r="BJ164"/>
  <c r="AN162"/>
  <c r="BQ159"/>
  <c r="CA157"/>
  <c r="AU234"/>
  <c r="CJ222"/>
  <c r="Q215"/>
  <c r="AJ210"/>
  <c r="BN206"/>
  <c r="BG202"/>
  <c r="AY199"/>
  <c r="CH195"/>
  <c r="AZ193"/>
  <c r="AN191"/>
  <c r="AN189"/>
  <c r="AK186"/>
  <c r="P184"/>
  <c r="BR181"/>
  <c r="AV179"/>
  <c r="AS176"/>
  <c r="AT174"/>
  <c r="AT172"/>
  <c r="AU169"/>
  <c r="BU167"/>
  <c r="AD166"/>
  <c r="BL164"/>
  <c r="U163"/>
  <c r="AX160"/>
  <c r="G159"/>
  <c r="AW157"/>
  <c r="AA228"/>
  <c r="AN219"/>
  <c r="CJ214"/>
  <c r="BC210"/>
  <c r="AZ207"/>
  <c r="BI203"/>
  <c r="BN200"/>
  <c r="Q198"/>
  <c r="BL194"/>
  <c r="V192"/>
  <c r="U190"/>
  <c r="U188"/>
  <c r="R185"/>
  <c r="T183"/>
  <c r="S181"/>
  <c r="R179"/>
  <c r="CA175"/>
  <c r="BH173"/>
  <c r="AL171"/>
  <c r="AZ168"/>
  <c r="CB166"/>
  <c r="AK165"/>
  <c r="BS163"/>
  <c r="AB162"/>
  <c r="BM159"/>
  <c r="V158"/>
  <c r="BD156"/>
  <c r="AR225"/>
  <c r="S218"/>
  <c r="AU214"/>
  <c r="BB210"/>
  <c r="BA207"/>
  <c r="BY203"/>
  <c r="BS201"/>
  <c r="BG199"/>
  <c r="BZ197"/>
  <c r="I195"/>
  <c r="AC193"/>
  <c r="BC191"/>
  <c r="CK189"/>
  <c r="W188"/>
  <c r="Y185"/>
  <c r="BL183"/>
  <c r="K182"/>
  <c r="AR180"/>
  <c r="CC177"/>
  <c r="AD176"/>
  <c r="BS174"/>
  <c r="T173"/>
  <c r="BA171"/>
  <c r="I169"/>
  <c r="BN167"/>
  <c r="AW166"/>
  <c r="AE165"/>
  <c r="CJ163"/>
  <c r="BS162"/>
  <c r="BI160"/>
  <c r="AQ159"/>
  <c r="O158"/>
  <c r="CE156"/>
  <c r="H156"/>
  <c r="AC155"/>
  <c r="AP154"/>
  <c r="BK153"/>
  <c r="CI151"/>
  <c r="W151"/>
  <c r="AR150"/>
  <c r="BM149"/>
  <c r="CH148"/>
  <c r="V148"/>
  <c r="AI147"/>
  <c r="BD146"/>
  <c r="BY145"/>
  <c r="M145"/>
  <c r="Z144"/>
  <c r="AP142"/>
  <c r="BK141"/>
  <c r="CF140"/>
  <c r="T140"/>
  <c r="AO139"/>
  <c r="BJ138"/>
  <c r="BW137"/>
  <c r="K137"/>
  <c r="AF136"/>
  <c r="BD134"/>
  <c r="BY133"/>
  <c r="M133"/>
  <c r="Z132"/>
  <c r="AU131"/>
  <c r="BP130"/>
  <c r="CK129"/>
  <c r="Y129"/>
  <c r="AT128"/>
  <c r="BG127"/>
  <c r="BW125"/>
  <c r="K125"/>
  <c r="AF124"/>
  <c r="BA123"/>
  <c r="BN122"/>
  <c r="CI121"/>
  <c r="W121"/>
  <c r="AR120"/>
  <c r="BM119"/>
  <c r="CK117"/>
  <c r="Y117"/>
  <c r="AT116"/>
  <c r="BG115"/>
  <c r="CB114"/>
  <c r="P114"/>
  <c r="AK113"/>
  <c r="AX112"/>
  <c r="BS111"/>
  <c r="G111"/>
  <c r="AB110"/>
  <c r="CK228"/>
  <c r="CA221"/>
  <c r="BA216"/>
  <c r="P213"/>
  <c r="BT209"/>
  <c r="AH207"/>
  <c r="CC203"/>
  <c r="BZ201"/>
  <c r="CE199"/>
  <c r="P198"/>
  <c r="N195"/>
  <c r="M193"/>
  <c r="AP191"/>
  <c r="BY189"/>
  <c r="AB188"/>
  <c r="BK185"/>
  <c r="O184"/>
  <c r="AX182"/>
  <c r="CF180"/>
  <c r="AG179"/>
  <c r="BR176"/>
  <c r="S175"/>
  <c r="AO173"/>
  <c r="BV171"/>
  <c r="AP169"/>
  <c r="J168"/>
  <c r="BM166"/>
  <c r="AU165"/>
  <c r="AE164"/>
  <c r="CI162"/>
  <c r="BY160"/>
  <c r="BG159"/>
  <c r="AQ158"/>
  <c r="M157"/>
  <c r="R156"/>
  <c r="AM155"/>
  <c r="BH154"/>
  <c r="CC153"/>
  <c r="Q153"/>
  <c r="AO151"/>
  <c r="BJ150"/>
  <c r="BW149"/>
  <c r="K149"/>
  <c r="AF148"/>
  <c r="BA147"/>
  <c r="BN146"/>
  <c r="CI145"/>
  <c r="W145"/>
  <c r="AR144"/>
  <c r="BH142"/>
  <c r="CC141"/>
  <c r="Q141"/>
  <c r="AL140"/>
  <c r="AY139"/>
  <c r="BT138"/>
  <c r="H138"/>
  <c r="AC137"/>
  <c r="AP136"/>
  <c r="BF134"/>
  <c r="CA133"/>
  <c r="O133"/>
  <c r="AJ132"/>
  <c r="BE131"/>
  <c r="BZ130"/>
  <c r="N130"/>
  <c r="AA129"/>
  <c r="AV128"/>
  <c r="BQ127"/>
  <c r="CG125"/>
  <c r="U125"/>
  <c r="AH124"/>
  <c r="BC123"/>
  <c r="BX122"/>
  <c r="L122"/>
  <c r="AG121"/>
  <c r="BB120"/>
  <c r="BO119"/>
  <c r="CE117"/>
  <c r="S117"/>
  <c r="AN116"/>
  <c r="BI115"/>
  <c r="BV114"/>
  <c r="J114"/>
  <c r="AE113"/>
  <c r="AZ112"/>
  <c r="BU111"/>
  <c r="I111"/>
  <c r="AD110"/>
  <c r="BT230"/>
  <c r="CF218"/>
  <c r="BR211"/>
  <c r="BS207"/>
  <c r="BC203"/>
  <c r="CE200"/>
  <c r="V198"/>
  <c r="BT194"/>
  <c r="AT192"/>
  <c r="AH190"/>
  <c r="AD188"/>
  <c r="N185"/>
  <c r="BQ182"/>
  <c r="BC180"/>
  <c r="BI177"/>
  <c r="BE175"/>
  <c r="AY173"/>
  <c r="O171"/>
  <c r="P168"/>
  <c r="AX166"/>
  <c r="CG164"/>
  <c r="AH163"/>
  <c r="BO160"/>
  <c r="N159"/>
  <c r="BB157"/>
  <c r="V156"/>
  <c r="V155"/>
  <c r="W154"/>
  <c r="V153"/>
  <c r="S151"/>
  <c r="R150"/>
  <c r="R149"/>
  <c r="R148"/>
  <c r="Q147"/>
  <c r="S146"/>
  <c r="R145"/>
  <c r="S144"/>
  <c r="P142"/>
  <c r="CB140"/>
  <c r="BQ139"/>
  <c r="BF138"/>
  <c r="BE137"/>
  <c r="AU136"/>
  <c r="AS134"/>
  <c r="AR133"/>
  <c r="AT132"/>
  <c r="AS131"/>
  <c r="AS130"/>
  <c r="AS129"/>
  <c r="AR128"/>
  <c r="AR127"/>
  <c r="AP125"/>
  <c r="AR124"/>
  <c r="AQ123"/>
  <c r="AS122"/>
  <c r="AR121"/>
  <c r="AQ120"/>
  <c r="AR119"/>
  <c r="AM117"/>
  <c r="AM116"/>
  <c r="AM115"/>
  <c r="AM114"/>
  <c r="AO228"/>
  <c r="BL219"/>
  <c r="BD214"/>
  <c r="CE209"/>
  <c r="BK206"/>
  <c r="AG202"/>
  <c r="BS199"/>
  <c r="K197"/>
  <c r="AR193"/>
  <c r="CF190"/>
  <c r="CC188"/>
  <c r="CH185"/>
  <c r="BY183"/>
  <c r="AQ181"/>
  <c r="AJ179"/>
  <c r="T176"/>
  <c r="O174"/>
  <c r="BN171"/>
  <c r="BH168"/>
  <c r="CK166"/>
  <c r="AL165"/>
  <c r="BE163"/>
  <c r="BR160"/>
  <c r="S159"/>
  <c r="BF157"/>
  <c r="N156"/>
  <c r="N155"/>
  <c r="O154"/>
  <c r="CG151"/>
  <c r="CG150"/>
  <c r="CG149"/>
  <c r="CF148"/>
  <c r="CF147"/>
  <c r="CG146"/>
  <c r="CF145"/>
  <c r="CH144"/>
  <c r="CE142"/>
  <c r="CE141"/>
  <c r="CD140"/>
  <c r="CD139"/>
  <c r="CD138"/>
  <c r="CC137"/>
  <c r="CE136"/>
  <c r="CA134"/>
  <c r="BP133"/>
  <c r="BG132"/>
  <c r="AV131"/>
  <c r="AK130"/>
  <c r="Z129"/>
  <c r="O128"/>
  <c r="O127"/>
  <c r="N125"/>
  <c r="N124"/>
  <c r="N123"/>
  <c r="O122"/>
  <c r="CK120"/>
  <c r="CJ119"/>
  <c r="CG117"/>
  <c r="CF116"/>
  <c r="CF115"/>
  <c r="CG114"/>
  <c r="CF113"/>
  <c r="CH112"/>
  <c r="CG111"/>
  <c r="CG110"/>
  <c r="BM235"/>
  <c r="Z225"/>
  <c r="CE217"/>
  <c r="BF213"/>
  <c r="AA209"/>
  <c r="BG205"/>
  <c r="BO201"/>
  <c r="AB199"/>
  <c r="CA195"/>
  <c r="AW193"/>
  <c r="AC191"/>
  <c r="CH188"/>
  <c r="AW185"/>
  <c r="AN183"/>
  <c r="Z181"/>
  <c r="BU177"/>
  <c r="AQ175"/>
  <c r="AN173"/>
  <c r="AC171"/>
  <c r="AA168"/>
  <c r="Y166"/>
  <c r="BH164"/>
  <c r="I163"/>
  <c r="AO160"/>
  <c r="AS158"/>
  <c r="CC156"/>
  <c r="BG155"/>
  <c r="AW154"/>
  <c r="AX153"/>
  <c r="AS151"/>
  <c r="AS150"/>
  <c r="AS149"/>
  <c r="AR148"/>
  <c r="AR147"/>
  <c r="AS146"/>
  <c r="AR145"/>
  <c r="AT144"/>
  <c r="AQ142"/>
  <c r="AQ141"/>
  <c r="AP140"/>
  <c r="AP139"/>
  <c r="AP138"/>
  <c r="H235"/>
  <c r="BR236"/>
  <c r="AM231"/>
  <c r="BE232"/>
  <c r="AG226"/>
  <c r="AX221"/>
  <c r="BP233"/>
  <c r="AH226"/>
  <c r="AO233"/>
  <c r="BZ226"/>
  <c r="BF235"/>
  <c r="CK224"/>
  <c r="J235"/>
  <c r="AG225"/>
  <c r="AJ218"/>
  <c r="AK236"/>
  <c r="R223"/>
  <c r="CI230"/>
  <c r="CI219"/>
  <c r="U214"/>
  <c r="AJ208"/>
  <c r="BT227"/>
  <c r="BG217"/>
  <c r="AS232"/>
  <c r="CF216"/>
  <c r="BY209"/>
  <c r="AN203"/>
  <c r="AT224"/>
  <c r="AK214"/>
  <c r="BF207"/>
  <c r="BH201"/>
  <c r="BD195"/>
  <c r="BV223"/>
  <c r="H211"/>
  <c r="O203"/>
  <c r="M197"/>
  <c r="AT190"/>
  <c r="R184"/>
  <c r="AQ179"/>
  <c r="AX174"/>
  <c r="CC171"/>
  <c r="P227"/>
  <c r="AG217"/>
  <c r="BH211"/>
  <c r="M208"/>
  <c r="BJ203"/>
  <c r="AS200"/>
  <c r="AR197"/>
  <c r="BK193"/>
  <c r="T191"/>
  <c r="BO188"/>
  <c r="X185"/>
  <c r="BC182"/>
  <c r="Y180"/>
  <c r="BO176"/>
  <c r="AK174"/>
  <c r="BX171"/>
  <c r="Y168"/>
  <c r="V221"/>
  <c r="S213"/>
  <c r="K207"/>
  <c r="BE201"/>
  <c r="BI197"/>
  <c r="L193"/>
  <c r="AV189"/>
  <c r="W185"/>
  <c r="CJ181"/>
  <c r="BA177"/>
  <c r="AQ174"/>
  <c r="AF171"/>
  <c r="BC167"/>
  <c r="Q165"/>
  <c r="BL162"/>
  <c r="H160"/>
  <c r="Z158"/>
  <c r="AR156"/>
  <c r="AK224"/>
  <c r="S216"/>
  <c r="O211"/>
  <c r="AE207"/>
  <c r="N203"/>
  <c r="M200"/>
  <c r="AM197"/>
  <c r="CJ193"/>
  <c r="BT191"/>
  <c r="BT189"/>
  <c r="BQ186"/>
  <c r="AV184"/>
  <c r="AA182"/>
  <c r="CB179"/>
  <c r="BY176"/>
  <c r="BZ174"/>
  <c r="BZ172"/>
  <c r="BV169"/>
  <c r="M168"/>
  <c r="BB166"/>
  <c r="CJ164"/>
  <c r="AS163"/>
  <c r="BV160"/>
  <c r="AE159"/>
  <c r="BU157"/>
  <c r="X231"/>
  <c r="BT221"/>
  <c r="BO215"/>
  <c r="S211"/>
  <c r="O208"/>
  <c r="U205"/>
  <c r="W201"/>
  <c r="BB198"/>
  <c r="O195"/>
  <c r="BD192"/>
  <c r="BA190"/>
  <c r="BA188"/>
  <c r="AX185"/>
  <c r="AZ183"/>
  <c r="AY181"/>
  <c r="AX179"/>
  <c r="AK176"/>
  <c r="P174"/>
  <c r="BR171"/>
  <c r="CA168"/>
  <c r="S167"/>
  <c r="BI165"/>
  <c r="J164"/>
  <c r="AZ162"/>
  <c r="CK159"/>
  <c r="AT158"/>
  <c r="CB156"/>
  <c r="H227"/>
  <c r="Q219"/>
  <c r="AD215"/>
  <c r="V211"/>
  <c r="S208"/>
  <c r="AU205"/>
  <c r="AB202"/>
  <c r="J200"/>
  <c r="AE198"/>
  <c r="AW195"/>
  <c r="BP193"/>
  <c r="CJ191"/>
  <c r="AJ190"/>
  <c r="BE188"/>
  <c r="BG185"/>
  <c r="K184"/>
  <c r="AS182"/>
  <c r="CA180"/>
  <c r="AE179"/>
  <c r="BM176"/>
  <c r="Q175"/>
  <c r="BA173"/>
  <c r="CI171"/>
  <c r="AM169"/>
  <c r="G168"/>
  <c r="BV166"/>
  <c r="BD165"/>
  <c r="AB164"/>
  <c r="J163"/>
  <c r="CH160"/>
  <c r="BP159"/>
  <c r="AN158"/>
  <c r="V157"/>
  <c r="X156"/>
  <c r="AS155"/>
  <c r="BF154"/>
  <c r="CA153"/>
  <c r="O153"/>
  <c r="AM151"/>
  <c r="BH150"/>
  <c r="CC149"/>
  <c r="Q149"/>
  <c r="AL148"/>
  <c r="AY147"/>
  <c r="BT146"/>
  <c r="H146"/>
  <c r="AC145"/>
  <c r="AP144"/>
  <c r="BF142"/>
  <c r="CA141"/>
  <c r="O141"/>
  <c r="AJ140"/>
  <c r="BE139"/>
  <c r="BZ138"/>
  <c r="N138"/>
  <c r="AA137"/>
  <c r="AV136"/>
  <c r="BT134"/>
  <c r="H134"/>
  <c r="AC133"/>
  <c r="AP132"/>
  <c r="BK131"/>
  <c r="CF130"/>
  <c r="T130"/>
  <c r="AO129"/>
  <c r="BJ128"/>
  <c r="BW127"/>
  <c r="K127"/>
  <c r="AA125"/>
  <c r="AV124"/>
  <c r="BQ123"/>
  <c r="CD122"/>
  <c r="R122"/>
  <c r="AM121"/>
  <c r="BH120"/>
  <c r="CC119"/>
  <c r="Q119"/>
  <c r="AO117"/>
  <c r="BJ116"/>
  <c r="BW115"/>
  <c r="K115"/>
  <c r="AF114"/>
  <c r="BA113"/>
  <c r="BN112"/>
  <c r="CI111"/>
  <c r="W111"/>
  <c r="AR110"/>
  <c r="BT231"/>
  <c r="W223"/>
  <c r="CB217"/>
  <c r="BR213"/>
  <c r="AI210"/>
  <c r="CI207"/>
  <c r="AD205"/>
  <c r="AI202"/>
  <c r="AH200"/>
  <c r="BC198"/>
  <c r="BB195"/>
  <c r="BA193"/>
  <c r="BY191"/>
  <c r="X190"/>
  <c r="BJ188"/>
  <c r="J186"/>
  <c r="AW184"/>
  <c r="CG182"/>
  <c r="AF181"/>
  <c r="BP179"/>
  <c r="Q177"/>
  <c r="BB175"/>
  <c r="BW173"/>
  <c r="X172"/>
  <c r="BS169"/>
  <c r="AM168"/>
  <c r="R167"/>
  <c r="BT165"/>
  <c r="BE164"/>
  <c r="Z163"/>
  <c r="K162"/>
  <c r="CF159"/>
  <c r="BQ158"/>
  <c r="AL157"/>
  <c r="AH156"/>
  <c r="BC155"/>
  <c r="BX154"/>
  <c r="L154"/>
  <c r="AG153"/>
  <c r="BE151"/>
  <c r="BZ150"/>
  <c r="N150"/>
  <c r="AA149"/>
  <c r="AV148"/>
  <c r="BQ147"/>
  <c r="CD146"/>
  <c r="R146"/>
  <c r="AM145"/>
  <c r="BH144"/>
  <c r="BX142"/>
  <c r="L142"/>
  <c r="AG141"/>
  <c r="BB140"/>
  <c r="BO139"/>
  <c r="CJ138"/>
  <c r="X138"/>
  <c r="AS137"/>
  <c r="BF136"/>
  <c r="BV134"/>
  <c r="J134"/>
  <c r="AE133"/>
  <c r="AZ132"/>
  <c r="BU131"/>
  <c r="I131"/>
  <c r="AD130"/>
  <c r="AQ129"/>
  <c r="BL128"/>
  <c r="CG127"/>
  <c r="U127"/>
  <c r="AK125"/>
  <c r="AX124"/>
  <c r="BS123"/>
  <c r="G123"/>
  <c r="AB122"/>
  <c r="AW121"/>
  <c r="BR120"/>
  <c r="CE119"/>
  <c r="S119"/>
  <c r="AI117"/>
  <c r="BD116"/>
  <c r="BY115"/>
  <c r="M115"/>
  <c r="Z114"/>
  <c r="AU113"/>
  <c r="BP112"/>
  <c r="CK111"/>
  <c r="Y111"/>
  <c r="AT110"/>
  <c r="CD234"/>
  <c r="AE221"/>
  <c r="CG213"/>
  <c r="BF208"/>
  <c r="M205"/>
  <c r="BB201"/>
  <c r="BY198"/>
  <c r="AP195"/>
  <c r="K193"/>
  <c r="CA190"/>
  <c r="BU188"/>
  <c r="BE185"/>
  <c r="BA183"/>
  <c r="R181"/>
  <c r="G179"/>
  <c r="L176"/>
  <c r="I174"/>
  <c r="BJ171"/>
  <c r="BC168"/>
  <c r="CE166"/>
  <c r="AF165"/>
  <c r="BR163"/>
  <c r="S162"/>
  <c r="AX159"/>
  <c r="CJ157"/>
  <c r="AT156"/>
  <c r="AQ155"/>
  <c r="AS154"/>
  <c r="AR153"/>
  <c r="AN151"/>
  <c r="AN150"/>
  <c r="AM149"/>
  <c r="AM148"/>
  <c r="AM147"/>
  <c r="AM146"/>
  <c r="AN145"/>
  <c r="AN144"/>
  <c r="AL142"/>
  <c r="AA141"/>
  <c r="P140"/>
  <c r="CA138"/>
  <c r="CA137"/>
  <c r="BQ136"/>
  <c r="BO134"/>
  <c r="BN133"/>
  <c r="BO132"/>
  <c r="BO131"/>
  <c r="BN130"/>
  <c r="BN129"/>
  <c r="BN128"/>
  <c r="BM127"/>
  <c r="BL125"/>
  <c r="BM124"/>
  <c r="BM123"/>
  <c r="BM122"/>
  <c r="BN121"/>
  <c r="BM120"/>
  <c r="BL119"/>
  <c r="BI117"/>
  <c r="BH116"/>
  <c r="BH115"/>
  <c r="BI114"/>
  <c r="BL233"/>
  <c r="AD222"/>
  <c r="BA215"/>
  <c r="BK210"/>
  <c r="AS207"/>
  <c r="AI203"/>
  <c r="AK200"/>
  <c r="BN197"/>
  <c r="AD194"/>
  <c r="AT191"/>
  <c r="AH189"/>
  <c r="AT186"/>
  <c r="AM184"/>
  <c r="Z182"/>
  <c r="CA179"/>
  <c r="BJ176"/>
  <c r="BJ174"/>
  <c r="AX172"/>
  <c r="O169"/>
  <c r="AJ167"/>
  <c r="BS165"/>
  <c r="U164"/>
  <c r="Y162"/>
  <c r="AZ159"/>
  <c r="G158"/>
  <c r="AJ156"/>
  <c r="AI155"/>
  <c r="AK154"/>
  <c r="Z153"/>
  <c r="U151"/>
  <c r="U150"/>
  <c r="U149"/>
  <c r="T148"/>
  <c r="T147"/>
  <c r="U146"/>
  <c r="T145"/>
  <c r="V144"/>
  <c r="S142"/>
  <c r="S141"/>
  <c r="R140"/>
  <c r="R139"/>
  <c r="R138"/>
  <c r="Q137"/>
  <c r="S136"/>
  <c r="O134"/>
  <c r="CB132"/>
  <c r="BQ131"/>
  <c r="BF130"/>
  <c r="AU129"/>
  <c r="AJ128"/>
  <c r="AJ127"/>
  <c r="AH125"/>
  <c r="AJ124"/>
  <c r="AI123"/>
  <c r="AK122"/>
  <c r="Z121"/>
  <c r="Y120"/>
  <c r="X119"/>
  <c r="U117"/>
  <c r="T116"/>
  <c r="T115"/>
  <c r="U114"/>
  <c r="T113"/>
  <c r="V112"/>
  <c r="U111"/>
  <c r="U110"/>
  <c r="BG227"/>
  <c r="N219"/>
  <c r="BO214"/>
  <c r="AM210"/>
  <c r="AK206"/>
  <c r="AN202"/>
  <c r="BY199"/>
  <c r="AT197"/>
  <c r="H194"/>
  <c r="BV191"/>
  <c r="AO189"/>
  <c r="AD186"/>
  <c r="CH183"/>
  <c r="BV181"/>
  <c r="AO179"/>
  <c r="Y176"/>
  <c r="CF173"/>
  <c r="BT171"/>
  <c r="BK168"/>
  <c r="BF166"/>
  <c r="G165"/>
  <c r="AR163"/>
  <c r="BW160"/>
  <c r="BY158"/>
  <c r="AC157"/>
  <c r="CC155"/>
  <c r="BS154"/>
  <c r="BR153"/>
  <c r="BO151"/>
  <c r="BN150"/>
  <c r="BN149"/>
  <c r="BN148"/>
  <c r="BM147"/>
  <c r="BO146"/>
  <c r="BN145"/>
  <c r="BO144"/>
  <c r="BL142"/>
  <c r="BL141"/>
  <c r="BL140"/>
  <c r="BK139"/>
  <c r="BK138"/>
  <c r="BK137"/>
  <c r="BK136"/>
  <c r="BI134"/>
  <c r="BH133"/>
  <c r="BJ132"/>
  <c r="BI131"/>
  <c r="BI130"/>
  <c r="BI129"/>
  <c r="BH128"/>
  <c r="BH127"/>
  <c r="BF125"/>
  <c r="AW124"/>
  <c r="AL123"/>
  <c r="AC122"/>
  <c r="CF221"/>
  <c r="AE213"/>
  <c r="BE206"/>
  <c r="J199"/>
  <c r="Z194"/>
  <c r="AI190"/>
  <c r="BV185"/>
  <c r="M182"/>
  <c r="CD177"/>
  <c r="BK174"/>
  <c r="BJ169"/>
  <c r="CG166"/>
  <c r="L164"/>
  <c r="BA160"/>
  <c r="H158"/>
  <c r="CD155"/>
  <c r="AE154"/>
  <c r="BH151"/>
  <c r="I150"/>
  <c r="AQ148"/>
  <c r="BZ146"/>
  <c r="Z145"/>
  <c r="BE142"/>
  <c r="BY140"/>
  <c r="AB139"/>
  <c r="BL137"/>
  <c r="AR231"/>
  <c r="X236"/>
  <c r="AB227"/>
  <c r="AU236"/>
  <c r="Z226"/>
  <c r="AJ228"/>
  <c r="BB228"/>
  <c r="BH235"/>
  <c r="AV221"/>
  <c r="BS234"/>
  <c r="BS235"/>
  <c r="K217"/>
  <c r="BP208"/>
  <c r="AE222"/>
  <c r="BM231"/>
  <c r="AZ211"/>
  <c r="CA200"/>
  <c r="Y216"/>
  <c r="AP203"/>
  <c r="CG194"/>
  <c r="BC214"/>
  <c r="Z199"/>
  <c r="Y191"/>
  <c r="BU181"/>
  <c r="AP174"/>
  <c r="V232"/>
  <c r="H215"/>
  <c r="BV208"/>
  <c r="BU201"/>
  <c r="AI197"/>
  <c r="CF191"/>
  <c r="AI186"/>
  <c r="R183"/>
  <c r="BR177"/>
  <c r="U174"/>
  <c r="CK168"/>
  <c r="AF216"/>
  <c r="BH207"/>
  <c r="AW199"/>
  <c r="CH192"/>
  <c r="W186"/>
  <c r="AI180"/>
  <c r="T175"/>
  <c r="BD168"/>
  <c r="BZ164"/>
  <c r="BD160"/>
  <c r="AM157"/>
  <c r="AZ226"/>
  <c r="BG213"/>
  <c r="O207"/>
  <c r="BX200"/>
  <c r="M195"/>
  <c r="S192"/>
  <c r="BI188"/>
  <c r="AL184"/>
  <c r="BG180"/>
  <c r="BX175"/>
  <c r="Y173"/>
  <c r="BY168"/>
  <c r="AT166"/>
  <c r="CG163"/>
  <c r="J160"/>
  <c r="L158"/>
  <c r="J225"/>
  <c r="AR215"/>
  <c r="K209"/>
  <c r="BL202"/>
  <c r="R199"/>
  <c r="BO193"/>
  <c r="AQ190"/>
  <c r="R186"/>
  <c r="AY182"/>
  <c r="CD179"/>
  <c r="O175"/>
  <c r="BG171"/>
  <c r="BG167"/>
  <c r="BV164"/>
  <c r="BX162"/>
  <c r="Q159"/>
  <c r="BT156"/>
  <c r="BK221"/>
  <c r="BM213"/>
  <c r="AU208"/>
  <c r="G203"/>
  <c r="CB199"/>
  <c r="CI195"/>
  <c r="BX192"/>
  <c r="BC190"/>
  <c r="AO186"/>
  <c r="CB183"/>
  <c r="AC181"/>
  <c r="AU177"/>
  <c r="AG175"/>
  <c r="BA172"/>
  <c r="X169"/>
  <c r="N167"/>
  <c r="CA164"/>
  <c r="X163"/>
  <c r="V160"/>
  <c r="AA158"/>
  <c r="AO156"/>
  <c r="M155"/>
  <c r="CI153"/>
  <c r="BK151"/>
  <c r="AZ150"/>
  <c r="AG149"/>
  <c r="CE147"/>
  <c r="CB146"/>
  <c r="BA145"/>
  <c r="AH144"/>
  <c r="J142"/>
  <c r="BP140"/>
  <c r="BM139"/>
  <c r="AL138"/>
  <c r="S137"/>
  <c r="CJ134"/>
  <c r="BI133"/>
  <c r="AX132"/>
  <c r="W131"/>
  <c r="L130"/>
  <c r="BZ128"/>
  <c r="AQ127"/>
  <c r="AI125"/>
  <c r="H124"/>
  <c r="BV122"/>
  <c r="BC121"/>
  <c r="AB120"/>
  <c r="Y119"/>
  <c r="CH116"/>
  <c r="BO115"/>
  <c r="AV114"/>
  <c r="U113"/>
  <c r="J112"/>
  <c r="BP110"/>
  <c r="AG236"/>
  <c r="AU222"/>
  <c r="BA214"/>
  <c r="R209"/>
  <c r="BA205"/>
  <c r="K201"/>
  <c r="AH198"/>
  <c r="T194"/>
  <c r="G191"/>
  <c r="BZ188"/>
  <c r="K185"/>
  <c r="BN182"/>
  <c r="O180"/>
  <c r="AJ176"/>
  <c r="G174"/>
  <c r="W171"/>
  <c r="Z168"/>
  <c r="M166"/>
  <c r="BZ163"/>
  <c r="W162"/>
  <c r="T159"/>
  <c r="Z157"/>
  <c r="BS155"/>
  <c r="AR154"/>
  <c r="AO153"/>
  <c r="Q151"/>
  <c r="CE149"/>
  <c r="BL148"/>
  <c r="AK147"/>
  <c r="Z146"/>
  <c r="CF144"/>
  <c r="BP142"/>
  <c r="AW141"/>
  <c r="V140"/>
  <c r="K139"/>
  <c r="BQ137"/>
  <c r="AX136"/>
  <c r="Z134"/>
  <c r="CF132"/>
  <c r="CC131"/>
  <c r="BB130"/>
  <c r="AI129"/>
  <c r="P128"/>
  <c r="BQ125"/>
  <c r="BF124"/>
  <c r="AE123"/>
  <c r="T122"/>
  <c r="CH120"/>
  <c r="AY119"/>
  <c r="AQ117"/>
  <c r="P116"/>
  <c r="CD114"/>
  <c r="BK113"/>
  <c r="AJ112"/>
  <c r="AG111"/>
  <c r="BX223"/>
  <c r="AR213"/>
  <c r="BU205"/>
  <c r="AB200"/>
  <c r="BO195"/>
  <c r="BK191"/>
  <c r="AZ188"/>
  <c r="I184"/>
  <c r="J180"/>
  <c r="AL176"/>
  <c r="AS172"/>
  <c r="AI168"/>
  <c r="BN165"/>
  <c r="CK162"/>
  <c r="BN159"/>
  <c r="CK156"/>
  <c r="AG155"/>
  <c r="BN153"/>
  <c r="CD150"/>
  <c r="AX149"/>
  <c r="BS147"/>
  <c r="AC146"/>
  <c r="BJ144"/>
  <c r="BQ141"/>
  <c r="Z140"/>
  <c r="Z138"/>
  <c r="BG136"/>
  <c r="CJ133"/>
  <c r="X132"/>
  <c r="BY130"/>
  <c r="M129"/>
  <c r="BC127"/>
  <c r="CH124"/>
  <c r="V123"/>
  <c r="BX121"/>
  <c r="K120"/>
  <c r="AX117"/>
  <c r="CC115"/>
  <c r="S114"/>
  <c r="T223"/>
  <c r="CE211"/>
  <c r="N207"/>
  <c r="CJ200"/>
  <c r="AS195"/>
  <c r="BO191"/>
  <c r="M188"/>
  <c r="Q184"/>
  <c r="AM180"/>
  <c r="BH175"/>
  <c r="BU172"/>
  <c r="CH167"/>
  <c r="BB165"/>
  <c r="BE162"/>
  <c r="BU158"/>
  <c r="AW156"/>
  <c r="BQ154"/>
  <c r="N153"/>
  <c r="AP150"/>
  <c r="BK148"/>
  <c r="AE147"/>
  <c r="AZ145"/>
  <c r="K144"/>
  <c r="AN141"/>
  <c r="BI139"/>
  <c r="AB138"/>
  <c r="AY136"/>
  <c r="CB133"/>
  <c r="P132"/>
  <c r="P130"/>
  <c r="AU128"/>
  <c r="BN125"/>
  <c r="Y124"/>
  <c r="BE122"/>
  <c r="BO120"/>
  <c r="AJ119"/>
  <c r="AZ116"/>
  <c r="I115"/>
  <c r="AP113"/>
  <c r="BL111"/>
  <c r="AF110"/>
  <c r="BE222"/>
  <c r="Z214"/>
  <c r="V207"/>
  <c r="G201"/>
  <c r="BR197"/>
  <c r="BG192"/>
  <c r="Q189"/>
  <c r="AQ184"/>
  <c r="AQ180"/>
  <c r="AT176"/>
  <c r="BD172"/>
  <c r="AS168"/>
  <c r="AN165"/>
  <c r="BK162"/>
  <c r="X159"/>
  <c r="AL156"/>
  <c r="BI154"/>
  <c r="G232"/>
  <c r="AE231"/>
  <c r="BX227"/>
  <c r="BP236"/>
  <c r="BI227"/>
  <c r="BH228"/>
  <c r="AM234"/>
  <c r="Z236"/>
  <c r="Z222"/>
  <c r="CK213"/>
  <c r="AB218"/>
  <c r="BK219"/>
  <c r="CA209"/>
  <c r="AQ222"/>
  <c r="BC213"/>
  <c r="CB211"/>
  <c r="BQ202"/>
  <c r="BJ216"/>
  <c r="AX203"/>
  <c r="AF197"/>
  <c r="P216"/>
  <c r="CB202"/>
  <c r="CK191"/>
  <c r="AB182"/>
  <c r="U175"/>
  <c r="BS233"/>
  <c r="P217"/>
  <c r="Z209"/>
  <c r="CG201"/>
  <c r="W198"/>
  <c r="O192"/>
  <c r="AY188"/>
  <c r="AH183"/>
  <c r="N179"/>
  <c r="BI174"/>
  <c r="AR169"/>
  <c r="BE219"/>
  <c r="BT208"/>
  <c r="BH199"/>
  <c r="CG193"/>
  <c r="AS186"/>
  <c r="BD181"/>
  <c r="AP175"/>
  <c r="BN168"/>
  <c r="AW165"/>
  <c r="BT160"/>
  <c r="R158"/>
  <c r="BJ227"/>
  <c r="CD213"/>
  <c r="K208"/>
  <c r="AU201"/>
  <c r="AB197"/>
  <c r="AO192"/>
  <c r="BS188"/>
  <c r="CB184"/>
  <c r="CB180"/>
  <c r="BN176"/>
  <c r="AT173"/>
  <c r="CH168"/>
  <c r="BZ166"/>
  <c r="P164"/>
  <c r="BN160"/>
  <c r="AB158"/>
  <c r="BH225"/>
  <c r="AR216"/>
  <c r="AR209"/>
  <c r="CK203"/>
  <c r="AP199"/>
  <c r="CA193"/>
  <c r="CG190"/>
  <c r="AM186"/>
  <c r="AO183"/>
  <c r="S180"/>
  <c r="Z175"/>
  <c r="AA172"/>
  <c r="BW167"/>
  <c r="BA165"/>
  <c r="G163"/>
  <c r="Y159"/>
  <c r="S157"/>
  <c r="AF222"/>
  <c r="CB214"/>
  <c r="BR208"/>
  <c r="AE203"/>
  <c r="AD200"/>
  <c r="T197"/>
  <c r="AU193"/>
  <c r="BS190"/>
  <c r="BE186"/>
  <c r="AB184"/>
  <c r="AS181"/>
  <c r="L179"/>
  <c r="AX175"/>
  <c r="BT172"/>
  <c r="BA169"/>
  <c r="AB167"/>
  <c r="AR165"/>
  <c r="AJ163"/>
  <c r="AI160"/>
  <c r="BA158"/>
  <c r="AY156"/>
  <c r="AK155"/>
  <c r="J154"/>
  <c r="BS151"/>
  <c r="BP150"/>
  <c r="AO149"/>
  <c r="AD148"/>
  <c r="CJ146"/>
  <c r="BI145"/>
  <c r="AX144"/>
  <c r="R142"/>
  <c r="G141"/>
  <c r="BU139"/>
  <c r="AT138"/>
  <c r="AI137"/>
  <c r="H136"/>
  <c r="CG133"/>
  <c r="BF132"/>
  <c r="AE131"/>
  <c r="AB130"/>
  <c r="CH128"/>
  <c r="BO127"/>
  <c r="AQ125"/>
  <c r="P124"/>
  <c r="M123"/>
  <c r="BK121"/>
  <c r="AZ120"/>
  <c r="AG119"/>
  <c r="I117"/>
  <c r="CE115"/>
  <c r="BD114"/>
  <c r="AS113"/>
  <c r="R112"/>
  <c r="BX110"/>
  <c r="BS224"/>
  <c r="AN215"/>
  <c r="I210"/>
  <c r="BY205"/>
  <c r="AF201"/>
  <c r="BU198"/>
  <c r="AP194"/>
  <c r="BF191"/>
  <c r="I189"/>
  <c r="AD185"/>
  <c r="P183"/>
  <c r="AF180"/>
  <c r="CH176"/>
  <c r="W174"/>
  <c r="AN171"/>
  <c r="BB168"/>
  <c r="Z166"/>
  <c r="AR164"/>
  <c r="AK162"/>
  <c r="AH159"/>
  <c r="AZ157"/>
  <c r="CA155"/>
  <c r="BP154"/>
  <c r="AW153"/>
  <c r="Y151"/>
  <c r="V150"/>
  <c r="BT148"/>
  <c r="BI147"/>
  <c r="AH146"/>
  <c r="G145"/>
  <c r="CF142"/>
  <c r="BE141"/>
  <c r="AT140"/>
  <c r="S139"/>
  <c r="BY137"/>
  <c r="BN136"/>
  <c r="AH134"/>
  <c r="W133"/>
  <c r="CK131"/>
  <c r="BJ130"/>
  <c r="AY129"/>
  <c r="X128"/>
  <c r="M127"/>
  <c r="BN124"/>
  <c r="AM123"/>
  <c r="AJ122"/>
  <c r="I121"/>
  <c r="BW119"/>
  <c r="AY117"/>
  <c r="X116"/>
  <c r="U115"/>
  <c r="BS113"/>
  <c r="BH112"/>
  <c r="AO111"/>
  <c r="N110"/>
  <c r="CC224"/>
  <c r="AP214"/>
  <c r="T206"/>
  <c r="V201"/>
  <c r="I197"/>
  <c r="CG191"/>
  <c r="G189"/>
  <c r="AG184"/>
  <c r="BX180"/>
  <c r="BH176"/>
  <c r="BN172"/>
  <c r="BV168"/>
  <c r="CF165"/>
  <c r="BB163"/>
  <c r="CE159"/>
  <c r="T157"/>
  <c r="BB155"/>
  <c r="BX153"/>
  <c r="AC151"/>
  <c r="BI149"/>
  <c r="CC147"/>
  <c r="AY146"/>
  <c r="BT144"/>
  <c r="AA142"/>
  <c r="AK140"/>
  <c r="AJ138"/>
  <c r="CA136"/>
  <c r="M134"/>
  <c r="BD132"/>
  <c r="CJ130"/>
  <c r="W129"/>
  <c r="BX127"/>
  <c r="J125"/>
  <c r="BB123"/>
  <c r="CH121"/>
  <c r="W120"/>
  <c r="BS117"/>
  <c r="G116"/>
  <c r="AY114"/>
  <c r="M224"/>
  <c r="Q213"/>
  <c r="CD207"/>
  <c r="AC201"/>
  <c r="AJ197"/>
  <c r="AC192"/>
  <c r="AH188"/>
  <c r="BH184"/>
  <c r="BH180"/>
  <c r="AO176"/>
  <c r="K173"/>
  <c r="S168"/>
  <c r="CJ165"/>
  <c r="BY162"/>
  <c r="AJ159"/>
  <c r="BK156"/>
  <c r="CA154"/>
  <c r="AJ153"/>
  <c r="BA150"/>
  <c r="J149"/>
  <c r="AO147"/>
  <c r="BL145"/>
  <c r="AF144"/>
  <c r="AY141"/>
  <c r="H140"/>
  <c r="AM138"/>
  <c r="BI136"/>
  <c r="AA134"/>
  <c r="AY236"/>
  <c r="X234"/>
  <c r="W234"/>
  <c r="AN223"/>
  <c r="BQ232"/>
  <c r="AO235"/>
  <c r="H224"/>
  <c r="U226"/>
  <c r="R230"/>
  <c r="AA218"/>
  <c r="O226"/>
  <c r="BQ225"/>
  <c r="AA215"/>
  <c r="CF234"/>
  <c r="AX217"/>
  <c r="W221"/>
  <c r="BO206"/>
  <c r="BY228"/>
  <c r="BR209"/>
  <c r="T201"/>
  <c r="H233"/>
  <c r="BD207"/>
  <c r="AX197"/>
  <c r="CB186"/>
  <c r="AA179"/>
  <c r="BP172"/>
  <c r="AA222"/>
  <c r="BB213"/>
  <c r="CH205"/>
  <c r="R200"/>
  <c r="BG194"/>
  <c r="BZ189"/>
  <c r="BD185"/>
  <c r="AJ181"/>
  <c r="BG176"/>
  <c r="BC172"/>
  <c r="BA228"/>
  <c r="AG214"/>
  <c r="AM203"/>
  <c r="AW197"/>
  <c r="BG190"/>
  <c r="AT183"/>
  <c r="AH179"/>
  <c r="BB172"/>
  <c r="AM167"/>
  <c r="AA163"/>
  <c r="U159"/>
  <c r="BX156"/>
  <c r="BN218"/>
  <c r="BQ210"/>
  <c r="Q205"/>
  <c r="BX198"/>
  <c r="AJ194"/>
  <c r="BI190"/>
  <c r="BF186"/>
  <c r="CC182"/>
  <c r="BY177"/>
  <c r="W175"/>
  <c r="BO171"/>
  <c r="CK167"/>
  <c r="AQ165"/>
  <c r="BF162"/>
  <c r="BC159"/>
  <c r="AM236"/>
  <c r="AN221"/>
  <c r="L213"/>
  <c r="BC206"/>
  <c r="BM201"/>
  <c r="S197"/>
  <c r="AQ192"/>
  <c r="U189"/>
  <c r="AY184"/>
  <c r="CE181"/>
  <c r="AK177"/>
  <c r="CC173"/>
  <c r="AN169"/>
  <c r="AN166"/>
  <c r="AH164"/>
  <c r="BH160"/>
  <c r="AL158"/>
  <c r="BC230"/>
  <c r="AB217"/>
  <c r="AU211"/>
  <c r="AH206"/>
  <c r="H202"/>
  <c r="BR198"/>
  <c r="BC194"/>
  <c r="U192"/>
  <c r="AM189"/>
  <c r="AP185"/>
  <c r="CB182"/>
  <c r="K180"/>
  <c r="CD176"/>
  <c r="S174"/>
  <c r="BS171"/>
  <c r="AJ168"/>
  <c r="W166"/>
  <c r="AO164"/>
  <c r="AG162"/>
  <c r="BD159"/>
  <c r="AV157"/>
  <c r="BY155"/>
  <c r="BN154"/>
  <c r="AM153"/>
  <c r="AE151"/>
  <c r="L150"/>
  <c r="BR148"/>
  <c r="BG147"/>
  <c r="AF146"/>
  <c r="U145"/>
  <c r="BV142"/>
  <c r="AU141"/>
  <c r="AR140"/>
  <c r="Q139"/>
  <c r="CE137"/>
  <c r="BL136"/>
  <c r="AN134"/>
  <c r="AK133"/>
  <c r="CI131"/>
  <c r="BX130"/>
  <c r="BE129"/>
  <c r="AD128"/>
  <c r="S127"/>
  <c r="BT124"/>
  <c r="BI123"/>
  <c r="AH122"/>
  <c r="G121"/>
  <c r="CK119"/>
  <c r="BM117"/>
  <c r="BB116"/>
  <c r="AA115"/>
  <c r="CG113"/>
  <c r="BV112"/>
  <c r="AU111"/>
  <c r="AJ110"/>
  <c r="BW230"/>
  <c r="CC218"/>
  <c r="BB211"/>
  <c r="Z208"/>
  <c r="M203"/>
  <c r="O200"/>
  <c r="W197"/>
  <c r="BH192"/>
  <c r="AP190"/>
  <c r="BJ186"/>
  <c r="AF184"/>
  <c r="BN181"/>
  <c r="CF177"/>
  <c r="BS175"/>
  <c r="BV172"/>
  <c r="BE169"/>
  <c r="AR167"/>
  <c r="V165"/>
  <c r="AN163"/>
  <c r="AL160"/>
  <c r="BD158"/>
  <c r="BB156"/>
  <c r="W155"/>
  <c r="T154"/>
  <c r="CC151"/>
  <c r="BR150"/>
  <c r="AQ149"/>
  <c r="P148"/>
  <c r="M147"/>
  <c r="BK145"/>
  <c r="AZ144"/>
  <c r="AB142"/>
  <c r="CH140"/>
  <c r="BW139"/>
  <c r="AV138"/>
  <c r="AK137"/>
  <c r="J136"/>
  <c r="BK133"/>
  <c r="BH132"/>
  <c r="AG131"/>
  <c r="V130"/>
  <c r="CB128"/>
  <c r="BA127"/>
  <c r="AS125"/>
  <c r="J124"/>
  <c r="CF122"/>
  <c r="BM121"/>
  <c r="AL120"/>
  <c r="AA119"/>
  <c r="CB116"/>
  <c r="BQ115"/>
  <c r="AP114"/>
  <c r="O113"/>
  <c r="L112"/>
  <c r="BR110"/>
  <c r="AV219"/>
  <c r="BZ209"/>
  <c r="CH202"/>
  <c r="M199"/>
  <c r="CK193"/>
  <c r="BD190"/>
  <c r="Q186"/>
  <c r="V182"/>
  <c r="AB179"/>
  <c r="CA174"/>
  <c r="AM171"/>
  <c r="AF167"/>
  <c r="AY164"/>
  <c r="AL162"/>
  <c r="AY158"/>
  <c r="AG156"/>
  <c r="BM154"/>
  <c r="CE151"/>
  <c r="AX150"/>
  <c r="BS148"/>
  <c r="AB147"/>
  <c r="BH145"/>
  <c r="CB142"/>
  <c r="AK141"/>
  <c r="AK139"/>
  <c r="BP137"/>
  <c r="CI134"/>
  <c r="X133"/>
  <c r="BY131"/>
  <c r="M130"/>
  <c r="BC128"/>
  <c r="CH125"/>
  <c r="V124"/>
  <c r="BY122"/>
  <c r="L121"/>
  <c r="BB119"/>
  <c r="CD116"/>
  <c r="Q115"/>
  <c r="U235"/>
  <c r="O217"/>
  <c r="AA210"/>
  <c r="T205"/>
  <c r="S199"/>
  <c r="BB194"/>
  <c r="O190"/>
  <c r="U186"/>
  <c r="BV182"/>
  <c r="BS177"/>
  <c r="CE174"/>
  <c r="BU169"/>
  <c r="T167"/>
  <c r="BC164"/>
  <c r="AK160"/>
  <c r="W158"/>
  <c r="BO155"/>
  <c r="Y154"/>
  <c r="AQ151"/>
  <c r="BK149"/>
  <c r="AE148"/>
  <c r="CE236"/>
  <c r="BM230"/>
  <c r="BC235"/>
  <c r="Y226"/>
  <c r="BP235"/>
  <c r="AR224"/>
  <c r="BU227"/>
  <c r="AC228"/>
  <c r="CA234"/>
  <c r="U221"/>
  <c r="BL227"/>
  <c r="CC234"/>
  <c r="AG216"/>
  <c r="CC207"/>
  <c r="BB219"/>
  <c r="BE223"/>
  <c r="AC210"/>
  <c r="BS200"/>
  <c r="M214"/>
  <c r="R203"/>
  <c r="J193"/>
  <c r="G214"/>
  <c r="Q199"/>
  <c r="BO189"/>
  <c r="I181"/>
  <c r="G173"/>
  <c r="K230"/>
  <c r="BK214"/>
  <c r="CH207"/>
  <c r="AO201"/>
  <c r="AC195"/>
  <c r="BH191"/>
  <c r="AA186"/>
  <c r="AU182"/>
  <c r="BB177"/>
  <c r="CI172"/>
  <c r="BU168"/>
  <c r="BD215"/>
  <c r="BL206"/>
  <c r="BT198"/>
  <c r="AL191"/>
  <c r="BC185"/>
  <c r="X180"/>
  <c r="AF174"/>
  <c r="AL168"/>
  <c r="BW163"/>
  <c r="AF160"/>
  <c r="W157"/>
  <c r="CF223"/>
  <c r="H213"/>
  <c r="BH205"/>
  <c r="AX200"/>
  <c r="CH194"/>
  <c r="BJ191"/>
  <c r="AM188"/>
  <c r="AL183"/>
  <c r="AK180"/>
  <c r="BN175"/>
  <c r="BO172"/>
  <c r="BG168"/>
  <c r="BO165"/>
  <c r="BQ163"/>
  <c r="CI159"/>
  <c r="BM157"/>
  <c r="J224"/>
  <c r="BN213"/>
  <c r="BM208"/>
  <c r="AW202"/>
  <c r="AP198"/>
  <c r="AQ193"/>
  <c r="BA189"/>
  <c r="CD185"/>
  <c r="AO182"/>
  <c r="AN179"/>
  <c r="BR174"/>
  <c r="BO169"/>
  <c r="AQ167"/>
  <c r="BN164"/>
  <c r="AR162"/>
  <c r="CH158"/>
  <c r="AN232"/>
  <c r="BS219"/>
  <c r="G213"/>
  <c r="BZ207"/>
  <c r="BW202"/>
  <c r="U199"/>
  <c r="BP195"/>
  <c r="BF192"/>
  <c r="T190"/>
  <c r="V186"/>
  <c r="AC183"/>
  <c r="K181"/>
  <c r="AC177"/>
  <c r="CI174"/>
  <c r="AK172"/>
  <c r="BL168"/>
  <c r="CI166"/>
  <c r="BO164"/>
  <c r="CG162"/>
  <c r="I160"/>
  <c r="BV157"/>
  <c r="AF156"/>
  <c r="CD154"/>
  <c r="BS153"/>
  <c r="BC151"/>
  <c r="AB150"/>
  <c r="Y149"/>
  <c r="BW147"/>
  <c r="BL146"/>
  <c r="AS145"/>
  <c r="J144"/>
  <c r="CI141"/>
  <c r="BH140"/>
  <c r="AW139"/>
  <c r="AD138"/>
  <c r="CB136"/>
  <c r="CB134"/>
  <c r="BA133"/>
  <c r="AH132"/>
  <c r="O131"/>
  <c r="BU129"/>
  <c r="BR128"/>
  <c r="AI127"/>
  <c r="S125"/>
  <c r="CG123"/>
  <c r="AX122"/>
  <c r="AU121"/>
  <c r="T120"/>
  <c r="I119"/>
  <c r="BZ116"/>
  <c r="AQ115"/>
  <c r="AN114"/>
  <c r="M113"/>
  <c r="CA111"/>
  <c r="BH110"/>
  <c r="CH233"/>
  <c r="CG219"/>
  <c r="R214"/>
  <c r="BZ208"/>
  <c r="I205"/>
  <c r="BW200"/>
  <c r="BK197"/>
  <c r="BS193"/>
  <c r="BX190"/>
  <c r="AS188"/>
  <c r="CF184"/>
  <c r="P182"/>
  <c r="CG179"/>
  <c r="R176"/>
  <c r="BG173"/>
  <c r="G171"/>
  <c r="BQ167"/>
  <c r="CH165"/>
  <c r="BM163"/>
  <c r="CK160"/>
  <c r="H159"/>
  <c r="BW156"/>
  <c r="BK155"/>
  <c r="AJ154"/>
  <c r="Y153"/>
  <c r="I151"/>
  <c r="BG149"/>
  <c r="BD148"/>
  <c r="AC147"/>
  <c r="J146"/>
  <c r="BX144"/>
  <c r="AR142"/>
  <c r="AO141"/>
  <c r="N140"/>
  <c r="CB138"/>
  <c r="BI137"/>
  <c r="Z136"/>
  <c r="R134"/>
  <c r="BX132"/>
  <c r="BM131"/>
  <c r="AT130"/>
  <c r="K129"/>
  <c r="H128"/>
  <c r="BI125"/>
  <c r="AP124"/>
  <c r="W123"/>
  <c r="CC121"/>
  <c r="BZ120"/>
  <c r="AQ119"/>
  <c r="AA117"/>
  <c r="H116"/>
  <c r="BF114"/>
  <c r="BC113"/>
  <c r="AB112"/>
  <c r="Q111"/>
  <c r="CI222"/>
  <c r="AZ210"/>
  <c r="AO205"/>
  <c r="BP199"/>
  <c r="R195"/>
  <c r="AM191"/>
  <c r="BK186"/>
  <c r="BW183"/>
  <c r="BV179"/>
  <c r="BZ175"/>
  <c r="U172"/>
  <c r="BL167"/>
  <c r="AX165"/>
  <c r="BR162"/>
  <c r="AF159"/>
  <c r="BV156"/>
  <c r="CI154"/>
  <c r="BB153"/>
  <c r="BT150"/>
  <c r="AC149"/>
  <c r="BH147"/>
  <c r="CD145"/>
  <c r="AY144"/>
  <c r="BG141"/>
  <c r="CA139"/>
  <c r="O138"/>
  <c r="AA136"/>
  <c r="BX133"/>
  <c r="N132"/>
  <c r="BD130"/>
  <c r="CI128"/>
  <c r="W127"/>
  <c r="BX124"/>
  <c r="K123"/>
  <c r="BB121"/>
  <c r="CH119"/>
  <c r="R117"/>
  <c r="BS115"/>
  <c r="G114"/>
  <c r="AS221"/>
  <c r="AO211"/>
  <c r="CC205"/>
  <c r="BI200"/>
  <c r="U195"/>
  <c r="W191"/>
  <c r="CK186"/>
  <c r="AI183"/>
  <c r="R180"/>
  <c r="AM175"/>
  <c r="AC172"/>
  <c r="BR167"/>
  <c r="CK164"/>
  <c r="AO162"/>
  <c r="BE158"/>
  <c r="Y156"/>
  <c r="BE154"/>
  <c r="BL151"/>
  <c r="AF150"/>
  <c r="AZ148"/>
  <c r="I147"/>
  <c r="AP145"/>
  <c r="BJ142"/>
  <c r="AC141"/>
  <c r="AX139"/>
  <c r="G138"/>
  <c r="AM136"/>
  <c r="BF232"/>
  <c r="J221"/>
  <c r="AP230"/>
  <c r="AK221"/>
  <c r="O215"/>
  <c r="CA222"/>
  <c r="W226"/>
  <c r="CK211"/>
  <c r="CC217"/>
  <c r="K198"/>
  <c r="AM205"/>
  <c r="J184"/>
  <c r="AE234"/>
  <c r="AW209"/>
  <c r="AO198"/>
  <c r="N189"/>
  <c r="Q180"/>
  <c r="AZ169"/>
  <c r="S209"/>
  <c r="V194"/>
  <c r="AT182"/>
  <c r="V171"/>
  <c r="CB160"/>
  <c r="BJ228"/>
  <c r="AP208"/>
  <c r="CK197"/>
  <c r="BI189"/>
  <c r="P181"/>
  <c r="BP173"/>
  <c r="I167"/>
  <c r="R162"/>
  <c r="BN230"/>
  <c r="BH209"/>
  <c r="BO199"/>
  <c r="V191"/>
  <c r="CF183"/>
  <c r="Z176"/>
  <c r="CE167"/>
  <c r="W163"/>
  <c r="AI157"/>
  <c r="BM215"/>
  <c r="Y205"/>
  <c r="AL197"/>
  <c r="CJ190"/>
  <c r="AR184"/>
  <c r="AU179"/>
  <c r="AK173"/>
  <c r="AN167"/>
  <c r="AW163"/>
  <c r="BM158"/>
  <c r="BA155"/>
  <c r="G153"/>
  <c r="AW149"/>
  <c r="K147"/>
  <c r="BF144"/>
  <c r="W141"/>
  <c r="BR138"/>
  <c r="P136"/>
  <c r="BN132"/>
  <c r="AJ130"/>
  <c r="CE127"/>
  <c r="AN124"/>
  <c r="BS121"/>
  <c r="AO119"/>
  <c r="N116"/>
  <c r="BI113"/>
  <c r="O111"/>
  <c r="BL225"/>
  <c r="BI210"/>
  <c r="K202"/>
  <c r="BH194"/>
  <c r="Y189"/>
  <c r="AG183"/>
  <c r="AG177"/>
  <c r="H172"/>
  <c r="AM166"/>
  <c r="AW162"/>
  <c r="BL157"/>
  <c r="CF154"/>
  <c r="AW151"/>
  <c r="CB148"/>
  <c r="AP146"/>
  <c r="L144"/>
  <c r="BJ140"/>
  <c r="P138"/>
  <c r="AP134"/>
  <c r="L132"/>
  <c r="BG129"/>
  <c r="AC127"/>
  <c r="BK123"/>
  <c r="Q121"/>
  <c r="BG117"/>
  <c r="AC115"/>
  <c r="BX112"/>
  <c r="AL110"/>
  <c r="AW215"/>
  <c r="CE201"/>
  <c r="BR192"/>
  <c r="BC184"/>
  <c r="CC176"/>
  <c r="G169"/>
  <c r="CH163"/>
  <c r="BR157"/>
  <c r="CH153"/>
  <c r="BS149"/>
  <c r="BI146"/>
  <c r="AV142"/>
  <c r="BP138"/>
  <c r="W134"/>
  <c r="M131"/>
  <c r="CI127"/>
  <c r="BW123"/>
  <c r="BC120"/>
  <c r="R116"/>
  <c r="U225"/>
  <c r="AG208"/>
  <c r="AB198"/>
  <c r="M189"/>
  <c r="CG180"/>
  <c r="AF173"/>
  <c r="S166"/>
  <c r="BR159"/>
  <c r="Y155"/>
  <c r="BL150"/>
  <c r="AZ147"/>
  <c r="BL144"/>
  <c r="H141"/>
  <c r="BH138"/>
  <c r="G136"/>
  <c r="BR132"/>
  <c r="BQ130"/>
  <c r="BF128"/>
  <c r="BD125"/>
  <c r="BO123"/>
  <c r="BP121"/>
  <c r="O120"/>
  <c r="AE117"/>
  <c r="AO115"/>
  <c r="AZ113"/>
  <c r="BA111"/>
  <c r="BJ232"/>
  <c r="AX218"/>
  <c r="BS210"/>
  <c r="K203"/>
  <c r="AK198"/>
  <c r="CG192"/>
  <c r="AL188"/>
  <c r="BI183"/>
  <c r="BK179"/>
  <c r="AR174"/>
  <c r="AK169"/>
  <c r="BX165"/>
  <c r="AB163"/>
  <c r="BI158"/>
  <c r="Q156"/>
  <c r="G154"/>
  <c r="X151"/>
  <c r="BY149"/>
  <c r="L148"/>
  <c r="BC146"/>
  <c r="CJ144"/>
  <c r="V142"/>
  <c r="BV140"/>
  <c r="J139"/>
  <c r="AZ137"/>
  <c r="AQ136"/>
  <c r="AC134"/>
  <c r="R133"/>
  <c r="H132"/>
  <c r="CD130"/>
  <c r="BS129"/>
  <c r="AX128"/>
  <c r="AM127"/>
  <c r="Z125"/>
  <c r="CC123"/>
  <c r="BI122"/>
  <c r="BI224"/>
  <c r="P214"/>
  <c r="AL205"/>
  <c r="R198"/>
  <c r="CE192"/>
  <c r="BP188"/>
  <c r="AF183"/>
  <c r="BH179"/>
  <c r="G175"/>
  <c r="AF169"/>
  <c r="AE166"/>
  <c r="T163"/>
  <c r="AA159"/>
  <c r="AX156"/>
  <c r="BL154"/>
  <c r="BZ151"/>
  <c r="BZ149"/>
  <c r="I148"/>
  <c r="AA146"/>
  <c r="AS144"/>
  <c r="BF141"/>
  <c r="BJ139"/>
  <c r="CB137"/>
  <c r="N136"/>
  <c r="AY133"/>
  <c r="CH131"/>
  <c r="AM130"/>
  <c r="AP128"/>
  <c r="BX125"/>
  <c r="AA124"/>
  <c r="BJ122"/>
  <c r="AB121"/>
  <c r="CF119"/>
  <c r="AZ117"/>
  <c r="W116"/>
  <c r="CA114"/>
  <c r="BE113"/>
  <c r="AT112"/>
  <c r="AH111"/>
  <c r="S110"/>
  <c r="AR82"/>
  <c r="BM81"/>
  <c r="CH80"/>
  <c r="V80"/>
  <c r="AI79"/>
  <c r="BD78"/>
  <c r="BY77"/>
  <c r="M77"/>
  <c r="Z76"/>
  <c r="AP74"/>
  <c r="BK73"/>
  <c r="CF72"/>
  <c r="T72"/>
  <c r="AO71"/>
  <c r="BJ70"/>
  <c r="BW69"/>
  <c r="K69"/>
  <c r="AF68"/>
  <c r="BD66"/>
  <c r="BY65"/>
  <c r="M65"/>
  <c r="Z64"/>
  <c r="AU63"/>
  <c r="BP62"/>
  <c r="CK61"/>
  <c r="Y61"/>
  <c r="AT60"/>
  <c r="BJ58"/>
  <c r="BW57"/>
  <c r="K57"/>
  <c r="AF56"/>
  <c r="BA55"/>
  <c r="BN54"/>
  <c r="CI53"/>
  <c r="W53"/>
  <c r="AR52"/>
  <c r="BH50"/>
  <c r="CC49"/>
  <c r="Q49"/>
  <c r="AL48"/>
  <c r="AA230"/>
  <c r="AQ217"/>
  <c r="BW209"/>
  <c r="U203"/>
  <c r="W199"/>
  <c r="AM194"/>
  <c r="AU190"/>
  <c r="CF185"/>
  <c r="U182"/>
  <c r="T177"/>
  <c r="AV173"/>
  <c r="AO169"/>
  <c r="AO166"/>
  <c r="CD163"/>
  <c r="AD160"/>
  <c r="AT157"/>
  <c r="AY155"/>
  <c r="CJ153"/>
  <c r="AD151"/>
  <c r="BL149"/>
  <c r="M148"/>
  <c r="AU146"/>
  <c r="CC144"/>
  <c r="AC142"/>
  <c r="BM140"/>
  <c r="N139"/>
  <c r="AX137"/>
  <c r="CH134"/>
  <c r="AL133"/>
  <c r="BF131"/>
  <c r="BZ129"/>
  <c r="AC128"/>
  <c r="BK125"/>
  <c r="M124"/>
  <c r="AV122"/>
  <c r="R121"/>
  <c r="BT119"/>
  <c r="AN117"/>
  <c r="L116"/>
  <c r="BQ114"/>
  <c r="AV113"/>
  <c r="AK112"/>
  <c r="X111"/>
  <c r="K110"/>
  <c r="AT82"/>
  <c r="BG81"/>
  <c r="CB80"/>
  <c r="P80"/>
  <c r="AK79"/>
  <c r="AX78"/>
  <c r="BS77"/>
  <c r="G77"/>
  <c r="AB76"/>
  <c r="AR74"/>
  <c r="BM73"/>
  <c r="CH72"/>
  <c r="V72"/>
  <c r="AI71"/>
  <c r="BD70"/>
  <c r="BY69"/>
  <c r="M69"/>
  <c r="Z68"/>
  <c r="AP66"/>
  <c r="BK65"/>
  <c r="CF64"/>
  <c r="T64"/>
  <c r="AO63"/>
  <c r="BJ62"/>
  <c r="BW61"/>
  <c r="K61"/>
  <c r="AF60"/>
  <c r="BD58"/>
  <c r="BY57"/>
  <c r="M57"/>
  <c r="Z56"/>
  <c r="AU55"/>
  <c r="BP54"/>
  <c r="CK53"/>
  <c r="Y53"/>
  <c r="AT52"/>
  <c r="BJ50"/>
  <c r="BW49"/>
  <c r="K49"/>
  <c r="AF48"/>
  <c r="BA47"/>
  <c r="BN46"/>
  <c r="CI45"/>
  <c r="W45"/>
  <c r="BH218"/>
  <c r="CJ209"/>
  <c r="Q203"/>
  <c r="G198"/>
  <c r="AI191"/>
  <c r="AP186"/>
  <c r="X182"/>
  <c r="BP176"/>
  <c r="AP171"/>
  <c r="BE166"/>
  <c r="AG163"/>
  <c r="K159"/>
  <c r="G156"/>
  <c r="CE153"/>
  <c r="BF150"/>
  <c r="Y148"/>
  <c r="O146"/>
  <c r="BD142"/>
  <c r="X140"/>
  <c r="S138"/>
  <c r="I136"/>
  <c r="N133"/>
  <c r="K131"/>
  <c r="BQ128"/>
  <c r="AZ125"/>
  <c r="AO123"/>
  <c r="AV121"/>
  <c r="BK119"/>
  <c r="CK116"/>
  <c r="V115"/>
  <c r="AW113"/>
  <c r="BV111"/>
  <c r="M110"/>
  <c r="U82"/>
  <c r="U81"/>
  <c r="T80"/>
  <c r="T79"/>
  <c r="U78"/>
  <c r="BT236"/>
  <c r="AY215"/>
  <c r="AQ206"/>
  <c r="AG198"/>
  <c r="J192"/>
  <c r="BH186"/>
  <c r="AH181"/>
  <c r="CH175"/>
  <c r="BI171"/>
  <c r="BU166"/>
  <c r="AT163"/>
  <c r="V159"/>
  <c r="O156"/>
  <c r="BQ153"/>
  <c r="W150"/>
  <c r="K148"/>
  <c r="BJ145"/>
  <c r="BO142"/>
  <c r="BD140"/>
  <c r="Y138"/>
  <c r="Q136"/>
  <c r="AU132"/>
  <c r="AI130"/>
  <c r="AG128"/>
  <c r="Q125"/>
  <c r="BR122"/>
  <c r="BK120"/>
  <c r="CI117"/>
  <c r="S116"/>
  <c r="AL114"/>
  <c r="BG112"/>
  <c r="N111"/>
  <c r="Y82"/>
  <c r="X81"/>
  <c r="Y80"/>
  <c r="X79"/>
  <c r="Y78"/>
  <c r="Y77"/>
  <c r="Y76"/>
  <c r="W74"/>
  <c r="V73"/>
  <c r="W72"/>
  <c r="V71"/>
  <c r="U70"/>
  <c r="V69"/>
  <c r="V68"/>
  <c r="T66"/>
  <c r="S65"/>
  <c r="U64"/>
  <c r="T63"/>
  <c r="S62"/>
  <c r="T61"/>
  <c r="S60"/>
  <c r="Q58"/>
  <c r="CJ215"/>
  <c r="N208"/>
  <c r="AT201"/>
  <c r="CD195"/>
  <c r="BH190"/>
  <c r="T185"/>
  <c r="CF179"/>
  <c r="AD173"/>
  <c r="N168"/>
  <c r="BY164"/>
  <c r="BO159"/>
  <c r="AS156"/>
  <c r="AF154"/>
  <c r="AJ151"/>
  <c r="CG148"/>
  <c r="BU146"/>
  <c r="BK211"/>
  <c r="BL201"/>
  <c r="BU192"/>
  <c r="CI184"/>
  <c r="BE176"/>
  <c r="AV168"/>
  <c r="AF163"/>
  <c r="BC156"/>
  <c r="BR151"/>
  <c r="AS148"/>
  <c r="BC144"/>
  <c r="BO140"/>
  <c r="BC137"/>
  <c r="BL133"/>
  <c r="BE130"/>
  <c r="CD127"/>
  <c r="G124"/>
  <c r="S121"/>
  <c r="BX117"/>
  <c r="P115"/>
  <c r="CK112"/>
  <c r="BO110"/>
  <c r="BU225"/>
  <c r="AV209"/>
  <c r="BS198"/>
  <c r="AS189"/>
  <c r="G181"/>
  <c r="BY172"/>
  <c r="AB165"/>
  <c r="AF215"/>
  <c r="CG203"/>
  <c r="BN194"/>
  <c r="Q185"/>
  <c r="BT177"/>
  <c r="AD171"/>
  <c r="AP163"/>
  <c r="W156"/>
  <c r="CF151"/>
  <c r="BP147"/>
  <c r="AG144"/>
  <c r="AS140"/>
  <c r="BJ137"/>
  <c r="AP133"/>
  <c r="BM130"/>
  <c r="AE127"/>
  <c r="AN123"/>
  <c r="CD120"/>
  <c r="BD117"/>
  <c r="CH114"/>
  <c r="AD112"/>
  <c r="AC110"/>
  <c r="BK82"/>
  <c r="AH81"/>
  <c r="BJ79"/>
  <c r="T78"/>
  <c r="BS76"/>
  <c r="BE74"/>
  <c r="AS73"/>
  <c r="AF72"/>
  <c r="T71"/>
  <c r="CD232"/>
  <c r="CD221"/>
  <c r="T233"/>
  <c r="AT221"/>
  <c r="AM215"/>
  <c r="AI223"/>
  <c r="AA231"/>
  <c r="BS216"/>
  <c r="BZ218"/>
  <c r="BG198"/>
  <c r="S206"/>
  <c r="AS185"/>
  <c r="BE171"/>
  <c r="CG209"/>
  <c r="CI198"/>
  <c r="BB189"/>
  <c r="BU180"/>
  <c r="AZ171"/>
  <c r="AJ209"/>
  <c r="BS194"/>
  <c r="CK182"/>
  <c r="CH171"/>
  <c r="BD162"/>
  <c r="AX230"/>
  <c r="BY208"/>
  <c r="Z198"/>
  <c r="S190"/>
  <c r="Q182"/>
  <c r="BZ173"/>
  <c r="Y167"/>
  <c r="AH162"/>
  <c r="AA233"/>
  <c r="CK210"/>
  <c r="CA199"/>
  <c r="AQ191"/>
  <c r="S184"/>
  <c r="BQ176"/>
  <c r="BR168"/>
  <c r="AE163"/>
  <c r="AY157"/>
  <c r="I216"/>
  <c r="BQ205"/>
  <c r="I198"/>
  <c r="U191"/>
  <c r="BK184"/>
  <c r="BL179"/>
  <c r="BT173"/>
  <c r="BZ167"/>
  <c r="BJ163"/>
  <c r="CA158"/>
  <c r="BI155"/>
  <c r="W153"/>
  <c r="BU149"/>
  <c r="S147"/>
  <c r="BN144"/>
  <c r="AE141"/>
  <c r="CH138"/>
  <c r="AN136"/>
  <c r="BV132"/>
  <c r="AR130"/>
  <c r="N128"/>
  <c r="BD124"/>
  <c r="J122"/>
  <c r="AW119"/>
  <c r="V116"/>
  <c r="BQ113"/>
  <c r="AE111"/>
  <c r="AS226"/>
  <c r="CJ210"/>
  <c r="BE202"/>
  <c r="AG195"/>
  <c r="AR189"/>
  <c r="AY183"/>
  <c r="AX177"/>
  <c r="AO172"/>
  <c r="BY166"/>
  <c r="BJ162"/>
  <c r="BY157"/>
  <c r="G155"/>
  <c r="BM151"/>
  <c r="S149"/>
  <c r="AX146"/>
  <c r="T144"/>
  <c r="BR140"/>
  <c r="AF138"/>
  <c r="BN134"/>
  <c r="T132"/>
  <c r="BO129"/>
  <c r="AK127"/>
  <c r="CA123"/>
  <c r="AO121"/>
  <c r="BO117"/>
  <c r="AK115"/>
  <c r="CF112"/>
  <c r="BB110"/>
  <c r="AY216"/>
  <c r="X202"/>
  <c r="AL193"/>
  <c r="AI185"/>
  <c r="R177"/>
  <c r="AD169"/>
  <c r="Q164"/>
  <c r="S158"/>
  <c r="AG154"/>
  <c r="CD149"/>
  <c r="BS146"/>
  <c r="BG142"/>
  <c r="O139"/>
  <c r="BC134"/>
  <c r="X131"/>
  <c r="L128"/>
  <c r="CH123"/>
  <c r="BW120"/>
  <c r="AX116"/>
  <c r="AA226"/>
  <c r="BN208"/>
  <c r="BE198"/>
  <c r="BE189"/>
  <c r="BQ181"/>
  <c r="BD173"/>
  <c r="AK166"/>
  <c r="CJ159"/>
  <c r="AT155"/>
  <c r="K151"/>
  <c r="BK147"/>
  <c r="J145"/>
  <c r="BI141"/>
  <c r="G139"/>
  <c r="AC136"/>
  <c r="P133"/>
  <c r="CB130"/>
  <c r="BP128"/>
  <c r="BZ125"/>
  <c r="BZ123"/>
  <c r="Y122"/>
  <c r="AI120"/>
  <c r="AP117"/>
  <c r="AZ115"/>
  <c r="BL113"/>
  <c r="K112"/>
  <c r="J110"/>
  <c r="CK219"/>
  <c r="Q211"/>
  <c r="AQ203"/>
  <c r="BJ198"/>
  <c r="BY193"/>
  <c r="BM189"/>
  <c r="V184"/>
  <c r="CI179"/>
  <c r="BM174"/>
  <c r="BG169"/>
  <c r="AP166"/>
  <c r="BH163"/>
  <c r="AN159"/>
  <c r="AB156"/>
  <c r="Q154"/>
  <c r="BD151"/>
  <c r="CI149"/>
  <c r="W148"/>
  <c r="BY146"/>
  <c r="L145"/>
  <c r="BB142"/>
  <c r="CG140"/>
  <c r="U139"/>
  <c r="BU137"/>
  <c r="BA136"/>
  <c r="AM134"/>
  <c r="AB133"/>
  <c r="S132"/>
  <c r="H131"/>
  <c r="CD129"/>
  <c r="BS128"/>
  <c r="AW127"/>
  <c r="AL125"/>
  <c r="Q124"/>
  <c r="BS122"/>
  <c r="AQ226"/>
  <c r="CE214"/>
  <c r="W207"/>
  <c r="BF198"/>
  <c r="AI193"/>
  <c r="O189"/>
  <c r="BQ183"/>
  <c r="G180"/>
  <c r="AT175"/>
  <c r="AH171"/>
  <c r="BG166"/>
  <c r="AV163"/>
  <c r="BB159"/>
  <c r="BS156"/>
  <c r="CE154"/>
  <c r="P153"/>
  <c r="Z150"/>
  <c r="Z148"/>
  <c r="AR146"/>
  <c r="BI144"/>
  <c r="BX141"/>
  <c r="BZ139"/>
  <c r="L138"/>
  <c r="AG136"/>
  <c r="BO133"/>
  <c r="U132"/>
  <c r="BC130"/>
  <c r="BG128"/>
  <c r="H127"/>
  <c r="AQ124"/>
  <c r="BZ122"/>
  <c r="AP121"/>
  <c r="M120"/>
  <c r="BN117"/>
  <c r="AJ116"/>
  <c r="H115"/>
  <c r="BP113"/>
  <c r="BE112"/>
  <c r="AS111"/>
  <c r="AG110"/>
  <c r="AZ82"/>
  <c r="BU81"/>
  <c r="I81"/>
  <c r="AD80"/>
  <c r="AQ79"/>
  <c r="BL78"/>
  <c r="CG77"/>
  <c r="U77"/>
  <c r="AH76"/>
  <c r="AX74"/>
  <c r="BS73"/>
  <c r="G73"/>
  <c r="AB72"/>
  <c r="AW71"/>
  <c r="BR70"/>
  <c r="CE69"/>
  <c r="S69"/>
  <c r="AN68"/>
  <c r="BL66"/>
  <c r="CG65"/>
  <c r="U65"/>
  <c r="AH64"/>
  <c r="BC63"/>
  <c r="BX62"/>
  <c r="L62"/>
  <c r="AG61"/>
  <c r="BB60"/>
  <c r="BR58"/>
  <c r="CE57"/>
  <c r="S57"/>
  <c r="AN56"/>
  <c r="BI55"/>
  <c r="BV54"/>
  <c r="J54"/>
  <c r="AE53"/>
  <c r="AZ52"/>
  <c r="BP50"/>
  <c r="CK49"/>
  <c r="Y49"/>
  <c r="AT48"/>
  <c r="Z234"/>
  <c r="AV218"/>
  <c r="AD210"/>
  <c r="BO203"/>
  <c r="BI199"/>
  <c r="CA194"/>
  <c r="CD190"/>
  <c r="AE186"/>
  <c r="BF182"/>
  <c r="BE177"/>
  <c r="CG173"/>
  <c r="BR169"/>
  <c r="BN166"/>
  <c r="T164"/>
  <c r="BG160"/>
  <c r="BT157"/>
  <c r="BP155"/>
  <c r="S154"/>
  <c r="AV151"/>
  <c r="CB149"/>
  <c r="AC148"/>
  <c r="BM146"/>
  <c r="N145"/>
  <c r="AT142"/>
  <c r="CC140"/>
  <c r="AF139"/>
  <c r="BN137"/>
  <c r="T136"/>
  <c r="BB133"/>
  <c r="BW131"/>
  <c r="I130"/>
  <c r="AS128"/>
  <c r="CC125"/>
  <c r="AD124"/>
  <c r="BL122"/>
  <c r="AD121"/>
  <c r="CI119"/>
  <c r="BC117"/>
  <c r="Z116"/>
  <c r="CF114"/>
  <c r="BG113"/>
  <c r="AV112"/>
  <c r="AJ111"/>
  <c r="X110"/>
  <c r="BB82"/>
  <c r="BO81"/>
  <c r="CJ80"/>
  <c r="X80"/>
  <c r="AS79"/>
  <c r="BF78"/>
  <c r="CA77"/>
  <c r="O77"/>
  <c r="AJ76"/>
  <c r="AZ74"/>
  <c r="BU73"/>
  <c r="I73"/>
  <c r="AD72"/>
  <c r="AQ71"/>
  <c r="BL70"/>
  <c r="CG69"/>
  <c r="U69"/>
  <c r="AH68"/>
  <c r="AX66"/>
  <c r="BS65"/>
  <c r="G65"/>
  <c r="AB64"/>
  <c r="AW63"/>
  <c r="BR62"/>
  <c r="CE61"/>
  <c r="S61"/>
  <c r="AN60"/>
  <c r="BL58"/>
  <c r="CG57"/>
  <c r="U57"/>
  <c r="AH56"/>
  <c r="BC55"/>
  <c r="BX54"/>
  <c r="L54"/>
  <c r="AG53"/>
  <c r="BB52"/>
  <c r="BR50"/>
  <c r="CE49"/>
  <c r="S49"/>
  <c r="AN48"/>
  <c r="BI47"/>
  <c r="BV46"/>
  <c r="J46"/>
  <c r="AE45"/>
  <c r="AF230"/>
  <c r="BH210"/>
  <c r="BZ203"/>
  <c r="BL198"/>
  <c r="CD191"/>
  <c r="CH186"/>
  <c r="BT182"/>
  <c r="AE177"/>
  <c r="AV172"/>
  <c r="J167"/>
  <c r="BP163"/>
  <c r="AR159"/>
  <c r="AC156"/>
  <c r="U154"/>
  <c r="CE150"/>
  <c r="AW148"/>
  <c r="AK146"/>
  <c r="CC142"/>
  <c r="AW140"/>
  <c r="AO138"/>
  <c r="AD136"/>
  <c r="AO133"/>
  <c r="AF131"/>
  <c r="AD129"/>
  <c r="BU125"/>
  <c r="BN123"/>
  <c r="BL121"/>
  <c r="CD119"/>
  <c r="V117"/>
  <c r="AP115"/>
  <c r="BM113"/>
  <c r="S112"/>
  <c r="AA110"/>
  <c r="AF82"/>
  <c r="AE81"/>
  <c r="AE80"/>
  <c r="AE79"/>
  <c r="AE78"/>
  <c r="AF77"/>
  <c r="BP216"/>
  <c r="P207"/>
  <c r="CD198"/>
  <c r="BL192"/>
  <c r="Y188"/>
  <c r="CD181"/>
  <c r="AM176"/>
  <c r="P172"/>
  <c r="U167"/>
  <c r="CF163"/>
  <c r="BH159"/>
  <c r="AM156"/>
  <c r="AA154"/>
  <c r="AU150"/>
  <c r="AI148"/>
  <c r="CH145"/>
  <c r="CJ142"/>
  <c r="CA140"/>
  <c r="AW138"/>
  <c r="AO136"/>
  <c r="BQ132"/>
  <c r="BK130"/>
  <c r="BA128"/>
  <c r="AM125"/>
  <c r="AB123"/>
  <c r="CC120"/>
  <c r="O119"/>
  <c r="AK116"/>
  <c r="BG114"/>
  <c r="BY112"/>
  <c r="AC111"/>
  <c r="AI82"/>
  <c r="AJ81"/>
  <c r="AI80"/>
  <c r="AH79"/>
  <c r="AJ78"/>
  <c r="AI77"/>
  <c r="AK76"/>
  <c r="AG74"/>
  <c r="AH73"/>
  <c r="AG72"/>
  <c r="AF71"/>
  <c r="AG70"/>
  <c r="AF69"/>
  <c r="AG68"/>
  <c r="AD66"/>
  <c r="AD65"/>
  <c r="AE64"/>
  <c r="AD63"/>
  <c r="AE62"/>
  <c r="AD61"/>
  <c r="AC60"/>
  <c r="AA58"/>
  <c r="CG216"/>
  <c r="CG208"/>
  <c r="V202"/>
  <c r="U197"/>
  <c r="N191"/>
  <c r="BO185"/>
  <c r="AP180"/>
  <c r="CE173"/>
  <c r="BF168"/>
  <c r="Z165"/>
  <c r="N160"/>
  <c r="BY156"/>
  <c r="BD154"/>
  <c r="BF151"/>
  <c r="V149"/>
  <c r="J147"/>
  <c r="AA213"/>
  <c r="AT202"/>
  <c r="BG193"/>
  <c r="BU185"/>
  <c r="BC177"/>
  <c r="W169"/>
  <c r="CK163"/>
  <c r="U157"/>
  <c r="S153"/>
  <c r="CE148"/>
  <c r="CI144"/>
  <c r="J141"/>
  <c r="CI137"/>
  <c r="I134"/>
  <c r="CI130"/>
  <c r="AA128"/>
  <c r="AM124"/>
  <c r="AN121"/>
  <c r="H119"/>
  <c r="AR115"/>
  <c r="Y113"/>
  <c r="CK110"/>
  <c r="AH231"/>
  <c r="BO210"/>
  <c r="BV199"/>
  <c r="AE190"/>
  <c r="BY181"/>
  <c r="AS173"/>
  <c r="CB165"/>
  <c r="BY218"/>
  <c r="K205"/>
  <c r="BQ195"/>
  <c r="CC186"/>
  <c r="AR179"/>
  <c r="I172"/>
  <c r="G164"/>
  <c r="BN156"/>
  <c r="AA153"/>
  <c r="S148"/>
  <c r="BK144"/>
  <c r="BW140"/>
  <c r="I138"/>
  <c r="BV133"/>
  <c r="J131"/>
  <c r="BD127"/>
  <c r="BT123"/>
  <c r="U121"/>
  <c r="CB117"/>
  <c r="X115"/>
  <c r="AY112"/>
  <c r="AY110"/>
  <c r="BY82"/>
  <c r="AV81"/>
  <c r="BX79"/>
  <c r="AI78"/>
  <c r="CE76"/>
  <c r="BR74"/>
  <c r="BF73"/>
  <c r="BA234"/>
  <c r="BS228"/>
  <c r="H230"/>
  <c r="BI223"/>
  <c r="AA227"/>
  <c r="L222"/>
  <c r="Z210"/>
  <c r="BZ214"/>
  <c r="CB205"/>
  <c r="BL208"/>
  <c r="AR223"/>
  <c r="BT192"/>
  <c r="CG175"/>
  <c r="BA219"/>
  <c r="L205"/>
  <c r="BB193"/>
  <c r="CD183"/>
  <c r="AF175"/>
  <c r="BZ224"/>
  <c r="AA202"/>
  <c r="AK189"/>
  <c r="U176"/>
  <c r="T166"/>
  <c r="BN158"/>
  <c r="CE216"/>
  <c r="CJ202"/>
  <c r="BY192"/>
  <c r="AU185"/>
  <c r="AS177"/>
  <c r="X171"/>
  <c r="CB164"/>
  <c r="AZ158"/>
  <c r="AU217"/>
  <c r="G206"/>
  <c r="AZ195"/>
  <c r="AP188"/>
  <c r="AY180"/>
  <c r="BR172"/>
  <c r="P166"/>
  <c r="AB160"/>
  <c r="AC226"/>
  <c r="AL209"/>
  <c r="BP200"/>
  <c r="Q194"/>
  <c r="BX188"/>
  <c r="AC182"/>
  <c r="CE175"/>
  <c r="CE169"/>
  <c r="CD165"/>
  <c r="G162"/>
  <c r="J157"/>
  <c r="Z154"/>
  <c r="CF150"/>
  <c r="BB148"/>
  <c r="P146"/>
  <c r="AX142"/>
  <c r="CK139"/>
  <c r="AY137"/>
  <c r="X134"/>
  <c r="BS131"/>
  <c r="AG129"/>
  <c r="BG125"/>
  <c r="AC123"/>
  <c r="BX120"/>
  <c r="AW117"/>
  <c r="CJ114"/>
  <c r="AH112"/>
  <c r="AN217"/>
  <c r="AO206"/>
  <c r="Y199"/>
  <c r="Y192"/>
  <c r="AB186"/>
  <c r="O181"/>
  <c r="BE174"/>
  <c r="CE168"/>
  <c r="CE164"/>
  <c r="M160"/>
  <c r="Z156"/>
  <c r="BM153"/>
  <c r="AL150"/>
  <c r="CG147"/>
  <c r="AU145"/>
  <c r="CK141"/>
  <c r="AI139"/>
  <c r="CD136"/>
  <c r="AU133"/>
  <c r="Q131"/>
  <c r="BD128"/>
  <c r="CD124"/>
  <c r="AZ122"/>
  <c r="V120"/>
  <c r="BL116"/>
  <c r="R114"/>
  <c r="BE111"/>
  <c r="R236"/>
  <c r="V208"/>
  <c r="BE197"/>
  <c r="AZ189"/>
  <c r="BI181"/>
  <c r="AE174"/>
  <c r="BO166"/>
  <c r="AE160"/>
  <c r="BW155"/>
  <c r="BI151"/>
  <c r="AX148"/>
  <c r="AB145"/>
  <c r="BF140"/>
  <c r="Y137"/>
  <c r="CJ132"/>
  <c r="BY129"/>
  <c r="BB125"/>
  <c r="W122"/>
  <c r="L119"/>
  <c r="CE114"/>
  <c r="N216"/>
  <c r="BM202"/>
  <c r="BZ192"/>
  <c r="S185"/>
  <c r="W177"/>
  <c r="AG169"/>
  <c r="BU163"/>
  <c r="X157"/>
  <c r="BF153"/>
  <c r="AP149"/>
  <c r="AQ146"/>
  <c r="AY142"/>
  <c r="AN140"/>
  <c r="AW137"/>
  <c r="AK134"/>
  <c r="CB131"/>
  <c r="BQ129"/>
  <c r="BP127"/>
  <c r="BZ124"/>
  <c r="Y123"/>
  <c r="AJ121"/>
  <c r="AT119"/>
  <c r="AP116"/>
  <c r="BA114"/>
  <c r="BL112"/>
  <c r="K111"/>
  <c r="BG228"/>
  <c r="BQ215"/>
  <c r="BB207"/>
  <c r="BO200"/>
  <c r="AA195"/>
  <c r="AX191"/>
  <c r="AZ186"/>
  <c r="AH182"/>
  <c r="G177"/>
  <c r="CB172"/>
  <c r="BF167"/>
  <c r="BX164"/>
  <c r="M162"/>
  <c r="BJ157"/>
  <c r="AA155"/>
  <c r="AB153"/>
  <c r="BY150"/>
  <c r="M149"/>
  <c r="BC147"/>
  <c r="CJ145"/>
  <c r="X144"/>
  <c r="BW141"/>
  <c r="J140"/>
  <c r="AZ138"/>
  <c r="T137"/>
  <c r="K136"/>
  <c r="CD133"/>
  <c r="BT132"/>
  <c r="AY131"/>
  <c r="AN130"/>
  <c r="AC129"/>
  <c r="R128"/>
  <c r="G127"/>
  <c r="BR124"/>
  <c r="AW123"/>
  <c r="CC235"/>
  <c r="K218"/>
  <c r="O210"/>
  <c r="AQ201"/>
  <c r="BK195"/>
  <c r="R191"/>
  <c r="T186"/>
  <c r="BL181"/>
  <c r="I177"/>
  <c r="AQ173"/>
  <c r="W168"/>
  <c r="J165"/>
  <c r="AA162"/>
  <c r="AG158"/>
  <c r="BL155"/>
  <c r="CF153"/>
  <c r="J151"/>
  <c r="Z149"/>
  <c r="AP147"/>
  <c r="BG145"/>
  <c r="BY142"/>
  <c r="BG140"/>
  <c r="CC138"/>
  <c r="L137"/>
  <c r="AW134"/>
  <c r="CI132"/>
  <c r="AJ131"/>
  <c r="BD129"/>
  <c r="BV127"/>
  <c r="Y125"/>
  <c r="BH123"/>
  <c r="K122"/>
  <c r="BS120"/>
  <c r="AN119"/>
  <c r="H117"/>
  <c r="BM115"/>
  <c r="AK114"/>
  <c r="S113"/>
  <c r="H112"/>
  <c r="CC110"/>
  <c r="CF82"/>
  <c r="T82"/>
  <c r="AO81"/>
  <c r="BJ80"/>
  <c r="BW79"/>
  <c r="K79"/>
  <c r="AF78"/>
  <c r="BA77"/>
  <c r="BN76"/>
  <c r="CD74"/>
  <c r="R74"/>
  <c r="AM73"/>
  <c r="BH72"/>
  <c r="CC71"/>
  <c r="Q71"/>
  <c r="AL70"/>
  <c r="AY69"/>
  <c r="BT68"/>
  <c r="H68"/>
  <c r="AF66"/>
  <c r="BA65"/>
  <c r="BN64"/>
  <c r="CI63"/>
  <c r="W63"/>
  <c r="AR62"/>
  <c r="BM61"/>
  <c r="CH60"/>
  <c r="V60"/>
  <c r="AL58"/>
  <c r="AY57"/>
  <c r="BT56"/>
  <c r="H56"/>
  <c r="AC55"/>
  <c r="AP54"/>
  <c r="BK53"/>
  <c r="CF52"/>
  <c r="T52"/>
  <c r="AJ50"/>
  <c r="BE49"/>
  <c r="BZ48"/>
  <c r="N48"/>
  <c r="Y225"/>
  <c r="AE214"/>
  <c r="AL207"/>
  <c r="BD201"/>
  <c r="BW197"/>
  <c r="AW192"/>
  <c r="X189"/>
  <c r="BL184"/>
  <c r="BA180"/>
  <c r="AY175"/>
  <c r="AD172"/>
  <c r="CJ167"/>
  <c r="AP165"/>
  <c r="CH162"/>
  <c r="J159"/>
  <c r="BE156"/>
  <c r="CH154"/>
  <c r="AK153"/>
  <c r="BM150"/>
  <c r="N149"/>
  <c r="AU147"/>
  <c r="CC145"/>
  <c r="AE144"/>
  <c r="BJ141"/>
  <c r="M140"/>
  <c r="AY138"/>
  <c r="CI136"/>
  <c r="AJ134"/>
  <c r="BE132"/>
  <c r="BW130"/>
  <c r="AB129"/>
  <c r="BK127"/>
  <c r="L125"/>
  <c r="AV123"/>
  <c r="CJ121"/>
  <c r="BG120"/>
  <c r="AD119"/>
  <c r="CE116"/>
  <c r="BC115"/>
  <c r="AA114"/>
  <c r="K113"/>
  <c r="CF111"/>
  <c r="BT110"/>
  <c r="CH82"/>
  <c r="V82"/>
  <c r="AI81"/>
  <c r="BD80"/>
  <c r="BY79"/>
  <c r="M79"/>
  <c r="Z78"/>
  <c r="AU77"/>
  <c r="BP76"/>
  <c r="CF74"/>
  <c r="T74"/>
  <c r="AO73"/>
  <c r="BJ72"/>
  <c r="BW71"/>
  <c r="K71"/>
  <c r="AF70"/>
  <c r="BA69"/>
  <c r="BN68"/>
  <c r="CD66"/>
  <c r="R66"/>
  <c r="AM65"/>
  <c r="BH64"/>
  <c r="CC63"/>
  <c r="Q63"/>
  <c r="AL62"/>
  <c r="AY61"/>
  <c r="BT60"/>
  <c r="H60"/>
  <c r="AF58"/>
  <c r="BA57"/>
  <c r="BN56"/>
  <c r="CI55"/>
  <c r="W55"/>
  <c r="AR54"/>
  <c r="BM53"/>
  <c r="CH52"/>
  <c r="V52"/>
  <c r="AL50"/>
  <c r="AY49"/>
  <c r="BT48"/>
  <c r="H48"/>
  <c r="AC47"/>
  <c r="AP46"/>
  <c r="BK45"/>
  <c r="CF44"/>
  <c r="AB215"/>
  <c r="BN207"/>
  <c r="N201"/>
  <c r="BR194"/>
  <c r="BP189"/>
  <c r="CC184"/>
  <c r="BL180"/>
  <c r="Y175"/>
  <c r="BT168"/>
  <c r="AM165"/>
  <c r="N162"/>
  <c r="BZ157"/>
  <c r="X155"/>
  <c r="M153"/>
  <c r="BX149"/>
  <c r="AN147"/>
  <c r="AG145"/>
  <c r="BV141"/>
  <c r="AR139"/>
  <c r="AH137"/>
  <c r="AQ134"/>
  <c r="AM132"/>
  <c r="AE130"/>
  <c r="CH127"/>
  <c r="BS124"/>
  <c r="BG122"/>
  <c r="BV120"/>
  <c r="G119"/>
  <c r="AG116"/>
  <c r="AW114"/>
  <c r="CI112"/>
  <c r="Z111"/>
  <c r="BV82"/>
  <c r="BV81"/>
  <c r="BV80"/>
  <c r="BU79"/>
  <c r="BW78"/>
  <c r="BV77"/>
  <c r="CF226"/>
  <c r="BN211"/>
  <c r="BT202"/>
  <c r="BH195"/>
  <c r="AX190"/>
  <c r="AZ184"/>
  <c r="BU179"/>
  <c r="AD174"/>
  <c r="AT169"/>
  <c r="AZ165"/>
  <c r="V162"/>
  <c r="CG157"/>
  <c r="AF155"/>
  <c r="BV151"/>
  <c r="AL149"/>
  <c r="Z147"/>
  <c r="CB144"/>
  <c r="CF141"/>
  <c r="BX139"/>
  <c r="AP137"/>
  <c r="AB134"/>
  <c r="BL131"/>
  <c r="BH129"/>
  <c r="AX127"/>
  <c r="AI124"/>
  <c r="BT121"/>
  <c r="G120"/>
  <c r="AD117"/>
  <c r="AU115"/>
  <c r="BR113"/>
  <c r="I112"/>
  <c r="AX110"/>
  <c r="CA82"/>
  <c r="BZ81"/>
  <c r="BY80"/>
  <c r="BZ79"/>
  <c r="BZ78"/>
  <c r="BZ77"/>
  <c r="CA76"/>
  <c r="BY74"/>
  <c r="BX73"/>
  <c r="BW72"/>
  <c r="BX71"/>
  <c r="BW70"/>
  <c r="BV69"/>
  <c r="BX68"/>
  <c r="BU66"/>
  <c r="BU65"/>
  <c r="BU64"/>
  <c r="BV63"/>
  <c r="BU62"/>
  <c r="BT61"/>
  <c r="BU60"/>
  <c r="BQ58"/>
  <c r="S227"/>
  <c r="CI211"/>
  <c r="CA205"/>
  <c r="BQ199"/>
  <c r="AE193"/>
  <c r="CK188"/>
  <c r="BB183"/>
  <c r="H177"/>
  <c r="BQ171"/>
  <c r="CC166"/>
  <c r="Q163"/>
  <c r="AV158"/>
  <c r="BH155"/>
  <c r="AZ153"/>
  <c r="AY150"/>
  <c r="Q148"/>
  <c r="BO227"/>
  <c r="Q208"/>
  <c r="BA198"/>
  <c r="Z190"/>
  <c r="AP182"/>
  <c r="AI173"/>
  <c r="AU166"/>
  <c r="BX159"/>
  <c r="Z155"/>
  <c r="BC150"/>
  <c r="BX146"/>
  <c r="AU142"/>
  <c r="BL139"/>
  <c r="AZ136"/>
  <c r="AG132"/>
  <c r="BB129"/>
  <c r="BT125"/>
  <c r="BK122"/>
  <c r="Z120"/>
  <c r="CG116"/>
  <c r="AB114"/>
  <c r="Y112"/>
  <c r="BX216"/>
  <c r="BW203"/>
  <c r="BE194"/>
  <c r="BZ185"/>
  <c r="BM177"/>
  <c r="BO168"/>
  <c r="BO162"/>
  <c r="BN209"/>
  <c r="BR200"/>
  <c r="AH191"/>
  <c r="BM182"/>
  <c r="AA175"/>
  <c r="AK167"/>
  <c r="BJ160"/>
  <c r="CG154"/>
  <c r="Y150"/>
  <c r="AW146"/>
  <c r="W142"/>
  <c r="AN139"/>
  <c r="AB136"/>
  <c r="AS132"/>
  <c r="AF129"/>
  <c r="T125"/>
  <c r="AN122"/>
  <c r="H120"/>
  <c r="AQ116"/>
  <c r="BU113"/>
  <c r="AZ111"/>
  <c r="S82"/>
  <c r="BI80"/>
  <c r="R79"/>
  <c r="AW77"/>
  <c r="AG76"/>
  <c r="U74"/>
  <c r="O228"/>
  <c r="BR226"/>
  <c r="AZ219"/>
  <c r="K214"/>
  <c r="BF218"/>
  <c r="AV207"/>
  <c r="BV198"/>
  <c r="CF172"/>
  <c r="BM205"/>
  <c r="BR189"/>
  <c r="P175"/>
  <c r="BB203"/>
  <c r="CJ184"/>
  <c r="AB166"/>
  <c r="AF236"/>
  <c r="BJ201"/>
  <c r="R188"/>
  <c r="AR175"/>
  <c r="AA165"/>
  <c r="BP234"/>
  <c r="BK205"/>
  <c r="AP189"/>
  <c r="AV177"/>
  <c r="AF166"/>
  <c r="BG157"/>
  <c r="N209"/>
  <c r="AD195"/>
  <c r="BW185"/>
  <c r="AW176"/>
  <c r="U168"/>
  <c r="BU160"/>
  <c r="BV154"/>
  <c r="T150"/>
  <c r="X146"/>
  <c r="AM141"/>
  <c r="AQ137"/>
  <c r="J132"/>
  <c r="BB128"/>
  <c r="AK123"/>
  <c r="BU119"/>
  <c r="BL114"/>
  <c r="AZ110"/>
  <c r="AF219"/>
  <c r="AJ203"/>
  <c r="AP192"/>
  <c r="BO183"/>
  <c r="AN174"/>
  <c r="BH165"/>
  <c r="CC158"/>
  <c r="CK153"/>
  <c r="AI149"/>
  <c r="AE145"/>
  <c r="CE139"/>
  <c r="R136"/>
  <c r="Y131"/>
  <c r="AS127"/>
  <c r="AR122"/>
  <c r="CJ116"/>
  <c r="AM113"/>
  <c r="AP209"/>
  <c r="BJ193"/>
  <c r="AM181"/>
  <c r="AV167"/>
  <c r="BS158"/>
  <c r="BT151"/>
  <c r="CE146"/>
  <c r="AV140"/>
  <c r="BD133"/>
  <c r="BX128"/>
  <c r="BC122"/>
  <c r="BS116"/>
  <c r="L215"/>
  <c r="CC194"/>
  <c r="K183"/>
  <c r="AY169"/>
  <c r="S160"/>
  <c r="AT153"/>
  <c r="BK146"/>
  <c r="AD142"/>
  <c r="BH137"/>
  <c r="Z133"/>
  <c r="BF129"/>
  <c r="AT125"/>
  <c r="BQ122"/>
  <c r="BD119"/>
  <c r="BK115"/>
  <c r="BB112"/>
  <c r="S231"/>
  <c r="CJ211"/>
  <c r="J202"/>
  <c r="AG194"/>
  <c r="BR185"/>
  <c r="T179"/>
  <c r="J172"/>
  <c r="X165"/>
  <c r="BF159"/>
  <c r="Q155"/>
  <c r="M151"/>
  <c r="BX148"/>
  <c r="M146"/>
  <c r="BW142"/>
  <c r="CG139"/>
  <c r="AO137"/>
  <c r="BS134"/>
  <c r="CE132"/>
  <c r="S131"/>
  <c r="R129"/>
  <c r="AB127"/>
  <c r="AL124"/>
  <c r="AM122"/>
  <c r="BH215"/>
  <c r="CG200"/>
  <c r="AN192"/>
  <c r="BB184"/>
  <c r="AW177"/>
  <c r="BY171"/>
  <c r="BM164"/>
  <c r="CJ158"/>
  <c r="AD155"/>
  <c r="AA151"/>
  <c r="BG148"/>
  <c r="AQ145"/>
  <c r="AP141"/>
  <c r="AS138"/>
  <c r="BM134"/>
  <c r="AK132"/>
  <c r="AN129"/>
  <c r="BH125"/>
  <c r="Z123"/>
  <c r="CE120"/>
  <c r="CA117"/>
  <c r="AX115"/>
  <c r="AR113"/>
  <c r="BQ111"/>
  <c r="CC81"/>
  <c r="BB80"/>
  <c r="AA79"/>
  <c r="P78"/>
  <c r="BV76"/>
  <c r="BF74"/>
  <c r="AE73"/>
  <c r="L72"/>
  <c r="CH70"/>
  <c r="BG69"/>
  <c r="AV68"/>
  <c r="X66"/>
  <c r="CD64"/>
  <c r="BS63"/>
  <c r="AZ62"/>
  <c r="AO61"/>
  <c r="N60"/>
  <c r="BO57"/>
  <c r="BD56"/>
  <c r="AK55"/>
  <c r="R54"/>
  <c r="BX52"/>
  <c r="AZ50"/>
  <c r="AO49"/>
  <c r="V48"/>
  <c r="AJ219"/>
  <c r="BW206"/>
  <c r="BP198"/>
  <c r="BN191"/>
  <c r="J185"/>
  <c r="AF179"/>
  <c r="CD171"/>
  <c r="K166"/>
  <c r="AE162"/>
  <c r="CA156"/>
  <c r="AI154"/>
  <c r="AV150"/>
  <c r="CB147"/>
  <c r="AV145"/>
  <c r="BZ141"/>
  <c r="AV139"/>
  <c r="BR136"/>
  <c r="T133"/>
  <c r="AP130"/>
  <c r="CB127"/>
  <c r="AU124"/>
  <c r="BV121"/>
  <c r="BH119"/>
  <c r="BC116"/>
  <c r="AO114"/>
  <c r="BI112"/>
  <c r="BG110"/>
  <c r="AL82"/>
  <c r="S81"/>
  <c r="CG79"/>
  <c r="BN78"/>
  <c r="AM77"/>
  <c r="T76"/>
  <c r="CK73"/>
  <c r="BR72"/>
  <c r="AY71"/>
  <c r="X70"/>
  <c r="CD68"/>
  <c r="BN66"/>
  <c r="AU65"/>
  <c r="AJ64"/>
  <c r="I63"/>
  <c r="BO61"/>
  <c r="BD60"/>
  <c r="AN58"/>
  <c r="AC57"/>
  <c r="CA55"/>
  <c r="BH54"/>
  <c r="AW53"/>
  <c r="AD52"/>
  <c r="N50"/>
  <c r="BL48"/>
  <c r="AS47"/>
  <c r="Z46"/>
  <c r="G45"/>
  <c r="AN211"/>
  <c r="AM200"/>
  <c r="BY190"/>
  <c r="BT183"/>
  <c r="BR175"/>
  <c r="AS167"/>
  <c r="BM160"/>
  <c r="BT155"/>
  <c r="AP151"/>
  <c r="BN147"/>
  <c r="Y144"/>
  <c r="V139"/>
  <c r="CK134"/>
  <c r="BZ131"/>
  <c r="U128"/>
  <c r="CJ123"/>
  <c r="BA120"/>
  <c r="BQ116"/>
  <c r="N114"/>
  <c r="AN111"/>
  <c r="BL82"/>
  <c r="J81"/>
  <c r="AZ79"/>
  <c r="CF77"/>
  <c r="BX217"/>
  <c r="AI201"/>
  <c r="BA191"/>
  <c r="CJ182"/>
  <c r="CC174"/>
  <c r="BH167"/>
  <c r="BZ160"/>
  <c r="BX155"/>
  <c r="AB151"/>
  <c r="AX147"/>
  <c r="M144"/>
  <c r="BB139"/>
  <c r="BW134"/>
  <c r="R131"/>
  <c r="BT127"/>
  <c r="AY123"/>
  <c r="BS119"/>
  <c r="CI115"/>
  <c r="AL113"/>
  <c r="BN110"/>
  <c r="BO82"/>
  <c r="N81"/>
  <c r="BD79"/>
  <c r="CK77"/>
  <c r="AU76"/>
  <c r="BN73"/>
  <c r="K72"/>
  <c r="BA70"/>
  <c r="CH68"/>
  <c r="AO66"/>
  <c r="BK64"/>
  <c r="J63"/>
  <c r="AZ61"/>
  <c r="CC58"/>
  <c r="AT219"/>
  <c r="O205"/>
  <c r="S195"/>
  <c r="BX186"/>
  <c r="BH177"/>
  <c r="P169"/>
  <c r="BQ162"/>
  <c r="U156"/>
  <c r="H153"/>
  <c r="AK148"/>
  <c r="AO216"/>
  <c r="BB197"/>
  <c r="G184"/>
  <c r="CG171"/>
  <c r="AS160"/>
  <c r="BD153"/>
  <c r="AL146"/>
  <c r="AM140"/>
  <c r="BP134"/>
  <c r="CH129"/>
  <c r="BQ124"/>
  <c r="CG119"/>
  <c r="BZ114"/>
  <c r="AX111"/>
  <c r="P215"/>
  <c r="BU197"/>
  <c r="AK183"/>
  <c r="AH169"/>
  <c r="BY225"/>
  <c r="CD199"/>
  <c r="AE184"/>
  <c r="BI173"/>
  <c r="O162"/>
  <c r="BJ153"/>
  <c r="L146"/>
  <c r="Q140"/>
  <c r="AR134"/>
  <c r="BL129"/>
  <c r="S124"/>
  <c r="BN119"/>
  <c r="BH114"/>
  <c r="J111"/>
  <c r="AW82"/>
  <c r="AH80"/>
  <c r="BJ77"/>
  <c r="CC74"/>
  <c r="H73"/>
  <c r="BQ71"/>
  <c r="AR70"/>
  <c r="AE69"/>
  <c r="T68"/>
  <c r="BZ65"/>
  <c r="BC64"/>
  <c r="AC63"/>
  <c r="BZ61"/>
  <c r="BA60"/>
  <c r="AM58"/>
  <c r="AH57"/>
  <c r="AJ56"/>
  <c r="AI55"/>
  <c r="BK208"/>
  <c r="AS192"/>
  <c r="CI180"/>
  <c r="R166"/>
  <c r="CF157"/>
  <c r="V151"/>
  <c r="CK146"/>
  <c r="BR141"/>
  <c r="U138"/>
  <c r="AW133"/>
  <c r="CG129"/>
  <c r="AJ125"/>
  <c r="BY121"/>
  <c r="BI116"/>
  <c r="BF113"/>
  <c r="AK110"/>
  <c r="CJ82"/>
  <c r="AR81"/>
  <c r="CH79"/>
  <c r="AA78"/>
  <c r="BU76"/>
  <c r="AV74"/>
  <c r="CA72"/>
  <c r="AZ71"/>
  <c r="Z70"/>
  <c r="CG68"/>
  <c r="BG66"/>
  <c r="AH65"/>
  <c r="CD63"/>
  <c r="BE62"/>
  <c r="AF61"/>
  <c r="BY58"/>
  <c r="BE57"/>
  <c r="AS56"/>
  <c r="AG55"/>
  <c r="AF54"/>
  <c r="AF53"/>
  <c r="AF52"/>
  <c r="AC50"/>
  <c r="AC49"/>
  <c r="AB48"/>
  <c r="AH47"/>
  <c r="AU46"/>
  <c r="BG45"/>
  <c r="BS44"/>
  <c r="G44"/>
  <c r="AE42"/>
  <c r="AZ41"/>
  <c r="BU40"/>
  <c r="I40"/>
  <c r="AD39"/>
  <c r="AQ38"/>
  <c r="BL37"/>
  <c r="CG36"/>
  <c r="U36"/>
  <c r="AK34"/>
  <c r="AX33"/>
  <c r="BS32"/>
  <c r="G32"/>
  <c r="AB31"/>
  <c r="AW30"/>
  <c r="BR29"/>
  <c r="CE28"/>
  <c r="S28"/>
  <c r="AI26"/>
  <c r="BD25"/>
  <c r="BY24"/>
  <c r="M24"/>
  <c r="Z23"/>
  <c r="AU22"/>
  <c r="BP21"/>
  <c r="CK20"/>
  <c r="Y20"/>
  <c r="AW18"/>
  <c r="BR17"/>
  <c r="CE16"/>
  <c r="S16"/>
  <c r="AN15"/>
  <c r="BI14"/>
  <c r="BV13"/>
  <c r="J13"/>
  <c r="AE12"/>
  <c r="BC10"/>
  <c r="BX9"/>
  <c r="L9"/>
  <c r="AG8"/>
  <c r="BB7"/>
  <c r="BO6"/>
  <c r="CJ5"/>
  <c r="X5"/>
  <c r="AS4"/>
  <c r="AR210"/>
  <c r="N197"/>
  <c r="BX179"/>
  <c r="AP167"/>
  <c r="CB158"/>
  <c r="J153"/>
  <c r="AV147"/>
  <c r="AG142"/>
  <c r="W138"/>
  <c r="K133"/>
  <c r="AV129"/>
  <c r="CI124"/>
  <c r="J121"/>
  <c r="N117"/>
  <c r="BH113"/>
  <c r="AM110"/>
  <c r="BF82"/>
  <c r="M81"/>
  <c r="BC79"/>
  <c r="L78"/>
  <c r="BJ76"/>
  <c r="V74"/>
  <c r="CB72"/>
  <c r="BA71"/>
  <c r="AA70"/>
  <c r="CI68"/>
  <c r="BH66"/>
  <c r="V65"/>
  <c r="CE63"/>
  <c r="BF62"/>
  <c r="AH61"/>
  <c r="CA58"/>
  <c r="BF57"/>
  <c r="AU56"/>
  <c r="AH55"/>
  <c r="AG54"/>
  <c r="AH53"/>
  <c r="AG52"/>
  <c r="AE50"/>
  <c r="AD49"/>
  <c r="AC48"/>
  <c r="AI47"/>
  <c r="AV46"/>
  <c r="BH45"/>
  <c r="BL44"/>
  <c r="CJ42"/>
  <c r="X42"/>
  <c r="AS41"/>
  <c r="BF40"/>
  <c r="CA39"/>
  <c r="O39"/>
  <c r="AJ38"/>
  <c r="BE37"/>
  <c r="BZ36"/>
  <c r="N36"/>
  <c r="AD34"/>
  <c r="AQ33"/>
  <c r="BL32"/>
  <c r="CG31"/>
  <c r="U31"/>
  <c r="AH30"/>
  <c r="BC29"/>
  <c r="BX28"/>
  <c r="L28"/>
  <c r="AB26"/>
  <c r="AW25"/>
  <c r="BR24"/>
  <c r="CE23"/>
  <c r="S23"/>
  <c r="AN22"/>
  <c r="BI21"/>
  <c r="BV20"/>
  <c r="J20"/>
  <c r="Z18"/>
  <c r="AU17"/>
  <c r="BP16"/>
  <c r="CK15"/>
  <c r="Y15"/>
  <c r="AT14"/>
  <c r="BG13"/>
  <c r="CB12"/>
  <c r="P12"/>
  <c r="AN10"/>
  <c r="BI9"/>
  <c r="BV8"/>
  <c r="J8"/>
  <c r="AE7"/>
  <c r="AZ6"/>
  <c r="BU5"/>
  <c r="I5"/>
  <c r="N202"/>
  <c r="N186"/>
  <c r="AN172"/>
  <c r="BN163"/>
  <c r="AJ232"/>
  <c r="I235"/>
  <c r="H225"/>
  <c r="CD215"/>
  <c r="CC221"/>
  <c r="AQ209"/>
  <c r="BD206"/>
  <c r="AS175"/>
  <c r="K206"/>
  <c r="L191"/>
  <c r="AN175"/>
  <c r="BX211"/>
  <c r="BC186"/>
  <c r="CA167"/>
  <c r="G157"/>
  <c r="BE203"/>
  <c r="AN190"/>
  <c r="X177"/>
  <c r="BG165"/>
  <c r="I157"/>
  <c r="AM206"/>
  <c r="BB191"/>
  <c r="AN180"/>
  <c r="K167"/>
  <c r="BR158"/>
  <c r="CA210"/>
  <c r="AW198"/>
  <c r="AO188"/>
  <c r="L177"/>
  <c r="AY168"/>
  <c r="U162"/>
  <c r="BQ155"/>
  <c r="BX150"/>
  <c r="AN146"/>
  <c r="BS141"/>
  <c r="BG137"/>
  <c r="U133"/>
  <c r="I129"/>
  <c r="BY123"/>
  <c r="L120"/>
  <c r="S115"/>
  <c r="AM111"/>
  <c r="AF227"/>
  <c r="M206"/>
  <c r="AG193"/>
  <c r="BM184"/>
  <c r="AL175"/>
  <c r="AD167"/>
  <c r="BT159"/>
  <c r="AB154"/>
  <c r="AY149"/>
  <c r="BC145"/>
  <c r="BZ140"/>
  <c r="BV136"/>
  <c r="AO131"/>
  <c r="BY127"/>
  <c r="BH122"/>
  <c r="K119"/>
  <c r="CA113"/>
  <c r="Q210"/>
  <c r="X194"/>
  <c r="CH181"/>
  <c r="AV169"/>
  <c r="O160"/>
  <c r="AH153"/>
  <c r="AW147"/>
  <c r="P141"/>
  <c r="BY134"/>
  <c r="BC129"/>
  <c r="CI122"/>
  <c r="G117"/>
  <c r="BL216"/>
  <c r="CC198"/>
  <c r="CH184"/>
  <c r="U171"/>
  <c r="CI160"/>
  <c r="BP153"/>
  <c r="J148"/>
  <c r="AN142"/>
  <c r="AX138"/>
  <c r="AJ133"/>
  <c r="CA129"/>
  <c r="Y127"/>
  <c r="CA122"/>
  <c r="BP119"/>
  <c r="J116"/>
  <c r="J113"/>
  <c r="AP110"/>
  <c r="U215"/>
  <c r="BO202"/>
  <c r="BK194"/>
  <c r="BU186"/>
  <c r="U180"/>
  <c r="AF172"/>
  <c r="BF165"/>
  <c r="BW159"/>
  <c r="AL155"/>
  <c r="BY151"/>
  <c r="CI148"/>
  <c r="W146"/>
  <c r="CH142"/>
  <c r="U140"/>
  <c r="CF137"/>
  <c r="CE134"/>
  <c r="H133"/>
  <c r="AC131"/>
  <c r="AM129"/>
  <c r="BS127"/>
  <c r="BH124"/>
  <c r="AW122"/>
  <c r="AK216"/>
  <c r="AX202"/>
  <c r="CB193"/>
  <c r="AL185"/>
  <c r="W179"/>
  <c r="R172"/>
  <c r="AJ165"/>
  <c r="CB159"/>
  <c r="AV155"/>
  <c r="AR151"/>
  <c r="BY148"/>
  <c r="BZ145"/>
  <c r="G142"/>
  <c r="BM138"/>
  <c r="CF134"/>
  <c r="BB132"/>
  <c r="BV129"/>
  <c r="X127"/>
  <c r="AP123"/>
  <c r="M121"/>
  <c r="M119"/>
  <c r="CA115"/>
  <c r="CC113"/>
  <c r="CD111"/>
  <c r="H110"/>
  <c r="CK81"/>
  <c r="BR80"/>
  <c r="AY79"/>
  <c r="X78"/>
  <c r="CD76"/>
  <c r="BN74"/>
  <c r="AU73"/>
  <c r="AJ72"/>
  <c r="I71"/>
  <c r="BO69"/>
  <c r="BD68"/>
  <c r="AN66"/>
  <c r="AC65"/>
  <c r="CA63"/>
  <c r="BH62"/>
  <c r="AW61"/>
  <c r="AD60"/>
  <c r="N58"/>
  <c r="BL56"/>
  <c r="AS55"/>
  <c r="Z54"/>
  <c r="G53"/>
  <c r="BX50"/>
  <c r="AW49"/>
  <c r="AD48"/>
  <c r="V222"/>
  <c r="BB208"/>
  <c r="L200"/>
  <c r="N192"/>
  <c r="AY185"/>
  <c r="BS179"/>
  <c r="BL172"/>
  <c r="H167"/>
  <c r="BI162"/>
  <c r="R157"/>
  <c r="BA154"/>
  <c r="CC150"/>
  <c r="AU148"/>
  <c r="BM145"/>
  <c r="M142"/>
  <c r="BN139"/>
  <c r="P137"/>
  <c r="BU133"/>
  <c r="BG130"/>
  <c r="K128"/>
  <c r="BK124"/>
  <c r="P122"/>
  <c r="Q120"/>
  <c r="BP116"/>
  <c r="BC114"/>
  <c r="BT112"/>
  <c r="CE110"/>
  <c r="BJ82"/>
  <c r="AA81"/>
  <c r="H80"/>
  <c r="BV78"/>
  <c r="BC77"/>
  <c r="AR76"/>
  <c r="L74"/>
  <c r="BZ72"/>
  <c r="BG71"/>
  <c r="AN70"/>
  <c r="AC69"/>
  <c r="BV66"/>
  <c r="BC65"/>
  <c r="AR64"/>
  <c r="Y63"/>
  <c r="N62"/>
  <c r="BL60"/>
  <c r="AV58"/>
  <c r="AK57"/>
  <c r="J56"/>
  <c r="CF54"/>
  <c r="BE53"/>
  <c r="AL52"/>
  <c r="V50"/>
  <c r="CB48"/>
  <c r="BQ47"/>
  <c r="AH46"/>
  <c r="O45"/>
  <c r="R213"/>
  <c r="BW201"/>
  <c r="AI192"/>
  <c r="AJ184"/>
  <c r="Q176"/>
  <c r="BY167"/>
  <c r="AU162"/>
  <c r="BF156"/>
  <c r="BP151"/>
  <c r="CJ147"/>
  <c r="AW144"/>
  <c r="BP139"/>
  <c r="BC136"/>
  <c r="O132"/>
  <c r="AW128"/>
  <c r="W124"/>
  <c r="H121"/>
  <c r="AR117"/>
  <c r="AG114"/>
  <c r="BD111"/>
  <c r="CG82"/>
  <c r="AP81"/>
  <c r="BK79"/>
  <c r="K78"/>
  <c r="BO222"/>
  <c r="AL203"/>
  <c r="U193"/>
  <c r="AR183"/>
  <c r="AI175"/>
  <c r="H168"/>
  <c r="BM162"/>
  <c r="BQ156"/>
  <c r="AZ151"/>
  <c r="BT147"/>
  <c r="AK144"/>
  <c r="K140"/>
  <c r="BJ136"/>
  <c r="AQ131"/>
  <c r="J128"/>
  <c r="BU123"/>
  <c r="X120"/>
  <c r="BF116"/>
  <c r="BB113"/>
  <c r="CD110"/>
  <c r="CK82"/>
  <c r="AT81"/>
  <c r="BN79"/>
  <c r="N78"/>
  <c r="BE76"/>
  <c r="CH73"/>
  <c r="AQ72"/>
  <c r="BM70"/>
  <c r="J69"/>
  <c r="AZ66"/>
  <c r="CG64"/>
  <c r="AP63"/>
  <c r="BJ61"/>
  <c r="I60"/>
  <c r="AJ221"/>
  <c r="AX206"/>
  <c r="CD197"/>
  <c r="AT188"/>
  <c r="AM179"/>
  <c r="BC169"/>
  <c r="BF163"/>
  <c r="AB157"/>
  <c r="AC153"/>
  <c r="BI148"/>
  <c r="X218"/>
  <c r="BF199"/>
  <c r="BA186"/>
  <c r="BJ172"/>
  <c r="BC162"/>
  <c r="AN154"/>
  <c r="V147"/>
  <c r="AL141"/>
  <c r="W136"/>
  <c r="AA130"/>
  <c r="O125"/>
  <c r="AX120"/>
  <c r="BR115"/>
  <c r="BP111"/>
  <c r="BD218"/>
  <c r="BF200"/>
  <c r="W184"/>
  <c r="R171"/>
  <c r="AT228"/>
  <c r="CC201"/>
  <c r="BN188"/>
  <c r="AW174"/>
  <c r="BU162"/>
  <c r="K154"/>
  <c r="CH146"/>
  <c r="R141"/>
  <c r="BX134"/>
  <c r="AG130"/>
  <c r="AS124"/>
  <c r="AF120"/>
  <c r="AV115"/>
  <c r="AD111"/>
  <c r="AW80"/>
  <c r="BX77"/>
  <c r="I76"/>
  <c r="T73"/>
  <c r="CB71"/>
  <c r="BE70"/>
  <c r="AR69"/>
  <c r="AE68"/>
  <c r="Q66"/>
  <c r="BO64"/>
  <c r="AQ63"/>
  <c r="Q62"/>
  <c r="BN60"/>
  <c r="AY58"/>
  <c r="AT57"/>
  <c r="AT56"/>
  <c r="AT55"/>
  <c r="W210"/>
  <c r="BD193"/>
  <c r="H182"/>
  <c r="L167"/>
  <c r="BT158"/>
  <c r="BQ151"/>
  <c r="AT147"/>
  <c r="AE142"/>
  <c r="BE138"/>
  <c r="CH133"/>
  <c r="AF130"/>
  <c r="CA125"/>
  <c r="U122"/>
  <c r="AL117"/>
  <c r="CH113"/>
  <c r="BK110"/>
  <c r="BH81"/>
  <c r="O80"/>
  <c r="AO78"/>
  <c r="CI76"/>
  <c r="BJ74"/>
  <c r="U73"/>
  <c r="BN71"/>
  <c r="AM70"/>
  <c r="N69"/>
  <c r="BS66"/>
  <c r="AV65"/>
  <c r="K64"/>
  <c r="BS62"/>
  <c r="AT61"/>
  <c r="G60"/>
  <c r="BR57"/>
  <c r="BG56"/>
  <c r="AR55"/>
  <c r="AQ54"/>
  <c r="AQ53"/>
  <c r="AP52"/>
  <c r="AN50"/>
  <c r="AM49"/>
  <c r="AM48"/>
  <c r="AQ47"/>
  <c r="BD46"/>
  <c r="BP45"/>
  <c r="CB44"/>
  <c r="O44"/>
  <c r="AM42"/>
  <c r="BH41"/>
  <c r="CC40"/>
  <c r="Q40"/>
  <c r="AL39"/>
  <c r="AY38"/>
  <c r="BT37"/>
  <c r="H37"/>
  <c r="AC36"/>
  <c r="AS34"/>
  <c r="BF33"/>
  <c r="CA32"/>
  <c r="O32"/>
  <c r="AJ31"/>
  <c r="BE30"/>
  <c r="BZ29"/>
  <c r="N29"/>
  <c r="AA28"/>
  <c r="AQ26"/>
  <c r="BL25"/>
  <c r="CG24"/>
  <c r="U24"/>
  <c r="AH23"/>
  <c r="BC22"/>
  <c r="BX21"/>
  <c r="L21"/>
  <c r="AG20"/>
  <c r="BE18"/>
  <c r="BZ17"/>
  <c r="N17"/>
  <c r="AA16"/>
  <c r="AV15"/>
  <c r="BQ14"/>
  <c r="CD13"/>
  <c r="R13"/>
  <c r="AM12"/>
  <c r="BK10"/>
  <c r="CF9"/>
  <c r="T9"/>
  <c r="AO8"/>
  <c r="BJ7"/>
  <c r="BW6"/>
  <c r="K6"/>
  <c r="AF5"/>
  <c r="BA4"/>
  <c r="AQ215"/>
  <c r="AS198"/>
  <c r="R182"/>
  <c r="AB168"/>
  <c r="BL159"/>
  <c r="BG153"/>
  <c r="BF148"/>
  <c r="BS142"/>
  <c r="BN138"/>
  <c r="AZ133"/>
  <c r="W232"/>
  <c r="BO234"/>
  <c r="AL227"/>
  <c r="AU224"/>
  <c r="AG233"/>
  <c r="P205"/>
  <c r="CI192"/>
  <c r="CJ186"/>
  <c r="CJ221"/>
  <c r="K199"/>
  <c r="BV183"/>
  <c r="Q168"/>
  <c r="AV198"/>
  <c r="AP177"/>
  <c r="K163"/>
  <c r="CC215"/>
  <c r="BJ194"/>
  <c r="AB183"/>
  <c r="AT171"/>
  <c r="AX162"/>
  <c r="CK216"/>
  <c r="AD197"/>
  <c r="AM185"/>
  <c r="CC172"/>
  <c r="CI163"/>
  <c r="BP223"/>
  <c r="AZ202"/>
  <c r="AK192"/>
  <c r="BL182"/>
  <c r="CJ173"/>
  <c r="BR165"/>
  <c r="BI157"/>
  <c r="AU153"/>
  <c r="BJ148"/>
  <c r="BV144"/>
  <c r="CC139"/>
  <c r="BL134"/>
  <c r="G131"/>
  <c r="CE125"/>
  <c r="Z122"/>
  <c r="AG117"/>
  <c r="CD112"/>
  <c r="AO213"/>
  <c r="AS199"/>
  <c r="G190"/>
  <c r="AX180"/>
  <c r="CJ169"/>
  <c r="AZ163"/>
  <c r="AQ156"/>
  <c r="BU151"/>
  <c r="BY147"/>
  <c r="AJ142"/>
  <c r="BD138"/>
  <c r="BC133"/>
  <c r="BW129"/>
  <c r="BV124"/>
  <c r="BJ120"/>
  <c r="CG115"/>
  <c r="CC111"/>
  <c r="BB202"/>
  <c r="AE189"/>
  <c r="I175"/>
  <c r="O165"/>
  <c r="CH155"/>
  <c r="AC150"/>
  <c r="CE144"/>
  <c r="CK137"/>
  <c r="CJ131"/>
  <c r="BV125"/>
  <c r="CI120"/>
  <c r="BS114"/>
  <c r="AZ205"/>
  <c r="AM190"/>
  <c r="AR177"/>
  <c r="BC166"/>
  <c r="BZ156"/>
  <c r="J150"/>
  <c r="K146"/>
  <c r="AX140"/>
  <c r="G137"/>
  <c r="BG131"/>
  <c r="Z128"/>
  <c r="BE124"/>
  <c r="AT121"/>
  <c r="BA117"/>
  <c r="AQ114"/>
  <c r="AQ111"/>
  <c r="AJ223"/>
  <c r="AM208"/>
  <c r="AZ199"/>
  <c r="AS190"/>
  <c r="BY182"/>
  <c r="BM175"/>
  <c r="CG168"/>
  <c r="CB163"/>
  <c r="AS157"/>
  <c r="CD153"/>
  <c r="X150"/>
  <c r="BX147"/>
  <c r="X145"/>
  <c r="BA141"/>
  <c r="CF138"/>
  <c r="CG136"/>
  <c r="G134"/>
  <c r="AD132"/>
  <c r="AC130"/>
  <c r="AM128"/>
  <c r="BR125"/>
  <c r="BG123"/>
  <c r="CB227"/>
  <c r="BL209"/>
  <c r="BQ197"/>
  <c r="CJ189"/>
  <c r="AV182"/>
  <c r="CC175"/>
  <c r="CB167"/>
  <c r="CC162"/>
  <c r="AN157"/>
  <c r="N154"/>
  <c r="AQ150"/>
  <c r="Y147"/>
  <c r="AA144"/>
  <c r="Y140"/>
  <c r="AD137"/>
  <c r="CF133"/>
  <c r="T131"/>
  <c r="Y128"/>
  <c r="BY124"/>
  <c r="AA122"/>
  <c r="AA120"/>
  <c r="CA116"/>
  <c r="BO114"/>
  <c r="CC112"/>
  <c r="H111"/>
  <c r="BH82"/>
  <c r="AG81"/>
  <c r="N80"/>
  <c r="CB78"/>
  <c r="BI77"/>
  <c r="AP76"/>
  <c r="J74"/>
  <c r="BX72"/>
  <c r="BM71"/>
  <c r="AT70"/>
  <c r="AA69"/>
  <c r="CJ66"/>
  <c r="BQ65"/>
  <c r="AX64"/>
  <c r="AE63"/>
  <c r="T62"/>
  <c r="BZ60"/>
  <c r="BB58"/>
  <c r="AI57"/>
  <c r="P56"/>
  <c r="CD54"/>
  <c r="BC53"/>
  <c r="AJ52"/>
  <c r="T50"/>
  <c r="CH48"/>
  <c r="BA236"/>
  <c r="AW213"/>
  <c r="BN202"/>
  <c r="BZ195"/>
  <c r="BK189"/>
  <c r="AQ183"/>
  <c r="R175"/>
  <c r="BJ168"/>
  <c r="BW164"/>
  <c r="AI159"/>
  <c r="CF155"/>
  <c r="T153"/>
  <c r="AU149"/>
  <c r="N147"/>
  <c r="AV144"/>
  <c r="L141"/>
  <c r="AH138"/>
  <c r="BR134"/>
  <c r="W132"/>
  <c r="AR129"/>
  <c r="J127"/>
  <c r="AD123"/>
  <c r="CJ120"/>
  <c r="CF117"/>
  <c r="BP115"/>
  <c r="BT113"/>
  <c r="BT111"/>
  <c r="CE81"/>
  <c r="BL80"/>
  <c r="BA79"/>
  <c r="R78"/>
  <c r="CF76"/>
  <c r="BP74"/>
  <c r="AW73"/>
  <c r="AL72"/>
  <c r="CJ70"/>
  <c r="BQ69"/>
  <c r="AX68"/>
  <c r="Z66"/>
  <c r="O65"/>
  <c r="BU63"/>
  <c r="BB62"/>
  <c r="AI61"/>
  <c r="P60"/>
  <c r="H58"/>
  <c r="BF56"/>
  <c r="AM55"/>
  <c r="AB54"/>
  <c r="I53"/>
  <c r="BZ50"/>
  <c r="AQ49"/>
  <c r="X48"/>
  <c r="M47"/>
  <c r="BS45"/>
  <c r="AI232"/>
  <c r="CD206"/>
  <c r="AU197"/>
  <c r="BH188"/>
  <c r="M181"/>
  <c r="AZ173"/>
  <c r="CI164"/>
  <c r="BG158"/>
  <c r="BK154"/>
  <c r="P150"/>
  <c r="BG146"/>
  <c r="AZ141"/>
  <c r="BZ137"/>
  <c r="CE133"/>
  <c r="AY130"/>
  <c r="R127"/>
  <c r="AL122"/>
  <c r="AU119"/>
  <c r="BZ115"/>
  <c r="P113"/>
  <c r="AQ110"/>
  <c r="J82"/>
  <c r="AZ80"/>
  <c r="CG78"/>
  <c r="AP77"/>
  <c r="L210"/>
  <c r="BH197"/>
  <c r="AJ189"/>
  <c r="AE180"/>
  <c r="BQ172"/>
  <c r="P165"/>
  <c r="BW158"/>
  <c r="BU154"/>
  <c r="BJ149"/>
  <c r="V146"/>
  <c r="BH141"/>
  <c r="CJ137"/>
  <c r="AT133"/>
  <c r="CF129"/>
  <c r="BJ125"/>
  <c r="AZ121"/>
  <c r="BP117"/>
  <c r="J115"/>
  <c r="AA112"/>
  <c r="O82"/>
  <c r="BE80"/>
  <c r="CK78"/>
  <c r="AT77"/>
  <c r="BM74"/>
  <c r="L73"/>
  <c r="BB71"/>
  <c r="CH69"/>
  <c r="AR68"/>
  <c r="BJ65"/>
  <c r="I64"/>
  <c r="AY62"/>
  <c r="CE60"/>
  <c r="AK58"/>
  <c r="N211"/>
  <c r="BY200"/>
  <c r="R192"/>
  <c r="L184"/>
  <c r="AU174"/>
  <c r="AS166"/>
  <c r="AB159"/>
  <c r="P155"/>
  <c r="BU150"/>
  <c r="AH147"/>
  <c r="H207"/>
  <c r="CI191"/>
  <c r="W180"/>
  <c r="P167"/>
  <c r="CD157"/>
  <c r="Q150"/>
  <c r="W144"/>
  <c r="BG138"/>
  <c r="BM132"/>
  <c r="BE128"/>
  <c r="AF122"/>
  <c r="AV117"/>
  <c r="BN113"/>
  <c r="Y110"/>
  <c r="AD208"/>
  <c r="CJ192"/>
  <c r="AP179"/>
  <c r="BA166"/>
  <c r="AX208"/>
  <c r="CE193"/>
  <c r="J181"/>
  <c r="BS168"/>
  <c r="AF157"/>
  <c r="CA149"/>
  <c r="CG142"/>
  <c r="BQ138"/>
  <c r="BY132"/>
  <c r="CJ127"/>
  <c r="I122"/>
  <c r="AF117"/>
  <c r="AA113"/>
  <c r="BY81"/>
  <c r="AG79"/>
  <c r="I77"/>
  <c r="H74"/>
  <c r="BE72"/>
  <c r="AE71"/>
  <c r="G70"/>
  <c r="CC68"/>
  <c r="BO66"/>
  <c r="AP65"/>
  <c r="Q64"/>
  <c r="BN62"/>
  <c r="AP61"/>
  <c r="Q60"/>
  <c r="CJ57"/>
  <c r="CK56"/>
  <c r="CK55"/>
  <c r="BY226"/>
  <c r="V203"/>
  <c r="AJ188"/>
  <c r="AY174"/>
  <c r="Y163"/>
  <c r="S155"/>
  <c r="BD149"/>
  <c r="AT145"/>
  <c r="AO140"/>
  <c r="BX136"/>
  <c r="V132"/>
  <c r="BI128"/>
  <c r="CF123"/>
  <c r="U120"/>
  <c r="BB115"/>
  <c r="BJ112"/>
  <c r="AN82"/>
  <c r="CC80"/>
  <c r="AL79"/>
  <c r="BH77"/>
  <c r="AE76"/>
  <c r="BY73"/>
  <c r="AK72"/>
  <c r="J71"/>
  <c r="BR69"/>
  <c r="AQ68"/>
  <c r="O66"/>
  <c r="BM64"/>
  <c r="AL63"/>
  <c r="O62"/>
  <c r="BK60"/>
  <c r="AI58"/>
  <c r="T57"/>
  <c r="I56"/>
  <c r="CH54"/>
  <c r="CG53"/>
  <c r="CG52"/>
  <c r="CD50"/>
  <c r="CD49"/>
  <c r="CD48"/>
  <c r="CC47"/>
  <c r="G47"/>
  <c r="T46"/>
  <c r="AF45"/>
  <c r="AU44"/>
  <c r="BS42"/>
  <c r="G42"/>
  <c r="AB41"/>
  <c r="AW40"/>
  <c r="BR39"/>
  <c r="CE38"/>
  <c r="S38"/>
  <c r="AN37"/>
  <c r="BI36"/>
  <c r="BY34"/>
  <c r="M34"/>
  <c r="Z33"/>
  <c r="AU32"/>
  <c r="BP31"/>
  <c r="CK30"/>
  <c r="Y30"/>
  <c r="AT29"/>
  <c r="BG28"/>
  <c r="BW26"/>
  <c r="K26"/>
  <c r="AF25"/>
  <c r="BA24"/>
  <c r="BN23"/>
  <c r="CI22"/>
  <c r="W22"/>
  <c r="AR21"/>
  <c r="BM20"/>
  <c r="CK18"/>
  <c r="Y18"/>
  <c r="AT17"/>
  <c r="BG16"/>
  <c r="CB15"/>
  <c r="P15"/>
  <c r="AK14"/>
  <c r="AX13"/>
  <c r="BS12"/>
  <c r="G12"/>
  <c r="AE10"/>
  <c r="AZ9"/>
  <c r="BU8"/>
  <c r="I8"/>
  <c r="AD7"/>
  <c r="AQ6"/>
  <c r="BL5"/>
  <c r="CG4"/>
  <c r="U4"/>
  <c r="AI205"/>
  <c r="AU191"/>
  <c r="BP174"/>
  <c r="AA164"/>
  <c r="BV155"/>
  <c r="BS150"/>
  <c r="AW145"/>
  <c r="CJ140"/>
  <c r="BZ136"/>
  <c r="BV131"/>
  <c r="T128"/>
  <c r="P123"/>
  <c r="CA119"/>
  <c r="CJ115"/>
  <c r="AI112"/>
  <c r="I82"/>
  <c r="AX80"/>
  <c r="G79"/>
  <c r="AV77"/>
  <c r="S76"/>
  <c r="BL73"/>
  <c r="AM72"/>
  <c r="M71"/>
  <c r="BS69"/>
  <c r="AT68"/>
  <c r="S66"/>
  <c r="BQ64"/>
  <c r="AN63"/>
  <c r="P62"/>
  <c r="BM60"/>
  <c r="AJ58"/>
  <c r="V57"/>
  <c r="K56"/>
  <c r="CI54"/>
  <c r="CH53"/>
  <c r="CI52"/>
  <c r="CE50"/>
  <c r="CF49"/>
  <c r="CE48"/>
  <c r="CD47"/>
  <c r="H47"/>
  <c r="U46"/>
  <c r="AG45"/>
  <c r="AN44"/>
  <c r="BL42"/>
  <c r="CG41"/>
  <c r="U41"/>
  <c r="AH40"/>
  <c r="BC39"/>
  <c r="BX38"/>
  <c r="L38"/>
  <c r="AG37"/>
  <c r="BB36"/>
  <c r="BR34"/>
  <c r="CE33"/>
  <c r="S33"/>
  <c r="AN32"/>
  <c r="BI31"/>
  <c r="BV30"/>
  <c r="J30"/>
  <c r="AE29"/>
  <c r="AZ28"/>
  <c r="BP26"/>
  <c r="CK25"/>
  <c r="Y25"/>
  <c r="AT24"/>
  <c r="BG23"/>
  <c r="CB22"/>
  <c r="P22"/>
  <c r="AK21"/>
  <c r="AX20"/>
  <c r="BN18"/>
  <c r="CI17"/>
  <c r="W17"/>
  <c r="AR16"/>
  <c r="BM15"/>
  <c r="CH14"/>
  <c r="V14"/>
  <c r="AI13"/>
  <c r="BD12"/>
  <c r="CB10"/>
  <c r="P10"/>
  <c r="AK9"/>
  <c r="AX8"/>
  <c r="BS7"/>
  <c r="G7"/>
  <c r="AB6"/>
  <c r="AW5"/>
  <c r="N224"/>
  <c r="AP197"/>
  <c r="W181"/>
  <c r="AR168"/>
  <c r="P230"/>
  <c r="AU215"/>
  <c r="AL215"/>
  <c r="BW198"/>
  <c r="X176"/>
  <c r="K195"/>
  <c r="CA172"/>
  <c r="CB190"/>
  <c r="BO163"/>
  <c r="AT205"/>
  <c r="BG182"/>
  <c r="X164"/>
  <c r="BO211"/>
  <c r="AX186"/>
  <c r="V169"/>
  <c r="BP218"/>
  <c r="AI194"/>
  <c r="BK180"/>
  <c r="J166"/>
  <c r="P156"/>
  <c r="AT148"/>
  <c r="AZ140"/>
  <c r="P134"/>
  <c r="AA127"/>
  <c r="BP120"/>
  <c r="BF112"/>
  <c r="BG207"/>
  <c r="BZ186"/>
  <c r="H173"/>
  <c r="AY160"/>
  <c r="CK151"/>
  <c r="BS145"/>
  <c r="AN138"/>
  <c r="CH130"/>
  <c r="CI123"/>
  <c r="AV116"/>
  <c r="BJ110"/>
  <c r="J222"/>
  <c r="BX189"/>
  <c r="CE171"/>
  <c r="BM155"/>
  <c r="BT145"/>
  <c r="O137"/>
  <c r="L127"/>
  <c r="CD117"/>
  <c r="BM203"/>
  <c r="BA182"/>
  <c r="AK164"/>
  <c r="AF151"/>
  <c r="AQ144"/>
  <c r="BG134"/>
  <c r="AK129"/>
  <c r="BE123"/>
  <c r="BK117"/>
  <c r="AF113"/>
  <c r="BB221"/>
  <c r="AQ200"/>
  <c r="CI189"/>
  <c r="BS176"/>
  <c r="BW166"/>
  <c r="L157"/>
  <c r="CJ150"/>
  <c r="L147"/>
  <c r="CG141"/>
  <c r="J138"/>
  <c r="BT133"/>
  <c r="BT130"/>
  <c r="G128"/>
  <c r="BR123"/>
  <c r="R217"/>
  <c r="AA197"/>
  <c r="T184"/>
  <c r="BY173"/>
  <c r="BX163"/>
  <c r="M156"/>
  <c r="BH149"/>
  <c r="I145"/>
  <c r="AS139"/>
  <c r="N134"/>
  <c r="U130"/>
  <c r="BI124"/>
  <c r="BD120"/>
  <c r="AY116"/>
  <c r="H113"/>
  <c r="AS110"/>
  <c r="L82"/>
  <c r="CE79"/>
  <c r="H78"/>
  <c r="J76"/>
  <c r="O73"/>
  <c r="Y71"/>
  <c r="CJ68"/>
  <c r="P66"/>
  <c r="R64"/>
  <c r="AB62"/>
  <c r="AL60"/>
  <c r="AA57"/>
  <c r="U55"/>
  <c r="AM53"/>
  <c r="AB50"/>
  <c r="BB48"/>
  <c r="AX211"/>
  <c r="Y198"/>
  <c r="AR188"/>
  <c r="AG176"/>
  <c r="AH167"/>
  <c r="BO158"/>
  <c r="BT153"/>
  <c r="CC148"/>
  <c r="BM144"/>
  <c r="CF139"/>
  <c r="BA134"/>
  <c r="Y130"/>
  <c r="AD125"/>
  <c r="AS121"/>
  <c r="M117"/>
  <c r="AI113"/>
  <c r="AV110"/>
  <c r="AD82"/>
  <c r="AN80"/>
  <c r="AH78"/>
  <c r="AZ76"/>
  <c r="AG73"/>
  <c r="AA71"/>
  <c r="AS69"/>
  <c r="AH66"/>
  <c r="AZ64"/>
  <c r="AT62"/>
  <c r="AV60"/>
  <c r="BI57"/>
  <c r="BK55"/>
  <c r="BU53"/>
  <c r="BB50"/>
  <c r="BD48"/>
  <c r="BF46"/>
  <c r="AK235"/>
  <c r="AQ202"/>
  <c r="N188"/>
  <c r="BH174"/>
  <c r="M164"/>
  <c r="CJ154"/>
  <c r="BQ148"/>
  <c r="AD141"/>
  <c r="BK134"/>
  <c r="BT129"/>
  <c r="CG122"/>
  <c r="BH117"/>
  <c r="BQ112"/>
  <c r="AP82"/>
  <c r="CF79"/>
  <c r="Q233"/>
  <c r="BL200"/>
  <c r="L186"/>
  <c r="U173"/>
  <c r="L163"/>
  <c r="AY154"/>
  <c r="BQ146"/>
  <c r="N141"/>
  <c r="BR133"/>
  <c r="BY128"/>
  <c r="AI121"/>
  <c r="BN115"/>
  <c r="BJ111"/>
  <c r="CJ81"/>
  <c r="AT79"/>
  <c r="CK76"/>
  <c r="AR73"/>
  <c r="CG70"/>
  <c r="L68"/>
  <c r="BA64"/>
  <c r="I62"/>
  <c r="AW58"/>
  <c r="AP207"/>
  <c r="BQ191"/>
  <c r="AX176"/>
  <c r="BJ165"/>
  <c r="AN155"/>
  <c r="AT149"/>
  <c r="CF205"/>
  <c r="X183"/>
  <c r="W165"/>
  <c r="CK150"/>
  <c r="BP141"/>
  <c r="I132"/>
  <c r="BJ123"/>
  <c r="BG116"/>
  <c r="AU110"/>
  <c r="AC207"/>
  <c r="BI182"/>
  <c r="AL163"/>
  <c r="CI197"/>
  <c r="G176"/>
  <c r="BU155"/>
  <c r="BP145"/>
  <c r="AF137"/>
  <c r="AI128"/>
  <c r="BF120"/>
  <c r="BU112"/>
  <c r="AH82"/>
  <c r="BJ78"/>
  <c r="AF74"/>
  <c r="H72"/>
  <c r="CB69"/>
  <c r="G68"/>
  <c r="Q65"/>
  <c r="CA62"/>
  <c r="BY60"/>
  <c r="BZ57"/>
  <c r="Y56"/>
  <c r="CE219"/>
  <c r="CA189"/>
  <c r="R168"/>
  <c r="BG154"/>
  <c r="AJ146"/>
  <c r="AZ139"/>
  <c r="BI132"/>
  <c r="V127"/>
  <c r="BY119"/>
  <c r="AB113"/>
  <c r="BM80"/>
  <c r="I78"/>
  <c r="CK74"/>
  <c r="AX72"/>
  <c r="AZ70"/>
  <c r="AC68"/>
  <c r="T65"/>
  <c r="L63"/>
  <c r="BX60"/>
  <c r="CC57"/>
  <c r="CD55"/>
  <c r="V54"/>
  <c r="BL52"/>
  <c r="H50"/>
  <c r="AX48"/>
  <c r="CF46"/>
  <c r="AX45"/>
  <c r="AE44"/>
  <c r="O42"/>
  <c r="CK40"/>
  <c r="BJ39"/>
  <c r="AI38"/>
  <c r="X37"/>
  <c r="CG34"/>
  <c r="P223"/>
  <c r="BN227"/>
  <c r="U219"/>
  <c r="G202"/>
  <c r="BR180"/>
  <c r="CF200"/>
  <c r="AD177"/>
  <c r="J195"/>
  <c r="CC165"/>
  <c r="H209"/>
  <c r="Z185"/>
  <c r="AG167"/>
  <c r="AT213"/>
  <c r="CG188"/>
  <c r="BF169"/>
  <c r="BN228"/>
  <c r="CK198"/>
  <c r="BK181"/>
  <c r="BI166"/>
  <c r="BJ156"/>
  <c r="I149"/>
  <c r="Z142"/>
  <c r="AF134"/>
  <c r="V128"/>
  <c r="CF120"/>
  <c r="BY113"/>
  <c r="AY208"/>
  <c r="BF190"/>
  <c r="CK175"/>
  <c r="N163"/>
  <c r="BE153"/>
  <c r="BV146"/>
  <c r="AA139"/>
  <c r="AR132"/>
  <c r="R124"/>
  <c r="BT116"/>
  <c r="BZ110"/>
  <c r="AL233"/>
  <c r="O191"/>
  <c r="BU173"/>
  <c r="BG156"/>
  <c r="AB148"/>
  <c r="AJ137"/>
  <c r="W128"/>
  <c r="V119"/>
  <c r="Q209"/>
  <c r="AO185"/>
  <c r="BU164"/>
  <c r="BA151"/>
  <c r="BB144"/>
  <c r="AB137"/>
  <c r="AV130"/>
  <c r="AT124"/>
  <c r="N119"/>
  <c r="K114"/>
  <c r="BL226"/>
  <c r="BR203"/>
  <c r="W190"/>
  <c r="AB177"/>
  <c r="V167"/>
  <c r="CB157"/>
  <c r="CJ151"/>
  <c r="W147"/>
  <c r="K142"/>
  <c r="T138"/>
  <c r="S134"/>
  <c r="AN131"/>
  <c r="AB128"/>
  <c r="AB124"/>
  <c r="L219"/>
  <c r="BD199"/>
  <c r="BB186"/>
  <c r="AB174"/>
  <c r="AM164"/>
  <c r="AD156"/>
  <c r="BG150"/>
  <c r="I146"/>
  <c r="I140"/>
  <c r="AE134"/>
  <c r="BU130"/>
  <c r="H125"/>
  <c r="BD121"/>
  <c r="BN116"/>
  <c r="AG113"/>
  <c r="BE110"/>
  <c r="AB82"/>
  <c r="AL80"/>
  <c r="AN78"/>
  <c r="R76"/>
  <c r="W73"/>
  <c r="AG71"/>
  <c r="AI69"/>
  <c r="AV66"/>
  <c r="AP64"/>
  <c r="AJ62"/>
  <c r="BJ60"/>
  <c r="AQ57"/>
  <c r="BQ55"/>
  <c r="AU53"/>
  <c r="AR50"/>
  <c r="BJ48"/>
  <c r="CB215"/>
  <c r="AZ200"/>
  <c r="BY188"/>
  <c r="BU176"/>
  <c r="BI167"/>
  <c r="BJ159"/>
  <c r="BR154"/>
  <c r="AD149"/>
  <c r="AD145"/>
  <c r="AE140"/>
  <c r="AJ136"/>
  <c r="V131"/>
  <c r="AU125"/>
  <c r="BH121"/>
  <c r="Z117"/>
  <c r="CE113"/>
  <c r="L111"/>
  <c r="BR82"/>
  <c r="AV80"/>
  <c r="AP78"/>
  <c r="BH76"/>
  <c r="BE73"/>
  <c r="BO71"/>
  <c r="BI69"/>
  <c r="BF66"/>
  <c r="BP64"/>
  <c r="BZ62"/>
  <c r="CB60"/>
  <c r="BQ57"/>
  <c r="BS55"/>
  <c r="CC53"/>
  <c r="CH50"/>
  <c r="CJ48"/>
  <c r="CD46"/>
  <c r="BX44"/>
  <c r="AK205"/>
  <c r="T189"/>
  <c r="BX177"/>
  <c r="AZ164"/>
  <c r="AR155"/>
  <c r="AF149"/>
  <c r="N142"/>
  <c r="BY136"/>
  <c r="G130"/>
  <c r="S123"/>
  <c r="BZ117"/>
  <c r="AD113"/>
  <c r="BA82"/>
  <c r="J80"/>
  <c r="AZ77"/>
  <c r="BO205"/>
  <c r="CF188"/>
  <c r="BO173"/>
  <c r="AC164"/>
  <c r="I155"/>
  <c r="BE148"/>
  <c r="AJ141"/>
  <c r="AZ134"/>
  <c r="N129"/>
  <c r="V122"/>
  <c r="BX116"/>
  <c r="BZ111"/>
  <c r="AU82"/>
  <c r="CJ79"/>
  <c r="N77"/>
  <c r="BB73"/>
  <c r="L71"/>
  <c r="BB68"/>
  <c r="I65"/>
  <c r="AO62"/>
  <c r="BG58"/>
  <c r="BB209"/>
  <c r="BQ192"/>
  <c r="AU181"/>
  <c r="I166"/>
  <c r="CE155"/>
  <c r="BQ149"/>
  <c r="AD209"/>
  <c r="AW188"/>
  <c r="CA165"/>
  <c r="AK151"/>
  <c r="O142"/>
  <c r="AF133"/>
  <c r="AR125"/>
  <c r="X117"/>
  <c r="AA111"/>
  <c r="BW211"/>
  <c r="BR186"/>
  <c r="BG164"/>
  <c r="CB198"/>
  <c r="BZ176"/>
  <c r="BL158"/>
  <c r="AF147"/>
  <c r="AK138"/>
  <c r="BM128"/>
  <c r="AX121"/>
  <c r="AX113"/>
  <c r="BY78"/>
  <c r="AT74"/>
  <c r="S72"/>
  <c r="S70"/>
  <c r="AS68"/>
  <c r="AB65"/>
  <c r="R63"/>
  <c r="P61"/>
  <c r="M58"/>
  <c r="BE56"/>
  <c r="AU223"/>
  <c r="AS191"/>
  <c r="U169"/>
  <c r="BN155"/>
  <c r="CK147"/>
  <c r="CI139"/>
  <c r="I133"/>
  <c r="BN127"/>
  <c r="BI120"/>
  <c r="AJ114"/>
  <c r="L81"/>
  <c r="BG78"/>
  <c r="Q76"/>
  <c r="BL72"/>
  <c r="BO70"/>
  <c r="BG68"/>
  <c r="BH65"/>
  <c r="Z63"/>
  <c r="R61"/>
  <c r="I58"/>
  <c r="U56"/>
  <c r="BB54"/>
  <c r="BV52"/>
  <c r="R50"/>
  <c r="BH48"/>
  <c r="P47"/>
  <c r="BY45"/>
  <c r="AM44"/>
  <c r="W42"/>
  <c r="L41"/>
  <c r="BZ39"/>
  <c r="BG38"/>
  <c r="AF37"/>
  <c r="M36"/>
  <c r="BV33"/>
  <c r="BC32"/>
  <c r="AR31"/>
  <c r="Q30"/>
  <c r="BW28"/>
  <c r="BG26"/>
  <c r="AN25"/>
  <c r="AC24"/>
  <c r="CA22"/>
  <c r="BH21"/>
  <c r="AW20"/>
  <c r="AG18"/>
  <c r="V17"/>
  <c r="BT15"/>
  <c r="BA14"/>
  <c r="AH13"/>
  <c r="O12"/>
  <c r="G10"/>
  <c r="BM8"/>
  <c r="AT7"/>
  <c r="AA6"/>
  <c r="H5"/>
  <c r="BF217"/>
  <c r="BR188"/>
  <c r="AA166"/>
  <c r="BJ154"/>
  <c r="CK145"/>
  <c r="P139"/>
  <c r="AB131"/>
  <c r="CI125"/>
  <c r="BL120"/>
  <c r="BD115"/>
  <c r="M111"/>
  <c r="CD80"/>
  <c r="BX78"/>
  <c r="AV223"/>
  <c r="Q231"/>
  <c r="BA235"/>
  <c r="AW210"/>
  <c r="BQ185"/>
  <c r="AO203"/>
  <c r="CK180"/>
  <c r="O201"/>
  <c r="AG172"/>
  <c r="BM211"/>
  <c r="BF185"/>
  <c r="AN168"/>
  <c r="BV217"/>
  <c r="S193"/>
  <c r="AW172"/>
  <c r="AO231"/>
  <c r="AV200"/>
  <c r="L183"/>
  <c r="BQ169"/>
  <c r="AJ157"/>
  <c r="CK149"/>
  <c r="BN142"/>
  <c r="BD136"/>
  <c r="AW129"/>
  <c r="AE121"/>
  <c r="X114"/>
  <c r="Z211"/>
  <c r="H192"/>
  <c r="BP177"/>
  <c r="BQ164"/>
  <c r="O155"/>
  <c r="U147"/>
  <c r="BG139"/>
  <c r="BP132"/>
  <c r="AC125"/>
  <c r="AI119"/>
  <c r="AW111"/>
  <c r="AG197"/>
  <c r="BC174"/>
  <c r="AI158"/>
  <c r="BH148"/>
  <c r="Z139"/>
  <c r="CI129"/>
  <c r="BX119"/>
  <c r="J211"/>
  <c r="BP186"/>
  <c r="AZ167"/>
  <c r="AU154"/>
  <c r="AF145"/>
  <c r="AM137"/>
  <c r="P131"/>
  <c r="BP124"/>
  <c r="AU120"/>
  <c r="AE114"/>
  <c r="I230"/>
  <c r="CI205"/>
  <c r="M192"/>
  <c r="BA181"/>
  <c r="AL167"/>
  <c r="I158"/>
  <c r="R153"/>
  <c r="CI147"/>
  <c r="N144"/>
  <c r="BV138"/>
  <c r="AY134"/>
  <c r="BT131"/>
  <c r="CD128"/>
  <c r="CC124"/>
  <c r="AB223"/>
  <c r="AR200"/>
  <c r="AG188"/>
  <c r="AB176"/>
  <c r="BK165"/>
  <c r="N157"/>
  <c r="CA150"/>
  <c r="BH146"/>
  <c r="AQ140"/>
  <c r="AW136"/>
  <c r="CK130"/>
  <c r="AO125"/>
  <c r="BR121"/>
  <c r="W117"/>
  <c r="I114"/>
  <c r="BQ110"/>
  <c r="AJ82"/>
  <c r="AT80"/>
  <c r="AV78"/>
  <c r="AX76"/>
  <c r="BC73"/>
  <c r="BE71"/>
  <c r="AQ69"/>
  <c r="BT66"/>
  <c r="BF64"/>
  <c r="CF62"/>
  <c r="BR60"/>
  <c r="BG57"/>
  <c r="BY55"/>
  <c r="BS53"/>
  <c r="CF50"/>
  <c r="BR48"/>
  <c r="BE216"/>
  <c r="M201"/>
  <c r="J190"/>
  <c r="T180"/>
  <c r="AD168"/>
  <c r="CG160"/>
  <c r="R155"/>
  <c r="O150"/>
  <c r="N146"/>
  <c r="AU140"/>
  <c r="BB136"/>
  <c r="AP131"/>
  <c r="AD127"/>
  <c r="AE122"/>
  <c r="BQ117"/>
  <c r="M114"/>
  <c r="AV111"/>
  <c r="BZ82"/>
  <c r="BT80"/>
  <c r="CD78"/>
  <c r="BX76"/>
  <c r="CC73"/>
  <c r="CE71"/>
  <c r="H70"/>
  <c r="J68"/>
  <c r="BX64"/>
  <c r="CH62"/>
  <c r="CJ60"/>
  <c r="P58"/>
  <c r="R56"/>
  <c r="T54"/>
  <c r="N52"/>
  <c r="AA49"/>
  <c r="U47"/>
  <c r="AM45"/>
  <c r="J206"/>
  <c r="AB190"/>
  <c r="AW179"/>
  <c r="BZ165"/>
  <c r="CI156"/>
  <c r="BB149"/>
  <c r="AI142"/>
  <c r="J137"/>
  <c r="BV130"/>
  <c r="AY124"/>
  <c r="Z119"/>
  <c r="CB113"/>
  <c r="AP80"/>
  <c r="BL77"/>
  <c r="BO208"/>
  <c r="CF189"/>
  <c r="CF176"/>
  <c r="BK164"/>
  <c r="BD155"/>
  <c r="CA148"/>
  <c r="U142"/>
  <c r="CH136"/>
  <c r="AJ129"/>
  <c r="AT122"/>
  <c r="L117"/>
  <c r="AO112"/>
  <c r="BE82"/>
  <c r="M80"/>
  <c r="BE77"/>
  <c r="M74"/>
  <c r="AR71"/>
  <c r="BM68"/>
  <c r="AO65"/>
  <c r="BK62"/>
  <c r="AO60"/>
  <c r="AQ210"/>
  <c r="AY194"/>
  <c r="BB182"/>
  <c r="AC167"/>
  <c r="BH157"/>
  <c r="AA150"/>
  <c r="AT210"/>
  <c r="AG189"/>
  <c r="BX167"/>
  <c r="BW154"/>
  <c r="BU142"/>
  <c r="AL134"/>
  <c r="T127"/>
  <c r="AK119"/>
  <c r="AU112"/>
  <c r="AI213"/>
  <c r="BB188"/>
  <c r="X167"/>
  <c r="BZ202"/>
  <c r="AJ180"/>
  <c r="AL159"/>
  <c r="BA148"/>
  <c r="M139"/>
  <c r="AL131"/>
  <c r="BW121"/>
  <c r="AI114"/>
  <c r="AV79"/>
  <c r="V76"/>
  <c r="AS72"/>
  <c r="AE70"/>
  <c r="BE68"/>
  <c r="BB65"/>
  <c r="BB63"/>
  <c r="AC61"/>
  <c r="Z58"/>
  <c r="BP56"/>
  <c r="CE230"/>
  <c r="L195"/>
  <c r="I173"/>
  <c r="AE156"/>
  <c r="AY148"/>
  <c r="CI140"/>
  <c r="AO134"/>
  <c r="S128"/>
  <c r="AL121"/>
  <c r="BP114"/>
  <c r="AB81"/>
  <c r="BU78"/>
  <c r="AS76"/>
  <c r="AJ73"/>
  <c r="CD70"/>
  <c r="BS68"/>
  <c r="BW65"/>
  <c r="BA63"/>
  <c r="BH61"/>
  <c r="U58"/>
  <c r="AG56"/>
  <c r="BL54"/>
  <c r="K53"/>
  <c r="AX50"/>
  <c r="BS48"/>
  <c r="Y47"/>
  <c r="CH45"/>
  <c r="BC44"/>
  <c r="AU42"/>
  <c r="T41"/>
  <c r="CH39"/>
  <c r="BO38"/>
  <c r="AV37"/>
  <c r="AK36"/>
  <c r="CD33"/>
  <c r="BK32"/>
  <c r="AZ31"/>
  <c r="AG30"/>
  <c r="V29"/>
  <c r="BO26"/>
  <c r="AV25"/>
  <c r="AK24"/>
  <c r="J23"/>
  <c r="CF21"/>
  <c r="BE20"/>
  <c r="AO18"/>
  <c r="AD17"/>
  <c r="CJ15"/>
  <c r="BY14"/>
  <c r="AP13"/>
  <c r="N236"/>
  <c r="CG223"/>
  <c r="BJ230"/>
  <c r="AW206"/>
  <c r="BR210"/>
  <c r="G219"/>
  <c r="CJ185"/>
  <c r="BS223"/>
  <c r="BD179"/>
  <c r="AX158"/>
  <c r="BX193"/>
  <c r="BO174"/>
  <c r="W159"/>
  <c r="H201"/>
  <c r="AN181"/>
  <c r="BP160"/>
  <c r="BG206"/>
  <c r="BD189"/>
  <c r="AJ174"/>
  <c r="AT162"/>
  <c r="AE153"/>
  <c r="CG145"/>
  <c r="I139"/>
  <c r="BC131"/>
  <c r="BL124"/>
  <c r="BR116"/>
  <c r="L110"/>
  <c r="BU232"/>
  <c r="G199"/>
  <c r="CG181"/>
  <c r="BQ168"/>
  <c r="BM156"/>
  <c r="AD150"/>
  <c r="T142"/>
  <c r="CD134"/>
  <c r="BT128"/>
  <c r="BE121"/>
  <c r="AH114"/>
  <c r="CI203"/>
  <c r="AA183"/>
  <c r="AI164"/>
  <c r="AY151"/>
  <c r="BR142"/>
  <c r="BZ132"/>
  <c r="L124"/>
  <c r="BQ236"/>
  <c r="BR193"/>
  <c r="N175"/>
  <c r="BX157"/>
  <c r="AP148"/>
  <c r="AC140"/>
  <c r="AL132"/>
  <c r="BE127"/>
  <c r="BF121"/>
  <c r="AE116"/>
  <c r="AF111"/>
  <c r="BD211"/>
  <c r="R197"/>
  <c r="BP184"/>
  <c r="BJ173"/>
  <c r="AS162"/>
  <c r="CC154"/>
  <c r="BC149"/>
  <c r="BD145"/>
  <c r="BA140"/>
  <c r="BW136"/>
  <c r="AY132"/>
  <c r="H130"/>
  <c r="CB125"/>
  <c r="CC122"/>
  <c r="AO208"/>
  <c r="BD191"/>
  <c r="CD180"/>
  <c r="BA168"/>
  <c r="AA160"/>
  <c r="BO153"/>
  <c r="BZ147"/>
  <c r="AO142"/>
  <c r="AT137"/>
  <c r="BS132"/>
  <c r="I128"/>
  <c r="I123"/>
  <c r="BC119"/>
  <c r="W115"/>
  <c r="U112"/>
  <c r="Y81"/>
  <c r="S79"/>
  <c r="AK77"/>
  <c r="Z74"/>
  <c r="AR72"/>
  <c r="AD70"/>
  <c r="X68"/>
  <c r="AS65"/>
  <c r="AM63"/>
  <c r="BE61"/>
  <c r="AT58"/>
  <c r="AV56"/>
  <c r="AX54"/>
  <c r="BH52"/>
  <c r="BM49"/>
  <c r="AH228"/>
  <c r="Q206"/>
  <c r="CF193"/>
  <c r="BX183"/>
  <c r="M173"/>
  <c r="AU164"/>
  <c r="AI156"/>
  <c r="BN151"/>
  <c r="AD147"/>
  <c r="BK142"/>
  <c r="Q138"/>
  <c r="BW132"/>
  <c r="CC128"/>
  <c r="BL123"/>
  <c r="AE120"/>
  <c r="AN115"/>
  <c r="X112"/>
  <c r="AY81"/>
  <c r="BI79"/>
  <c r="BK77"/>
  <c r="BH74"/>
  <c r="BB72"/>
  <c r="BT70"/>
  <c r="BF68"/>
  <c r="CA65"/>
  <c r="BM63"/>
  <c r="BG61"/>
  <c r="CB58"/>
  <c r="BV56"/>
  <c r="G55"/>
  <c r="BZ52"/>
  <c r="BO49"/>
  <c r="CG47"/>
  <c r="CA45"/>
  <c r="AA214"/>
  <c r="AQ195"/>
  <c r="V183"/>
  <c r="Y169"/>
  <c r="BZ159"/>
  <c r="AN153"/>
  <c r="BW145"/>
  <c r="CI138"/>
  <c r="CG132"/>
  <c r="AN127"/>
  <c r="AA121"/>
  <c r="BF115"/>
  <c r="BY110"/>
  <c r="BA81"/>
  <c r="BK78"/>
  <c r="BL214"/>
  <c r="AQ194"/>
  <c r="BW180"/>
  <c r="AT168"/>
  <c r="AK158"/>
  <c r="BQ150"/>
  <c r="Q145"/>
  <c r="BU138"/>
  <c r="CG131"/>
  <c r="CA124"/>
  <c r="AZ119"/>
  <c r="T114"/>
  <c r="Q110"/>
  <c r="CK80"/>
  <c r="BE78"/>
  <c r="CI74"/>
  <c r="BC72"/>
  <c r="BL69"/>
  <c r="I66"/>
  <c r="BJ63"/>
  <c r="H61"/>
  <c r="BA225"/>
  <c r="U200"/>
  <c r="Y186"/>
  <c r="AH172"/>
  <c r="AT160"/>
  <c r="BW153"/>
  <c r="AZ146"/>
  <c r="AY195"/>
  <c r="BW175"/>
  <c r="AW158"/>
  <c r="BE147"/>
  <c r="AG138"/>
  <c r="X129"/>
  <c r="BO121"/>
  <c r="CK113"/>
  <c r="BF195"/>
  <c r="K175"/>
  <c r="BZ210"/>
  <c r="BC189"/>
  <c r="BK166"/>
  <c r="AT151"/>
  <c r="BY141"/>
  <c r="J133"/>
  <c r="BW124"/>
  <c r="BM116"/>
  <c r="BU110"/>
  <c r="T81"/>
  <c r="T77"/>
  <c r="AF73"/>
  <c r="G71"/>
  <c r="R69"/>
  <c r="AQ66"/>
  <c r="AD64"/>
  <c r="AC62"/>
  <c r="CI58"/>
  <c r="X57"/>
  <c r="BO55"/>
  <c r="W205"/>
  <c r="U183"/>
  <c r="AD162"/>
  <c r="BO150"/>
  <c r="P144"/>
  <c r="W137"/>
  <c r="BS130"/>
  <c r="AX123"/>
  <c r="AA116"/>
  <c r="BN111"/>
  <c r="X82"/>
  <c r="BR79"/>
  <c r="AB77"/>
  <c r="S74"/>
  <c r="CA71"/>
  <c r="BC69"/>
  <c r="AS66"/>
  <c r="AL64"/>
  <c r="AA62"/>
  <c r="U60"/>
  <c r="H57"/>
  <c r="T55"/>
  <c r="BL53"/>
  <c r="J52"/>
  <c r="AX49"/>
  <c r="BS47"/>
  <c r="AL46"/>
  <c r="M45"/>
  <c r="CA42"/>
  <c r="BP41"/>
  <c r="AO40"/>
  <c r="V39"/>
  <c r="CJ37"/>
  <c r="BQ36"/>
  <c r="BA34"/>
  <c r="R33"/>
  <c r="CF31"/>
  <c r="BU30"/>
  <c r="BB29"/>
  <c r="AI28"/>
  <c r="CJ25"/>
  <c r="BQ24"/>
  <c r="AX23"/>
  <c r="AE22"/>
  <c r="T21"/>
  <c r="CC18"/>
  <c r="BJ17"/>
  <c r="AQ16"/>
  <c r="X15"/>
  <c r="M14"/>
  <c r="BK12"/>
  <c r="CC223"/>
  <c r="W224"/>
  <c r="AW211"/>
  <c r="CF202"/>
  <c r="BR217"/>
  <c r="BM169"/>
  <c r="CK194"/>
  <c r="CC159"/>
  <c r="CA184"/>
  <c r="R159"/>
  <c r="CD142"/>
  <c r="BM129"/>
  <c r="AI115"/>
  <c r="BT215"/>
  <c r="AZ179"/>
  <c r="AU155"/>
  <c r="Y141"/>
  <c r="BA125"/>
  <c r="T112"/>
  <c r="AT198"/>
  <c r="CE160"/>
  <c r="AU139"/>
  <c r="V121"/>
  <c r="CC189"/>
  <c r="BE155"/>
  <c r="AC139"/>
  <c r="X125"/>
  <c r="BK114"/>
  <c r="BV206"/>
  <c r="J182"/>
  <c r="BE160"/>
  <c r="BC148"/>
  <c r="BA139"/>
  <c r="CE131"/>
  <c r="P125"/>
  <c r="AY203"/>
  <c r="BI176"/>
  <c r="BP157"/>
  <c r="H147"/>
  <c r="BO136"/>
  <c r="AO127"/>
  <c r="AK117"/>
  <c r="T111"/>
  <c r="BP82"/>
  <c r="BT78"/>
  <c r="CA73"/>
  <c r="N70"/>
  <c r="BV64"/>
  <c r="I61"/>
  <c r="CG55"/>
  <c r="L52"/>
  <c r="BF223"/>
  <c r="AE191"/>
  <c r="J171"/>
  <c r="AH155"/>
  <c r="AD146"/>
  <c r="AG137"/>
  <c r="AT127"/>
  <c r="P119"/>
  <c r="BH111"/>
  <c r="U79"/>
  <c r="AB74"/>
  <c r="P70"/>
  <c r="W65"/>
  <c r="AA61"/>
  <c r="AP56"/>
  <c r="BJ52"/>
  <c r="AK47"/>
  <c r="AI208"/>
  <c r="L180"/>
  <c r="AH157"/>
  <c r="BS144"/>
  <c r="BB131"/>
  <c r="R120"/>
  <c r="BK80"/>
  <c r="AI209"/>
  <c r="AO177"/>
  <c r="P157"/>
  <c r="AS142"/>
  <c r="O130"/>
  <c r="AU117"/>
  <c r="AS80"/>
  <c r="AS74"/>
  <c r="AP69"/>
  <c r="CE62"/>
  <c r="BV213"/>
  <c r="H183"/>
  <c r="K158"/>
  <c r="BL222"/>
  <c r="H171"/>
  <c r="AA145"/>
  <c r="AZ127"/>
  <c r="BO112"/>
  <c r="BT222"/>
  <c r="CG167"/>
  <c r="CI181"/>
  <c r="AN149"/>
  <c r="BP131"/>
  <c r="BV115"/>
  <c r="AT76"/>
  <c r="BP70"/>
  <c r="BN65"/>
  <c r="BB61"/>
  <c r="BZ56"/>
  <c r="AN198"/>
  <c r="AY159"/>
  <c r="AH141"/>
  <c r="H129"/>
  <c r="O115"/>
  <c r="V79"/>
  <c r="AX73"/>
  <c r="Z69"/>
  <c r="BP63"/>
  <c r="AX58"/>
  <c r="BW54"/>
  <c r="BI50"/>
  <c r="AZ47"/>
  <c r="BK44"/>
  <c r="AJ41"/>
  <c r="BW38"/>
  <c r="AS36"/>
  <c r="J33"/>
  <c r="L31"/>
  <c r="AD29"/>
  <c r="S26"/>
  <c r="CD23"/>
  <c r="O22"/>
  <c r="Q20"/>
  <c r="AL17"/>
  <c r="AF15"/>
  <c r="Z13"/>
  <c r="BS10"/>
  <c r="AJ9"/>
  <c r="CH7"/>
  <c r="AY6"/>
  <c r="P5"/>
  <c r="CE208"/>
  <c r="BG183"/>
  <c r="AM162"/>
  <c r="S150"/>
  <c r="AI141"/>
  <c r="BL132"/>
  <c r="AF127"/>
  <c r="AC120"/>
  <c r="BU114"/>
  <c r="CA81"/>
  <c r="BS79"/>
  <c r="AD77"/>
  <c r="AW74"/>
  <c r="BN72"/>
  <c r="CE70"/>
  <c r="AB69"/>
  <c r="AT66"/>
  <c r="BB64"/>
  <c r="CI62"/>
  <c r="U61"/>
  <c r="W58"/>
  <c r="BS56"/>
  <c r="V55"/>
  <c r="BX53"/>
  <c r="BC52"/>
  <c r="S50"/>
  <c r="BU48"/>
  <c r="BB47"/>
  <c r="AM46"/>
  <c r="X45"/>
  <c r="P44"/>
  <c r="P42"/>
  <c r="M41"/>
  <c r="J40"/>
  <c r="G39"/>
  <c r="CK37"/>
  <c r="I37"/>
  <c r="CH34"/>
  <c r="BW33"/>
  <c r="CB32"/>
  <c r="BY31"/>
  <c r="BN30"/>
  <c r="BS29"/>
  <c r="BP28"/>
  <c r="BH26"/>
  <c r="BM25"/>
  <c r="BJ24"/>
  <c r="AY23"/>
  <c r="BD22"/>
  <c r="BA21"/>
  <c r="AP20"/>
  <c r="AP18"/>
  <c r="AM17"/>
  <c r="AJ16"/>
  <c r="AO15"/>
  <c r="AL14"/>
  <c r="AA13"/>
  <c r="AF12"/>
  <c r="AF10"/>
  <c r="AC9"/>
  <c r="Z8"/>
  <c r="W7"/>
  <c r="T6"/>
  <c r="Y5"/>
  <c r="AE200"/>
  <c r="AJ177"/>
  <c r="BC165"/>
  <c r="CJ155"/>
  <c r="AI150"/>
  <c r="BE145"/>
  <c r="BE140"/>
  <c r="AT136"/>
  <c r="CD131"/>
  <c r="AK128"/>
  <c r="T123"/>
  <c r="BA119"/>
  <c r="AF115"/>
  <c r="AN112"/>
  <c r="AS82"/>
  <c r="CG80"/>
  <c r="Z79"/>
  <c r="BP77"/>
  <c r="W76"/>
  <c r="CE73"/>
  <c r="BD72"/>
  <c r="AC71"/>
  <c r="CJ69"/>
  <c r="AW68"/>
  <c r="G66"/>
  <c r="BS64"/>
  <c r="AS63"/>
  <c r="U62"/>
  <c r="CD60"/>
  <c r="BC58"/>
  <c r="AL57"/>
  <c r="AA56"/>
  <c r="N55"/>
  <c r="O54"/>
  <c r="CK52"/>
  <c r="CI50"/>
  <c r="CH49"/>
  <c r="CG48"/>
  <c r="CH47"/>
  <c r="J47"/>
  <c r="W46"/>
  <c r="Z45"/>
  <c r="AP44"/>
  <c r="BF42"/>
  <c r="CA41"/>
  <c r="O41"/>
  <c r="AJ40"/>
  <c r="BE39"/>
  <c r="BZ38"/>
  <c r="N38"/>
  <c r="AA37"/>
  <c r="AV36"/>
  <c r="BT34"/>
  <c r="H34"/>
  <c r="AC33"/>
  <c r="AP32"/>
  <c r="BK31"/>
  <c r="CF30"/>
  <c r="T30"/>
  <c r="AO29"/>
  <c r="BJ28"/>
  <c r="BZ26"/>
  <c r="N26"/>
  <c r="AA25"/>
  <c r="AV24"/>
  <c r="BQ23"/>
  <c r="CD22"/>
  <c r="R22"/>
  <c r="AM21"/>
  <c r="BH20"/>
  <c r="BX18"/>
  <c r="L18"/>
  <c r="AG17"/>
  <c r="BB16"/>
  <c r="BO15"/>
  <c r="CJ14"/>
  <c r="X14"/>
  <c r="AS13"/>
  <c r="BF12"/>
  <c r="BV10"/>
  <c r="J10"/>
  <c r="AE9"/>
  <c r="AZ8"/>
  <c r="BU7"/>
  <c r="I7"/>
  <c r="AD6"/>
  <c r="AQ5"/>
  <c r="BL4"/>
  <c r="CG228"/>
  <c r="AA185"/>
  <c r="CF164"/>
  <c r="AW150"/>
  <c r="Q142"/>
  <c r="AD134"/>
  <c r="BU128"/>
  <c r="BI121"/>
  <c r="BX114"/>
  <c r="BS110"/>
  <c r="AU81"/>
  <c r="CA78"/>
  <c r="BA76"/>
  <c r="BH73"/>
  <c r="AX71"/>
  <c r="W69"/>
  <c r="L66"/>
  <c r="H64"/>
  <c r="AS61"/>
  <c r="AH58"/>
  <c r="AW56"/>
  <c r="BR54"/>
  <c r="S53"/>
  <c r="AW50"/>
  <c r="CF48"/>
  <c r="AM47"/>
  <c r="G46"/>
  <c r="AZ44"/>
  <c r="AB42"/>
  <c r="J41"/>
  <c r="CB39"/>
  <c r="BK38"/>
  <c r="AS37"/>
  <c r="O36"/>
  <c r="BM33"/>
  <c r="AY32"/>
  <c r="AG31"/>
  <c r="P30"/>
  <c r="BT28"/>
  <c r="BI26"/>
  <c r="AR25"/>
  <c r="L24"/>
  <c r="CF22"/>
  <c r="BB21"/>
  <c r="AL20"/>
  <c r="X18"/>
  <c r="H17"/>
  <c r="BX15"/>
  <c r="BF14"/>
  <c r="AO13"/>
  <c r="M12"/>
  <c r="BV9"/>
  <c r="BG8"/>
  <c r="AP7"/>
  <c r="X6"/>
  <c r="CA4"/>
  <c r="AH224"/>
  <c r="CI190"/>
  <c r="H174"/>
  <c r="CG156"/>
  <c r="O148"/>
  <c r="CE140"/>
  <c r="BW133"/>
  <c r="AH127"/>
  <c r="AV120"/>
  <c r="CI114"/>
  <c r="CA110"/>
  <c r="AZ81"/>
  <c r="P79"/>
  <c r="BY76"/>
  <c r="CG73"/>
  <c r="BY71"/>
  <c r="U198"/>
  <c r="AB175"/>
  <c r="AX155"/>
  <c r="T146"/>
  <c r="CB139"/>
  <c r="BU132"/>
  <c r="BU124"/>
  <c r="BF119"/>
  <c r="AW112"/>
  <c r="CI81"/>
  <c r="BE79"/>
  <c r="CH76"/>
  <c r="BV73"/>
  <c r="AT71"/>
  <c r="AJ69"/>
  <c r="Y66"/>
  <c r="CJ63"/>
  <c r="CD61"/>
  <c r="BU58"/>
  <c r="BI56"/>
  <c r="CB54"/>
  <c r="AC53"/>
  <c r="BG50"/>
  <c r="J49"/>
  <c r="AV47"/>
  <c r="P46"/>
  <c r="BU44"/>
  <c r="BI42"/>
  <c r="AQ41"/>
  <c r="O40"/>
  <c r="CD38"/>
  <c r="BN37"/>
  <c r="AW36"/>
  <c r="Z34"/>
  <c r="I33"/>
  <c r="BN31"/>
  <c r="AY30"/>
  <c r="AH29"/>
  <c r="P28"/>
  <c r="BK25"/>
  <c r="AU24"/>
  <c r="AE23"/>
  <c r="CJ21"/>
  <c r="BS20"/>
  <c r="BG18"/>
  <c r="AP17"/>
  <c r="X16"/>
  <c r="CA14"/>
  <c r="BK13"/>
  <c r="AT12"/>
  <c r="AJ10"/>
  <c r="R9"/>
  <c r="BW7"/>
  <c r="BE6"/>
  <c r="AM5"/>
  <c r="AE4"/>
  <c r="AY197"/>
  <c r="CC164"/>
  <c r="CH151"/>
  <c r="M141"/>
  <c r="W130"/>
  <c r="AY121"/>
  <c r="I113"/>
  <c r="AW79"/>
  <c r="BG74"/>
  <c r="AJ71"/>
  <c r="AZ68"/>
  <c r="BW64"/>
  <c r="J62"/>
  <c r="BH58"/>
  <c r="S56"/>
  <c r="BI53"/>
  <c r="BN50"/>
  <c r="BC48"/>
  <c r="AN46"/>
  <c r="BG44"/>
  <c r="BD41"/>
  <c r="BF39"/>
  <c r="BC37"/>
  <c r="BU34"/>
  <c r="G33"/>
  <c r="AP31"/>
  <c r="CB29"/>
  <c r="Z28"/>
  <c r="BI25"/>
  <c r="K24"/>
  <c r="AW22"/>
  <c r="CE20"/>
  <c r="AA18"/>
  <c r="BF16"/>
  <c r="G15"/>
  <c r="AR13"/>
  <c r="BY10"/>
  <c r="Z9"/>
  <c r="BH7"/>
  <c r="I6"/>
  <c r="AW4"/>
  <c r="BN189"/>
  <c r="CC160"/>
  <c r="AW142"/>
  <c r="AE129"/>
  <c r="BQ119"/>
  <c r="CE111"/>
  <c r="CF81"/>
  <c r="BR77"/>
  <c r="BI72"/>
  <c r="Y69"/>
  <c r="AX65"/>
  <c r="BV62"/>
  <c r="M60"/>
  <c r="W56"/>
  <c r="AP53"/>
  <c r="X50"/>
  <c r="L48"/>
  <c r="X46"/>
  <c r="AB44"/>
  <c r="AO41"/>
  <c r="BX39"/>
  <c r="Y38"/>
  <c r="BF36"/>
  <c r="G34"/>
  <c r="AR32"/>
  <c r="CA30"/>
  <c r="AC29"/>
  <c r="BK26"/>
  <c r="L25"/>
  <c r="AW23"/>
  <c r="CE21"/>
  <c r="AI20"/>
  <c r="BI17"/>
  <c r="I16"/>
  <c r="AQ14"/>
  <c r="CE12"/>
  <c r="AC10"/>
  <c r="BK8"/>
  <c r="L7"/>
  <c r="AT5"/>
  <c r="G4"/>
  <c r="V188"/>
  <c r="AH151"/>
  <c r="BR139"/>
  <c r="CB129"/>
  <c r="S120"/>
  <c r="AP111"/>
  <c r="R81"/>
  <c r="H77"/>
  <c r="BV72"/>
  <c r="AM69"/>
  <c r="BM65"/>
  <c r="Z62"/>
  <c r="AN236"/>
  <c r="AL231"/>
  <c r="CE213"/>
  <c r="N215"/>
  <c r="AI219"/>
  <c r="BZ171"/>
  <c r="BY195"/>
  <c r="AR160"/>
  <c r="W189"/>
  <c r="CD159"/>
  <c r="AK145"/>
  <c r="AZ130"/>
  <c r="AD116"/>
  <c r="AH218"/>
  <c r="AX181"/>
  <c r="CI155"/>
  <c r="BM141"/>
  <c r="AF128"/>
  <c r="G113"/>
  <c r="AK199"/>
  <c r="BB162"/>
  <c r="AV141"/>
  <c r="M122"/>
  <c r="AY192"/>
  <c r="BZ155"/>
  <c r="AM139"/>
  <c r="AU127"/>
  <c r="AE115"/>
  <c r="BF209"/>
  <c r="BD182"/>
  <c r="AC162"/>
  <c r="W149"/>
  <c r="BV139"/>
  <c r="AN132"/>
  <c r="AV125"/>
  <c r="BW207"/>
  <c r="AU180"/>
  <c r="BK158"/>
  <c r="BF147"/>
  <c r="CF136"/>
  <c r="BF127"/>
  <c r="AB119"/>
  <c r="BF111"/>
  <c r="BX82"/>
  <c r="CJ78"/>
  <c r="CI73"/>
  <c r="V70"/>
  <c r="AK65"/>
  <c r="Q61"/>
  <c r="X56"/>
  <c r="AB52"/>
  <c r="CA226"/>
  <c r="AT193"/>
  <c r="AU171"/>
  <c r="S156"/>
  <c r="CC146"/>
  <c r="CH137"/>
  <c r="BK128"/>
  <c r="AS119"/>
  <c r="M112"/>
  <c r="AC79"/>
  <c r="AJ74"/>
  <c r="AV70"/>
  <c r="AE65"/>
  <c r="AQ61"/>
  <c r="AX56"/>
  <c r="BR52"/>
  <c r="BY47"/>
  <c r="J209"/>
  <c r="BF181"/>
  <c r="X158"/>
  <c r="BB145"/>
  <c r="BK132"/>
  <c r="AK120"/>
  <c r="BI110"/>
  <c r="CF80"/>
  <c r="BD213"/>
  <c r="U179"/>
  <c r="BA157"/>
  <c r="BE144"/>
  <c r="CE130"/>
  <c r="AH119"/>
  <c r="BO80"/>
  <c r="BC74"/>
  <c r="BB69"/>
  <c r="AZ63"/>
  <c r="BV214"/>
  <c r="BS184"/>
  <c r="CE158"/>
  <c r="AB146"/>
  <c r="Y174"/>
  <c r="BF145"/>
  <c r="CG128"/>
  <c r="AQ113"/>
  <c r="BR235"/>
  <c r="AO174"/>
  <c r="AV183"/>
  <c r="BK150"/>
  <c r="M132"/>
  <c r="O116"/>
  <c r="BG76"/>
  <c r="CC70"/>
  <c r="AC66"/>
  <c r="BN61"/>
  <c r="N57"/>
  <c r="AN201"/>
  <c r="AG160"/>
  <c r="BQ142"/>
  <c r="AT129"/>
  <c r="CH115"/>
  <c r="BB79"/>
  <c r="BJ73"/>
  <c r="AN69"/>
  <c r="X64"/>
  <c r="BM58"/>
  <c r="J55"/>
  <c r="BT50"/>
  <c r="BJ47"/>
  <c r="CK44"/>
  <c r="AR41"/>
  <c r="N39"/>
  <c r="BA36"/>
  <c r="AH33"/>
  <c r="T31"/>
  <c r="AL29"/>
  <c r="AA26"/>
  <c r="AS24"/>
  <c r="AM22"/>
  <c r="AO20"/>
  <c r="BB17"/>
  <c r="BD15"/>
  <c r="BF13"/>
  <c r="CA10"/>
  <c r="AR9"/>
  <c r="Q8"/>
  <c r="BG6"/>
  <c r="AN5"/>
  <c r="BN223"/>
  <c r="BU184"/>
  <c r="AX163"/>
  <c r="Z151"/>
  <c r="CD141"/>
  <c r="AT134"/>
  <c r="BR127"/>
  <c r="AQ121"/>
  <c r="R115"/>
  <c r="I110"/>
  <c r="Z82"/>
  <c r="CI79"/>
  <c r="BM77"/>
  <c r="BK74"/>
  <c r="J73"/>
  <c r="Z71"/>
  <c r="AO69"/>
  <c r="BW66"/>
  <c r="CC64"/>
  <c r="M63"/>
  <c r="AU61"/>
  <c r="AZ58"/>
  <c r="CF56"/>
  <c r="AV55"/>
  <c r="M54"/>
  <c r="BM52"/>
  <c r="AO50"/>
  <c r="H49"/>
  <c r="BK47"/>
  <c r="BE46"/>
  <c r="AP45"/>
  <c r="X44"/>
  <c r="AF42"/>
  <c r="AC41"/>
  <c r="R40"/>
  <c r="W39"/>
  <c r="T38"/>
  <c r="Q37"/>
  <c r="V36"/>
  <c r="N34"/>
  <c r="CJ32"/>
  <c r="H32"/>
  <c r="CD30"/>
  <c r="CA29"/>
  <c r="CF28"/>
  <c r="BX26"/>
  <c r="BU25"/>
  <c r="BZ24"/>
  <c r="BO23"/>
  <c r="BL22"/>
  <c r="BQ21"/>
  <c r="BF20"/>
  <c r="AX18"/>
  <c r="BC17"/>
  <c r="AZ16"/>
  <c r="AW15"/>
  <c r="BB14"/>
  <c r="AQ13"/>
  <c r="AN12"/>
  <c r="AV10"/>
  <c r="AS9"/>
  <c r="AH8"/>
  <c r="AM7"/>
  <c r="AJ6"/>
  <c r="AG5"/>
  <c r="BJ205"/>
  <c r="AK182"/>
  <c r="AQ166"/>
  <c r="AU156"/>
  <c r="CB150"/>
  <c r="BE146"/>
  <c r="AX141"/>
  <c r="AN137"/>
  <c r="AF132"/>
  <c r="BV128"/>
  <c r="BF123"/>
  <c r="AM120"/>
  <c r="BJ115"/>
  <c r="BS112"/>
  <c r="P110"/>
  <c r="BI82"/>
  <c r="P81"/>
  <c r="AP79"/>
  <c r="CE77"/>
  <c r="AL76"/>
  <c r="K74"/>
  <c r="BS72"/>
  <c r="AP71"/>
  <c r="Q70"/>
  <c r="BJ68"/>
  <c r="V66"/>
  <c r="CH64"/>
  <c r="BG63"/>
  <c r="AH62"/>
  <c r="J61"/>
  <c r="BP58"/>
  <c r="AW57"/>
  <c r="AL56"/>
  <c r="Z55"/>
  <c r="Y54"/>
  <c r="N53"/>
  <c r="O52"/>
  <c r="K50"/>
  <c r="L49"/>
  <c r="K48"/>
  <c r="S47"/>
  <c r="AF46"/>
  <c r="AI45"/>
  <c r="AX44"/>
  <c r="BN42"/>
  <c r="CI41"/>
  <c r="W41"/>
  <c r="AR40"/>
  <c r="BM39"/>
  <c r="CH38"/>
  <c r="V38"/>
  <c r="AI37"/>
  <c r="BD36"/>
  <c r="CB34"/>
  <c r="P34"/>
  <c r="AK33"/>
  <c r="AX32"/>
  <c r="BS31"/>
  <c r="G31"/>
  <c r="AB30"/>
  <c r="AW29"/>
  <c r="BR28"/>
  <c r="CH26"/>
  <c r="V26"/>
  <c r="AI25"/>
  <c r="BD24"/>
  <c r="BY23"/>
  <c r="M23"/>
  <c r="Z22"/>
  <c r="AU21"/>
  <c r="BP20"/>
  <c r="CF18"/>
  <c r="T18"/>
  <c r="AO17"/>
  <c r="BJ16"/>
  <c r="BW15"/>
  <c r="K15"/>
  <c r="AF14"/>
  <c r="BA13"/>
  <c r="BN12"/>
  <c r="CD10"/>
  <c r="R10"/>
  <c r="AM9"/>
  <c r="BH8"/>
  <c r="CC7"/>
  <c r="Q7"/>
  <c r="AL6"/>
  <c r="AY5"/>
  <c r="BT4"/>
  <c r="H4"/>
  <c r="AW186"/>
  <c r="BQ166"/>
  <c r="AX151"/>
  <c r="CK142"/>
  <c r="BM136"/>
  <c r="AL129"/>
  <c r="AD122"/>
  <c r="AL115"/>
  <c r="V111"/>
  <c r="BS81"/>
  <c r="O79"/>
  <c r="BT76"/>
  <c r="CF73"/>
  <c r="BV71"/>
  <c r="AT69"/>
  <c r="AI66"/>
  <c r="AG64"/>
  <c r="BQ61"/>
  <c r="BF58"/>
  <c r="BO56"/>
  <c r="CG54"/>
  <c r="AK53"/>
  <c r="BO50"/>
  <c r="O49"/>
  <c r="AY47"/>
  <c r="V46"/>
  <c r="BM44"/>
  <c r="AO42"/>
  <c r="X41"/>
  <c r="G40"/>
  <c r="BV38"/>
  <c r="BF37"/>
  <c r="AA36"/>
  <c r="CA33"/>
  <c r="BJ32"/>
  <c r="AT31"/>
  <c r="AD30"/>
  <c r="CG28"/>
  <c r="BU26"/>
  <c r="BC25"/>
  <c r="Z24"/>
  <c r="I23"/>
  <c r="BN21"/>
  <c r="AY20"/>
  <c r="AL18"/>
  <c r="T17"/>
  <c r="CI15"/>
  <c r="BS14"/>
  <c r="BC13"/>
  <c r="AA12"/>
  <c r="CJ9"/>
  <c r="BS8"/>
  <c r="BA7"/>
  <c r="AK6"/>
  <c r="T5"/>
  <c r="AZ234"/>
  <c r="AE194"/>
  <c r="V176"/>
  <c r="P158"/>
  <c r="CK148"/>
  <c r="BB141"/>
  <c r="AG134"/>
  <c r="M128"/>
  <c r="K121"/>
  <c r="AT115"/>
  <c r="AB111"/>
  <c r="BT81"/>
  <c r="AR79"/>
  <c r="K77"/>
  <c r="X74"/>
  <c r="P72"/>
  <c r="CD200"/>
  <c r="I179"/>
  <c r="AP156"/>
  <c r="BV147"/>
  <c r="BC140"/>
  <c r="AI133"/>
  <c r="BE125"/>
  <c r="P120"/>
  <c r="AT113"/>
  <c r="AE82"/>
  <c r="CC79"/>
  <c r="X77"/>
  <c r="N74"/>
  <c r="BK71"/>
  <c r="BF69"/>
  <c r="AU66"/>
  <c r="W64"/>
  <c r="R62"/>
  <c r="O60"/>
  <c r="CA56"/>
  <c r="I55"/>
  <c r="AV53"/>
  <c r="CA50"/>
  <c r="Z49"/>
  <c r="BH47"/>
  <c r="AE46"/>
  <c r="CI44"/>
  <c r="BW42"/>
  <c r="BE41"/>
  <c r="AC40"/>
  <c r="K39"/>
  <c r="BZ37"/>
  <c r="BH36"/>
  <c r="AM34"/>
  <c r="W33"/>
  <c r="CB31"/>
  <c r="BK30"/>
  <c r="AS29"/>
  <c r="AC28"/>
  <c r="BY25"/>
  <c r="BG24"/>
  <c r="AR23"/>
  <c r="N22"/>
  <c r="CG20"/>
  <c r="BS18"/>
  <c r="BA17"/>
  <c r="AK16"/>
  <c r="T15"/>
  <c r="BX13"/>
  <c r="BH12"/>
  <c r="AW10"/>
  <c r="AF9"/>
  <c r="CJ7"/>
  <c r="BS6"/>
  <c r="BA5"/>
  <c r="AP4"/>
  <c r="CJ207"/>
  <c r="CD166"/>
  <c r="AP153"/>
  <c r="AK142"/>
  <c r="AT131"/>
  <c r="BA122"/>
  <c r="BZ113"/>
  <c r="CK79"/>
  <c r="AM76"/>
  <c r="BR71"/>
  <c r="CE68"/>
  <c r="P65"/>
  <c r="AK62"/>
  <c r="CK58"/>
  <c r="AR56"/>
  <c r="CF53"/>
  <c r="CK50"/>
  <c r="BX48"/>
  <c r="BG46"/>
  <c r="BY44"/>
  <c r="BU41"/>
  <c r="BV39"/>
  <c r="BV37"/>
  <c r="CK34"/>
  <c r="X33"/>
  <c r="BG31"/>
  <c r="H30"/>
  <c r="AS28"/>
  <c r="BZ25"/>
  <c r="AB24"/>
  <c r="BM22"/>
  <c r="N21"/>
  <c r="AQ18"/>
  <c r="BY16"/>
  <c r="Z15"/>
  <c r="BH13"/>
  <c r="L12"/>
  <c r="AP9"/>
  <c r="BY7"/>
  <c r="Z6"/>
  <c r="BJ4"/>
  <c r="G194"/>
  <c r="CA169"/>
  <c r="CG144"/>
  <c r="AQ130"/>
  <c r="BN120"/>
  <c r="AS112"/>
  <c r="AK82"/>
  <c r="V78"/>
  <c r="AQ73"/>
  <c r="AZ69"/>
  <c r="CD65"/>
  <c r="N63"/>
  <c r="AR60"/>
  <c r="AZ56"/>
  <c r="BO53"/>
  <c r="AU50"/>
  <c r="AI48"/>
  <c r="AQ46"/>
  <c r="AR44"/>
  <c r="BF41"/>
  <c r="H40"/>
  <c r="AO38"/>
  <c r="BW36"/>
  <c r="W34"/>
  <c r="BI32"/>
  <c r="J31"/>
  <c r="AV29"/>
  <c r="CA26"/>
  <c r="AC25"/>
  <c r="BM23"/>
  <c r="Q22"/>
  <c r="BA20"/>
  <c r="BY17"/>
  <c r="Z16"/>
  <c r="BH14"/>
  <c r="I13"/>
  <c r="AS10"/>
  <c r="CB8"/>
  <c r="AC7"/>
  <c r="BJ5"/>
  <c r="V4"/>
  <c r="BN190"/>
  <c r="AB155"/>
  <c r="BN140"/>
  <c r="L131"/>
  <c r="X121"/>
  <c r="N112"/>
  <c r="BF81"/>
  <c r="AQ77"/>
  <c r="Z73"/>
  <c r="BT69"/>
  <c r="AB66"/>
  <c r="CG227"/>
  <c r="CB213"/>
  <c r="T172"/>
  <c r="W172"/>
  <c r="CG159"/>
  <c r="BQ179"/>
  <c r="CF207"/>
  <c r="CG165"/>
  <c r="CH193"/>
  <c r="BA164"/>
  <c r="BO147"/>
  <c r="AS133"/>
  <c r="BU117"/>
  <c r="AR186"/>
  <c r="Y160"/>
  <c r="BP144"/>
  <c r="AL130"/>
  <c r="AS115"/>
  <c r="BD217"/>
  <c r="M167"/>
  <c r="AX145"/>
  <c r="V125"/>
  <c r="BI201"/>
  <c r="V163"/>
  <c r="H142"/>
  <c r="CA128"/>
  <c r="J117"/>
  <c r="BU216"/>
  <c r="Q188"/>
  <c r="Y164"/>
  <c r="BD150"/>
  <c r="U141"/>
  <c r="AX133"/>
  <c r="CC127"/>
  <c r="AG211"/>
  <c r="CH182"/>
  <c r="BA162"/>
  <c r="AR149"/>
  <c r="L139"/>
  <c r="V129"/>
  <c r="AO120"/>
  <c r="BR112"/>
  <c r="BO79"/>
  <c r="BV74"/>
  <c r="BZ70"/>
  <c r="H66"/>
  <c r="CC61"/>
  <c r="CJ56"/>
  <c r="O53"/>
  <c r="CE47"/>
  <c r="AH197"/>
  <c r="BT174"/>
  <c r="AO158"/>
  <c r="BM148"/>
  <c r="CG138"/>
  <c r="BJ129"/>
  <c r="BU120"/>
  <c r="X113"/>
  <c r="AF80"/>
  <c r="L76"/>
  <c r="S71"/>
  <c r="J66"/>
  <c r="AD62"/>
  <c r="AS57"/>
  <c r="AO53"/>
  <c r="AV48"/>
  <c r="AE217"/>
  <c r="CK185"/>
  <c r="CE162"/>
  <c r="R147"/>
  <c r="U134"/>
  <c r="Q122"/>
  <c r="BA112"/>
  <c r="CG81"/>
  <c r="H231"/>
  <c r="BB185"/>
  <c r="AQ160"/>
  <c r="AT146"/>
  <c r="Y133"/>
  <c r="P121"/>
  <c r="AT111"/>
  <c r="BP81"/>
  <c r="BQ76"/>
  <c r="AQ70"/>
  <c r="AO64"/>
  <c r="AP234"/>
  <c r="M190"/>
  <c r="AJ164"/>
  <c r="CA147"/>
  <c r="BS181"/>
  <c r="BR149"/>
  <c r="BJ131"/>
  <c r="AH116"/>
  <c r="Z180"/>
  <c r="P192"/>
  <c r="AJ155"/>
  <c r="BH136"/>
  <c r="AM119"/>
  <c r="AW78"/>
  <c r="BD71"/>
  <c r="BZ66"/>
  <c r="BC62"/>
  <c r="BN57"/>
  <c r="AY217"/>
  <c r="L165"/>
  <c r="CE145"/>
  <c r="BN131"/>
  <c r="AP119"/>
  <c r="AU80"/>
  <c r="BW74"/>
  <c r="L70"/>
  <c r="CB64"/>
  <c r="AW60"/>
  <c r="BR55"/>
  <c r="BA52"/>
  <c r="R48"/>
  <c r="AO45"/>
  <c r="CF41"/>
  <c r="BB39"/>
  <c r="P37"/>
  <c r="BN33"/>
  <c r="BX31"/>
  <c r="CH29"/>
  <c r="CE26"/>
  <c r="H25"/>
  <c r="BS22"/>
  <c r="CC20"/>
  <c r="I18"/>
  <c r="K16"/>
  <c r="U14"/>
  <c r="W12"/>
  <c r="BP9"/>
  <c r="AW8"/>
  <c r="N7"/>
  <c r="BD5"/>
  <c r="AC4"/>
  <c r="AE195"/>
  <c r="AX169"/>
  <c r="P154"/>
  <c r="BG144"/>
  <c r="AR136"/>
  <c r="L129"/>
  <c r="X122"/>
  <c r="BO116"/>
  <c r="AL111"/>
  <c r="BU82"/>
  <c r="AG80"/>
  <c r="AB78"/>
  <c r="AF76"/>
  <c r="AK73"/>
  <c r="BP71"/>
  <c r="CF69"/>
  <c r="Q68"/>
  <c r="AI65"/>
  <c r="BD63"/>
  <c r="BX61"/>
  <c r="J60"/>
  <c r="AG57"/>
  <c r="BT55"/>
  <c r="AS54"/>
  <c r="L53"/>
  <c r="BK50"/>
  <c r="AN49"/>
  <c r="I48"/>
  <c r="BX46"/>
  <c r="BQ45"/>
  <c r="AV44"/>
  <c r="AV42"/>
  <c r="BA41"/>
  <c r="AP40"/>
  <c r="AM39"/>
  <c r="AR38"/>
  <c r="AO37"/>
  <c r="AL36"/>
  <c r="AL34"/>
  <c r="AA33"/>
  <c r="X32"/>
  <c r="AC31"/>
  <c r="R30"/>
  <c r="O29"/>
  <c r="T28"/>
  <c r="L26"/>
  <c r="I25"/>
  <c r="N24"/>
  <c r="CJ22"/>
  <c r="CG21"/>
  <c r="CD20"/>
  <c r="BV18"/>
  <c r="BS17"/>
  <c r="BX16"/>
  <c r="BU15"/>
  <c r="BR14"/>
  <c r="BO13"/>
  <c r="BL12"/>
  <c r="BL10"/>
  <c r="BQ9"/>
  <c r="BF8"/>
  <c r="BC7"/>
  <c r="BH6"/>
  <c r="BE5"/>
  <c r="CA213"/>
  <c r="AZ190"/>
  <c r="BL169"/>
  <c r="U158"/>
  <c r="U153"/>
  <c r="BJ147"/>
  <c r="AM142"/>
  <c r="AI138"/>
  <c r="V133"/>
  <c r="BK129"/>
  <c r="BG124"/>
  <c r="T121"/>
  <c r="BW116"/>
  <c r="AN113"/>
  <c r="BW110"/>
  <c r="AX81"/>
  <c r="BV79"/>
  <c r="AD78"/>
  <c r="BL76"/>
  <c r="AM74"/>
  <c r="M73"/>
  <c r="BS71"/>
  <c r="AS70"/>
  <c r="Q69"/>
  <c r="AW66"/>
  <c r="Y65"/>
  <c r="CH63"/>
  <c r="BI62"/>
  <c r="AK61"/>
  <c r="L60"/>
  <c r="BU57"/>
  <c r="BJ56"/>
  <c r="AX55"/>
  <c r="AU54"/>
  <c r="AJ53"/>
  <c r="AI52"/>
  <c r="AG50"/>
  <c r="AF49"/>
  <c r="AG48"/>
  <c r="AL47"/>
  <c r="AY46"/>
  <c r="BA45"/>
  <c r="BN44"/>
  <c r="CD42"/>
  <c r="R42"/>
  <c r="AM41"/>
  <c r="BH40"/>
  <c r="CC39"/>
  <c r="Q39"/>
  <c r="AL38"/>
  <c r="AY37"/>
  <c r="BT36"/>
  <c r="H36"/>
  <c r="AF34"/>
  <c r="BA33"/>
  <c r="BN32"/>
  <c r="CI31"/>
  <c r="W31"/>
  <c r="AR30"/>
  <c r="BM29"/>
  <c r="CH28"/>
  <c r="V28"/>
  <c r="AL26"/>
  <c r="AY25"/>
  <c r="BT24"/>
  <c r="H24"/>
  <c r="AC23"/>
  <c r="AP22"/>
  <c r="BK21"/>
  <c r="CF20"/>
  <c r="T20"/>
  <c r="AJ18"/>
  <c r="BE17"/>
  <c r="BZ16"/>
  <c r="N16"/>
  <c r="AA15"/>
  <c r="AV14"/>
  <c r="BQ13"/>
  <c r="CD12"/>
  <c r="R12"/>
  <c r="AH10"/>
  <c r="BC9"/>
  <c r="BX8"/>
  <c r="L8"/>
  <c r="AG7"/>
  <c r="BB6"/>
  <c r="BO5"/>
  <c r="CJ4"/>
  <c r="X4"/>
  <c r="BO192"/>
  <c r="CB169"/>
  <c r="CB155"/>
  <c r="BR145"/>
  <c r="BW138"/>
  <c r="BO130"/>
  <c r="BP123"/>
  <c r="T117"/>
  <c r="Q112"/>
  <c r="AM82"/>
  <c r="BM79"/>
  <c r="AG77"/>
  <c r="AO74"/>
  <c r="AH72"/>
  <c r="CK69"/>
  <c r="CA66"/>
  <c r="BY64"/>
  <c r="AW62"/>
  <c r="Y60"/>
  <c r="R57"/>
  <c r="AJ55"/>
  <c r="BR53"/>
  <c r="R52"/>
  <c r="AV49"/>
  <c r="CF47"/>
  <c r="AZ46"/>
  <c r="T45"/>
  <c r="BO42"/>
  <c r="AW41"/>
  <c r="AF40"/>
  <c r="P39"/>
  <c r="CF37"/>
  <c r="AZ36"/>
  <c r="AE34"/>
  <c r="CK32"/>
  <c r="BT31"/>
  <c r="BC30"/>
  <c r="Z29"/>
  <c r="H28"/>
  <c r="CD25"/>
  <c r="AY24"/>
  <c r="AJ23"/>
  <c r="T22"/>
  <c r="BY20"/>
  <c r="BK18"/>
  <c r="AS17"/>
  <c r="AC16"/>
  <c r="L15"/>
  <c r="CB13"/>
  <c r="AZ12"/>
  <c r="AB10"/>
  <c r="J9"/>
  <c r="CB7"/>
  <c r="BK6"/>
  <c r="AS5"/>
  <c r="Y4"/>
  <c r="AQ199"/>
  <c r="BB181"/>
  <c r="BC160"/>
  <c r="BE150"/>
  <c r="AO144"/>
  <c r="AL137"/>
  <c r="AP129"/>
  <c r="AO122"/>
  <c r="BE116"/>
  <c r="W112"/>
  <c r="AQ82"/>
  <c r="G80"/>
  <c r="BG77"/>
  <c r="BQ74"/>
  <c r="BG72"/>
  <c r="AD211"/>
  <c r="BW182"/>
  <c r="BC158"/>
  <c r="AK149"/>
  <c r="CH141"/>
  <c r="BU134"/>
  <c r="AQ128"/>
  <c r="AK121"/>
  <c r="Z115"/>
  <c r="CD82"/>
  <c r="AQ80"/>
  <c r="BU77"/>
  <c r="BD74"/>
  <c r="Z72"/>
  <c r="R70"/>
  <c r="M68"/>
  <c r="BR64"/>
  <c r="BL62"/>
  <c r="BG60"/>
  <c r="AE57"/>
  <c r="AW55"/>
  <c r="CD53"/>
  <c r="AC52"/>
  <c r="BH49"/>
  <c r="J48"/>
  <c r="BI46"/>
  <c r="AC45"/>
  <c r="I44"/>
  <c r="CD41"/>
  <c r="BB40"/>
  <c r="AJ39"/>
  <c r="R38"/>
  <c r="CI36"/>
  <c r="BM34"/>
  <c r="AV33"/>
  <c r="AG32"/>
  <c r="CJ30"/>
  <c r="BT29"/>
  <c r="BC28"/>
  <c r="AE26"/>
  <c r="CF24"/>
  <c r="BR23"/>
  <c r="AO22"/>
  <c r="X21"/>
  <c r="G20"/>
  <c r="CB17"/>
  <c r="BK16"/>
  <c r="AS15"/>
  <c r="O14"/>
  <c r="CG12"/>
  <c r="BW10"/>
  <c r="BE9"/>
  <c r="AC8"/>
  <c r="K7"/>
  <c r="BZ5"/>
  <c r="BK4"/>
  <c r="BY215"/>
  <c r="AY172"/>
  <c r="BF155"/>
  <c r="BO145"/>
  <c r="AQ133"/>
  <c r="BJ124"/>
  <c r="BL115"/>
  <c r="BW80"/>
  <c r="V77"/>
  <c r="BA72"/>
  <c r="AX69"/>
  <c r="BV65"/>
  <c r="K63"/>
  <c r="AQ60"/>
  <c r="J57"/>
  <c r="AO54"/>
  <c r="AH52"/>
  <c r="AK49"/>
  <c r="L47"/>
  <c r="AB45"/>
  <c r="AL42"/>
  <c r="AM40"/>
  <c r="AN38"/>
  <c r="AM36"/>
  <c r="BE33"/>
  <c r="I32"/>
  <c r="AS30"/>
  <c r="CA28"/>
  <c r="Y26"/>
  <c r="BK24"/>
  <c r="N23"/>
  <c r="AV21"/>
  <c r="BZ18"/>
  <c r="Z17"/>
  <c r="BH15"/>
  <c r="I14"/>
  <c r="AS12"/>
  <c r="BZ9"/>
  <c r="AA8"/>
  <c r="BI6"/>
  <c r="J5"/>
  <c r="BF211"/>
  <c r="AO175"/>
  <c r="AB149"/>
  <c r="BC132"/>
  <c r="BB122"/>
  <c r="CD113"/>
  <c r="L79"/>
  <c r="AC74"/>
  <c r="AH70"/>
  <c r="AR66"/>
  <c r="BX63"/>
  <c r="M61"/>
  <c r="P57"/>
  <c r="AV54"/>
  <c r="P52"/>
  <c r="CA48"/>
  <c r="CC46"/>
  <c r="CA44"/>
  <c r="Y42"/>
  <c r="AQ40"/>
  <c r="BY38"/>
  <c r="W37"/>
  <c r="BF34"/>
  <c r="H33"/>
  <c r="AQ31"/>
  <c r="CD29"/>
  <c r="AE28"/>
  <c r="BJ25"/>
  <c r="O24"/>
  <c r="AY22"/>
  <c r="CH20"/>
  <c r="AC18"/>
  <c r="BI16"/>
  <c r="J15"/>
  <c r="AT13"/>
  <c r="CC10"/>
  <c r="AA9"/>
  <c r="BL7"/>
  <c r="M6"/>
  <c r="AX4"/>
  <c r="CK199"/>
  <c r="AC158"/>
  <c r="AL144"/>
  <c r="S133"/>
  <c r="R123"/>
  <c r="AY113"/>
  <c r="BG82"/>
  <c r="CH78"/>
  <c r="I74"/>
  <c r="AU70"/>
  <c r="CK66"/>
  <c r="AH63"/>
  <c r="P234"/>
  <c r="BR224"/>
  <c r="AR195"/>
  <c r="CG184"/>
  <c r="CF175"/>
  <c r="BM192"/>
  <c r="AR158"/>
  <c r="P177"/>
  <c r="I206"/>
  <c r="S172"/>
  <c r="AU151"/>
  <c r="V138"/>
  <c r="U123"/>
  <c r="AS197"/>
  <c r="BD167"/>
  <c r="AN148"/>
  <c r="CI133"/>
  <c r="AD120"/>
  <c r="BA179"/>
  <c r="BI150"/>
  <c r="BD131"/>
  <c r="Q232"/>
  <c r="AM174"/>
  <c r="BA146"/>
  <c r="AA132"/>
  <c r="N121"/>
  <c r="BL110"/>
  <c r="CJ194"/>
  <c r="AX171"/>
  <c r="AC154"/>
  <c r="BZ144"/>
  <c r="AE136"/>
  <c r="AX129"/>
  <c r="AQ233"/>
  <c r="BV190"/>
  <c r="BB167"/>
  <c r="AY153"/>
  <c r="X142"/>
  <c r="BR131"/>
  <c r="AQ122"/>
  <c r="AZ114"/>
  <c r="Q81"/>
  <c r="AC77"/>
  <c r="CK71"/>
  <c r="P68"/>
  <c r="O63"/>
  <c r="AD58"/>
  <c r="AH54"/>
  <c r="AG49"/>
  <c r="BC205"/>
  <c r="BW181"/>
  <c r="BD163"/>
  <c r="N151"/>
  <c r="AS141"/>
  <c r="AO132"/>
  <c r="L123"/>
  <c r="Y115"/>
  <c r="AQ81"/>
  <c r="AE77"/>
  <c r="AT72"/>
  <c r="AP68"/>
  <c r="BE63"/>
  <c r="BT58"/>
  <c r="AZ54"/>
  <c r="BG49"/>
  <c r="BC45"/>
  <c r="O194"/>
  <c r="AF168"/>
  <c r="T151"/>
  <c r="BI138"/>
  <c r="AE125"/>
  <c r="CK114"/>
  <c r="BA78"/>
  <c r="BW193"/>
  <c r="AH166"/>
  <c r="CH149"/>
  <c r="BM137"/>
  <c r="BC124"/>
  <c r="CJ113"/>
  <c r="AT78"/>
  <c r="CH71"/>
  <c r="CE65"/>
  <c r="BI60"/>
  <c r="I199"/>
  <c r="Z171"/>
  <c r="CB151"/>
  <c r="AR194"/>
  <c r="K156"/>
  <c r="X137"/>
  <c r="BY120"/>
  <c r="BM193"/>
  <c r="AY207"/>
  <c r="AD165"/>
  <c r="AT141"/>
  <c r="J123"/>
  <c r="G110"/>
  <c r="BX80"/>
  <c r="CC72"/>
  <c r="G69"/>
  <c r="BZ63"/>
  <c r="BW58"/>
  <c r="BE55"/>
  <c r="BM179"/>
  <c r="K150"/>
  <c r="AL136"/>
  <c r="H123"/>
  <c r="AK111"/>
  <c r="H82"/>
  <c r="P77"/>
  <c r="AL71"/>
  <c r="AE66"/>
  <c r="CI61"/>
  <c r="CE56"/>
  <c r="BA53"/>
  <c r="R49"/>
  <c r="AC46"/>
  <c r="BK42"/>
  <c r="AG40"/>
  <c r="CB37"/>
  <c r="AC34"/>
  <c r="AE32"/>
  <c r="AO30"/>
  <c r="AQ28"/>
  <c r="X25"/>
  <c r="AP23"/>
  <c r="AJ21"/>
  <c r="BM18"/>
  <c r="AY16"/>
  <c r="AS14"/>
  <c r="BC12"/>
  <c r="W10"/>
  <c r="CC8"/>
  <c r="AL7"/>
  <c r="CB5"/>
  <c r="BI4"/>
  <c r="CH201"/>
  <c r="S173"/>
  <c r="AK156"/>
  <c r="AO146"/>
  <c r="BT137"/>
  <c r="AO130"/>
  <c r="AZ123"/>
  <c r="BY117"/>
  <c r="BK112"/>
  <c r="AC81"/>
  <c r="BH78"/>
  <c r="BW76"/>
  <c r="BZ73"/>
  <c r="J72"/>
  <c r="AO70"/>
  <c r="BH68"/>
  <c r="BL65"/>
  <c r="M64"/>
  <c r="AF62"/>
  <c r="AJ60"/>
  <c r="BS57"/>
  <c r="V56"/>
  <c r="BM54"/>
  <c r="AR53"/>
  <c r="K52"/>
  <c r="BJ49"/>
  <c r="AO48"/>
  <c r="Q47"/>
  <c r="CJ45"/>
  <c r="BT44"/>
  <c r="BT42"/>
  <c r="BQ41"/>
  <c r="BN40"/>
  <c r="BK39"/>
  <c r="BH38"/>
  <c r="BM37"/>
  <c r="BJ36"/>
  <c r="BB34"/>
  <c r="AY33"/>
  <c r="AV32"/>
  <c r="AS31"/>
  <c r="AP30"/>
  <c r="AM29"/>
  <c r="AJ28"/>
  <c r="AJ26"/>
  <c r="AG25"/>
  <c r="AD24"/>
  <c r="AA23"/>
  <c r="X22"/>
  <c r="U21"/>
  <c r="R20"/>
  <c r="J18"/>
  <c r="G17"/>
  <c r="L16"/>
  <c r="I15"/>
  <c r="CE13"/>
  <c r="CJ12"/>
  <c r="CJ10"/>
  <c r="CG9"/>
  <c r="CD8"/>
  <c r="CA7"/>
  <c r="BX6"/>
  <c r="CC5"/>
  <c r="BZ4"/>
  <c r="K194"/>
  <c r="BL173"/>
  <c r="BQ160"/>
  <c r="X154"/>
  <c r="BP148"/>
  <c r="AC144"/>
  <c r="W139"/>
  <c r="Q134"/>
  <c r="AU130"/>
  <c r="BC125"/>
  <c r="CG121"/>
  <c r="BB117"/>
  <c r="O114"/>
  <c r="AR111"/>
  <c r="CD81"/>
  <c r="AK80"/>
  <c r="BM78"/>
  <c r="S77"/>
  <c r="BO74"/>
  <c r="AN73"/>
  <c r="O72"/>
  <c r="BU70"/>
  <c r="AU69"/>
  <c r="BY66"/>
  <c r="AZ65"/>
  <c r="AC64"/>
  <c r="CK62"/>
  <c r="BL61"/>
  <c r="AM60"/>
  <c r="L58"/>
  <c r="CH56"/>
  <c r="BV55"/>
  <c r="BQ54"/>
  <c r="BF53"/>
  <c r="BE52"/>
  <c r="BC50"/>
  <c r="BB49"/>
  <c r="BA48"/>
  <c r="BD47"/>
  <c r="BQ46"/>
  <c r="BT45"/>
  <c r="CE44"/>
  <c r="R44"/>
  <c r="AH42"/>
  <c r="BC41"/>
  <c r="BX40"/>
  <c r="L40"/>
  <c r="AG39"/>
  <c r="BB38"/>
  <c r="BO37"/>
  <c r="CJ36"/>
  <c r="X36"/>
  <c r="AV34"/>
  <c r="BQ33"/>
  <c r="CD32"/>
  <c r="R32"/>
  <c r="AM31"/>
  <c r="BH30"/>
  <c r="CC29"/>
  <c r="Q29"/>
  <c r="AL28"/>
  <c r="BB26"/>
  <c r="BO25"/>
  <c r="CJ24"/>
  <c r="X24"/>
  <c r="AS23"/>
  <c r="BF22"/>
  <c r="CA21"/>
  <c r="O21"/>
  <c r="AJ20"/>
  <c r="AZ18"/>
  <c r="BU17"/>
  <c r="I17"/>
  <c r="AD16"/>
  <c r="AQ15"/>
  <c r="BL14"/>
  <c r="CG13"/>
  <c r="U13"/>
  <c r="AH12"/>
  <c r="AX10"/>
  <c r="BS9"/>
  <c r="G9"/>
  <c r="AB8"/>
  <c r="AW7"/>
  <c r="BR6"/>
  <c r="CE5"/>
  <c r="S5"/>
  <c r="AN4"/>
  <c r="AH199"/>
  <c r="CK179"/>
  <c r="L159"/>
  <c r="X147"/>
  <c r="O140"/>
  <c r="AE132"/>
  <c r="R125"/>
  <c r="W119"/>
  <c r="Q113"/>
  <c r="BC80"/>
  <c r="CH77"/>
  <c r="CH74"/>
  <c r="BY72"/>
  <c r="AW70"/>
  <c r="AO68"/>
  <c r="AG65"/>
  <c r="AB63"/>
  <c r="BQ60"/>
  <c r="BH57"/>
  <c r="BW55"/>
  <c r="Q54"/>
  <c r="AY52"/>
  <c r="CG49"/>
  <c r="AH48"/>
  <c r="CB46"/>
  <c r="AW45"/>
  <c r="M44"/>
  <c r="BV41"/>
  <c r="BG40"/>
  <c r="AP39"/>
  <c r="X38"/>
  <c r="CA36"/>
  <c r="BE34"/>
  <c r="AB33"/>
  <c r="L32"/>
  <c r="CB30"/>
  <c r="AY29"/>
  <c r="AG28"/>
  <c r="W26"/>
  <c r="BX24"/>
  <c r="BJ23"/>
  <c r="AS22"/>
  <c r="P21"/>
  <c r="CJ18"/>
  <c r="BT17"/>
  <c r="BC16"/>
  <c r="AK15"/>
  <c r="S14"/>
  <c r="BY12"/>
  <c r="BA10"/>
  <c r="AI9"/>
  <c r="U8"/>
  <c r="CJ6"/>
  <c r="BR5"/>
  <c r="AT4"/>
  <c r="J213"/>
  <c r="AE185"/>
  <c r="CA166"/>
  <c r="AI153"/>
  <c r="BU145"/>
  <c r="BY138"/>
  <c r="CC130"/>
  <c r="AK124"/>
  <c r="CH117"/>
  <c r="R113"/>
  <c r="BF80"/>
  <c r="AC78"/>
  <c r="K76"/>
  <c r="R73"/>
  <c r="CK217"/>
  <c r="I186"/>
  <c r="BJ167"/>
  <c r="P151"/>
  <c r="G144"/>
  <c r="BF137"/>
  <c r="BX129"/>
  <c r="BU122"/>
  <c r="AI116"/>
  <c r="H81"/>
  <c r="AM78"/>
  <c r="U76"/>
  <c r="BT72"/>
  <c r="BI70"/>
  <c r="BC68"/>
  <c r="Z65"/>
  <c r="U63"/>
  <c r="N61"/>
  <c r="BT57"/>
  <c r="CJ55"/>
  <c r="AC54"/>
  <c r="AF209"/>
  <c r="AT227"/>
  <c r="BN177"/>
  <c r="AX164"/>
  <c r="O164"/>
  <c r="CA131"/>
  <c r="CC185"/>
  <c r="AB144"/>
  <c r="AX114"/>
  <c r="BA206"/>
  <c r="AD144"/>
  <c r="G200"/>
  <c r="BI140"/>
  <c r="BK116"/>
  <c r="CK184"/>
  <c r="M150"/>
  <c r="AN133"/>
  <c r="BX210"/>
  <c r="CA160"/>
  <c r="AC138"/>
  <c r="BR119"/>
  <c r="AH74"/>
  <c r="BI65"/>
  <c r="CB56"/>
  <c r="BW47"/>
  <c r="AG174"/>
  <c r="BL147"/>
  <c r="J129"/>
  <c r="CG112"/>
  <c r="BQ79"/>
  <c r="CB70"/>
  <c r="V62"/>
  <c r="Q53"/>
  <c r="AB216"/>
  <c r="AC160"/>
  <c r="BJ133"/>
  <c r="AL112"/>
  <c r="BK81"/>
  <c r="AN182"/>
  <c r="AL145"/>
  <c r="AP120"/>
  <c r="O76"/>
  <c r="CF63"/>
  <c r="AU189"/>
  <c r="BD147"/>
  <c r="AJ149"/>
  <c r="BB114"/>
  <c r="BX176"/>
  <c r="AT154"/>
  <c r="R119"/>
  <c r="AH77"/>
  <c r="BB66"/>
  <c r="BD57"/>
  <c r="W164"/>
  <c r="Z131"/>
  <c r="AC80"/>
  <c r="CD69"/>
  <c r="AI60"/>
  <c r="U52"/>
  <c r="V45"/>
  <c r="AT39"/>
  <c r="AP33"/>
  <c r="BJ29"/>
  <c r="BI24"/>
  <c r="BU20"/>
  <c r="BL15"/>
  <c r="CI10"/>
  <c r="Y8"/>
  <c r="AV5"/>
  <c r="BB192"/>
  <c r="BX151"/>
  <c r="CG134"/>
  <c r="CB121"/>
  <c r="BM110"/>
  <c r="AO82"/>
  <c r="CC77"/>
  <c r="X73"/>
  <c r="BE69"/>
  <c r="H65"/>
  <c r="BI61"/>
  <c r="I57"/>
  <c r="W54"/>
  <c r="AY50"/>
  <c r="BT47"/>
  <c r="AY45"/>
  <c r="AN42"/>
  <c r="Z40"/>
  <c r="AB38"/>
  <c r="AD36"/>
  <c r="K33"/>
  <c r="M31"/>
  <c r="G29"/>
  <c r="CC25"/>
  <c r="BW23"/>
  <c r="BY21"/>
  <c r="BF18"/>
  <c r="BH16"/>
  <c r="BJ14"/>
  <c r="AV12"/>
  <c r="BA9"/>
  <c r="AU7"/>
  <c r="AO5"/>
  <c r="CE183"/>
  <c r="AR157"/>
  <c r="O147"/>
  <c r="BX137"/>
  <c r="T129"/>
  <c r="BQ120"/>
  <c r="L113"/>
  <c r="AF81"/>
  <c r="O78"/>
  <c r="Y74"/>
  <c r="BF71"/>
  <c r="BY68"/>
  <c r="K65"/>
  <c r="AV62"/>
  <c r="CE58"/>
  <c r="AY56"/>
  <c r="AK54"/>
  <c r="Y52"/>
  <c r="V49"/>
  <c r="AB47"/>
  <c r="AR45"/>
  <c r="BV42"/>
  <c r="AE41"/>
  <c r="BU39"/>
  <c r="AD38"/>
  <c r="BL36"/>
  <c r="X34"/>
  <c r="BF32"/>
  <c r="O31"/>
  <c r="BE29"/>
  <c r="N28"/>
  <c r="AQ25"/>
  <c r="CG23"/>
  <c r="AH22"/>
  <c r="BX20"/>
  <c r="AB18"/>
  <c r="BR16"/>
  <c r="S15"/>
  <c r="BI13"/>
  <c r="J12"/>
  <c r="AU9"/>
  <c r="CK7"/>
  <c r="AT6"/>
  <c r="CB4"/>
  <c r="BP190"/>
  <c r="AD153"/>
  <c r="R137"/>
  <c r="CJ122"/>
  <c r="BR111"/>
  <c r="P82"/>
  <c r="J77"/>
  <c r="M72"/>
  <c r="BC66"/>
  <c r="Y62"/>
  <c r="CI56"/>
  <c r="AZ53"/>
  <c r="AH49"/>
  <c r="AJ46"/>
  <c r="BA42"/>
  <c r="U40"/>
  <c r="BR37"/>
  <c r="R34"/>
  <c r="BF31"/>
  <c r="L29"/>
  <c r="BQ25"/>
  <c r="W23"/>
  <c r="BK20"/>
  <c r="AH17"/>
  <c r="CE14"/>
  <c r="AL12"/>
  <c r="CG8"/>
  <c r="AW6"/>
  <c r="N4"/>
  <c r="CK177"/>
  <c r="CF149"/>
  <c r="BP136"/>
  <c r="BJ121"/>
  <c r="CB111"/>
  <c r="Q82"/>
  <c r="AL77"/>
  <c r="AI72"/>
  <c r="BV180"/>
  <c r="AO148"/>
  <c r="K134"/>
  <c r="BT120"/>
  <c r="R80"/>
  <c r="AE74"/>
  <c r="CA69"/>
  <c r="AU64"/>
  <c r="AK60"/>
  <c r="AB55"/>
  <c r="AV52"/>
  <c r="BG48"/>
  <c r="AS46"/>
  <c r="AI44"/>
  <c r="AF41"/>
  <c r="AX39"/>
  <c r="AM37"/>
  <c r="AY34"/>
  <c r="BG32"/>
  <c r="AL30"/>
  <c r="BN28"/>
  <c r="AL25"/>
  <c r="BD23"/>
  <c r="AW21"/>
  <c r="AT18"/>
  <c r="BV16"/>
  <c r="AZ14"/>
  <c r="BU12"/>
  <c r="CD9"/>
  <c r="BI7"/>
  <c r="G6"/>
  <c r="J4"/>
  <c r="BI169"/>
  <c r="CH147"/>
  <c r="U129"/>
  <c r="AS116"/>
  <c r="H79"/>
  <c r="CK72"/>
  <c r="BR66"/>
  <c r="BO62"/>
  <c r="BL57"/>
  <c r="AN53"/>
  <c r="BF49"/>
  <c r="CG45"/>
  <c r="U42"/>
  <c r="BU38"/>
  <c r="BC34"/>
  <c r="AA32"/>
  <c r="AR29"/>
  <c r="H26"/>
  <c r="AU23"/>
  <c r="BO20"/>
  <c r="AQ17"/>
  <c r="BG14"/>
  <c r="AC12"/>
  <c r="BJ8"/>
  <c r="BY5"/>
  <c r="O221"/>
  <c r="BO154"/>
  <c r="BH131"/>
  <c r="BT115"/>
  <c r="BO78"/>
  <c r="AK71"/>
  <c r="R65"/>
  <c r="AR61"/>
  <c r="BD55"/>
  <c r="BQ50"/>
  <c r="AG47"/>
  <c r="K44"/>
  <c r="BI40"/>
  <c r="BX37"/>
  <c r="AO34"/>
  <c r="BZ31"/>
  <c r="M29"/>
  <c r="CA25"/>
  <c r="O23"/>
  <c r="BQ20"/>
  <c r="K17"/>
  <c r="Z14"/>
  <c r="N12"/>
  <c r="AD8"/>
  <c r="CA5"/>
  <c r="AB206"/>
  <c r="BO148"/>
  <c r="V134"/>
  <c r="Q116"/>
  <c r="AF79"/>
  <c r="BH71"/>
  <c r="BI66"/>
  <c r="BD61"/>
  <c r="CB57"/>
  <c r="R55"/>
  <c r="H53"/>
  <c r="BV49"/>
  <c r="AP47"/>
  <c r="AN45"/>
  <c r="BP42"/>
  <c r="P41"/>
  <c r="AY39"/>
  <c r="CG37"/>
  <c r="AG36"/>
  <c r="BR33"/>
  <c r="S32"/>
  <c r="BB30"/>
  <c r="BU28"/>
  <c r="R26"/>
  <c r="AO24"/>
  <c r="BH22"/>
  <c r="H21"/>
  <c r="BB18"/>
  <c r="CI16"/>
  <c r="AJ15"/>
  <c r="BS13"/>
  <c r="CK10"/>
  <c r="AL9"/>
  <c r="BD7"/>
  <c r="CI5"/>
  <c r="AQ4"/>
  <c r="AL154"/>
  <c r="CC133"/>
  <c r="AH115"/>
  <c r="BC76"/>
  <c r="AJ70"/>
  <c r="AQ65"/>
  <c r="Z61"/>
  <c r="O56"/>
  <c r="AA52"/>
  <c r="BG47"/>
  <c r="CD44"/>
  <c r="AH41"/>
  <c r="CB38"/>
  <c r="K36"/>
  <c r="BE32"/>
  <c r="BW29"/>
  <c r="AF26"/>
  <c r="BB23"/>
  <c r="BL20"/>
  <c r="BQ16"/>
  <c r="T14"/>
  <c r="AL10"/>
  <c r="CE7"/>
  <c r="AH5"/>
  <c r="AZ185"/>
  <c r="AJ148"/>
  <c r="AP127"/>
  <c r="CH111"/>
  <c r="G78"/>
  <c r="AV71"/>
  <c r="AW64"/>
  <c r="AR58"/>
  <c r="AM54"/>
  <c r="AE49"/>
  <c r="BE45"/>
  <c r="BM41"/>
  <c r="T39"/>
  <c r="BP36"/>
  <c r="AE33"/>
  <c r="O30"/>
  <c r="BL26"/>
  <c r="S24"/>
  <c r="AL21"/>
  <c r="BP17"/>
  <c r="U15"/>
  <c r="AK12"/>
  <c r="BY8"/>
  <c r="AG6"/>
  <c r="M198"/>
  <c r="K164"/>
  <c r="AG140"/>
  <c r="AF123"/>
  <c r="BQ81"/>
  <c r="BT74"/>
  <c r="AL69"/>
  <c r="AY63"/>
  <c r="BC57"/>
  <c r="G54"/>
  <c r="AJ49"/>
  <c r="BL45"/>
  <c r="I42"/>
  <c r="AZ39"/>
  <c r="BS36"/>
  <c r="AF33"/>
  <c r="AU30"/>
  <c r="BM26"/>
  <c r="Y24"/>
  <c r="AN21"/>
  <c r="BV17"/>
  <c r="V15"/>
  <c r="AQ12"/>
  <c r="CE8"/>
  <c r="H6"/>
  <c r="AS203"/>
  <c r="BE136"/>
  <c r="AJ113"/>
  <c r="O81"/>
  <c r="AW69"/>
  <c r="V61"/>
  <c r="BQ53"/>
  <c r="O47"/>
  <c r="CC41"/>
  <c r="AU37"/>
  <c r="Q32"/>
  <c r="Q28"/>
  <c r="V23"/>
  <c r="V18"/>
  <c r="K14"/>
  <c r="BD8"/>
  <c r="BH4"/>
  <c r="BL117"/>
  <c r="AN81"/>
  <c r="AN65"/>
  <c r="AA47"/>
  <c r="M40"/>
  <c r="CC31"/>
  <c r="AF17"/>
  <c r="AD5"/>
  <c r="BG151"/>
  <c r="BA124"/>
  <c r="Q79"/>
  <c r="BI64"/>
  <c r="W57"/>
  <c r="AF50"/>
  <c r="L45"/>
  <c r="BA40"/>
  <c r="BG34"/>
  <c r="BL30"/>
  <c r="BV25"/>
  <c r="CC21"/>
  <c r="BL16"/>
  <c r="BR12"/>
  <c r="BN7"/>
  <c r="CK218"/>
  <c r="CB120"/>
  <c r="I68"/>
  <c r="CB53"/>
  <c r="L42"/>
  <c r="AF31"/>
  <c r="CD17"/>
  <c r="Y6"/>
  <c r="BT167"/>
  <c r="AH139"/>
  <c r="P112"/>
  <c r="P76"/>
  <c r="K66"/>
  <c r="BO58"/>
  <c r="AS52"/>
  <c r="BU45"/>
  <c r="BD39"/>
  <c r="BH34"/>
  <c r="BW30"/>
  <c r="BX25"/>
  <c r="CH21"/>
  <c r="BM16"/>
  <c r="BX12"/>
  <c r="BP7"/>
  <c r="BV26"/>
  <c r="AD9"/>
  <c r="CE123"/>
  <c r="AY80"/>
  <c r="O61"/>
  <c r="BX45"/>
  <c r="AU36"/>
  <c r="AW26"/>
  <c r="CK14"/>
  <c r="BR147"/>
  <c r="AU72"/>
  <c r="BL50"/>
  <c r="CK24"/>
  <c r="Z192"/>
  <c r="AO128"/>
  <c r="CI82"/>
  <c r="AA64"/>
  <c r="U49"/>
  <c r="M39"/>
  <c r="BD30"/>
  <c r="S21"/>
  <c r="O5"/>
  <c r="AY128"/>
  <c r="BP61"/>
  <c r="AA40"/>
  <c r="AC20"/>
  <c r="AP5"/>
  <c r="BM125"/>
  <c r="BL79"/>
  <c r="T58"/>
  <c r="K47"/>
  <c r="CD36"/>
  <c r="CH25"/>
  <c r="AM16"/>
  <c r="AN7"/>
  <c r="BV137"/>
  <c r="AI76"/>
  <c r="H62"/>
  <c r="AT49"/>
  <c r="AE40"/>
  <c r="I28"/>
  <c r="AX16"/>
  <c r="AQ7"/>
  <c r="H163"/>
  <c r="CH81"/>
  <c r="BI63"/>
  <c r="CA49"/>
  <c r="AK40"/>
  <c r="Q31"/>
  <c r="AZ22"/>
  <c r="AU13"/>
  <c r="BG4"/>
  <c r="AD56"/>
  <c r="CE18"/>
  <c r="G61"/>
  <c r="CH8"/>
  <c r="BT21"/>
  <c r="AE36"/>
  <c r="T42"/>
  <c r="CF4"/>
  <c r="CD16"/>
  <c r="BG65"/>
  <c r="AX25"/>
  <c r="AL78"/>
  <c r="AP29"/>
  <c r="BT38"/>
  <c r="BE66"/>
  <c r="BG41"/>
  <c r="F236"/>
  <c r="F38"/>
  <c r="F149"/>
  <c r="F217"/>
  <c r="F140"/>
  <c r="F129"/>
  <c r="F122"/>
  <c r="F7"/>
  <c r="F64"/>
  <c r="F5"/>
  <c r="F16"/>
  <c r="F180"/>
  <c r="F155"/>
  <c r="F74"/>
  <c r="F116"/>
  <c r="F8"/>
  <c r="F28"/>
  <c r="F147"/>
  <c r="F134"/>
  <c r="F199"/>
  <c r="F142"/>
  <c r="F136"/>
  <c r="F218"/>
  <c r="AM192"/>
  <c r="Y139"/>
  <c r="BC200"/>
  <c r="BU121"/>
  <c r="BC154"/>
  <c r="AE149"/>
  <c r="H198"/>
  <c r="I137"/>
  <c r="CI168"/>
  <c r="BX123"/>
  <c r="BL68"/>
  <c r="BU49"/>
  <c r="CD151"/>
  <c r="CD115"/>
  <c r="Q73"/>
  <c r="O55"/>
  <c r="BW169"/>
  <c r="M116"/>
  <c r="J197"/>
  <c r="CF125"/>
  <c r="BP78"/>
  <c r="CD202"/>
  <c r="P159"/>
  <c r="BQ201"/>
  <c r="BJ81"/>
  <c r="AB60"/>
  <c r="BR137"/>
  <c r="I72"/>
  <c r="BW53"/>
  <c r="BE40"/>
  <c r="BM30"/>
  <c r="AZ21"/>
  <c r="CA12"/>
  <c r="S6"/>
  <c r="H157"/>
  <c r="AZ124"/>
  <c r="G74"/>
  <c r="BX65"/>
  <c r="CD57"/>
  <c r="W52"/>
  <c r="L46"/>
  <c r="BV40"/>
  <c r="BR36"/>
  <c r="BA31"/>
  <c r="AR26"/>
  <c r="AF22"/>
  <c r="O17"/>
  <c r="K13"/>
  <c r="CI7"/>
  <c r="CG195"/>
  <c r="X149"/>
  <c r="CG130"/>
  <c r="AT114"/>
  <c r="CC78"/>
  <c r="AA72"/>
  <c r="BO65"/>
  <c r="BC60"/>
  <c r="CA54"/>
  <c r="BL49"/>
  <c r="CC45"/>
  <c r="BK41"/>
  <c r="BJ38"/>
  <c r="BD34"/>
  <c r="AU31"/>
  <c r="AT28"/>
  <c r="AF24"/>
  <c r="W21"/>
  <c r="Q17"/>
  <c r="H14"/>
  <c r="AJ8"/>
  <c r="AA5"/>
  <c r="U160"/>
  <c r="BS125"/>
  <c r="P73"/>
  <c r="AX63"/>
  <c r="AI54"/>
  <c r="I47"/>
  <c r="BS40"/>
  <c r="BP34"/>
  <c r="BL29"/>
  <c r="BU23"/>
  <c r="CF17"/>
  <c r="P13"/>
  <c r="P7"/>
  <c r="CF186"/>
  <c r="AT139"/>
  <c r="BW113"/>
  <c r="AP73"/>
  <c r="BY153"/>
  <c r="AJ123"/>
  <c r="AL81"/>
  <c r="CF70"/>
  <c r="AL61"/>
  <c r="CC52"/>
  <c r="CK46"/>
  <c r="K42"/>
  <c r="G38"/>
  <c r="CF32"/>
  <c r="H29"/>
  <c r="I24"/>
  <c r="U20"/>
  <c r="AE15"/>
  <c r="V10"/>
  <c r="AF6"/>
  <c r="BF180"/>
  <c r="BH134"/>
  <c r="BT73"/>
  <c r="BR63"/>
  <c r="BO54"/>
  <c r="CA46"/>
  <c r="AN39"/>
  <c r="BH32"/>
  <c r="BF26"/>
  <c r="BM21"/>
  <c r="AP15"/>
  <c r="I9"/>
  <c r="S4"/>
  <c r="BJ134"/>
  <c r="U72"/>
  <c r="K62"/>
  <c r="BG52"/>
  <c r="BU47"/>
  <c r="H41"/>
  <c r="G36"/>
  <c r="K30"/>
  <c r="CF23"/>
  <c r="AR17"/>
  <c r="AW12"/>
  <c r="AU6"/>
  <c r="BX168"/>
  <c r="N122"/>
  <c r="BG73"/>
  <c r="BD62"/>
  <c r="BP55"/>
  <c r="AI50"/>
  <c r="CD45"/>
  <c r="AX41"/>
  <c r="AG38"/>
  <c r="O34"/>
  <c r="U29"/>
  <c r="BV24"/>
  <c r="AP21"/>
  <c r="AJ17"/>
  <c r="R14"/>
  <c r="BT9"/>
  <c r="AM6"/>
  <c r="AU158"/>
  <c r="I120"/>
  <c r="BR78"/>
  <c r="AL66"/>
  <c r="P53"/>
  <c r="BD45"/>
  <c r="AS39"/>
  <c r="AD33"/>
  <c r="CG26"/>
  <c r="BG21"/>
  <c r="BV14"/>
  <c r="AV8"/>
  <c r="Y202"/>
  <c r="BL130"/>
  <c r="BU72"/>
  <c r="BW60"/>
  <c r="Q50"/>
  <c r="BH42"/>
  <c r="AJ37"/>
  <c r="BR30"/>
  <c r="Y28"/>
  <c r="AJ22"/>
  <c r="BV15"/>
  <c r="AV9"/>
  <c r="W4"/>
  <c r="P147"/>
  <c r="CI110"/>
  <c r="H71"/>
  <c r="BA58"/>
  <c r="Y50"/>
  <c r="BJ42"/>
  <c r="AK37"/>
  <c r="N31"/>
  <c r="CA24"/>
  <c r="AN18"/>
  <c r="AF13"/>
  <c r="BM6"/>
  <c r="Q146"/>
  <c r="N71"/>
  <c r="Y48"/>
  <c r="CK38"/>
  <c r="R29"/>
  <c r="AD20"/>
  <c r="BD9"/>
  <c r="BB137"/>
  <c r="CE66"/>
  <c r="Q41"/>
  <c r="AH25"/>
  <c r="BN157"/>
  <c r="Z81"/>
  <c r="BE58"/>
  <c r="O46"/>
  <c r="BG36"/>
  <c r="BN26"/>
  <c r="BL17"/>
  <c r="BU4"/>
  <c r="AN72"/>
  <c r="BW45"/>
  <c r="BB20"/>
  <c r="AO184"/>
  <c r="CK115"/>
  <c r="AG78"/>
  <c r="BV53"/>
  <c r="BC40"/>
  <c r="BV31"/>
  <c r="CC22"/>
  <c r="BM13"/>
  <c r="BW4"/>
  <c r="BC142"/>
  <c r="CJ47"/>
  <c r="BF29"/>
  <c r="AJ186"/>
  <c r="CB26"/>
  <c r="V136"/>
  <c r="H69"/>
  <c r="BZ41"/>
  <c r="BP23"/>
  <c r="BZ142"/>
  <c r="BQ42"/>
  <c r="AG9"/>
  <c r="AP49"/>
  <c r="G28"/>
  <c r="AH9"/>
  <c r="BT79"/>
  <c r="S52"/>
  <c r="CK33"/>
  <c r="AN9"/>
  <c r="AL68"/>
  <c r="S42"/>
  <c r="Q24"/>
  <c r="AX6"/>
  <c r="AV30"/>
  <c r="AQ29"/>
  <c r="BN48"/>
  <c r="AV31"/>
  <c r="AB34"/>
  <c r="BL40"/>
  <c r="L4"/>
  <c r="F62"/>
  <c r="F189"/>
  <c r="F61"/>
  <c r="F174"/>
  <c r="F201"/>
  <c r="F111"/>
  <c r="F80"/>
  <c r="F167"/>
  <c r="F77"/>
  <c r="F26"/>
  <c r="F193"/>
  <c r="AH31"/>
  <c r="AU34"/>
  <c r="CK22"/>
  <c r="CF13"/>
  <c r="BP4"/>
  <c r="Y134"/>
  <c r="M78"/>
  <c r="CC60"/>
  <c r="BP47"/>
  <c r="BZ40"/>
  <c r="BO31"/>
  <c r="BJ22"/>
  <c r="AV16"/>
  <c r="BG7"/>
  <c r="AC124"/>
  <c r="X65"/>
  <c r="AU49"/>
  <c r="I34"/>
  <c r="AD21"/>
  <c r="T12"/>
  <c r="AT42"/>
  <c r="AC26"/>
  <c r="BU136"/>
  <c r="BJ69"/>
  <c r="T47"/>
  <c r="BP32"/>
  <c r="BT18"/>
  <c r="BF9"/>
  <c r="AD57"/>
  <c r="CK23"/>
  <c r="BJ151"/>
  <c r="AJ80"/>
  <c r="BU55"/>
  <c r="BB37"/>
  <c r="BZ23"/>
  <c r="BM14"/>
  <c r="AE18"/>
  <c r="T70"/>
  <c r="AX31"/>
  <c r="CD31"/>
  <c r="AN55"/>
  <c r="AP34"/>
  <c r="Q162"/>
  <c r="AR12"/>
  <c r="T69"/>
  <c r="CH31"/>
  <c r="BC181"/>
  <c r="N68"/>
  <c r="CF36"/>
  <c r="AQ227"/>
  <c r="AP57"/>
  <c r="O26"/>
  <c r="AW76"/>
  <c r="CE10"/>
  <c r="BZ133"/>
  <c r="BB22"/>
  <c r="BK40"/>
  <c r="BR8"/>
  <c r="K4"/>
  <c r="F23"/>
  <c r="F72"/>
  <c r="F65"/>
  <c r="F115"/>
  <c r="F10"/>
  <c r="F221"/>
  <c r="F141"/>
  <c r="F230"/>
  <c r="CG29"/>
  <c r="BP24"/>
  <c r="BN6"/>
  <c r="M49"/>
  <c r="CD4"/>
  <c r="N73"/>
  <c r="BJ44"/>
  <c r="BQ29"/>
  <c r="BM10"/>
  <c r="AF55"/>
  <c r="CG10"/>
  <c r="S22"/>
  <c r="K58"/>
  <c r="BI28"/>
  <c r="AT37"/>
  <c r="AW72"/>
  <c r="CB33"/>
  <c r="BA129"/>
  <c r="BM38"/>
  <c r="AX5"/>
  <c r="CG60"/>
  <c r="BJ20"/>
  <c r="AQ45"/>
  <c r="BU74"/>
  <c r="CC76"/>
  <c r="CE53"/>
  <c r="BW20"/>
  <c r="F206"/>
  <c r="F207"/>
  <c r="F225"/>
  <c r="F48"/>
  <c r="F55"/>
  <c r="F128"/>
  <c r="BW236"/>
  <c r="BA137"/>
  <c r="AQ112"/>
  <c r="W195"/>
  <c r="BP72"/>
  <c r="BP165"/>
  <c r="X60"/>
  <c r="AZ129"/>
  <c r="AH140"/>
  <c r="CI72"/>
  <c r="G140"/>
  <c r="N56"/>
  <c r="AR57"/>
  <c r="CI32"/>
  <c r="H15"/>
  <c r="O177"/>
  <c r="AY72"/>
  <c r="BH56"/>
  <c r="N45"/>
  <c r="CC37"/>
  <c r="BH28"/>
  <c r="AH18"/>
  <c r="U9"/>
  <c r="AO155"/>
  <c r="U119"/>
  <c r="AY77"/>
  <c r="BE64"/>
  <c r="BZ53"/>
  <c r="Q45"/>
  <c r="CE37"/>
  <c r="AH32"/>
  <c r="S25"/>
  <c r="CK17"/>
  <c r="BN10"/>
  <c r="BD4"/>
  <c r="AN120"/>
  <c r="CB65"/>
  <c r="BO48"/>
  <c r="AE37"/>
  <c r="AD25"/>
  <c r="AR14"/>
  <c r="W219"/>
  <c r="CB119"/>
  <c r="BC171"/>
  <c r="L69"/>
  <c r="M52"/>
  <c r="R41"/>
  <c r="AS32"/>
  <c r="Q23"/>
  <c r="AW16"/>
  <c r="AX7"/>
  <c r="CA146"/>
  <c r="AM66"/>
  <c r="R53"/>
  <c r="BD38"/>
  <c r="AS25"/>
  <c r="AP14"/>
  <c r="Q201"/>
  <c r="BH70"/>
  <c r="CI49"/>
  <c r="BZ33"/>
  <c r="CG22"/>
  <c r="BJ10"/>
  <c r="BB147"/>
  <c r="AJ65"/>
  <c r="BT52"/>
  <c r="AY42"/>
  <c r="Q36"/>
  <c r="BD28"/>
  <c r="BZ20"/>
  <c r="BB13"/>
  <c r="BS5"/>
  <c r="CA112"/>
  <c r="BX69"/>
  <c r="CJ50"/>
  <c r="R210"/>
  <c r="AZ181"/>
  <c r="BT190"/>
  <c r="AV174"/>
  <c r="S171"/>
  <c r="BT136"/>
  <c r="BU195"/>
  <c r="H148"/>
  <c r="N120"/>
  <c r="CD148"/>
  <c r="BJ217"/>
  <c r="AE146"/>
  <c r="BE120"/>
  <c r="AH192"/>
  <c r="BH153"/>
  <c r="U136"/>
  <c r="BB231"/>
  <c r="Z167"/>
  <c r="X141"/>
  <c r="CF121"/>
  <c r="BF76"/>
  <c r="CB66"/>
  <c r="V58"/>
  <c r="I49"/>
  <c r="AK181"/>
  <c r="AE150"/>
  <c r="G132"/>
  <c r="L115"/>
  <c r="K81"/>
  <c r="N72"/>
  <c r="AG63"/>
  <c r="AJ54"/>
  <c r="AU45"/>
  <c r="U166"/>
  <c r="BD137"/>
  <c r="BR114"/>
  <c r="J191"/>
  <c r="P149"/>
  <c r="K124"/>
  <c r="BO77"/>
  <c r="AY65"/>
  <c r="AR198"/>
  <c r="L151"/>
  <c r="BJ155"/>
  <c r="BI119"/>
  <c r="Z191"/>
  <c r="BI164"/>
  <c r="BT122"/>
  <c r="S80"/>
  <c r="BQ68"/>
  <c r="BK58"/>
  <c r="BJ175"/>
  <c r="CC134"/>
  <c r="BX81"/>
  <c r="X71"/>
  <c r="BV61"/>
  <c r="U53"/>
  <c r="K46"/>
  <c r="Y40"/>
  <c r="U34"/>
  <c r="I30"/>
  <c r="P25"/>
  <c r="AB21"/>
  <c r="AI16"/>
  <c r="AU12"/>
  <c r="BE8"/>
  <c r="BT5"/>
  <c r="T200"/>
  <c r="T155"/>
  <c r="Z137"/>
  <c r="BO122"/>
  <c r="BO111"/>
  <c r="AR78"/>
  <c r="AY73"/>
  <c r="M70"/>
  <c r="AW65"/>
  <c r="CJ61"/>
  <c r="AU57"/>
  <c r="BC54"/>
  <c r="BU50"/>
  <c r="S48"/>
  <c r="BZ45"/>
  <c r="BD42"/>
  <c r="AX40"/>
  <c r="AZ38"/>
  <c r="AT36"/>
  <c r="AI33"/>
  <c r="AK31"/>
  <c r="W29"/>
  <c r="T26"/>
  <c r="V24"/>
  <c r="H22"/>
  <c r="CD18"/>
  <c r="CF16"/>
  <c r="BZ14"/>
  <c r="BT12"/>
  <c r="BY9"/>
  <c r="BK7"/>
  <c r="BM5"/>
  <c r="BZ191"/>
  <c r="CH159"/>
  <c r="U148"/>
  <c r="BX138"/>
  <c r="J130"/>
  <c r="BA121"/>
  <c r="BO113"/>
  <c r="BN81"/>
  <c r="AU78"/>
  <c r="BA74"/>
  <c r="CG71"/>
  <c r="AG69"/>
  <c r="AL65"/>
  <c r="BW62"/>
  <c r="Z60"/>
  <c r="BW56"/>
  <c r="BE54"/>
  <c r="AU52"/>
  <c r="AR49"/>
  <c r="AU47"/>
  <c r="BJ45"/>
  <c r="J44"/>
  <c r="AU41"/>
  <c r="CK39"/>
  <c r="AT38"/>
  <c r="CB36"/>
  <c r="AN34"/>
  <c r="BV32"/>
  <c r="AE31"/>
  <c r="BU29"/>
  <c r="AD28"/>
  <c r="BG25"/>
  <c r="P24"/>
  <c r="AX22"/>
  <c r="G21"/>
  <c r="AR18"/>
  <c r="CH16"/>
  <c r="AI15"/>
  <c r="BY13"/>
  <c r="Z12"/>
  <c r="BK9"/>
  <c r="T8"/>
  <c r="BJ6"/>
  <c r="K5"/>
  <c r="R194"/>
  <c r="CD156"/>
  <c r="AL139"/>
  <c r="AE124"/>
  <c r="BM112"/>
  <c r="BN82"/>
  <c r="BF77"/>
  <c r="BF72"/>
  <c r="W68"/>
  <c r="BQ62"/>
  <c r="AN57"/>
  <c r="CJ53"/>
  <c r="BP49"/>
  <c r="BL46"/>
  <c r="BZ42"/>
  <c r="AT40"/>
  <c r="J38"/>
  <c r="AQ34"/>
  <c r="CE31"/>
  <c r="AK29"/>
  <c r="I26"/>
  <c r="AV23"/>
  <c r="CJ20"/>
  <c r="BG17"/>
  <c r="W15"/>
  <c r="BM12"/>
  <c r="X9"/>
  <c r="BV6"/>
  <c r="AI4"/>
  <c r="BM183"/>
  <c r="BB151"/>
  <c r="K138"/>
  <c r="BV123"/>
  <c r="BZ112"/>
  <c r="BQ82"/>
  <c r="CJ77"/>
  <c r="CD72"/>
  <c r="AU184"/>
  <c r="AG150"/>
  <c r="AI136"/>
  <c r="H122"/>
  <c r="BS80"/>
  <c r="CA74"/>
  <c r="AK70"/>
  <c r="CK64"/>
  <c r="CF60"/>
  <c r="BN55"/>
  <c r="BK52"/>
  <c r="BY48"/>
  <c r="BU46"/>
  <c r="AT44"/>
  <c r="BR41"/>
  <c r="BI39"/>
  <c r="BA37"/>
  <c r="BX34"/>
  <c r="BR32"/>
  <c r="BY30"/>
  <c r="CB28"/>
  <c r="AZ25"/>
  <c r="CC23"/>
  <c r="BJ21"/>
  <c r="CG18"/>
  <c r="CJ16"/>
  <c r="BN14"/>
  <c r="L13"/>
  <c r="K10"/>
  <c r="O8"/>
  <c r="R6"/>
  <c r="T4"/>
  <c r="Y177"/>
  <c r="T149"/>
  <c r="BA132"/>
  <c r="AJ117"/>
  <c r="AM80"/>
  <c r="AI73"/>
  <c r="Y68"/>
  <c r="AK63"/>
  <c r="CK57"/>
  <c r="U54"/>
  <c r="CB49"/>
  <c r="S46"/>
  <c r="BE42"/>
  <c r="U39"/>
  <c r="T36"/>
  <c r="AQ32"/>
  <c r="BI29"/>
  <c r="AO26"/>
  <c r="BL23"/>
  <c r="AF21"/>
  <c r="BH17"/>
  <c r="BW14"/>
  <c r="BJ12"/>
  <c r="BZ8"/>
  <c r="AP6"/>
  <c r="M226"/>
  <c r="AX157"/>
  <c r="BE133"/>
  <c r="AU116"/>
  <c r="AX79"/>
  <c r="BT71"/>
  <c r="N66"/>
  <c r="BS61"/>
  <c r="CC55"/>
  <c r="AM52"/>
  <c r="BC47"/>
  <c r="BI44"/>
  <c r="BY40"/>
  <c r="H38"/>
  <c r="BV34"/>
  <c r="K32"/>
  <c r="BN29"/>
  <c r="J26"/>
  <c r="AF23"/>
  <c r="Q21"/>
  <c r="AA17"/>
  <c r="BX14"/>
  <c r="AD12"/>
  <c r="AU8"/>
  <c r="AC6"/>
  <c r="AI214"/>
  <c r="BI156"/>
  <c r="AS136"/>
  <c r="AE119"/>
  <c r="CA79"/>
  <c r="AP72"/>
  <c r="K68"/>
  <c r="CH61"/>
  <c r="S58"/>
  <c r="AP55"/>
  <c r="AD53"/>
  <c r="M50"/>
  <c r="BL47"/>
  <c r="BI45"/>
  <c r="CF42"/>
  <c r="AG41"/>
  <c r="BP39"/>
  <c r="P38"/>
  <c r="AX36"/>
  <c r="CH33"/>
  <c r="AJ32"/>
  <c r="BS30"/>
  <c r="CK28"/>
  <c r="AK26"/>
  <c r="BE24"/>
  <c r="BX22"/>
  <c r="Y21"/>
  <c r="BR18"/>
  <c r="S17"/>
  <c r="BA15"/>
  <c r="CI13"/>
  <c r="V12"/>
  <c r="BB9"/>
  <c r="BT7"/>
  <c r="U6"/>
  <c r="BF4"/>
  <c r="T156"/>
  <c r="H137"/>
  <c r="BY116"/>
  <c r="AA77"/>
  <c r="CA70"/>
  <c r="CJ65"/>
  <c r="BY61"/>
  <c r="BB56"/>
  <c r="BN52"/>
  <c r="AP48"/>
  <c r="Y45"/>
  <c r="BL41"/>
  <c r="S39"/>
  <c r="AJ36"/>
  <c r="CG32"/>
  <c r="N30"/>
  <c r="BE26"/>
  <c r="CA23"/>
  <c r="AH21"/>
  <c r="L17"/>
  <c r="AW14"/>
  <c r="BP10"/>
  <c r="S8"/>
  <c r="BH5"/>
  <c r="P193"/>
  <c r="AM150"/>
  <c r="CK128"/>
  <c r="CE112"/>
  <c r="BS78"/>
  <c r="Q72"/>
  <c r="BD65"/>
  <c r="AA60"/>
  <c r="BU54"/>
  <c r="BQ49"/>
  <c r="AB46"/>
  <c r="AD42"/>
  <c r="AV39"/>
  <c r="J37"/>
  <c r="BD33"/>
  <c r="AN30"/>
  <c r="CK26"/>
  <c r="AX24"/>
  <c r="BL21"/>
  <c r="N18"/>
  <c r="AU15"/>
  <c r="BP12"/>
  <c r="Q9"/>
  <c r="BF6"/>
  <c r="AL202"/>
  <c r="AC166"/>
  <c r="AY145"/>
  <c r="AB125"/>
  <c r="AX82"/>
  <c r="N76"/>
  <c r="AX70"/>
  <c r="G64"/>
  <c r="G58"/>
  <c r="AN54"/>
  <c r="BR49"/>
  <c r="AI46"/>
  <c r="AI42"/>
  <c r="CD39"/>
  <c r="L37"/>
  <c r="BK33"/>
  <c r="BT30"/>
  <c r="AF28"/>
  <c r="AZ24"/>
  <c r="BR21"/>
  <c r="O18"/>
  <c r="AZ15"/>
  <c r="BQ12"/>
  <c r="V9"/>
  <c r="AH6"/>
  <c r="AD216"/>
  <c r="CK140"/>
  <c r="O117"/>
  <c r="W82"/>
  <c r="W70"/>
  <c r="M62"/>
  <c r="S54"/>
  <c r="BF47"/>
  <c r="AK42"/>
  <c r="AP38"/>
  <c r="BB32"/>
  <c r="BM28"/>
  <c r="BS23"/>
  <c r="BD18"/>
  <c r="BE14"/>
  <c r="H9"/>
  <c r="R5"/>
  <c r="CH122"/>
  <c r="BS82"/>
  <c r="U66"/>
  <c r="BY49"/>
  <c r="BJ40"/>
  <c r="AC32"/>
  <c r="CI24"/>
  <c r="U7"/>
  <c r="AD154"/>
  <c r="BB127"/>
  <c r="Z80"/>
  <c r="AA65"/>
  <c r="BX57"/>
  <c r="CC50"/>
  <c r="BN45"/>
  <c r="CJ40"/>
  <c r="S36"/>
  <c r="X31"/>
  <c r="U26"/>
  <c r="AL22"/>
  <c r="X17"/>
  <c r="O13"/>
  <c r="N8"/>
  <c r="AG4"/>
  <c r="AW125"/>
  <c r="AB71"/>
  <c r="AW54"/>
  <c r="Q44"/>
  <c r="BW32"/>
  <c r="CB18"/>
  <c r="BU6"/>
  <c r="BQ173"/>
  <c r="Z141"/>
  <c r="BD113"/>
  <c r="L77"/>
  <c r="CC66"/>
  <c r="BE60"/>
  <c r="J53"/>
  <c r="Q46"/>
  <c r="K40"/>
  <c r="Z36"/>
  <c r="AD31"/>
  <c r="X26"/>
  <c r="AR22"/>
  <c r="AC17"/>
  <c r="Q13"/>
  <c r="P8"/>
  <c r="AL4"/>
  <c r="BX10"/>
  <c r="AH131"/>
  <c r="CE82"/>
  <c r="BY62"/>
  <c r="CE46"/>
  <c r="AC37"/>
  <c r="AW28"/>
  <c r="CK16"/>
  <c r="I156"/>
  <c r="BD77"/>
  <c r="H52"/>
  <c r="CG25"/>
  <c r="AN6"/>
  <c r="BX131"/>
  <c r="BT65"/>
  <c r="AV50"/>
  <c r="CE40"/>
  <c r="BD31"/>
  <c r="L22"/>
  <c r="O6"/>
  <c r="Y136"/>
  <c r="AF64"/>
  <c r="CB41"/>
  <c r="V21"/>
  <c r="AI7"/>
  <c r="AI140"/>
  <c r="G81"/>
  <c r="R60"/>
  <c r="T48"/>
  <c r="BS37"/>
  <c r="CD26"/>
  <c r="AX17"/>
  <c r="AK8"/>
  <c r="BK140"/>
  <c r="BW77"/>
  <c r="BF63"/>
  <c r="BV50"/>
  <c r="Z41"/>
  <c r="J29"/>
  <c r="AY17"/>
  <c r="AM8"/>
  <c r="BG175"/>
  <c r="AA66"/>
  <c r="BD52"/>
  <c r="AA41"/>
  <c r="N32"/>
  <c r="T23"/>
  <c r="AU14"/>
  <c r="AZ5"/>
  <c r="N64"/>
  <c r="BC24"/>
  <c r="N65"/>
  <c r="CE17"/>
  <c r="AU26"/>
  <c r="BJ71"/>
  <c r="AT45"/>
  <c r="BV7"/>
  <c r="AP28"/>
  <c r="AV73"/>
  <c r="AW31"/>
  <c r="AH34"/>
  <c r="BM62"/>
  <c r="BE47"/>
  <c r="F57"/>
  <c r="F49"/>
  <c r="F191"/>
  <c r="F56"/>
  <c r="F76"/>
  <c r="F209"/>
  <c r="F34"/>
  <c r="F144"/>
  <c r="F186"/>
  <c r="F50"/>
  <c r="F216"/>
  <c r="F24"/>
  <c r="F179"/>
  <c r="F177"/>
  <c r="F13"/>
  <c r="F205"/>
  <c r="F163"/>
  <c r="F15"/>
  <c r="F154"/>
  <c r="F162"/>
  <c r="F12"/>
  <c r="F171"/>
  <c r="F113"/>
  <c r="AL218"/>
  <c r="AZ198"/>
  <c r="S182"/>
  <c r="BO175"/>
  <c r="BC111"/>
  <c r="AT150"/>
  <c r="G115"/>
  <c r="AU122"/>
  <c r="BR155"/>
  <c r="Q123"/>
  <c r="I144"/>
  <c r="AS77"/>
  <c r="BZ58"/>
  <c r="Y184"/>
  <c r="CK133"/>
  <c r="BW81"/>
  <c r="CK63"/>
  <c r="R46"/>
  <c r="CJ139"/>
  <c r="X153"/>
  <c r="BJ66"/>
  <c r="I154"/>
  <c r="G122"/>
  <c r="AQ169"/>
  <c r="AX125"/>
  <c r="BD69"/>
  <c r="BE184"/>
  <c r="AE112"/>
  <c r="BD82"/>
  <c r="AQ62"/>
  <c r="BM46"/>
  <c r="BI34"/>
  <c r="BT25"/>
  <c r="BO16"/>
  <c r="CK8"/>
  <c r="AB203"/>
  <c r="BC139"/>
  <c r="AH113"/>
  <c r="W79"/>
  <c r="BC70"/>
  <c r="AS62"/>
  <c r="BY54"/>
  <c r="AY48"/>
  <c r="CB42"/>
  <c r="BP38"/>
  <c r="BG33"/>
  <c r="AU29"/>
  <c r="AL24"/>
  <c r="Z20"/>
  <c r="Q15"/>
  <c r="H10"/>
  <c r="CK5"/>
  <c r="AY162"/>
  <c r="BH139"/>
  <c r="AI122"/>
  <c r="M82"/>
  <c r="CB74"/>
  <c r="BH69"/>
  <c r="P63"/>
  <c r="L57"/>
  <c r="BO52"/>
  <c r="BM47"/>
  <c r="Z44"/>
  <c r="T40"/>
  <c r="K37"/>
  <c r="M33"/>
  <c r="CK29"/>
  <c r="BW25"/>
  <c r="BN22"/>
  <c r="BH18"/>
  <c r="AY15"/>
  <c r="AP12"/>
  <c r="CA9"/>
  <c r="BZ6"/>
  <c r="X201"/>
  <c r="BU140"/>
  <c r="BJ113"/>
  <c r="W78"/>
  <c r="BO68"/>
  <c r="CA57"/>
  <c r="P50"/>
  <c r="AA44"/>
  <c r="AK38"/>
  <c r="Y32"/>
  <c r="AH26"/>
  <c r="AA21"/>
  <c r="AX15"/>
  <c r="AW9"/>
  <c r="BE4"/>
  <c r="V154"/>
  <c r="W125"/>
  <c r="BB78"/>
  <c r="T188"/>
  <c r="AR138"/>
  <c r="BC110"/>
  <c r="AO76"/>
  <c r="AT65"/>
  <c r="T56"/>
  <c r="AS49"/>
  <c r="BH44"/>
  <c r="BW39"/>
  <c r="J36"/>
  <c r="P31"/>
  <c r="Q26"/>
  <c r="BV21"/>
  <c r="P17"/>
  <c r="X13"/>
  <c r="AN8"/>
  <c r="AZ4"/>
  <c r="AO150"/>
  <c r="BJ119"/>
  <c r="AK81"/>
  <c r="X69"/>
  <c r="AE58"/>
  <c r="U50"/>
  <c r="BU42"/>
  <c r="BE36"/>
  <c r="AA30"/>
  <c r="CB23"/>
  <c r="BX17"/>
  <c r="CC12"/>
  <c r="CA6"/>
  <c r="CG172"/>
  <c r="AT117"/>
  <c r="AO80"/>
  <c r="BX66"/>
  <c r="BX56"/>
  <c r="K45"/>
  <c r="BF38"/>
  <c r="AB32"/>
  <c r="Z26"/>
  <c r="AG21"/>
  <c r="AB15"/>
  <c r="K9"/>
  <c r="V230"/>
  <c r="AV137"/>
  <c r="W80"/>
  <c r="AM68"/>
  <c r="AS58"/>
  <c r="BD53"/>
  <c r="CI47"/>
  <c r="S44"/>
  <c r="CF39"/>
  <c r="BO36"/>
  <c r="BA32"/>
  <c r="CI30"/>
  <c r="BA26"/>
  <c r="G23"/>
  <c r="CI18"/>
  <c r="BQ15"/>
  <c r="AO12"/>
  <c r="V8"/>
  <c r="BS4"/>
  <c r="AQ138"/>
  <c r="AU71"/>
  <c r="AG62"/>
  <c r="AV57"/>
  <c r="CC48"/>
  <c r="CK41"/>
  <c r="BM36"/>
  <c r="AM30"/>
  <c r="R24"/>
  <c r="AK17"/>
  <c r="AJ12"/>
  <c r="CH5"/>
  <c r="CB154"/>
  <c r="L114"/>
  <c r="AU79"/>
  <c r="AY66"/>
  <c r="S55"/>
  <c r="BK46"/>
  <c r="BY39"/>
  <c r="CF33"/>
  <c r="BW24"/>
  <c r="AM18"/>
  <c r="AE13"/>
  <c r="CI6"/>
  <c r="BK171"/>
  <c r="AV127"/>
  <c r="BO76"/>
  <c r="BG64"/>
  <c r="BZ54"/>
  <c r="BP46"/>
  <c r="V40"/>
  <c r="CJ33"/>
  <c r="BE28"/>
  <c r="K22"/>
  <c r="CA15"/>
  <c r="AX9"/>
  <c r="Z4"/>
  <c r="AX119"/>
  <c r="BN63"/>
  <c r="CE54"/>
  <c r="BY42"/>
  <c r="N33"/>
  <c r="AA24"/>
  <c r="M15"/>
  <c r="BC5"/>
  <c r="AM50"/>
  <c r="BS33"/>
  <c r="BQ8"/>
  <c r="BR129"/>
  <c r="BP66"/>
  <c r="AO52"/>
  <c r="AV41"/>
  <c r="BU31"/>
  <c r="BY22"/>
  <c r="BL13"/>
  <c r="BI8"/>
  <c r="S130"/>
  <c r="BX55"/>
  <c r="V33"/>
  <c r="BQ7"/>
  <c r="U144"/>
  <c r="BK69"/>
  <c r="BA61"/>
  <c r="BT46"/>
  <c r="BK36"/>
  <c r="BT26"/>
  <c r="BW17"/>
  <c r="BL8"/>
  <c r="BP15"/>
  <c r="V64"/>
  <c r="Q38"/>
  <c r="V20"/>
  <c r="BA54"/>
  <c r="AI8"/>
  <c r="G52"/>
  <c r="AZ32"/>
  <c r="H7"/>
  <c r="BR73"/>
  <c r="CJ28"/>
  <c r="CD147"/>
  <c r="AI63"/>
  <c r="AM38"/>
  <c r="AV18"/>
  <c r="BQ144"/>
  <c r="CI64"/>
  <c r="M42"/>
  <c r="BA18"/>
  <c r="AM195"/>
  <c r="AX53"/>
  <c r="L33"/>
  <c r="BB15"/>
  <c r="AU68"/>
  <c r="S111"/>
  <c r="AD41"/>
  <c r="BT13"/>
  <c r="K82"/>
  <c r="CB123"/>
  <c r="AY78"/>
  <c r="CD79"/>
  <c r="F228"/>
  <c r="F166"/>
  <c r="F21"/>
  <c r="F222"/>
  <c r="F190"/>
  <c r="F58"/>
  <c r="F188"/>
  <c r="F20"/>
  <c r="F146"/>
  <c r="F33"/>
  <c r="F52"/>
  <c r="AX28"/>
  <c r="CI37"/>
  <c r="AM25"/>
  <c r="AU16"/>
  <c r="BF7"/>
  <c r="CI150"/>
  <c r="BF65"/>
  <c r="BM55"/>
  <c r="AD44"/>
  <c r="AE38"/>
  <c r="AA29"/>
  <c r="S20"/>
  <c r="S10"/>
  <c r="BR4"/>
  <c r="AE56"/>
  <c r="I45"/>
  <c r="V30"/>
  <c r="M16"/>
  <c r="BR146"/>
  <c r="BK70"/>
  <c r="BX36"/>
  <c r="AT167"/>
  <c r="AO113"/>
  <c r="AV61"/>
  <c r="AR42"/>
  <c r="BQ28"/>
  <c r="BK14"/>
  <c r="AV149"/>
  <c r="AA76"/>
  <c r="AB36"/>
  <c r="BZ12"/>
  <c r="AW120"/>
  <c r="W71"/>
  <c r="CA47"/>
  <c r="BU32"/>
  <c r="BW18"/>
  <c r="BV5"/>
  <c r="BV159"/>
  <c r="CE52"/>
  <c r="BU22"/>
  <c r="X63"/>
  <c r="BM142"/>
  <c r="BR44"/>
  <c r="G13"/>
  <c r="CC32"/>
  <c r="AQ162"/>
  <c r="Q52"/>
  <c r="Z21"/>
  <c r="BU116"/>
  <c r="AK45"/>
  <c r="BA12"/>
  <c r="CJ72"/>
  <c r="CK36"/>
  <c r="AQ8"/>
  <c r="I142"/>
  <c r="AK44"/>
  <c r="CJ149"/>
  <c r="BQ48"/>
  <c r="M138"/>
  <c r="BI191"/>
  <c r="F194"/>
  <c r="F172"/>
  <c r="F66"/>
  <c r="F198"/>
  <c r="F37"/>
  <c r="F234"/>
  <c r="F31"/>
  <c r="F47"/>
  <c r="AE14"/>
  <c r="BP29"/>
  <c r="BG10"/>
  <c r="AR80"/>
  <c r="BO14"/>
  <c r="BM82"/>
  <c r="BD49"/>
  <c r="BP33"/>
  <c r="BN15"/>
  <c r="AO23"/>
  <c r="AZ42"/>
  <c r="CC36"/>
  <c r="CI78"/>
  <c r="AR37"/>
  <c r="BD112"/>
  <c r="AG16"/>
  <c r="BD54"/>
  <c r="AJ14"/>
  <c r="AO47"/>
  <c r="P23"/>
  <c r="AT47"/>
  <c r="AZ10"/>
  <c r="CE9"/>
  <c r="CF12"/>
  <c r="AM33"/>
  <c r="CF10"/>
  <c r="AZ23"/>
  <c r="F63"/>
  <c r="F215"/>
  <c r="F82"/>
  <c r="F156"/>
  <c r="F110"/>
  <c r="F182"/>
  <c r="F197"/>
  <c r="AA190"/>
  <c r="AY125"/>
  <c r="O136"/>
  <c r="CK174"/>
  <c r="L155"/>
  <c r="J64"/>
  <c r="O144"/>
  <c r="AK69"/>
  <c r="AO154"/>
  <c r="AO79"/>
  <c r="BK203"/>
  <c r="I162"/>
  <c r="CD73"/>
  <c r="CG124"/>
  <c r="BS49"/>
  <c r="BO28"/>
  <c r="AU10"/>
  <c r="BF149"/>
  <c r="O69"/>
  <c r="BN53"/>
  <c r="H42"/>
  <c r="BT32"/>
  <c r="BE25"/>
  <c r="AB16"/>
  <c r="O7"/>
  <c r="S145"/>
  <c r="O112"/>
  <c r="BP73"/>
  <c r="G62"/>
  <c r="BW50"/>
  <c r="AX42"/>
  <c r="AN36"/>
  <c r="AG29"/>
  <c r="BI23"/>
  <c r="AT16"/>
  <c r="W9"/>
  <c r="M183"/>
  <c r="W110"/>
  <c r="AC76"/>
  <c r="CJ52"/>
  <c r="BO39"/>
  <c r="BF28"/>
  <c r="CB16"/>
  <c r="AT8"/>
  <c r="AJ147"/>
  <c r="W81"/>
  <c r="AO145"/>
  <c r="AZ73"/>
  <c r="BJ54"/>
  <c r="CK45"/>
  <c r="AB37"/>
  <c r="AO28"/>
  <c r="AF18"/>
  <c r="BR9"/>
  <c r="BZ162"/>
  <c r="BI78"/>
  <c r="AM57"/>
  <c r="AN41"/>
  <c r="AB29"/>
  <c r="J17"/>
  <c r="BI5"/>
  <c r="BM114"/>
  <c r="Z77"/>
  <c r="AD55"/>
  <c r="X40"/>
  <c r="CC28"/>
  <c r="CA16"/>
  <c r="AC5"/>
  <c r="AG115"/>
  <c r="R71"/>
  <c r="CC54"/>
  <c r="U45"/>
  <c r="BP37"/>
  <c r="AK30"/>
  <c r="AQ22"/>
  <c r="R15"/>
  <c r="AK7"/>
  <c r="Q132"/>
  <c r="AA82"/>
  <c r="BH55"/>
  <c r="AE227"/>
  <c r="AO194"/>
  <c r="CJ199"/>
  <c r="AN184"/>
  <c r="CC179"/>
  <c r="AB140"/>
  <c r="Z112"/>
  <c r="CC202"/>
  <c r="CH150"/>
  <c r="O123"/>
  <c r="BY154"/>
  <c r="AW115"/>
  <c r="BA149"/>
  <c r="AT123"/>
  <c r="S200"/>
  <c r="BA156"/>
  <c r="AE137"/>
  <c r="AA123"/>
  <c r="BI172"/>
  <c r="CA144"/>
  <c r="I124"/>
  <c r="BQ77"/>
  <c r="CB68"/>
  <c r="CH58"/>
  <c r="L50"/>
  <c r="BM186"/>
  <c r="BA153"/>
  <c r="T134"/>
  <c r="AO116"/>
  <c r="N82"/>
  <c r="Y73"/>
  <c r="L64"/>
  <c r="AE55"/>
  <c r="AX46"/>
  <c r="L174"/>
  <c r="BS140"/>
  <c r="AW116"/>
  <c r="AX199"/>
  <c r="AS153"/>
  <c r="Z127"/>
  <c r="N79"/>
  <c r="CF66"/>
  <c r="AW203"/>
  <c r="BZ154"/>
  <c r="AW164"/>
  <c r="AH123"/>
  <c r="BH202"/>
  <c r="CE172"/>
  <c r="CD125"/>
  <c r="G82"/>
  <c r="BP69"/>
  <c r="AP60"/>
  <c r="BJ185"/>
  <c r="H139"/>
  <c r="CJ112"/>
  <c r="BT82"/>
  <c r="X72"/>
  <c r="CG62"/>
  <c r="K54"/>
  <c r="BW46"/>
  <c r="BM40"/>
  <c r="BQ34"/>
  <c r="CC30"/>
  <c r="CB25"/>
  <c r="G22"/>
  <c r="BW16"/>
  <c r="CI12"/>
  <c r="AB9"/>
  <c r="AI6"/>
  <c r="BY206"/>
  <c r="AM160"/>
  <c r="AY140"/>
  <c r="AN125"/>
  <c r="AR114"/>
  <c r="AM79"/>
  <c r="AK74"/>
  <c r="BQ70"/>
  <c r="AG66"/>
  <c r="BT62"/>
  <c r="J58"/>
  <c r="K55"/>
  <c r="AQ52"/>
  <c r="BI48"/>
  <c r="AD46"/>
  <c r="H44"/>
  <c r="CD40"/>
  <c r="CF38"/>
  <c r="CH36"/>
  <c r="BO33"/>
  <c r="BQ31"/>
  <c r="BK29"/>
  <c r="AZ26"/>
  <c r="BB24"/>
  <c r="AV22"/>
  <c r="AH20"/>
  <c r="AE17"/>
  <c r="AG15"/>
  <c r="S13"/>
  <c r="X10"/>
  <c r="R8"/>
  <c r="L6"/>
  <c r="P199"/>
  <c r="AS164"/>
  <c r="BT149"/>
  <c r="S140"/>
  <c r="AR131"/>
  <c r="BW122"/>
  <c r="CC114"/>
  <c r="AC82"/>
  <c r="J79"/>
  <c r="H76"/>
  <c r="AO72"/>
  <c r="BU69"/>
  <c r="CC65"/>
  <c r="AF63"/>
  <c r="BP60"/>
  <c r="Y57"/>
  <c r="CK54"/>
  <c r="CA52"/>
  <c r="BX49"/>
  <c r="BV47"/>
  <c r="N46"/>
  <c r="AH44"/>
  <c r="BS41"/>
  <c r="AB40"/>
  <c r="BR38"/>
  <c r="S37"/>
  <c r="BL34"/>
  <c r="U33"/>
  <c r="BC31"/>
  <c r="L30"/>
  <c r="BB28"/>
  <c r="CE25"/>
  <c r="AN24"/>
  <c r="BV22"/>
  <c r="AE21"/>
  <c r="BP18"/>
  <c r="Y17"/>
  <c r="BG15"/>
  <c r="P14"/>
  <c r="AX12"/>
  <c r="CI9"/>
  <c r="AR8"/>
  <c r="CH6"/>
  <c r="AI5"/>
  <c r="CC209"/>
  <c r="BL163"/>
  <c r="AR141"/>
  <c r="P127"/>
  <c r="V114"/>
  <c r="AZ78"/>
  <c r="AL73"/>
  <c r="CK68"/>
  <c r="BW63"/>
  <c r="O58"/>
  <c r="AY54"/>
  <c r="AH50"/>
  <c r="W47"/>
  <c r="AL44"/>
  <c r="CG40"/>
  <c r="AW38"/>
  <c r="CD34"/>
  <c r="AK32"/>
  <c r="BX29"/>
  <c r="AV26"/>
  <c r="CI23"/>
  <c r="AO21"/>
  <c r="M18"/>
  <c r="BJ15"/>
  <c r="AD13"/>
  <c r="BJ9"/>
  <c r="AB7"/>
  <c r="BO4"/>
  <c r="L189"/>
  <c r="H155"/>
  <c r="W140"/>
  <c r="CK125"/>
  <c r="Y114"/>
  <c r="CE78"/>
  <c r="BI73"/>
  <c r="AN193"/>
  <c r="BB154"/>
  <c r="T139"/>
  <c r="O124"/>
  <c r="BB111"/>
  <c r="BL81"/>
  <c r="BM76"/>
  <c r="U71"/>
  <c r="BR65"/>
  <c r="BF61"/>
  <c r="AO56"/>
  <c r="M53"/>
  <c r="BZ49"/>
  <c r="R47"/>
  <c r="P45"/>
  <c r="V42"/>
  <c r="CJ39"/>
  <c r="AF38"/>
  <c r="W36"/>
  <c r="AJ33"/>
  <c r="AA31"/>
  <c r="T29"/>
  <c r="AP26"/>
  <c r="T24"/>
  <c r="AB22"/>
  <c r="AF20"/>
  <c r="AB17"/>
  <c r="BF15"/>
  <c r="AL13"/>
  <c r="BI10"/>
  <c r="BB8"/>
  <c r="AS6"/>
  <c r="BV4"/>
  <c r="AB189"/>
  <c r="AQ154"/>
  <c r="CK136"/>
  <c r="AY120"/>
  <c r="R110"/>
  <c r="CB81"/>
  <c r="AA74"/>
  <c r="CC69"/>
  <c r="P64"/>
  <c r="K60"/>
  <c r="AA55"/>
  <c r="AP50"/>
  <c r="AE47"/>
  <c r="Y44"/>
  <c r="W40"/>
  <c r="BU36"/>
  <c r="BY32"/>
  <c r="BI30"/>
  <c r="BY26"/>
  <c r="AR24"/>
  <c r="CD21"/>
  <c r="H18"/>
  <c r="BY15"/>
  <c r="H13"/>
  <c r="BG9"/>
  <c r="J7"/>
  <c r="AH4"/>
  <c r="AM177"/>
  <c r="AA140"/>
  <c r="BG121"/>
  <c r="CI80"/>
  <c r="BW73"/>
  <c r="AA68"/>
  <c r="AN62"/>
  <c r="AO57"/>
  <c r="CD52"/>
  <c r="BE48"/>
  <c r="AD45"/>
  <c r="Y41"/>
  <c r="H39"/>
  <c r="Y36"/>
  <c r="BZ32"/>
  <c r="AC30"/>
  <c r="AS26"/>
  <c r="AE24"/>
  <c r="AX21"/>
  <c r="K18"/>
  <c r="AR15"/>
  <c r="BO12"/>
  <c r="AT9"/>
  <c r="BL6"/>
  <c r="AJ4"/>
  <c r="CA171"/>
  <c r="BA138"/>
  <c r="U124"/>
  <c r="BH80"/>
  <c r="AU74"/>
  <c r="BR68"/>
  <c r="CJ62"/>
  <c r="BX58"/>
  <c r="L56"/>
  <c r="BY53"/>
  <c r="BE50"/>
  <c r="W48"/>
  <c r="M46"/>
  <c r="AJ44"/>
  <c r="BN41"/>
  <c r="P40"/>
  <c r="AX38"/>
  <c r="CE36"/>
  <c r="AG34"/>
  <c r="BQ32"/>
  <c r="R31"/>
  <c r="AN29"/>
  <c r="BS26"/>
  <c r="U25"/>
  <c r="X23"/>
  <c r="BF21"/>
  <c r="H20"/>
  <c r="AZ17"/>
  <c r="CH15"/>
  <c r="AI14"/>
  <c r="BE12"/>
  <c r="CK9"/>
  <c r="AL8"/>
  <c r="BC6"/>
  <c r="CK4"/>
  <c r="CC163"/>
  <c r="CH139"/>
  <c r="AF121"/>
  <c r="AJ79"/>
  <c r="G72"/>
  <c r="CG66"/>
  <c r="CB62"/>
  <c r="CI57"/>
  <c r="AY53"/>
  <c r="X49"/>
  <c r="CF45"/>
  <c r="AC42"/>
  <c r="BT39"/>
  <c r="AD37"/>
  <c r="BC33"/>
  <c r="BO30"/>
  <c r="X28"/>
  <c r="AQ24"/>
  <c r="CK21"/>
  <c r="BN17"/>
  <c r="O15"/>
  <c r="BI12"/>
  <c r="BW8"/>
  <c r="AE6"/>
  <c r="AS206"/>
  <c r="AA156"/>
  <c r="AW132"/>
  <c r="BE115"/>
  <c r="K80"/>
  <c r="AD73"/>
  <c r="AB68"/>
  <c r="AE61"/>
  <c r="BL55"/>
  <c r="BD50"/>
  <c r="AJ47"/>
  <c r="CG42"/>
  <c r="S40"/>
  <c r="BJ37"/>
  <c r="S34"/>
  <c r="K31"/>
  <c r="BA28"/>
  <c r="N25"/>
  <c r="BI22"/>
  <c r="BO18"/>
  <c r="Q16"/>
  <c r="BD13"/>
  <c r="BU9"/>
  <c r="AF7"/>
  <c r="AR4"/>
  <c r="BX174"/>
  <c r="BU148"/>
  <c r="CC132"/>
  <c r="CJ111"/>
  <c r="AO77"/>
  <c r="BI71"/>
  <c r="J65"/>
  <c r="AG60"/>
  <c r="X55"/>
  <c r="BF50"/>
  <c r="AN47"/>
  <c r="CK42"/>
  <c r="AV40"/>
  <c r="BK37"/>
  <c r="Y34"/>
  <c r="AN31"/>
  <c r="CI28"/>
  <c r="O25"/>
  <c r="AK22"/>
  <c r="BQ18"/>
  <c r="U16"/>
  <c r="BE13"/>
  <c r="BW9"/>
  <c r="AH7"/>
  <c r="AU4"/>
  <c r="R151"/>
  <c r="S122"/>
  <c r="CI71"/>
  <c r="AK64"/>
  <c r="AQ55"/>
  <c r="BV48"/>
  <c r="AS44"/>
  <c r="AK39"/>
  <c r="AW33"/>
  <c r="BO29"/>
  <c r="BO24"/>
  <c r="CA20"/>
  <c r="BC15"/>
  <c r="BE10"/>
  <c r="P6"/>
  <c r="BD139"/>
  <c r="BN69"/>
  <c r="AX52"/>
  <c r="BB41"/>
  <c r="AA34"/>
  <c r="CF25"/>
  <c r="AD10"/>
  <c r="K160"/>
  <c r="BZ134"/>
  <c r="O110"/>
  <c r="AY82"/>
  <c r="BK68"/>
  <c r="AZ60"/>
  <c r="BT53"/>
  <c r="BR46"/>
  <c r="CH41"/>
  <c r="M37"/>
  <c r="U32"/>
  <c r="R28"/>
  <c r="AL23"/>
  <c r="W18"/>
  <c r="L14"/>
  <c r="N9"/>
  <c r="V5"/>
  <c r="AU144"/>
  <c r="S73"/>
  <c r="BA56"/>
  <c r="Y46"/>
  <c r="BK34"/>
  <c r="AT22"/>
  <c r="BN9"/>
  <c r="AF199"/>
  <c r="BP146"/>
  <c r="BJ117"/>
  <c r="Y79"/>
  <c r="AY70"/>
  <c r="X62"/>
  <c r="AD54"/>
  <c r="V47"/>
  <c r="AY41"/>
  <c r="R37"/>
  <c r="V32"/>
  <c r="AH28"/>
  <c r="AM23"/>
  <c r="AD18"/>
  <c r="Q14"/>
  <c r="Y9"/>
  <c r="W5"/>
  <c r="CC16"/>
  <c r="AZ155"/>
  <c r="BP65"/>
  <c r="G50"/>
  <c r="CE39"/>
  <c r="BA30"/>
  <c r="R21"/>
  <c r="Q4"/>
  <c r="CG56"/>
  <c r="CJ29"/>
  <c r="AG13"/>
  <c r="BY139"/>
  <c r="BN70"/>
  <c r="P54"/>
  <c r="BM42"/>
  <c r="AU33"/>
  <c r="BH24"/>
  <c r="S12"/>
  <c r="BL153"/>
  <c r="BW44"/>
  <c r="CG30"/>
  <c r="AG10"/>
  <c r="CB153"/>
  <c r="CE64"/>
  <c r="BS50"/>
  <c r="AF39"/>
  <c r="CH30"/>
  <c r="BC20"/>
  <c r="AI10"/>
  <c r="CG153"/>
  <c r="Z113"/>
  <c r="BR81"/>
  <c r="W66"/>
  <c r="AS53"/>
  <c r="T44"/>
  <c r="CF34"/>
  <c r="BD20"/>
  <c r="AY10"/>
  <c r="BS221"/>
  <c r="AN71"/>
  <c r="BK54"/>
  <c r="AG44"/>
  <c r="CI34"/>
  <c r="T25"/>
  <c r="BD16"/>
  <c r="AV7"/>
  <c r="BZ71"/>
  <c r="AL33"/>
  <c r="AA138"/>
  <c r="AO32"/>
  <c r="AO44"/>
  <c r="BY52"/>
  <c r="CH18"/>
  <c r="AA42"/>
  <c r="AU114"/>
  <c r="CD37"/>
  <c r="N131"/>
  <c r="AW46"/>
  <c r="CG5"/>
  <c r="AP155"/>
  <c r="T119"/>
  <c r="CC6"/>
  <c r="F124"/>
  <c r="F69"/>
  <c r="F41"/>
  <c r="F195"/>
  <c r="F6"/>
  <c r="F211"/>
  <c r="F4"/>
  <c r="F40"/>
  <c r="F169"/>
  <c r="F79"/>
  <c r="F68"/>
  <c r="F45"/>
  <c r="F231"/>
  <c r="F131"/>
  <c r="F202"/>
  <c r="F32"/>
  <c r="F153"/>
  <c r="F160"/>
  <c r="F119"/>
  <c r="F130"/>
  <c r="F192"/>
  <c r="F22"/>
  <c r="F150"/>
  <c r="AO236"/>
  <c r="CG225"/>
  <c r="M159"/>
  <c r="T202"/>
  <c r="BS191"/>
  <c r="AQ147"/>
  <c r="BE117"/>
  <c r="Q158"/>
  <c r="CJ128"/>
  <c r="Q166"/>
  <c r="BB124"/>
  <c r="AM158"/>
  <c r="CA127"/>
  <c r="AC216"/>
  <c r="I164"/>
  <c r="K141"/>
  <c r="Q127"/>
  <c r="AE181"/>
  <c r="H149"/>
  <c r="BW128"/>
  <c r="AG112"/>
  <c r="BG79"/>
  <c r="BB70"/>
  <c r="BU61"/>
  <c r="BP52"/>
  <c r="AJ195"/>
  <c r="M158"/>
  <c r="BO138"/>
  <c r="AS120"/>
  <c r="BX74"/>
  <c r="CI65"/>
  <c r="CD56"/>
  <c r="P48"/>
  <c r="AG185"/>
  <c r="CF146"/>
  <c r="CE121"/>
  <c r="AS224"/>
  <c r="G160"/>
  <c r="Y132"/>
  <c r="AH110"/>
  <c r="BD81"/>
  <c r="K70"/>
  <c r="CD231"/>
  <c r="AI162"/>
  <c r="Y179"/>
  <c r="AD131"/>
  <c r="AR190"/>
  <c r="L134"/>
  <c r="AS71"/>
  <c r="AP62"/>
  <c r="BS206"/>
  <c r="BA144"/>
  <c r="BT117"/>
  <c r="AI74"/>
  <c r="AY64"/>
  <c r="BF55"/>
  <c r="G48"/>
  <c r="BX41"/>
  <c r="BY36"/>
  <c r="BH31"/>
  <c r="AY26"/>
  <c r="BK22"/>
  <c r="CH17"/>
  <c r="BN13"/>
  <c r="BH9"/>
  <c r="CE6"/>
  <c r="M4"/>
  <c r="AT165"/>
  <c r="Q144"/>
  <c r="BO128"/>
  <c r="AC116"/>
  <c r="Q80"/>
  <c r="BZ74"/>
  <c r="AM71"/>
  <c r="CI66"/>
  <c r="AA63"/>
  <c r="BN58"/>
  <c r="BG55"/>
  <c r="BW52"/>
  <c r="T49"/>
  <c r="BO46"/>
  <c r="AF44"/>
  <c r="AK41"/>
  <c r="AE39"/>
  <c r="Y37"/>
  <c r="V34"/>
  <c r="P32"/>
  <c r="CI29"/>
  <c r="CF26"/>
  <c r="CH24"/>
  <c r="BT22"/>
  <c r="BN20"/>
  <c r="BK17"/>
  <c r="BE15"/>
  <c r="AY13"/>
  <c r="BD10"/>
  <c r="AP8"/>
  <c r="AR6"/>
  <c r="BJ207"/>
  <c r="AX167"/>
  <c r="AL151"/>
  <c r="CJ141"/>
  <c r="CA132"/>
  <c r="T124"/>
  <c r="AR116"/>
  <c r="AO110"/>
  <c r="CB82"/>
  <c r="BF79"/>
  <c r="AY76"/>
  <c r="CE72"/>
  <c r="AC70"/>
  <c r="AJ66"/>
  <c r="BT63"/>
  <c r="W61"/>
  <c r="BJ57"/>
  <c r="AL55"/>
  <c r="Z53"/>
  <c r="W50"/>
  <c r="U48"/>
  <c r="AO46"/>
  <c r="BF44"/>
  <c r="J42"/>
  <c r="AZ40"/>
  <c r="I39"/>
  <c r="AQ37"/>
  <c r="CJ34"/>
  <c r="AS33"/>
  <c r="CA31"/>
  <c r="AJ30"/>
  <c r="BZ28"/>
  <c r="AD26"/>
  <c r="BL24"/>
  <c r="U23"/>
  <c r="BC21"/>
  <c r="L20"/>
  <c r="AW17"/>
  <c r="CE15"/>
  <c r="AN14"/>
  <c r="BV12"/>
  <c r="Z10"/>
  <c r="BP8"/>
  <c r="Y7"/>
  <c r="BG5"/>
  <c r="P4"/>
  <c r="L168"/>
  <c r="AM144"/>
  <c r="K130"/>
  <c r="BA116"/>
  <c r="AN79"/>
  <c r="Q74"/>
  <c r="BM69"/>
  <c r="BD64"/>
  <c r="CD58"/>
  <c r="Q55"/>
  <c r="CG50"/>
  <c r="BO47"/>
  <c r="BZ44"/>
  <c r="AI41"/>
  <c r="CJ38"/>
  <c r="AO36"/>
  <c r="BX32"/>
  <c r="AQ30"/>
  <c r="CI26"/>
  <c r="AM24"/>
  <c r="CB21"/>
  <c r="AY18"/>
  <c r="P16"/>
  <c r="BP13"/>
  <c r="N10"/>
  <c r="BO7"/>
  <c r="AE5"/>
  <c r="AC197"/>
  <c r="Z159"/>
  <c r="Y142"/>
  <c r="CE128"/>
  <c r="K116"/>
  <c r="BP79"/>
  <c r="AQ74"/>
  <c r="CI208"/>
  <c r="BD157"/>
  <c r="T141"/>
  <c r="BJ127"/>
  <c r="BE114"/>
  <c r="BC82"/>
  <c r="AX77"/>
  <c r="CJ71"/>
  <c r="BQ66"/>
  <c r="AM62"/>
  <c r="O57"/>
  <c r="BJ53"/>
  <c r="J50"/>
  <c r="AF47"/>
  <c r="AS45"/>
  <c r="AJ42"/>
  <c r="AN40"/>
  <c r="AS38"/>
  <c r="AI36"/>
  <c r="BJ33"/>
  <c r="AO31"/>
  <c r="BG29"/>
  <c r="BD26"/>
  <c r="AH24"/>
  <c r="BA22"/>
  <c r="AT20"/>
  <c r="BO17"/>
  <c r="BR15"/>
  <c r="AW13"/>
  <c r="CH10"/>
  <c r="BO8"/>
  <c r="CD6"/>
  <c r="CI4"/>
  <c r="CA191"/>
  <c r="AD157"/>
  <c r="CD137"/>
  <c r="AR123"/>
  <c r="CJ110"/>
  <c r="AG82"/>
  <c r="BR76"/>
  <c r="AB70"/>
  <c r="AT64"/>
  <c r="BS60"/>
  <c r="AZ55"/>
  <c r="I52"/>
  <c r="AX47"/>
  <c r="AQ44"/>
  <c r="BD40"/>
  <c r="V37"/>
  <c r="AO33"/>
  <c r="BZ30"/>
  <c r="J28"/>
  <c r="CC24"/>
  <c r="M22"/>
  <c r="BI18"/>
  <c r="H16"/>
  <c r="Y13"/>
  <c r="I10"/>
  <c r="AA7"/>
  <c r="BX4"/>
  <c r="BS180"/>
  <c r="V141"/>
  <c r="BD123"/>
  <c r="AM81"/>
  <c r="BI74"/>
  <c r="BA68"/>
  <c r="AT63"/>
  <c r="BM57"/>
  <c r="T53"/>
  <c r="P49"/>
  <c r="AZ45"/>
  <c r="BW41"/>
  <c r="Z39"/>
  <c r="AP36"/>
  <c r="Y33"/>
  <c r="AT30"/>
  <c r="M28"/>
  <c r="AW24"/>
  <c r="BO21"/>
  <c r="AS18"/>
  <c r="BI15"/>
  <c r="AB13"/>
  <c r="BL9"/>
  <c r="CB6"/>
  <c r="BM4"/>
  <c r="AR176"/>
  <c r="BO141"/>
  <c r="AG125"/>
  <c r="BF110"/>
  <c r="R82"/>
  <c r="CE74"/>
  <c r="I69"/>
  <c r="BH63"/>
  <c r="AE60"/>
  <c r="AK56"/>
  <c r="N54"/>
  <c r="CB50"/>
  <c r="AS48"/>
  <c r="AG46"/>
  <c r="BA44"/>
  <c r="CE41"/>
  <c r="AI40"/>
  <c r="BN38"/>
  <c r="O37"/>
  <c r="AW34"/>
  <c r="CH32"/>
  <c r="AI31"/>
  <c r="BD29"/>
  <c r="CJ26"/>
  <c r="AK25"/>
  <c r="AN23"/>
  <c r="BW21"/>
  <c r="AA20"/>
  <c r="BQ17"/>
  <c r="R16"/>
  <c r="AY14"/>
  <c r="BW12"/>
  <c r="T10"/>
  <c r="BC8"/>
  <c r="BT6"/>
  <c r="U5"/>
  <c r="AQ185"/>
  <c r="BD141"/>
  <c r="CF124"/>
  <c r="I80"/>
  <c r="BO72"/>
  <c r="S68"/>
  <c r="AJ63"/>
  <c r="AQ58"/>
  <c r="AE54"/>
  <c r="BN49"/>
  <c r="AA46"/>
  <c r="BB42"/>
  <c r="N40"/>
  <c r="BI37"/>
  <c r="CC33"/>
  <c r="BS24"/>
  <c r="AC22"/>
  <c r="AI18"/>
  <c r="AT15"/>
  <c r="CK12"/>
  <c r="P9"/>
  <c r="BD6"/>
  <c r="G217"/>
  <c r="O166"/>
  <c r="N137"/>
  <c r="CC116"/>
  <c r="BU80"/>
  <c r="BS74"/>
  <c r="BW68"/>
  <c r="CB61"/>
  <c r="Q56"/>
  <c r="AE52"/>
  <c r="BN47"/>
  <c r="AC44"/>
  <c r="AU40"/>
  <c r="AL31"/>
  <c r="CD28"/>
  <c r="N20"/>
  <c r="Q10"/>
  <c r="O179"/>
  <c r="Q114"/>
  <c r="AC72"/>
  <c r="AN52"/>
  <c r="AX34"/>
  <c r="AP25"/>
  <c r="CH13"/>
  <c r="P163"/>
  <c r="CB73"/>
  <c r="CG39"/>
  <c r="V25"/>
  <c r="BA6"/>
  <c r="H55"/>
  <c r="AG12"/>
  <c r="AA54"/>
  <c r="AZ37"/>
  <c r="BT23"/>
  <c r="BQ5"/>
  <c r="CB47"/>
  <c r="AS205"/>
  <c r="S63"/>
  <c r="AS42"/>
  <c r="BS28"/>
  <c r="BM9"/>
  <c r="CB40"/>
  <c r="CI8"/>
  <c r="AH15"/>
  <c r="BO73"/>
  <c r="BF25"/>
  <c r="W49"/>
  <c r="AD40"/>
  <c r="AY12"/>
  <c r="BI54"/>
  <c r="BD21"/>
  <c r="P111"/>
  <c r="AL45"/>
  <c r="BD17"/>
  <c r="AH36"/>
  <c r="AW47"/>
  <c r="BQ56"/>
  <c r="AV159"/>
  <c r="CJ49"/>
  <c r="CC9"/>
  <c r="F117"/>
  <c r="F123"/>
  <c r="F139"/>
  <c r="F165"/>
  <c r="F173"/>
  <c r="F114"/>
  <c r="F25"/>
  <c r="Y146"/>
  <c r="CB20"/>
  <c r="BW184"/>
  <c r="BC61"/>
  <c r="AJ29"/>
  <c r="CF127"/>
  <c r="BL64"/>
  <c r="AV38"/>
  <c r="CI20"/>
  <c r="BQ6"/>
  <c r="BD73"/>
  <c r="AT33"/>
  <c r="P69"/>
  <c r="CH46"/>
  <c r="P18"/>
  <c r="AO55"/>
  <c r="X200"/>
  <c r="BR42"/>
  <c r="AU5"/>
  <c r="Y58"/>
  <c r="AM14"/>
  <c r="AQ76"/>
  <c r="BQ38"/>
  <c r="AZ149"/>
  <c r="J70"/>
  <c r="CD15"/>
  <c r="BX7"/>
  <c r="BG62"/>
  <c r="AP24"/>
  <c r="F14"/>
  <c r="F54"/>
  <c r="F138"/>
  <c r="F145"/>
  <c r="F30"/>
  <c r="F70"/>
  <c r="AM230"/>
  <c r="AX154"/>
  <c r="BF172"/>
  <c r="BE179"/>
  <c r="CI146"/>
  <c r="AG133"/>
  <c r="BE81"/>
  <c r="CE210"/>
  <c r="AI110"/>
  <c r="AT50"/>
  <c r="M171"/>
  <c r="CF61"/>
  <c r="G112"/>
  <c r="CA64"/>
  <c r="O68"/>
  <c r="AA38"/>
  <c r="I20"/>
  <c r="BY4"/>
  <c r="AV119"/>
  <c r="Q77"/>
  <c r="CA60"/>
  <c r="AR47"/>
  <c r="CI39"/>
  <c r="BF30"/>
  <c r="AS21"/>
  <c r="X12"/>
  <c r="I176"/>
  <c r="BZ127"/>
  <c r="O71"/>
  <c r="AP58"/>
  <c r="BW48"/>
  <c r="G41"/>
  <c r="CG33"/>
  <c r="BR26"/>
  <c r="AZ20"/>
  <c r="AK13"/>
  <c r="V6"/>
  <c r="BM133"/>
  <c r="AD71"/>
  <c r="AC56"/>
  <c r="N42"/>
  <c r="S31"/>
  <c r="BR22"/>
  <c r="BZ10"/>
  <c r="Z172"/>
  <c r="Z110"/>
  <c r="BB76"/>
  <c r="U131"/>
  <c r="BL63"/>
  <c r="AR48"/>
  <c r="X39"/>
  <c r="X30"/>
  <c r="AI21"/>
  <c r="AO14"/>
  <c r="BN5"/>
  <c r="Q128"/>
  <c r="BR61"/>
  <c r="BO45"/>
  <c r="AJ34"/>
  <c r="AD23"/>
  <c r="BH10"/>
  <c r="AQ153"/>
  <c r="BZ64"/>
  <c r="N47"/>
  <c r="BH37"/>
  <c r="AT25"/>
  <c r="J14"/>
  <c r="CK202"/>
  <c r="AS78"/>
  <c r="BB57"/>
  <c r="X47"/>
  <c r="AH39"/>
  <c r="CJ31"/>
  <c r="W24"/>
  <c r="AK18"/>
  <c r="BR10"/>
  <c r="AB4"/>
  <c r="BB74"/>
  <c r="BO60"/>
  <c r="BC234"/>
  <c r="BA192"/>
  <c r="CH172"/>
  <c r="J223"/>
  <c r="Y201"/>
  <c r="G151"/>
  <c r="AP122"/>
  <c r="H165"/>
  <c r="AM133"/>
  <c r="CI177"/>
  <c r="X130"/>
  <c r="BZ168"/>
  <c r="AA131"/>
  <c r="BA110"/>
  <c r="R169"/>
  <c r="BD144"/>
  <c r="G129"/>
  <c r="AW189"/>
  <c r="AF153"/>
  <c r="BA131"/>
  <c r="W114"/>
  <c r="BZ80"/>
  <c r="BU71"/>
  <c r="G63"/>
  <c r="CA53"/>
  <c r="R202"/>
  <c r="AD163"/>
  <c r="AB141"/>
  <c r="CE122"/>
  <c r="W77"/>
  <c r="R68"/>
  <c r="X58"/>
  <c r="AI49"/>
  <c r="BE193"/>
  <c r="AK150"/>
  <c r="G125"/>
  <c r="AQ78"/>
  <c r="CI165"/>
  <c r="V137"/>
  <c r="V113"/>
  <c r="BL71"/>
  <c r="AY60"/>
  <c r="BP167"/>
  <c r="M191"/>
  <c r="CC136"/>
  <c r="Z206"/>
  <c r="BT139"/>
  <c r="BQ72"/>
  <c r="BO63"/>
  <c r="Y55"/>
  <c r="L149"/>
  <c r="BD122"/>
  <c r="BI76"/>
  <c r="CK65"/>
  <c r="BR56"/>
  <c r="G49"/>
  <c r="BC42"/>
  <c r="BD37"/>
  <c r="W32"/>
  <c r="K28"/>
  <c r="R23"/>
  <c r="Q18"/>
  <c r="AC14"/>
  <c r="O10"/>
  <c r="V7"/>
  <c r="AK4"/>
  <c r="M172"/>
  <c r="K145"/>
  <c r="CJ129"/>
  <c r="AS117"/>
  <c r="BN80"/>
  <c r="AV76"/>
  <c r="CD71"/>
  <c r="AD68"/>
  <c r="BQ63"/>
  <c r="W60"/>
  <c r="CE55"/>
  <c r="V53"/>
  <c r="AZ49"/>
  <c r="CG46"/>
  <c r="BD44"/>
  <c r="BI41"/>
  <c r="AU39"/>
  <c r="AW37"/>
  <c r="AT34"/>
  <c r="AF32"/>
  <c r="Z30"/>
  <c r="AB28"/>
  <c r="Q25"/>
  <c r="K23"/>
  <c r="M21"/>
  <c r="CA17"/>
  <c r="CC15"/>
  <c r="BW13"/>
  <c r="BT10"/>
  <c r="BN8"/>
  <c r="BP6"/>
  <c r="AW221"/>
  <c r="AE171"/>
  <c r="BV153"/>
  <c r="CI142"/>
  <c r="BG133"/>
  <c r="I125"/>
  <c r="P117"/>
  <c r="R111"/>
  <c r="U80"/>
  <c r="BZ76"/>
  <c r="AA73"/>
  <c r="BG70"/>
  <c r="BK66"/>
  <c r="O64"/>
  <c r="AX61"/>
  <c r="CH57"/>
  <c r="BJ55"/>
  <c r="AT53"/>
  <c r="AQ50"/>
  <c r="AQ48"/>
  <c r="BH46"/>
  <c r="BV44"/>
  <c r="Z42"/>
  <c r="BP40"/>
  <c r="Y39"/>
  <c r="BG37"/>
  <c r="P36"/>
  <c r="BI33"/>
  <c r="J32"/>
  <c r="AZ30"/>
  <c r="I29"/>
  <c r="AT26"/>
  <c r="CB24"/>
  <c r="AK23"/>
  <c r="BS21"/>
  <c r="AB20"/>
  <c r="BM17"/>
  <c r="V16"/>
  <c r="BD14"/>
  <c r="M13"/>
  <c r="AP10"/>
  <c r="CF8"/>
  <c r="AO7"/>
  <c r="BW5"/>
  <c r="AF4"/>
  <c r="CA177"/>
  <c r="BB146"/>
  <c r="AX131"/>
  <c r="BR117"/>
  <c r="AA80"/>
  <c r="BL74"/>
  <c r="Y70"/>
  <c r="L65"/>
  <c r="AS60"/>
  <c r="BB55"/>
  <c r="AK52"/>
  <c r="O48"/>
  <c r="AJ45"/>
  <c r="BJ41"/>
  <c r="AB39"/>
  <c r="BN36"/>
  <c r="O33"/>
  <c r="BQ30"/>
  <c r="U28"/>
  <c r="BM24"/>
  <c r="AG22"/>
  <c r="BY18"/>
  <c r="AO16"/>
  <c r="G14"/>
  <c r="AO10"/>
  <c r="G8"/>
  <c r="BF5"/>
  <c r="BR207"/>
  <c r="BT163"/>
  <c r="P145"/>
  <c r="Q130"/>
  <c r="AB117"/>
  <c r="AB80"/>
  <c r="CJ74"/>
  <c r="BR214"/>
  <c r="AG164"/>
  <c r="BI142"/>
  <c r="P129"/>
  <c r="BX115"/>
  <c r="Q78"/>
  <c r="AV72"/>
  <c r="AK68"/>
  <c r="CD62"/>
  <c r="AZ57"/>
  <c r="I54"/>
  <c r="Z50"/>
  <c r="BZ47"/>
  <c r="BF45"/>
  <c r="AW42"/>
  <c r="BO40"/>
  <c r="BE38"/>
  <c r="BV36"/>
  <c r="BU33"/>
  <c r="BB31"/>
  <c r="CF29"/>
  <c r="BQ26"/>
  <c r="BU24"/>
  <c r="BO22"/>
  <c r="BG20"/>
  <c r="G18"/>
  <c r="CF15"/>
  <c r="CJ13"/>
  <c r="I12"/>
  <c r="CA8"/>
  <c r="X7"/>
  <c r="N5"/>
  <c r="W211"/>
  <c r="CG158"/>
  <c r="CK138"/>
  <c r="BP125"/>
  <c r="BI111"/>
  <c r="BW82"/>
  <c r="BN77"/>
  <c r="BF70"/>
  <c r="AR65"/>
  <c r="L61"/>
  <c r="CB55"/>
  <c r="BF52"/>
  <c r="BR47"/>
  <c r="J45"/>
  <c r="BW40"/>
  <c r="AL37"/>
  <c r="BX33"/>
  <c r="I31"/>
  <c r="BK28"/>
  <c r="J25"/>
  <c r="AD22"/>
  <c r="O20"/>
  <c r="Y16"/>
  <c r="BZ13"/>
  <c r="AA10"/>
  <c r="AR7"/>
  <c r="Z5"/>
  <c r="CJ183"/>
  <c r="CB145"/>
  <c r="BO124"/>
  <c r="AE110"/>
  <c r="CC82"/>
  <c r="AN76"/>
  <c r="CF68"/>
  <c r="S64"/>
  <c r="AG58"/>
  <c r="X54"/>
  <c r="AL49"/>
  <c r="BR45"/>
  <c r="AQ42"/>
  <c r="AQ39"/>
  <c r="G37"/>
  <c r="AR33"/>
  <c r="BJ30"/>
  <c r="AV28"/>
  <c r="BN24"/>
  <c r="AI22"/>
  <c r="BJ18"/>
  <c r="BZ15"/>
  <c r="BJ13"/>
  <c r="CB9"/>
  <c r="AS7"/>
  <c r="CC4"/>
  <c r="BC179"/>
  <c r="Y145"/>
  <c r="BU127"/>
  <c r="CB112"/>
  <c r="X76"/>
  <c r="O70"/>
  <c r="AI64"/>
  <c r="BF60"/>
  <c r="BK56"/>
  <c r="AL54"/>
  <c r="Z52"/>
  <c r="BP48"/>
  <c r="BA46"/>
  <c r="BQ44"/>
  <c r="Q42"/>
  <c r="AY40"/>
  <c r="CG38"/>
  <c r="AH37"/>
  <c r="BN34"/>
  <c r="Q33"/>
  <c r="AY31"/>
  <c r="BV29"/>
  <c r="W28"/>
  <c r="BB25"/>
  <c r="BE23"/>
  <c r="I22"/>
  <c r="AQ20"/>
  <c r="CJ17"/>
  <c r="AH16"/>
  <c r="BP14"/>
  <c r="T13"/>
  <c r="AK10"/>
  <c r="BT8"/>
  <c r="CK6"/>
  <c r="AK5"/>
  <c r="BS189"/>
  <c r="V145"/>
  <c r="AZ128"/>
  <c r="BD110"/>
  <c r="BP80"/>
  <c r="AB73"/>
  <c r="BP68"/>
  <c r="CG63"/>
  <c r="CG58"/>
  <c r="BT54"/>
  <c r="O50"/>
  <c r="BC46"/>
  <c r="CE42"/>
  <c r="AS40"/>
  <c r="CH37"/>
  <c r="Q34"/>
  <c r="BL31"/>
  <c r="BY28"/>
  <c r="G25"/>
  <c r="BE22"/>
  <c r="BL18"/>
  <c r="BS15"/>
  <c r="W13"/>
  <c r="AO9"/>
  <c r="CG6"/>
  <c r="R4"/>
  <c r="AY171"/>
  <c r="BC138"/>
  <c r="J120"/>
  <c r="BC81"/>
  <c r="M76"/>
  <c r="AH69"/>
  <c r="AI62"/>
  <c r="BC56"/>
  <c r="BQ52"/>
  <c r="M48"/>
  <c r="BB44"/>
  <c r="BT40"/>
  <c r="AC38"/>
  <c r="BW34"/>
  <c r="BM31"/>
  <c r="X29"/>
  <c r="BP25"/>
  <c r="AB23"/>
  <c r="AN20"/>
  <c r="BT16"/>
  <c r="W14"/>
  <c r="AQ10"/>
  <c r="CF7"/>
  <c r="G5"/>
  <c r="CD182"/>
  <c r="K153"/>
  <c r="M136"/>
  <c r="CB115"/>
  <c r="CF78"/>
  <c r="CG72"/>
  <c r="BA66"/>
  <c r="AJ61"/>
  <c r="AB56"/>
  <c r="BU52"/>
  <c r="Q48"/>
  <c r="BE44"/>
  <c r="N41"/>
  <c r="BI38"/>
  <c r="CA34"/>
  <c r="M32"/>
  <c r="BA29"/>
  <c r="BR25"/>
  <c r="AG23"/>
  <c r="AS20"/>
  <c r="BU16"/>
  <c r="AB14"/>
  <c r="AT10"/>
  <c r="CG7"/>
  <c r="M5"/>
  <c r="BB176"/>
  <c r="BP129"/>
  <c r="CG74"/>
  <c r="CH65"/>
  <c r="BV57"/>
  <c r="AA50"/>
  <c r="BB45"/>
  <c r="AL40"/>
  <c r="AZ34"/>
  <c r="BG30"/>
  <c r="BH25"/>
  <c r="BZ21"/>
  <c r="BE16"/>
  <c r="BG12"/>
  <c r="M7"/>
  <c r="J155"/>
  <c r="AD74"/>
  <c r="BH60"/>
  <c r="BO44"/>
  <c r="U37"/>
  <c r="BV28"/>
  <c r="BR13"/>
  <c r="AA173"/>
  <c r="X139"/>
  <c r="N115"/>
  <c r="AI70"/>
  <c r="W62"/>
  <c r="CJ54"/>
  <c r="BX47"/>
  <c r="CC42"/>
  <c r="I38"/>
  <c r="P33"/>
  <c r="AF29"/>
  <c r="AG24"/>
  <c r="AK20"/>
  <c r="N15"/>
  <c r="U10"/>
  <c r="Q6"/>
  <c r="AZ180"/>
  <c r="AK78"/>
  <c r="BS58"/>
  <c r="AK48"/>
  <c r="BQ37"/>
  <c r="AK28"/>
  <c r="V13"/>
  <c r="I4"/>
  <c r="BQ157"/>
  <c r="CB122"/>
  <c r="AD81"/>
  <c r="AE72"/>
  <c r="CB63"/>
  <c r="AQ56"/>
  <c r="AJ48"/>
  <c r="N44"/>
  <c r="M38"/>
  <c r="T33"/>
  <c r="AI29"/>
  <c r="AI24"/>
  <c r="AU20"/>
  <c r="AC15"/>
  <c r="Y10"/>
  <c r="W6"/>
  <c r="AY21"/>
  <c r="AV165"/>
  <c r="CF71"/>
  <c r="H54"/>
  <c r="BT41"/>
  <c r="AW32"/>
  <c r="BK23"/>
  <c r="CH9"/>
  <c r="CF65"/>
  <c r="BT33"/>
  <c r="AI17"/>
  <c r="AL147"/>
  <c r="BB77"/>
  <c r="CC56"/>
  <c r="CE45"/>
  <c r="AY36"/>
  <c r="AX26"/>
  <c r="G16"/>
  <c r="BV165"/>
  <c r="AI53"/>
  <c r="BO34"/>
  <c r="AH14"/>
  <c r="U181"/>
  <c r="BY70"/>
  <c r="AL53"/>
  <c r="S41"/>
  <c r="CE32"/>
  <c r="U22"/>
  <c r="AM13"/>
  <c r="BB4"/>
  <c r="AC121"/>
  <c r="AV69"/>
  <c r="AJ57"/>
  <c r="AK46"/>
  <c r="BY37"/>
  <c r="V22"/>
  <c r="AN13"/>
  <c r="BC4"/>
  <c r="AD133"/>
  <c r="AN74"/>
  <c r="BV58"/>
  <c r="AR46"/>
  <c r="CA37"/>
  <c r="O28"/>
  <c r="BC18"/>
  <c r="AY9"/>
  <c r="BN39"/>
  <c r="CE4"/>
  <c r="BQ22"/>
  <c r="AK66"/>
  <c r="CF58"/>
  <c r="BY6"/>
  <c r="AY214"/>
  <c r="AY68"/>
  <c r="AN28"/>
  <c r="CD168"/>
  <c r="AT46"/>
  <c r="CD5"/>
  <c r="BP57"/>
  <c r="BU14"/>
  <c r="CF14"/>
  <c r="AT32"/>
  <c r="CH12"/>
  <c r="F210"/>
  <c r="F208"/>
  <c r="F214"/>
  <c r="F148"/>
  <c r="F71"/>
  <c r="F44"/>
  <c r="F232"/>
  <c r="F151"/>
  <c r="F164"/>
  <c r="F121"/>
  <c r="F36"/>
  <c r="F176"/>
  <c r="F157"/>
  <c r="F39"/>
  <c r="F213"/>
  <c r="F81"/>
  <c r="F125"/>
  <c r="F29"/>
  <c r="F159"/>
  <c r="F226"/>
  <c r="F42"/>
  <c r="F233"/>
  <c r="F203"/>
  <c r="AN235"/>
  <c r="I217"/>
  <c r="AJ183"/>
  <c r="BS159"/>
  <c r="BT211"/>
  <c r="R154"/>
  <c r="CB124"/>
  <c r="N169"/>
  <c r="M137"/>
  <c r="CE185"/>
  <c r="L133"/>
  <c r="CK176"/>
  <c r="AV133"/>
  <c r="AF112"/>
  <c r="T174"/>
  <c r="BX145"/>
  <c r="R130"/>
  <c r="BO194"/>
  <c r="AV154"/>
  <c r="Q133"/>
  <c r="AJ115"/>
  <c r="AW81"/>
  <c r="AZ72"/>
  <c r="BK63"/>
  <c r="BF54"/>
  <c r="U209"/>
  <c r="N165"/>
  <c r="CA142"/>
  <c r="CD123"/>
  <c r="CI77"/>
  <c r="BV68"/>
  <c r="CJ58"/>
  <c r="AD50"/>
  <c r="AG199"/>
  <c r="BI153"/>
  <c r="BL127"/>
  <c r="I79"/>
  <c r="CH169"/>
  <c r="AD139"/>
  <c r="BY114"/>
  <c r="BM72"/>
  <c r="AN61"/>
  <c r="CD172"/>
  <c r="AT200"/>
  <c r="AJ139"/>
  <c r="BP213"/>
  <c r="BA142"/>
  <c r="BX111"/>
  <c r="BQ73"/>
  <c r="AQ64"/>
  <c r="BZ55"/>
  <c r="AV153"/>
  <c r="AO124"/>
  <c r="AR77"/>
  <c r="CH66"/>
  <c r="AF57"/>
  <c r="BI49"/>
  <c r="CI42"/>
  <c r="K38"/>
  <c r="AM32"/>
  <c r="AY28"/>
  <c r="BF23"/>
  <c r="BU18"/>
  <c r="CG14"/>
  <c r="AM10"/>
  <c r="BR7"/>
  <c r="BQ4"/>
  <c r="BU175"/>
  <c r="O149"/>
  <c r="CA130"/>
  <c r="J119"/>
  <c r="AS81"/>
  <c r="CJ76"/>
  <c r="Y72"/>
  <c r="BU68"/>
  <c r="Y64"/>
  <c r="AX60"/>
  <c r="AI56"/>
  <c r="BB53"/>
  <c r="BT49"/>
  <c r="Z47"/>
  <c r="CC44"/>
  <c r="BY41"/>
  <c r="BS39"/>
  <c r="BU37"/>
  <c r="BJ34"/>
  <c r="BD32"/>
  <c r="AX30"/>
  <c r="AR28"/>
  <c r="AO25"/>
  <c r="AI23"/>
  <c r="AC21"/>
  <c r="R18"/>
  <c r="T16"/>
  <c r="N14"/>
  <c r="H12"/>
  <c r="M9"/>
  <c r="CF6"/>
  <c r="CH4"/>
  <c r="CF174"/>
  <c r="BT154"/>
  <c r="BR144"/>
  <c r="BE134"/>
  <c r="AL127"/>
  <c r="CJ117"/>
  <c r="BY111"/>
  <c r="BA80"/>
  <c r="AJ77"/>
  <c r="BA73"/>
  <c r="CI70"/>
  <c r="U68"/>
  <c r="AS64"/>
  <c r="CA61"/>
  <c r="AB58"/>
  <c r="CH55"/>
  <c r="BP53"/>
  <c r="BM50"/>
  <c r="BM48"/>
  <c r="BZ46"/>
  <c r="H45"/>
  <c r="AP42"/>
  <c r="CF40"/>
  <c r="AO39"/>
  <c r="BW37"/>
  <c r="AF36"/>
  <c r="BY33"/>
  <c r="Z32"/>
  <c r="BP30"/>
  <c r="Y29"/>
  <c r="BJ26"/>
  <c r="K25"/>
  <c r="BA23"/>
  <c r="CI21"/>
  <c r="AR20"/>
  <c r="CC17"/>
  <c r="AL16"/>
  <c r="BT14"/>
  <c r="AC13"/>
  <c r="BF10"/>
  <c r="O9"/>
  <c r="BE7"/>
  <c r="N6"/>
  <c r="AV4"/>
  <c r="AP181"/>
  <c r="BW148"/>
  <c r="CK132"/>
  <c r="BV119"/>
  <c r="CA80"/>
  <c r="G76"/>
  <c r="BS70"/>
  <c r="BE65"/>
  <c r="CK60"/>
  <c r="G56"/>
  <c r="BS52"/>
  <c r="AW48"/>
  <c r="BM45"/>
  <c r="CJ41"/>
  <c r="BA39"/>
  <c r="T37"/>
  <c r="AN33"/>
  <c r="H31"/>
  <c r="AU28"/>
  <c r="R25"/>
  <c r="BG22"/>
  <c r="M20"/>
  <c r="BN16"/>
  <c r="AG14"/>
  <c r="BO10"/>
  <c r="AF8"/>
  <c r="CF5"/>
  <c r="G216"/>
  <c r="AK168"/>
  <c r="BJ146"/>
  <c r="AZ131"/>
  <c r="AC119"/>
  <c r="CE80"/>
  <c r="AD76"/>
  <c r="AH71"/>
  <c r="K169"/>
  <c r="BY144"/>
  <c r="AW130"/>
  <c r="CI116"/>
  <c r="BQ78"/>
  <c r="AC73"/>
  <c r="CA68"/>
  <c r="AR63"/>
  <c r="AC58"/>
  <c r="AT54"/>
  <c r="AS50"/>
  <c r="Z48"/>
  <c r="BV45"/>
  <c r="CH42"/>
  <c r="CA40"/>
  <c r="BS38"/>
  <c r="N37"/>
  <c r="CI33"/>
  <c r="T32"/>
  <c r="M30"/>
  <c r="CC26"/>
  <c r="M25"/>
  <c r="BZ22"/>
  <c r="J21"/>
  <c r="U18"/>
  <c r="J16"/>
  <c r="AA14"/>
  <c r="U12"/>
  <c r="AQ9"/>
  <c r="AJ7"/>
  <c r="AB5"/>
  <c r="BC219"/>
  <c r="BS160"/>
  <c r="BU144"/>
  <c r="I127"/>
  <c r="AM112"/>
  <c r="S78"/>
  <c r="CK70"/>
  <c r="M66"/>
  <c r="AM61"/>
  <c r="BU56"/>
  <c r="CB52"/>
  <c r="AE48"/>
  <c r="AV45"/>
  <c r="V41"/>
  <c r="W38"/>
  <c r="T34"/>
  <c r="Y31"/>
  <c r="K29"/>
  <c r="AB25"/>
  <c r="CE22"/>
  <c r="AE20"/>
  <c r="AP16"/>
  <c r="Y14"/>
  <c r="AR10"/>
  <c r="K8"/>
  <c r="AR5"/>
  <c r="AG186"/>
  <c r="BW150"/>
  <c r="N127"/>
  <c r="N113"/>
  <c r="CB76"/>
  <c r="CI69"/>
  <c r="AV64"/>
  <c r="BI58"/>
  <c r="BS54"/>
  <c r="BK49"/>
  <c r="BJ46"/>
  <c r="BG42"/>
  <c r="BG39"/>
  <c r="AP37"/>
  <c r="BH33"/>
  <c r="Z31"/>
  <c r="BL28"/>
  <c r="CD24"/>
  <c r="BP22"/>
  <c r="CA18"/>
  <c r="AS16"/>
  <c r="CA13"/>
  <c r="L10"/>
  <c r="CD7"/>
  <c r="L5"/>
  <c r="G193"/>
  <c r="AG146"/>
  <c r="CF128"/>
  <c r="AD114"/>
  <c r="BD76"/>
  <c r="BX70"/>
  <c r="BJ64"/>
  <c r="CI60"/>
  <c r="AB57"/>
  <c r="BG54"/>
  <c r="AW52"/>
  <c r="AB49"/>
  <c r="BS46"/>
  <c r="CJ44"/>
  <c r="AG42"/>
  <c r="BQ40"/>
  <c r="R39"/>
  <c r="AX37"/>
  <c r="CE34"/>
  <c r="AG33"/>
  <c r="BR31"/>
  <c r="U30"/>
  <c r="AM28"/>
  <c r="BS25"/>
  <c r="BX23"/>
  <c r="Y22"/>
  <c r="BI20"/>
  <c r="S18"/>
  <c r="BA16"/>
  <c r="CI14"/>
  <c r="AJ13"/>
  <c r="BB10"/>
  <c r="CJ8"/>
  <c r="T7"/>
  <c r="BB5"/>
  <c r="O4"/>
  <c r="AG148"/>
  <c r="BA130"/>
  <c r="BG111"/>
  <c r="BB81"/>
  <c r="CJ73"/>
  <c r="AD69"/>
  <c r="AN64"/>
  <c r="T60"/>
  <c r="P55"/>
  <c r="BA50"/>
  <c r="CJ46"/>
  <c r="V44"/>
  <c r="BR40"/>
  <c r="Z38"/>
  <c r="AR34"/>
  <c r="CK31"/>
  <c r="S29"/>
  <c r="AJ25"/>
  <c r="CH22"/>
  <c r="K20"/>
  <c r="O16"/>
  <c r="AZ13"/>
  <c r="BO9"/>
  <c r="Z7"/>
  <c r="AO4"/>
  <c r="Q174"/>
  <c r="BN141"/>
  <c r="BQ121"/>
  <c r="AV82"/>
  <c r="BK76"/>
  <c r="BZ69"/>
  <c r="CC62"/>
  <c r="G57"/>
  <c r="X53"/>
  <c r="AU48"/>
  <c r="CG44"/>
  <c r="K41"/>
  <c r="BC38"/>
  <c r="L36"/>
  <c r="AI32"/>
  <c r="AZ29"/>
  <c r="G26"/>
  <c r="BC23"/>
  <c r="BR20"/>
  <c r="M17"/>
  <c r="AX14"/>
  <c r="BQ10"/>
  <c r="W8"/>
  <c r="AJ5"/>
  <c r="R190"/>
  <c r="BR156"/>
  <c r="AR137"/>
  <c r="AH120"/>
  <c r="BH79"/>
  <c r="AT73"/>
  <c r="AI68"/>
  <c r="CG61"/>
  <c r="BM56"/>
  <c r="AA53"/>
  <c r="AZ48"/>
  <c r="CH44"/>
  <c r="AP41"/>
  <c r="CI38"/>
  <c r="R36"/>
  <c r="AL32"/>
  <c r="CE29"/>
  <c r="M26"/>
  <c r="BH23"/>
  <c r="BT20"/>
  <c r="R17"/>
  <c r="BC14"/>
  <c r="BU10"/>
  <c r="X8"/>
  <c r="AL5"/>
  <c r="I188"/>
  <c r="CF131"/>
  <c r="CG76"/>
  <c r="BM66"/>
  <c r="AO58"/>
  <c r="BY50"/>
  <c r="I46"/>
  <c r="CI40"/>
  <c r="I36"/>
  <c r="V31"/>
  <c r="P26"/>
  <c r="AA22"/>
  <c r="U17"/>
  <c r="N13"/>
  <c r="AY7"/>
  <c r="CF194"/>
  <c r="AW110"/>
  <c r="R77"/>
  <c r="V63"/>
  <c r="S45"/>
  <c r="O38"/>
  <c r="CI188"/>
  <c r="AH117"/>
  <c r="P71"/>
  <c r="H63"/>
  <c r="AY55"/>
  <c r="AA48"/>
  <c r="L44"/>
  <c r="AU38"/>
  <c r="BL33"/>
  <c r="BK15"/>
  <c r="BL38"/>
  <c r="Q160"/>
  <c r="Z57"/>
  <c r="CE24"/>
  <c r="AM4"/>
  <c r="BF24"/>
  <c r="BL165"/>
  <c r="J208"/>
  <c r="L23"/>
  <c r="BK72"/>
  <c r="CK144"/>
  <c r="P29"/>
  <c r="AU25"/>
  <c r="AS114"/>
  <c r="CA38"/>
  <c r="F133"/>
  <c r="F224"/>
  <c r="F53"/>
  <c r="F158"/>
  <c r="AK163"/>
  <c r="BZ216"/>
  <c r="AL186"/>
  <c r="AU134"/>
  <c r="AX130"/>
  <c r="I116"/>
  <c r="M55"/>
  <c r="CE124"/>
  <c r="J78"/>
  <c r="CI199"/>
  <c r="AD115"/>
  <c r="AW175"/>
  <c r="AJ145"/>
  <c r="H154"/>
  <c r="CB77"/>
  <c r="W44"/>
  <c r="BV23"/>
  <c r="BZ7"/>
  <c r="AC132"/>
  <c r="BI81"/>
  <c r="AM64"/>
  <c r="I50"/>
  <c r="BZ34"/>
  <c r="AQ23"/>
  <c r="AD14"/>
  <c r="Q5"/>
  <c r="L136"/>
  <c r="BQ80"/>
  <c r="AJ68"/>
  <c r="M56"/>
  <c r="CI46"/>
  <c r="AW39"/>
  <c r="BX30"/>
  <c r="J22"/>
  <c r="CB14"/>
  <c r="BM7"/>
  <c r="BP149"/>
  <c r="V81"/>
  <c r="X61"/>
  <c r="CB45"/>
  <c r="BB33"/>
  <c r="X20"/>
  <c r="J6"/>
  <c r="AQ132"/>
  <c r="BC71"/>
  <c r="BF117"/>
  <c r="AD79"/>
  <c r="AU58"/>
  <c r="U44"/>
  <c r="L34"/>
  <c r="Z25"/>
  <c r="AI12"/>
  <c r="CC232"/>
  <c r="BJ114"/>
  <c r="R72"/>
  <c r="N49"/>
  <c r="BW31"/>
  <c r="AV20"/>
  <c r="AS8"/>
  <c r="AE128"/>
  <c r="BV60"/>
  <c r="BX42"/>
  <c r="BJ31"/>
  <c r="P20"/>
  <c r="M8"/>
  <c r="K132"/>
  <c r="AB61"/>
  <c r="BA49"/>
  <c r="CH40"/>
  <c r="AZ33"/>
  <c r="CI25"/>
  <c r="BS16"/>
  <c r="S9"/>
  <c r="G150"/>
  <c r="CJ64"/>
  <c r="AD47"/>
  <c r="Y23"/>
  <c r="AI145"/>
  <c r="AV63"/>
  <c r="BM32"/>
  <c r="AY8"/>
  <c r="AH45"/>
  <c r="K21"/>
  <c r="AY111"/>
  <c r="BC36"/>
  <c r="AC112"/>
  <c r="AA148"/>
  <c r="AW44"/>
  <c r="R7"/>
  <c r="AD15"/>
  <c r="AF65"/>
  <c r="AT21"/>
  <c r="BY56"/>
  <c r="H23"/>
  <c r="W20"/>
  <c r="BT77"/>
  <c r="AF158"/>
  <c r="BB12"/>
  <c r="BU21"/>
  <c r="AT23"/>
  <c r="F127"/>
  <c r="F17"/>
  <c r="F46"/>
  <c r="BN4"/>
  <c r="AN77"/>
  <c r="BH53"/>
  <c r="AF192"/>
  <c r="H8"/>
  <c r="W16"/>
  <c r="AE30"/>
  <c r="BV70"/>
  <c r="AY4"/>
  <c r="AM15"/>
  <c r="AI111"/>
  <c r="F73"/>
  <c r="F181"/>
  <c r="F112"/>
  <c r="AP159"/>
  <c r="Q12"/>
  <c r="BY46"/>
  <c r="CH132"/>
  <c r="BA25"/>
  <c r="CC34"/>
  <c r="CG15"/>
  <c r="F200"/>
  <c r="AN16"/>
  <c r="O74"/>
  <c r="CD77"/>
  <c r="BX113"/>
  <c r="AB12"/>
  <c r="CG120"/>
  <c r="CB79"/>
  <c r="L55"/>
  <c r="F78"/>
  <c r="X123"/>
  <c r="BK5"/>
  <c r="AV17"/>
  <c r="AB79"/>
  <c r="BP205"/>
  <c r="BP44"/>
  <c r="CF55"/>
  <c r="AJ222"/>
  <c r="F175"/>
  <c r="BN25"/>
  <c r="AF182"/>
  <c r="AP70"/>
  <c r="AQ36"/>
  <c r="K12"/>
  <c r="CK48"/>
  <c r="CJ23"/>
  <c r="BB134"/>
  <c r="AT41"/>
  <c r="AD4"/>
  <c r="AC209"/>
  <c r="BC49"/>
  <c r="Y12"/>
  <c r="AF30"/>
  <c r="P74"/>
  <c r="AE25"/>
  <c r="BC78"/>
  <c r="AC39"/>
  <c r="BH29"/>
  <c r="Y116"/>
  <c r="AA133"/>
  <c r="AV6"/>
  <c r="BE21"/>
  <c r="CG17"/>
  <c r="I70"/>
  <c r="F183"/>
  <c r="F18"/>
  <c r="F184"/>
  <c r="AX29"/>
  <c r="CC38"/>
  <c r="CC14"/>
  <c r="AM26"/>
  <c r="BB46"/>
  <c r="AF16"/>
  <c r="AM56"/>
  <c r="BH39"/>
  <c r="AL119"/>
  <c r="U38"/>
  <c r="AO6"/>
  <c r="G30"/>
  <c r="CG16"/>
  <c r="F219"/>
  <c r="F137"/>
  <c r="BA38"/>
  <c r="CI48"/>
  <c r="BZ68"/>
  <c r="BI68"/>
  <c r="R45"/>
  <c r="BG80"/>
  <c r="BF48"/>
  <c r="AC176"/>
  <c r="I41"/>
  <c r="BG53"/>
  <c r="AG26"/>
  <c r="AA39"/>
  <c r="BC26"/>
  <c r="J34"/>
  <c r="AK50"/>
  <c r="BC112"/>
  <c r="AH60"/>
  <c r="BQ39"/>
  <c r="F168"/>
  <c r="AM20"/>
  <c r="BY29"/>
  <c r="BO41"/>
  <c r="AY122"/>
  <c r="BX5"/>
  <c r="AE16"/>
  <c r="AA4"/>
  <c r="F132"/>
  <c r="AD32"/>
  <c r="AZ7"/>
  <c r="AL41"/>
  <c r="AN17"/>
  <c r="CD121"/>
  <c r="Q57"/>
  <c r="S30"/>
  <c r="BP5"/>
  <c r="X52"/>
  <c r="AV13"/>
  <c r="CE30"/>
  <c r="BY63"/>
  <c r="AQ21"/>
  <c r="AB53"/>
  <c r="K34"/>
  <c r="AE8"/>
  <c r="U116"/>
  <c r="CK47"/>
  <c r="AU18"/>
  <c r="AL15"/>
  <c r="J24"/>
  <c r="BL39"/>
  <c r="AY74"/>
  <c r="BK57"/>
  <c r="F185"/>
  <c r="F235"/>
  <c r="F227"/>
  <c r="BS34"/>
  <c r="M10"/>
  <c r="AA45"/>
  <c r="I21"/>
  <c r="CE138"/>
  <c r="AU62"/>
  <c r="BO32"/>
  <c r="BA8"/>
  <c r="AU60"/>
  <c r="BF17"/>
  <c r="L39"/>
  <c r="K73"/>
  <c r="W25"/>
  <c r="AX62"/>
  <c r="AN110"/>
  <c r="J39"/>
  <c r="AJ24"/>
  <c r="CK13"/>
  <c r="BK61"/>
  <c r="AH38"/>
  <c r="G24"/>
  <c r="AI39"/>
  <c r="BK48"/>
  <c r="Z37"/>
  <c r="BU13"/>
  <c r="F120"/>
  <c r="CC13"/>
  <c r="CH23"/>
  <c r="AR36"/>
  <c r="BW22"/>
  <c r="W30"/>
  <c r="S7"/>
  <c r="R58"/>
  <c r="BA62"/>
  <c r="AI30"/>
  <c r="F9"/>
  <c r="CB110"/>
  <c r="Y193"/>
  <c r="CD14"/>
  <c r="BT64"/>
  <c r="BS164"/>
  <c r="AI34"/>
  <c r="H46"/>
  <c r="BI52"/>
  <c r="F60"/>
  <c r="AY44"/>
  <c r="AX57"/>
  <c r="L80"/>
  <c r="BE31"/>
  <c r="AR39"/>
  <c r="CF57"/>
  <c r="AP172"/>
  <c r="AL74"/>
  <c r="AN26"/>
  <c r="F223"/>
  <c r="F223" i="2" l="1"/>
  <c r="AN26"/>
  <c r="AL74"/>
  <c r="AP172"/>
  <c r="CF57"/>
  <c r="AR39"/>
  <c r="BE31"/>
  <c r="L80"/>
  <c r="AX57"/>
  <c r="AY43" i="3"/>
  <c r="AY43" i="2" s="1"/>
  <c r="AY44"/>
  <c r="F59" i="3"/>
  <c r="F59" i="2" s="1"/>
  <c r="F60"/>
  <c r="BI51" i="3"/>
  <c r="BI51" i="2" s="1"/>
  <c r="BI52"/>
  <c r="H46"/>
  <c r="AI34"/>
  <c r="BS164"/>
  <c r="BT64"/>
  <c r="CD14"/>
  <c r="Y193"/>
  <c r="CB109" i="3"/>
  <c r="CB109" i="2" s="1"/>
  <c r="CB110"/>
  <c r="F9"/>
  <c r="AI30"/>
  <c r="BA62"/>
  <c r="R58"/>
  <c r="S7"/>
  <c r="W30"/>
  <c r="BW22"/>
  <c r="AR35" i="3"/>
  <c r="AR35" i="2" s="1"/>
  <c r="AR36"/>
  <c r="CH23"/>
  <c r="CC13"/>
  <c r="F120"/>
  <c r="BU13"/>
  <c r="Z37"/>
  <c r="BK48"/>
  <c r="AI39"/>
  <c r="G24"/>
  <c r="AH38"/>
  <c r="BK61"/>
  <c r="CK13"/>
  <c r="AJ24"/>
  <c r="J39"/>
  <c r="AN109" i="3"/>
  <c r="AN109" i="2" s="1"/>
  <c r="AN110"/>
  <c r="AX62"/>
  <c r="W25"/>
  <c r="K73"/>
  <c r="L39"/>
  <c r="BF17"/>
  <c r="AU59" i="3"/>
  <c r="AU59" i="2" s="1"/>
  <c r="AU60"/>
  <c r="BA8"/>
  <c r="BO32"/>
  <c r="AU62"/>
  <c r="CE138"/>
  <c r="I21"/>
  <c r="AA45"/>
  <c r="M10"/>
  <c r="BS34"/>
  <c r="F227"/>
  <c r="F235"/>
  <c r="F185"/>
  <c r="BK57"/>
  <c r="AY74"/>
  <c r="BL39"/>
  <c r="J24"/>
  <c r="AL15"/>
  <c r="AU18"/>
  <c r="CK47"/>
  <c r="U116"/>
  <c r="AE8"/>
  <c r="K34"/>
  <c r="AB53"/>
  <c r="AQ21"/>
  <c r="BY63"/>
  <c r="CE30"/>
  <c r="AV13"/>
  <c r="X51" i="3"/>
  <c r="X51" i="2" s="1"/>
  <c r="X52"/>
  <c r="BP5"/>
  <c r="S30"/>
  <c r="Q57"/>
  <c r="CD121"/>
  <c r="AN17"/>
  <c r="AL41"/>
  <c r="AZ7"/>
  <c r="AD32"/>
  <c r="F132"/>
  <c r="AA4"/>
  <c r="AA3" i="3"/>
  <c r="AA3" i="2" s="1"/>
  <c r="AE16"/>
  <c r="BX5"/>
  <c r="AY122"/>
  <c r="BO41"/>
  <c r="BY29"/>
  <c r="AM19" i="3"/>
  <c r="AM19" i="2" s="1"/>
  <c r="AM20"/>
  <c r="F168"/>
  <c r="BQ39"/>
  <c r="AH59" i="3"/>
  <c r="AH59" i="2" s="1"/>
  <c r="AH60"/>
  <c r="BC112"/>
  <c r="AK50"/>
  <c r="J34"/>
  <c r="BC26"/>
  <c r="AA39"/>
  <c r="AG26"/>
  <c r="BG53"/>
  <c r="I41"/>
  <c r="AC176"/>
  <c r="BF48"/>
  <c r="BG80"/>
  <c r="R45"/>
  <c r="BI67" i="3"/>
  <c r="BI67" i="2" s="1"/>
  <c r="BI68"/>
  <c r="BZ67" i="3"/>
  <c r="BZ67" i="2" s="1"/>
  <c r="BZ68"/>
  <c r="CI48"/>
  <c r="BA38"/>
  <c r="F137"/>
  <c r="F219"/>
  <c r="CG16"/>
  <c r="G30"/>
  <c r="AO6"/>
  <c r="U38"/>
  <c r="AL118" i="3"/>
  <c r="AL118" i="2" s="1"/>
  <c r="AL119"/>
  <c r="BH39"/>
  <c r="AM56"/>
  <c r="AF16"/>
  <c r="BB46"/>
  <c r="AM26"/>
  <c r="CC14"/>
  <c r="CC38"/>
  <c r="AX29"/>
  <c r="F184"/>
  <c r="F18"/>
  <c r="F183"/>
  <c r="I70"/>
  <c r="CG17"/>
  <c r="BE21"/>
  <c r="AV6"/>
  <c r="AA133"/>
  <c r="Y116"/>
  <c r="BH29"/>
  <c r="AC39"/>
  <c r="BC78"/>
  <c r="AE25"/>
  <c r="P74"/>
  <c r="AF30"/>
  <c r="Y11" i="3"/>
  <c r="Y11" i="2" s="1"/>
  <c r="Y12"/>
  <c r="BC49"/>
  <c r="AC209"/>
  <c r="AD3" i="3"/>
  <c r="AD3" i="2" s="1"/>
  <c r="AD4"/>
  <c r="AT41"/>
  <c r="BB134"/>
  <c r="CJ23"/>
  <c r="CK48"/>
  <c r="K11" i="3"/>
  <c r="K11" i="2" s="1"/>
  <c r="K12"/>
  <c r="AQ35" i="3"/>
  <c r="AQ35" i="2" s="1"/>
  <c r="AQ36"/>
  <c r="AP70"/>
  <c r="AF182"/>
  <c r="BN25"/>
  <c r="F175"/>
  <c r="AJ222"/>
  <c r="CF55"/>
  <c r="BP43" i="3"/>
  <c r="BP43" i="2" s="1"/>
  <c r="BP44"/>
  <c r="BP204" i="3"/>
  <c r="BP204" i="2" s="1"/>
  <c r="BP205"/>
  <c r="AB79"/>
  <c r="AV17"/>
  <c r="BK5"/>
  <c r="X123"/>
  <c r="F78"/>
  <c r="L55"/>
  <c r="CB79"/>
  <c r="CG120"/>
  <c r="AB11" i="3"/>
  <c r="AB11" i="2" s="1"/>
  <c r="AB12"/>
  <c r="BX113"/>
  <c r="CD77"/>
  <c r="O74"/>
  <c r="AN16"/>
  <c r="F200"/>
  <c r="CG15"/>
  <c r="CC34"/>
  <c r="BA25"/>
  <c r="CH132"/>
  <c r="BY46"/>
  <c r="Q11" i="3"/>
  <c r="Q11" i="2" s="1"/>
  <c r="Q12"/>
  <c r="AP159"/>
  <c r="F112"/>
  <c r="F181"/>
  <c r="F73"/>
  <c r="AI111"/>
  <c r="AM15"/>
  <c r="AY3" i="3"/>
  <c r="AY3" i="2" s="1"/>
  <c r="AY4"/>
  <c r="BV70"/>
  <c r="AE30"/>
  <c r="W16"/>
  <c r="H8"/>
  <c r="AF192"/>
  <c r="BH53"/>
  <c r="AN77"/>
  <c r="BN3" i="3"/>
  <c r="BN3" i="2" s="1"/>
  <c r="BN4"/>
  <c r="F46"/>
  <c r="F17"/>
  <c r="F126" i="3"/>
  <c r="F126" i="2" s="1"/>
  <c r="F127"/>
  <c r="AT23"/>
  <c r="BU21"/>
  <c r="BB11" i="3"/>
  <c r="BB11" i="2" s="1"/>
  <c r="BB12"/>
  <c r="AF158"/>
  <c r="BT77"/>
  <c r="W19" i="3"/>
  <c r="W19" i="2" s="1"/>
  <c r="W20"/>
  <c r="H23"/>
  <c r="BY56"/>
  <c r="AT21"/>
  <c r="AF65"/>
  <c r="AD15"/>
  <c r="R7"/>
  <c r="AW43" i="3"/>
  <c r="AW43" i="2" s="1"/>
  <c r="AW44"/>
  <c r="AA148"/>
  <c r="AC112"/>
  <c r="BC36"/>
  <c r="BC35" i="3"/>
  <c r="BC35" i="2" s="1"/>
  <c r="AY111"/>
  <c r="K21"/>
  <c r="AH45"/>
  <c r="AY8"/>
  <c r="BM32"/>
  <c r="AV63"/>
  <c r="AI145"/>
  <c r="Y23"/>
  <c r="AD47"/>
  <c r="CJ64"/>
  <c r="G150"/>
  <c r="S9"/>
  <c r="BS16"/>
  <c r="CI25"/>
  <c r="AZ33"/>
  <c r="CH40"/>
  <c r="BA49"/>
  <c r="AB61"/>
  <c r="K132"/>
  <c r="M8"/>
  <c r="P19" i="3"/>
  <c r="P19" i="2" s="1"/>
  <c r="P20"/>
  <c r="BJ31"/>
  <c r="BX42"/>
  <c r="BV59" i="3"/>
  <c r="BV59" i="2" s="1"/>
  <c r="BV60"/>
  <c r="AE128"/>
  <c r="AS8"/>
  <c r="AV19" i="3"/>
  <c r="AV19" i="2" s="1"/>
  <c r="AV20"/>
  <c r="BW31"/>
  <c r="N49"/>
  <c r="R72"/>
  <c r="BJ114"/>
  <c r="CC232"/>
  <c r="AI11" i="3"/>
  <c r="AI11" i="2" s="1"/>
  <c r="AI12"/>
  <c r="Z25"/>
  <c r="L34"/>
  <c r="U43" i="3"/>
  <c r="U43" i="2" s="1"/>
  <c r="U44"/>
  <c r="AU58"/>
  <c r="AD79"/>
  <c r="BF117"/>
  <c r="BC71"/>
  <c r="AQ132"/>
  <c r="J6"/>
  <c r="X20"/>
  <c r="X19" i="3"/>
  <c r="X19" i="2" s="1"/>
  <c r="BB33"/>
  <c r="CB45"/>
  <c r="X61"/>
  <c r="V81"/>
  <c r="BP149"/>
  <c r="BM7"/>
  <c r="CB14"/>
  <c r="J22"/>
  <c r="BX30"/>
  <c r="AW39"/>
  <c r="CI46"/>
  <c r="M56"/>
  <c r="AJ67" i="3"/>
  <c r="AJ67" i="2" s="1"/>
  <c r="AJ68"/>
  <c r="BQ80"/>
  <c r="L135" i="3"/>
  <c r="L135" i="2" s="1"/>
  <c r="L136"/>
  <c r="Q5"/>
  <c r="AD14"/>
  <c r="AQ23"/>
  <c r="BZ34"/>
  <c r="I50"/>
  <c r="AM64"/>
  <c r="BI81"/>
  <c r="AC132"/>
  <c r="BZ7"/>
  <c r="BV23"/>
  <c r="W43" i="3"/>
  <c r="W43" i="2" s="1"/>
  <c r="W44"/>
  <c r="CB77"/>
  <c r="H154"/>
  <c r="AJ145"/>
  <c r="AW175"/>
  <c r="AD115"/>
  <c r="CI199"/>
  <c r="J78"/>
  <c r="CE124"/>
  <c r="M55"/>
  <c r="I116"/>
  <c r="AX130"/>
  <c r="AU134"/>
  <c r="AL186"/>
  <c r="BZ216"/>
  <c r="AK163"/>
  <c r="F158"/>
  <c r="F53"/>
  <c r="F224"/>
  <c r="F133"/>
  <c r="CA38"/>
  <c r="AS114"/>
  <c r="AU25"/>
  <c r="P29"/>
  <c r="CK143" i="3"/>
  <c r="CK143" i="2" s="1"/>
  <c r="CK144"/>
  <c r="BK72"/>
  <c r="L23"/>
  <c r="J208"/>
  <c r="BL165"/>
  <c r="BF24"/>
  <c r="AM3" i="3"/>
  <c r="AM3" i="2" s="1"/>
  <c r="AM4"/>
  <c r="CE24"/>
  <c r="Z57"/>
  <c r="Q160"/>
  <c r="BL38"/>
  <c r="BK15"/>
  <c r="BL33"/>
  <c r="AU38"/>
  <c r="L43" i="3"/>
  <c r="L43" i="2" s="1"/>
  <c r="L44"/>
  <c r="AA48"/>
  <c r="AY55"/>
  <c r="H63"/>
  <c r="P71"/>
  <c r="AH117"/>
  <c r="CI187" i="3"/>
  <c r="CI187" i="2" s="1"/>
  <c r="CI188"/>
  <c r="O38"/>
  <c r="S45"/>
  <c r="V63"/>
  <c r="R77"/>
  <c r="AW109" i="3"/>
  <c r="AW109" i="2" s="1"/>
  <c r="AW110"/>
  <c r="CF194"/>
  <c r="AY7"/>
  <c r="N13"/>
  <c r="U17"/>
  <c r="AA22"/>
  <c r="P26"/>
  <c r="V31"/>
  <c r="I36"/>
  <c r="I35" i="3"/>
  <c r="I35" i="2" s="1"/>
  <c r="CI40"/>
  <c r="I46"/>
  <c r="BY50"/>
  <c r="AO58"/>
  <c r="BM66"/>
  <c r="CG76"/>
  <c r="CG75" i="3"/>
  <c r="CG75" i="2" s="1"/>
  <c r="CF131"/>
  <c r="I187" i="3"/>
  <c r="I187" i="2" s="1"/>
  <c r="I188"/>
  <c r="AL5"/>
  <c r="X8"/>
  <c r="BU10"/>
  <c r="BC14"/>
  <c r="R17"/>
  <c r="BT19" i="3"/>
  <c r="BT19" i="2" s="1"/>
  <c r="BT20"/>
  <c r="BH23"/>
  <c r="M26"/>
  <c r="CE29"/>
  <c r="AL32"/>
  <c r="R35" i="3"/>
  <c r="R35" i="2" s="1"/>
  <c r="R36"/>
  <c r="CI38"/>
  <c r="AP41"/>
  <c r="CH43" i="3"/>
  <c r="CH43" i="2" s="1"/>
  <c r="CH44"/>
  <c r="AZ48"/>
  <c r="AA53"/>
  <c r="BM56"/>
  <c r="CG61"/>
  <c r="AI68"/>
  <c r="AI67" i="3"/>
  <c r="AI67" i="2" s="1"/>
  <c r="AT73"/>
  <c r="BH79"/>
  <c r="AH120"/>
  <c r="AR137"/>
  <c r="BR156"/>
  <c r="R190"/>
  <c r="AJ5"/>
  <c r="W8"/>
  <c r="BQ10"/>
  <c r="AX14"/>
  <c r="M17"/>
  <c r="BR19" i="3"/>
  <c r="BR19" i="2" s="1"/>
  <c r="BR20"/>
  <c r="BC23"/>
  <c r="G26"/>
  <c r="AZ29"/>
  <c r="AI32"/>
  <c r="L35" i="3"/>
  <c r="L35" i="2" s="1"/>
  <c r="L36"/>
  <c r="BC38"/>
  <c r="K41"/>
  <c r="CG43" i="3"/>
  <c r="CG43" i="2" s="1"/>
  <c r="CG44"/>
  <c r="AU48"/>
  <c r="X53"/>
  <c r="G57"/>
  <c r="CC62"/>
  <c r="BZ69"/>
  <c r="BK75" i="3"/>
  <c r="BK75" i="2" s="1"/>
  <c r="BK76"/>
  <c r="AV82"/>
  <c r="BQ121"/>
  <c r="BN141"/>
  <c r="Q174"/>
  <c r="AO3" i="3"/>
  <c r="AO3" i="2" s="1"/>
  <c r="AO4"/>
  <c r="Z7"/>
  <c r="BO9"/>
  <c r="AZ13"/>
  <c r="O16"/>
  <c r="K19" i="3"/>
  <c r="K19" i="2" s="1"/>
  <c r="K20"/>
  <c r="CH22"/>
  <c r="AJ25"/>
  <c r="S29"/>
  <c r="CK31"/>
  <c r="AR34"/>
  <c r="Z38"/>
  <c r="BR40"/>
  <c r="V43" i="3"/>
  <c r="V43" i="2" s="1"/>
  <c r="V44"/>
  <c r="CJ46"/>
  <c r="BA50"/>
  <c r="P55"/>
  <c r="T59" i="3"/>
  <c r="T59" i="2" s="1"/>
  <c r="T60"/>
  <c r="AN64"/>
  <c r="AD69"/>
  <c r="CJ73"/>
  <c r="BB81"/>
  <c r="BG111"/>
  <c r="BA130"/>
  <c r="AG148"/>
  <c r="O3" i="3"/>
  <c r="O3" i="2" s="1"/>
  <c r="O4"/>
  <c r="BB5"/>
  <c r="T7"/>
  <c r="CJ8"/>
  <c r="BB10"/>
  <c r="AJ13"/>
  <c r="CI14"/>
  <c r="BA16"/>
  <c r="S18"/>
  <c r="BI19" i="3"/>
  <c r="BI19" i="2" s="1"/>
  <c r="BI20"/>
  <c r="Y22"/>
  <c r="BX23"/>
  <c r="BS25"/>
  <c r="AM28"/>
  <c r="AM27" i="3"/>
  <c r="AM27" i="2" s="1"/>
  <c r="U30"/>
  <c r="BR31"/>
  <c r="AG33"/>
  <c r="CE34"/>
  <c r="AX37"/>
  <c r="R39"/>
  <c r="BQ40"/>
  <c r="AG42"/>
  <c r="CJ43" i="3"/>
  <c r="CJ43" i="2" s="1"/>
  <c r="CJ44"/>
  <c r="BS46"/>
  <c r="AB49"/>
  <c r="AW51" i="3"/>
  <c r="AW51" i="2" s="1"/>
  <c r="AW52"/>
  <c r="BG54"/>
  <c r="AB57"/>
  <c r="CI59" i="3"/>
  <c r="CI59" i="2" s="1"/>
  <c r="CI60"/>
  <c r="BJ64"/>
  <c r="BX70"/>
  <c r="BD75" i="3"/>
  <c r="BD75" i="2" s="1"/>
  <c r="BD76"/>
  <c r="AD114"/>
  <c r="CF128"/>
  <c r="AG146"/>
  <c r="G193"/>
  <c r="L5"/>
  <c r="CD7"/>
  <c r="L10"/>
  <c r="CA13"/>
  <c r="AS16"/>
  <c r="CA18"/>
  <c r="BP22"/>
  <c r="CD24"/>
  <c r="BL27" i="3"/>
  <c r="BL27" i="2" s="1"/>
  <c r="BL28"/>
  <c r="Z31"/>
  <c r="BH33"/>
  <c r="AP37"/>
  <c r="BG39"/>
  <c r="BG42"/>
  <c r="BJ46"/>
  <c r="BK49"/>
  <c r="BS54"/>
  <c r="BI58"/>
  <c r="AV64"/>
  <c r="CI69"/>
  <c r="CB76"/>
  <c r="CB75" i="3"/>
  <c r="CB75" i="2" s="1"/>
  <c r="N113"/>
  <c r="N126" i="3"/>
  <c r="N126" i="2" s="1"/>
  <c r="N127"/>
  <c r="BW150"/>
  <c r="AG186"/>
  <c r="AR5"/>
  <c r="K8"/>
  <c r="AR10"/>
  <c r="Y14"/>
  <c r="AP16"/>
  <c r="AE19" i="3"/>
  <c r="AE19" i="2" s="1"/>
  <c r="AE20"/>
  <c r="CE22"/>
  <c r="AB25"/>
  <c r="K29"/>
  <c r="Y31"/>
  <c r="T34"/>
  <c r="W38"/>
  <c r="V41"/>
  <c r="AV45"/>
  <c r="AE48"/>
  <c r="CB51" i="3"/>
  <c r="CB51" i="2" s="1"/>
  <c r="CB52"/>
  <c r="BU56"/>
  <c r="AM61"/>
  <c r="M66"/>
  <c r="CK70"/>
  <c r="S78"/>
  <c r="AM112"/>
  <c r="I126" i="3"/>
  <c r="I126" i="2" s="1"/>
  <c r="I127"/>
  <c r="BU143" i="3"/>
  <c r="BU143" i="2" s="1"/>
  <c r="BU144"/>
  <c r="BS160"/>
  <c r="BC219"/>
  <c r="AB5"/>
  <c r="AJ7"/>
  <c r="AQ9"/>
  <c r="U11" i="3"/>
  <c r="U11" i="2" s="1"/>
  <c r="U12"/>
  <c r="AA14"/>
  <c r="J16"/>
  <c r="U18"/>
  <c r="J21"/>
  <c r="BZ22"/>
  <c r="M25"/>
  <c r="CC26"/>
  <c r="M30"/>
  <c r="T32"/>
  <c r="CI33"/>
  <c r="N37"/>
  <c r="BS38"/>
  <c r="CA40"/>
  <c r="CH42"/>
  <c r="BV45"/>
  <c r="Z48"/>
  <c r="AS50"/>
  <c r="AT54"/>
  <c r="AC58"/>
  <c r="AR63"/>
  <c r="CA67" i="3"/>
  <c r="CA67" i="2" s="1"/>
  <c r="CA68"/>
  <c r="AC73"/>
  <c r="BQ78"/>
  <c r="CI116"/>
  <c r="AW130"/>
  <c r="BY143" i="3"/>
  <c r="BY143" i="2" s="1"/>
  <c r="BY144"/>
  <c r="K169"/>
  <c r="AH71"/>
  <c r="AD75" i="3"/>
  <c r="AD75" i="2" s="1"/>
  <c r="AD76"/>
  <c r="CE80"/>
  <c r="AC118" i="3"/>
  <c r="AC118" i="2" s="1"/>
  <c r="AC119"/>
  <c r="AZ131"/>
  <c r="BJ146"/>
  <c r="AK168"/>
  <c r="G216"/>
  <c r="CF5"/>
  <c r="AF8"/>
  <c r="BO10"/>
  <c r="AG14"/>
  <c r="BN16"/>
  <c r="M19" i="3"/>
  <c r="M19" i="2" s="1"/>
  <c r="M20"/>
  <c r="BG22"/>
  <c r="R25"/>
  <c r="AU28"/>
  <c r="AU27" i="3"/>
  <c r="AU27" i="2" s="1"/>
  <c r="H31"/>
  <c r="AN33"/>
  <c r="T37"/>
  <c r="BA39"/>
  <c r="CJ41"/>
  <c r="BM45"/>
  <c r="AW48"/>
  <c r="BS52"/>
  <c r="BS51" i="3"/>
  <c r="BS51" i="2" s="1"/>
  <c r="G56"/>
  <c r="CK59" i="3"/>
  <c r="CK59" i="2" s="1"/>
  <c r="CK60"/>
  <c r="BE65"/>
  <c r="BS70"/>
  <c r="G75" i="3"/>
  <c r="G75" i="2" s="1"/>
  <c r="G76"/>
  <c r="CA80"/>
  <c r="BV118" i="3"/>
  <c r="BV118" i="2" s="1"/>
  <c r="BV119"/>
  <c r="CK132"/>
  <c r="BW148"/>
  <c r="AP181"/>
  <c r="AV3" i="3"/>
  <c r="AV3" i="2" s="1"/>
  <c r="AV4"/>
  <c r="N6"/>
  <c r="BE7"/>
  <c r="O9"/>
  <c r="BF10"/>
  <c r="AC13"/>
  <c r="BT14"/>
  <c r="AL16"/>
  <c r="CC17"/>
  <c r="AR19" i="3"/>
  <c r="AR19" i="2" s="1"/>
  <c r="AR20"/>
  <c r="CI21"/>
  <c r="BA23"/>
  <c r="K25"/>
  <c r="BJ26"/>
  <c r="Y29"/>
  <c r="BP30"/>
  <c r="Z32"/>
  <c r="BY33"/>
  <c r="AF35" i="3"/>
  <c r="AF35" i="2" s="1"/>
  <c r="AF36"/>
  <c r="BW37"/>
  <c r="AO39"/>
  <c r="CF40"/>
  <c r="AP42"/>
  <c r="H45"/>
  <c r="BZ46"/>
  <c r="BM48"/>
  <c r="BM50"/>
  <c r="BP53"/>
  <c r="CH55"/>
  <c r="AB58"/>
  <c r="CA61"/>
  <c r="AS64"/>
  <c r="U67" i="3"/>
  <c r="U67" i="2" s="1"/>
  <c r="U68"/>
  <c r="CI70"/>
  <c r="BA73"/>
  <c r="AJ77"/>
  <c r="BA80"/>
  <c r="BY111"/>
  <c r="CJ117"/>
  <c r="AL126" i="3"/>
  <c r="AL126" i="2" s="1"/>
  <c r="AL127"/>
  <c r="BE134"/>
  <c r="BR143" i="3"/>
  <c r="BR143" i="2" s="1"/>
  <c r="BR144"/>
  <c r="BT154"/>
  <c r="CF174"/>
  <c r="CH3" i="3"/>
  <c r="CH3" i="2" s="1"/>
  <c r="CH4"/>
  <c r="CF6"/>
  <c r="M9"/>
  <c r="H12"/>
  <c r="H11" i="3"/>
  <c r="H11" i="2" s="1"/>
  <c r="N14"/>
  <c r="T16"/>
  <c r="R18"/>
  <c r="AC21"/>
  <c r="AI23"/>
  <c r="AO25"/>
  <c r="AR27" i="3"/>
  <c r="AR27" i="2" s="1"/>
  <c r="AR28"/>
  <c r="AX30"/>
  <c r="BD32"/>
  <c r="BJ34"/>
  <c r="BU37"/>
  <c r="BS39"/>
  <c r="BY41"/>
  <c r="CC43" i="3"/>
  <c r="CC43" i="2" s="1"/>
  <c r="CC44"/>
  <c r="Z47"/>
  <c r="BT49"/>
  <c r="BB53"/>
  <c r="AI56"/>
  <c r="AX59" i="3"/>
  <c r="AX59" i="2" s="1"/>
  <c r="AX60"/>
  <c r="Y64"/>
  <c r="BU67" i="3"/>
  <c r="BU67" i="2" s="1"/>
  <c r="BU68"/>
  <c r="Y72"/>
  <c r="CJ75" i="3"/>
  <c r="CJ75" i="2" s="1"/>
  <c r="CJ76"/>
  <c r="AS81"/>
  <c r="J119"/>
  <c r="J118" i="3"/>
  <c r="J118" i="2" s="1"/>
  <c r="CA130"/>
  <c r="O149"/>
  <c r="BU175"/>
  <c r="BQ3" i="3"/>
  <c r="BQ3" i="2" s="1"/>
  <c r="BQ4"/>
  <c r="BR7"/>
  <c r="AM10"/>
  <c r="CG14"/>
  <c r="BU18"/>
  <c r="BF23"/>
  <c r="AY27" i="3"/>
  <c r="AY27" i="2" s="1"/>
  <c r="AY28"/>
  <c r="AM32"/>
  <c r="K38"/>
  <c r="CI42"/>
  <c r="BI49"/>
  <c r="AF57"/>
  <c r="CH66"/>
  <c r="AR77"/>
  <c r="AO124"/>
  <c r="AV152" i="3"/>
  <c r="AV152" i="2" s="1"/>
  <c r="AV153"/>
  <c r="BZ55"/>
  <c r="AQ64"/>
  <c r="BQ73"/>
  <c r="BX111"/>
  <c r="BA142"/>
  <c r="BP212" i="3"/>
  <c r="BP212" i="2" s="1"/>
  <c r="BP213"/>
  <c r="AJ139"/>
  <c r="AT200"/>
  <c r="CD172"/>
  <c r="AN61"/>
  <c r="BM72"/>
  <c r="BY114"/>
  <c r="AD139"/>
  <c r="CH169"/>
  <c r="I79"/>
  <c r="BL126" i="3"/>
  <c r="BL126" i="2" s="1"/>
  <c r="BL127"/>
  <c r="BI152" i="3"/>
  <c r="BI152" i="2" s="1"/>
  <c r="BI153"/>
  <c r="AG199"/>
  <c r="AD50"/>
  <c r="CJ58"/>
  <c r="BV67" i="3"/>
  <c r="BV67" i="2" s="1"/>
  <c r="BV68"/>
  <c r="CI77"/>
  <c r="CD123"/>
  <c r="CA142"/>
  <c r="N165"/>
  <c r="U209"/>
  <c r="BF54"/>
  <c r="BK63"/>
  <c r="AZ72"/>
  <c r="AW81"/>
  <c r="AJ115"/>
  <c r="Q133"/>
  <c r="AV154"/>
  <c r="BO194"/>
  <c r="R130"/>
  <c r="BX145"/>
  <c r="T174"/>
  <c r="AF112"/>
  <c r="AV133"/>
  <c r="CK176"/>
  <c r="L133"/>
  <c r="CE185"/>
  <c r="M137"/>
  <c r="N169"/>
  <c r="CB124"/>
  <c r="R154"/>
  <c r="BT211"/>
  <c r="BS159"/>
  <c r="AJ183"/>
  <c r="I217"/>
  <c r="AN235"/>
  <c r="F203"/>
  <c r="F233"/>
  <c r="F42"/>
  <c r="F226"/>
  <c r="F159"/>
  <c r="F29"/>
  <c r="F125"/>
  <c r="F81"/>
  <c r="F212" i="3"/>
  <c r="F212" i="2" s="1"/>
  <c r="F213"/>
  <c r="F39"/>
  <c r="F157"/>
  <c r="F176"/>
  <c r="F35" i="3"/>
  <c r="F35" i="2" s="1"/>
  <c r="F36"/>
  <c r="F121"/>
  <c r="F164"/>
  <c r="F151"/>
  <c r="F232"/>
  <c r="F43" i="3"/>
  <c r="F43" i="2" s="1"/>
  <c r="F44"/>
  <c r="F71"/>
  <c r="F148"/>
  <c r="F214"/>
  <c r="F208"/>
  <c r="F210"/>
  <c r="CH11" i="3"/>
  <c r="CH11" i="2" s="1"/>
  <c r="CH12"/>
  <c r="AT32"/>
  <c r="CF14"/>
  <c r="BU14"/>
  <c r="BP57"/>
  <c r="CD5"/>
  <c r="AT46"/>
  <c r="CD168"/>
  <c r="AN27" i="3"/>
  <c r="AN27" i="2" s="1"/>
  <c r="AN28"/>
  <c r="AY67" i="3"/>
  <c r="AY67" i="2" s="1"/>
  <c r="AY68"/>
  <c r="AY214"/>
  <c r="BY6"/>
  <c r="CF58"/>
  <c r="AK66"/>
  <c r="BQ22"/>
  <c r="CE3" i="3"/>
  <c r="CE3" i="2" s="1"/>
  <c r="CE4"/>
  <c r="BN39"/>
  <c r="AY9"/>
  <c r="BC18"/>
  <c r="O27" i="3"/>
  <c r="O27" i="2" s="1"/>
  <c r="O28"/>
  <c r="CA37"/>
  <c r="AR46"/>
  <c r="BV58"/>
  <c r="AN74"/>
  <c r="AD133"/>
  <c r="BC4"/>
  <c r="BC3" i="3"/>
  <c r="BC3" i="2" s="1"/>
  <c r="AN13"/>
  <c r="V22"/>
  <c r="BY37"/>
  <c r="AK46"/>
  <c r="AJ57"/>
  <c r="AV69"/>
  <c r="AC121"/>
  <c r="BB3" i="3"/>
  <c r="BB3" i="2" s="1"/>
  <c r="BB4"/>
  <c r="AM13"/>
  <c r="U22"/>
  <c r="CE32"/>
  <c r="S41"/>
  <c r="AL53"/>
  <c r="BY70"/>
  <c r="U181"/>
  <c r="AH14"/>
  <c r="BO34"/>
  <c r="AI53"/>
  <c r="BV165"/>
  <c r="G16"/>
  <c r="AX26"/>
  <c r="AY35" i="3"/>
  <c r="AY35" i="2" s="1"/>
  <c r="AY36"/>
  <c r="CE45"/>
  <c r="CC56"/>
  <c r="BB77"/>
  <c r="AL147"/>
  <c r="AI17"/>
  <c r="BT33"/>
  <c r="CF65"/>
  <c r="CH9"/>
  <c r="BK23"/>
  <c r="AW32"/>
  <c r="BT41"/>
  <c r="H54"/>
  <c r="CF71"/>
  <c r="AV165"/>
  <c r="AY21"/>
  <c r="W6"/>
  <c r="Y10"/>
  <c r="AC15"/>
  <c r="AU19" i="3"/>
  <c r="AU19" i="2" s="1"/>
  <c r="AU20"/>
  <c r="AI24"/>
  <c r="AI29"/>
  <c r="T33"/>
  <c r="M38"/>
  <c r="N43" i="3"/>
  <c r="N43" i="2" s="1"/>
  <c r="N44"/>
  <c r="AJ48"/>
  <c r="AQ56"/>
  <c r="CB63"/>
  <c r="AE72"/>
  <c r="AD81"/>
  <c r="CB122"/>
  <c r="BQ157"/>
  <c r="I3" i="3"/>
  <c r="I3" i="2" s="1"/>
  <c r="I4"/>
  <c r="V13"/>
  <c r="AK27" i="3"/>
  <c r="AK27" i="2" s="1"/>
  <c r="AK28"/>
  <c r="BQ37"/>
  <c r="AK48"/>
  <c r="BS58"/>
  <c r="AK78"/>
  <c r="AZ180"/>
  <c r="Q6"/>
  <c r="U10"/>
  <c r="N15"/>
  <c r="AK19" i="3"/>
  <c r="AK19" i="2" s="1"/>
  <c r="AK20"/>
  <c r="AG24"/>
  <c r="AF29"/>
  <c r="P33"/>
  <c r="I38"/>
  <c r="CC42"/>
  <c r="BX47"/>
  <c r="CJ54"/>
  <c r="W62"/>
  <c r="AI70"/>
  <c r="N115"/>
  <c r="X139"/>
  <c r="AA173"/>
  <c r="BR13"/>
  <c r="BV27" i="3"/>
  <c r="BV27" i="2" s="1"/>
  <c r="BV28"/>
  <c r="U37"/>
  <c r="BO43" i="3"/>
  <c r="BO43" i="2" s="1"/>
  <c r="BO44"/>
  <c r="BH59" i="3"/>
  <c r="BH59" i="2" s="1"/>
  <c r="BH60"/>
  <c r="AD74"/>
  <c r="J155"/>
  <c r="M7"/>
  <c r="BG11" i="3"/>
  <c r="BG11" i="2" s="1"/>
  <c r="BG12"/>
  <c r="BE16"/>
  <c r="BZ21"/>
  <c r="BH25"/>
  <c r="BG30"/>
  <c r="AZ34"/>
  <c r="AL40"/>
  <c r="BB45"/>
  <c r="AA50"/>
  <c r="BV57"/>
  <c r="CH65"/>
  <c r="CG74"/>
  <c r="BP129"/>
  <c r="BB176"/>
  <c r="M5"/>
  <c r="CG7"/>
  <c r="AT10"/>
  <c r="AB14"/>
  <c r="BU16"/>
  <c r="AS19" i="3"/>
  <c r="AS19" i="2" s="1"/>
  <c r="AS20"/>
  <c r="AG23"/>
  <c r="BR25"/>
  <c r="BA29"/>
  <c r="M32"/>
  <c r="CA34"/>
  <c r="BI38"/>
  <c r="N41"/>
  <c r="BE43" i="3"/>
  <c r="BE43" i="2" s="1"/>
  <c r="BE44"/>
  <c r="Q48"/>
  <c r="BU51" i="3"/>
  <c r="BU51" i="2" s="1"/>
  <c r="BU52"/>
  <c r="AB56"/>
  <c r="AJ61"/>
  <c r="BA66"/>
  <c r="CG72"/>
  <c r="CF78"/>
  <c r="CB115"/>
  <c r="M135" i="3"/>
  <c r="M135" i="2" s="1"/>
  <c r="M136"/>
  <c r="K152" i="3"/>
  <c r="K152" i="2" s="1"/>
  <c r="K153"/>
  <c r="CD182"/>
  <c r="G5"/>
  <c r="CF7"/>
  <c r="AQ10"/>
  <c r="W14"/>
  <c r="BT16"/>
  <c r="AN19" i="3"/>
  <c r="AN19" i="2" s="1"/>
  <c r="AN20"/>
  <c r="AB23"/>
  <c r="BP25"/>
  <c r="X29"/>
  <c r="BM31"/>
  <c r="BW34"/>
  <c r="AC38"/>
  <c r="BT40"/>
  <c r="BB43" i="3"/>
  <c r="BB43" i="2" s="1"/>
  <c r="BB44"/>
  <c r="M48"/>
  <c r="BQ51" i="3"/>
  <c r="BQ51" i="2" s="1"/>
  <c r="BQ52"/>
  <c r="BC56"/>
  <c r="AI62"/>
  <c r="AH69"/>
  <c r="M76"/>
  <c r="M75" i="3"/>
  <c r="M75" i="2" s="1"/>
  <c r="BC81"/>
  <c r="J120"/>
  <c r="BC138"/>
  <c r="AY170" i="3"/>
  <c r="AY170" i="2" s="1"/>
  <c r="AY171"/>
  <c r="R3" i="3"/>
  <c r="R3" i="2" s="1"/>
  <c r="R4"/>
  <c r="CG6"/>
  <c r="AO9"/>
  <c r="W13"/>
  <c r="BS15"/>
  <c r="BL18"/>
  <c r="BE22"/>
  <c r="G25"/>
  <c r="BY27" i="3"/>
  <c r="BY27" i="2" s="1"/>
  <c r="BY28"/>
  <c r="BL31"/>
  <c r="Q34"/>
  <c r="CH37"/>
  <c r="AS40"/>
  <c r="CE42"/>
  <c r="BC46"/>
  <c r="O50"/>
  <c r="BT54"/>
  <c r="CG58"/>
  <c r="CG63"/>
  <c r="BP67" i="3"/>
  <c r="BP67" i="2" s="1"/>
  <c r="BP68"/>
  <c r="AB73"/>
  <c r="BP80"/>
  <c r="BD109" i="3"/>
  <c r="BD109" i="2" s="1"/>
  <c r="BD110"/>
  <c r="AZ128"/>
  <c r="V145"/>
  <c r="BS189"/>
  <c r="AK5"/>
  <c r="CK6"/>
  <c r="BT8"/>
  <c r="AK10"/>
  <c r="T13"/>
  <c r="BP14"/>
  <c r="AH16"/>
  <c r="CJ17"/>
  <c r="AQ19" i="3"/>
  <c r="AQ19" i="2" s="1"/>
  <c r="AQ20"/>
  <c r="I22"/>
  <c r="BE23"/>
  <c r="BB25"/>
  <c r="W27" i="3"/>
  <c r="W27" i="2" s="1"/>
  <c r="W28"/>
  <c r="BV29"/>
  <c r="AY31"/>
  <c r="Q33"/>
  <c r="BN34"/>
  <c r="AH37"/>
  <c r="CG38"/>
  <c r="AY40"/>
  <c r="Q42"/>
  <c r="BQ43" i="3"/>
  <c r="BQ43" i="2" s="1"/>
  <c r="BQ44"/>
  <c r="BA46"/>
  <c r="BP48"/>
  <c r="Z51" i="3"/>
  <c r="Z51" i="2" s="1"/>
  <c r="Z52"/>
  <c r="AL54"/>
  <c r="BK56"/>
  <c r="BF59" i="3"/>
  <c r="BF59" i="2" s="1"/>
  <c r="BF60"/>
  <c r="AI64"/>
  <c r="O70"/>
  <c r="X76"/>
  <c r="X75" i="3"/>
  <c r="X75" i="2" s="1"/>
  <c r="CB112"/>
  <c r="BU126" i="3"/>
  <c r="BU126" i="2" s="1"/>
  <c r="BU127"/>
  <c r="Y145"/>
  <c r="BC178" i="3"/>
  <c r="BC178" i="2" s="1"/>
  <c r="BC179"/>
  <c r="CC3" i="3"/>
  <c r="CC3" i="2" s="1"/>
  <c r="CC4"/>
  <c r="AS7"/>
  <c r="CB9"/>
  <c r="BJ13"/>
  <c r="BZ15"/>
  <c r="BJ18"/>
  <c r="AI22"/>
  <c r="BN24"/>
  <c r="AV27" i="3"/>
  <c r="AV27" i="2" s="1"/>
  <c r="AV28"/>
  <c r="BJ30"/>
  <c r="AR33"/>
  <c r="G37"/>
  <c r="AQ39"/>
  <c r="AQ42"/>
  <c r="BR45"/>
  <c r="AL49"/>
  <c r="X54"/>
  <c r="AG58"/>
  <c r="S64"/>
  <c r="CF67" i="3"/>
  <c r="CF67" i="2" s="1"/>
  <c r="CF68"/>
  <c r="AN75" i="3"/>
  <c r="AN75" i="2" s="1"/>
  <c r="AN76"/>
  <c r="CC82"/>
  <c r="AE109" i="3"/>
  <c r="AE109" i="2" s="1"/>
  <c r="AE110"/>
  <c r="BO124"/>
  <c r="CB145"/>
  <c r="CJ183"/>
  <c r="Z5"/>
  <c r="AR7"/>
  <c r="AA10"/>
  <c r="BZ13"/>
  <c r="Y16"/>
  <c r="O19" i="3"/>
  <c r="O19" i="2" s="1"/>
  <c r="O20"/>
  <c r="AD22"/>
  <c r="J25"/>
  <c r="BK27" i="3"/>
  <c r="BK27" i="2" s="1"/>
  <c r="BK28"/>
  <c r="I31"/>
  <c r="BX33"/>
  <c r="AL37"/>
  <c r="BW40"/>
  <c r="J45"/>
  <c r="BR47"/>
  <c r="BF51" i="3"/>
  <c r="BF51" i="2" s="1"/>
  <c r="BF52"/>
  <c r="CB55"/>
  <c r="L61"/>
  <c r="AR65"/>
  <c r="BF70"/>
  <c r="BN77"/>
  <c r="BW82"/>
  <c r="BI111"/>
  <c r="BP125"/>
  <c r="CK138"/>
  <c r="CG158"/>
  <c r="W211"/>
  <c r="N5"/>
  <c r="X7"/>
  <c r="CA8"/>
  <c r="I11" i="3"/>
  <c r="I11" i="2" s="1"/>
  <c r="I12"/>
  <c r="CJ13"/>
  <c r="CF15"/>
  <c r="G18"/>
  <c r="BG19" i="3"/>
  <c r="BG19" i="2" s="1"/>
  <c r="BG20"/>
  <c r="BO22"/>
  <c r="BU24"/>
  <c r="BQ26"/>
  <c r="CF29"/>
  <c r="BB31"/>
  <c r="BU33"/>
  <c r="BV35" i="3"/>
  <c r="BV35" i="2" s="1"/>
  <c r="BV36"/>
  <c r="BE38"/>
  <c r="BO40"/>
  <c r="AW42"/>
  <c r="BF45"/>
  <c r="BZ47"/>
  <c r="Z50"/>
  <c r="I54"/>
  <c r="AZ57"/>
  <c r="CD62"/>
  <c r="AK67" i="3"/>
  <c r="AK67" i="2" s="1"/>
  <c r="AK68"/>
  <c r="AV72"/>
  <c r="Q78"/>
  <c r="BX115"/>
  <c r="P129"/>
  <c r="BI142"/>
  <c r="AG164"/>
  <c r="BR214"/>
  <c r="CJ74"/>
  <c r="AB80"/>
  <c r="AB117"/>
  <c r="Q130"/>
  <c r="P145"/>
  <c r="BT163"/>
  <c r="BR207"/>
  <c r="BF5"/>
  <c r="G8"/>
  <c r="AO10"/>
  <c r="G14"/>
  <c r="AO16"/>
  <c r="BY18"/>
  <c r="AG22"/>
  <c r="BM24"/>
  <c r="U27" i="3"/>
  <c r="U27" i="2" s="1"/>
  <c r="U28"/>
  <c r="BQ30"/>
  <c r="O33"/>
  <c r="BN35" i="3"/>
  <c r="BN35" i="2" s="1"/>
  <c r="BN36"/>
  <c r="AB39"/>
  <c r="BJ41"/>
  <c r="AJ45"/>
  <c r="O48"/>
  <c r="AK51" i="3"/>
  <c r="AK51" i="2" s="1"/>
  <c r="AK52"/>
  <c r="BB55"/>
  <c r="AS59" i="3"/>
  <c r="AS59" i="2" s="1"/>
  <c r="AS60"/>
  <c r="L65"/>
  <c r="Y70"/>
  <c r="BL74"/>
  <c r="AA80"/>
  <c r="BR117"/>
  <c r="AX131"/>
  <c r="BB146"/>
  <c r="CA177"/>
  <c r="AF3" i="3"/>
  <c r="AF3" i="2" s="1"/>
  <c r="AF4"/>
  <c r="BW5"/>
  <c r="AO7"/>
  <c r="CF8"/>
  <c r="AP10"/>
  <c r="M13"/>
  <c r="BD14"/>
  <c r="V16"/>
  <c r="BM17"/>
  <c r="AB19" i="3"/>
  <c r="AB19" i="2" s="1"/>
  <c r="AB20"/>
  <c r="BS21"/>
  <c r="AK23"/>
  <c r="CB24"/>
  <c r="AT26"/>
  <c r="I29"/>
  <c r="AZ30"/>
  <c r="J32"/>
  <c r="BI33"/>
  <c r="P35" i="3"/>
  <c r="P35" i="2" s="1"/>
  <c r="P36"/>
  <c r="BG37"/>
  <c r="Y39"/>
  <c r="BP40"/>
  <c r="Z42"/>
  <c r="BV44"/>
  <c r="BV43" i="3"/>
  <c r="BV43" i="2" s="1"/>
  <c r="BH46"/>
  <c r="AQ48"/>
  <c r="AQ50"/>
  <c r="AT53"/>
  <c r="BJ55"/>
  <c r="CH57"/>
  <c r="AX61"/>
  <c r="O64"/>
  <c r="BK66"/>
  <c r="BG70"/>
  <c r="AA73"/>
  <c r="BZ75" i="3"/>
  <c r="BZ75" i="2" s="1"/>
  <c r="BZ76"/>
  <c r="U80"/>
  <c r="R111"/>
  <c r="P117"/>
  <c r="I125"/>
  <c r="BG133"/>
  <c r="CI142"/>
  <c r="BV152" i="3"/>
  <c r="BV152" i="2" s="1"/>
  <c r="BV153"/>
  <c r="AE170" i="3"/>
  <c r="AE170" i="2" s="1"/>
  <c r="AE171"/>
  <c r="AW220" i="3"/>
  <c r="AW220" i="2" s="1"/>
  <c r="AW221"/>
  <c r="BP6"/>
  <c r="BN8"/>
  <c r="BT10"/>
  <c r="BW13"/>
  <c r="CC15"/>
  <c r="CA17"/>
  <c r="M21"/>
  <c r="K23"/>
  <c r="Q25"/>
  <c r="AB27" i="3"/>
  <c r="AB27" i="2" s="1"/>
  <c r="AB28"/>
  <c r="Z30"/>
  <c r="AF32"/>
  <c r="AT34"/>
  <c r="AW37"/>
  <c r="AU39"/>
  <c r="BI41"/>
  <c r="BD43" i="3"/>
  <c r="BD43" i="2" s="1"/>
  <c r="BD44"/>
  <c r="CG46"/>
  <c r="AZ49"/>
  <c r="V53"/>
  <c r="CE55"/>
  <c r="W59" i="3"/>
  <c r="W59" i="2" s="1"/>
  <c r="W60"/>
  <c r="BQ63"/>
  <c r="AD67" i="3"/>
  <c r="AD67" i="2" s="1"/>
  <c r="AD68"/>
  <c r="CD71"/>
  <c r="AV75" i="3"/>
  <c r="AV75" i="2" s="1"/>
  <c r="AV76"/>
  <c r="BN80"/>
  <c r="AS117"/>
  <c r="CJ129"/>
  <c r="K145"/>
  <c r="M172"/>
  <c r="AK3" i="3"/>
  <c r="AK3" i="2" s="1"/>
  <c r="AK4"/>
  <c r="V7"/>
  <c r="O10"/>
  <c r="AC14"/>
  <c r="Q18"/>
  <c r="R23"/>
  <c r="K27" i="3"/>
  <c r="K27" i="2" s="1"/>
  <c r="K28"/>
  <c r="W32"/>
  <c r="BD37"/>
  <c r="BC42"/>
  <c r="G49"/>
  <c r="BR56"/>
  <c r="CK65"/>
  <c r="BI76"/>
  <c r="BI75" i="3"/>
  <c r="BI75" i="2" s="1"/>
  <c r="BD122"/>
  <c r="L149"/>
  <c r="Y55"/>
  <c r="BO63"/>
  <c r="BQ72"/>
  <c r="BT139"/>
  <c r="Z206"/>
  <c r="CC135" i="3"/>
  <c r="CC135" i="2" s="1"/>
  <c r="CC136"/>
  <c r="M191"/>
  <c r="BP167"/>
  <c r="AY59" i="3"/>
  <c r="AY59" i="2" s="1"/>
  <c r="AY60"/>
  <c r="BL71"/>
  <c r="V113"/>
  <c r="V137"/>
  <c r="CI165"/>
  <c r="AQ78"/>
  <c r="G125"/>
  <c r="AK150"/>
  <c r="BE193"/>
  <c r="AI49"/>
  <c r="X58"/>
  <c r="R67" i="3"/>
  <c r="R67" i="2" s="1"/>
  <c r="R68"/>
  <c r="W77"/>
  <c r="CE122"/>
  <c r="AB141"/>
  <c r="AD163"/>
  <c r="R202"/>
  <c r="CA53"/>
  <c r="G63"/>
  <c r="BU71"/>
  <c r="BZ80"/>
  <c r="W114"/>
  <c r="BA131"/>
  <c r="AF152" i="3"/>
  <c r="AF152" i="2" s="1"/>
  <c r="AF153"/>
  <c r="AW189"/>
  <c r="G129"/>
  <c r="BD143" i="3"/>
  <c r="BD143" i="2" s="1"/>
  <c r="BD144"/>
  <c r="R169"/>
  <c r="BA109" i="3"/>
  <c r="BA109" i="2" s="1"/>
  <c r="BA110"/>
  <c r="AA131"/>
  <c r="BZ168"/>
  <c r="X130"/>
  <c r="CI177"/>
  <c r="AM133"/>
  <c r="H165"/>
  <c r="AP122"/>
  <c r="G151"/>
  <c r="Y201"/>
  <c r="J223"/>
  <c r="CH172"/>
  <c r="BA192"/>
  <c r="BC234"/>
  <c r="BO59" i="3"/>
  <c r="BO59" i="2" s="1"/>
  <c r="BO60"/>
  <c r="BB74"/>
  <c r="AB4"/>
  <c r="AB3" i="3"/>
  <c r="AB3" i="2" s="1"/>
  <c r="BR10"/>
  <c r="AK18"/>
  <c r="W24"/>
  <c r="CJ31"/>
  <c r="AH39"/>
  <c r="X47"/>
  <c r="BB57"/>
  <c r="AS78"/>
  <c r="CK202"/>
  <c r="J14"/>
  <c r="AT25"/>
  <c r="BH37"/>
  <c r="N47"/>
  <c r="BZ64"/>
  <c r="AQ152" i="3"/>
  <c r="AQ152" i="2" s="1"/>
  <c r="AQ153"/>
  <c r="BH10"/>
  <c r="AD23"/>
  <c r="AJ34"/>
  <c r="BO45"/>
  <c r="BR61"/>
  <c r="Q128"/>
  <c r="BN5"/>
  <c r="AO14"/>
  <c r="AI21"/>
  <c r="X30"/>
  <c r="X39"/>
  <c r="AR48"/>
  <c r="BL63"/>
  <c r="U131"/>
  <c r="BB75" i="3"/>
  <c r="BB75" i="2" s="1"/>
  <c r="BB76"/>
  <c r="Z109" i="3"/>
  <c r="Z109" i="2" s="1"/>
  <c r="Z110"/>
  <c r="Z172"/>
  <c r="BZ10"/>
  <c r="BR22"/>
  <c r="S31"/>
  <c r="N42"/>
  <c r="AC56"/>
  <c r="AD71"/>
  <c r="BM133"/>
  <c r="V6"/>
  <c r="AK13"/>
  <c r="AZ19" i="3"/>
  <c r="AZ19" i="2" s="1"/>
  <c r="AZ20"/>
  <c r="BR26"/>
  <c r="CG33"/>
  <c r="G41"/>
  <c r="BW48"/>
  <c r="AP58"/>
  <c r="O71"/>
  <c r="BZ126" i="3"/>
  <c r="BZ126" i="2" s="1"/>
  <c r="BZ127"/>
  <c r="I176"/>
  <c r="X11" i="3"/>
  <c r="X11" i="2" s="1"/>
  <c r="X12"/>
  <c r="AS21"/>
  <c r="BF30"/>
  <c r="CI39"/>
  <c r="AR47"/>
  <c r="CA59" i="3"/>
  <c r="CA59" i="2" s="1"/>
  <c r="CA60"/>
  <c r="Q77"/>
  <c r="AV118" i="3"/>
  <c r="AV118" i="2" s="1"/>
  <c r="AV119"/>
  <c r="BY3" i="3"/>
  <c r="BY3" i="2" s="1"/>
  <c r="BY4"/>
  <c r="I19" i="3"/>
  <c r="I19" i="2" s="1"/>
  <c r="I20"/>
  <c r="AA38"/>
  <c r="O67" i="3"/>
  <c r="O67" i="2" s="1"/>
  <c r="O68"/>
  <c r="CA64"/>
  <c r="G112"/>
  <c r="CF61"/>
  <c r="M170" i="3"/>
  <c r="M170" i="2" s="1"/>
  <c r="M171"/>
  <c r="AT50"/>
  <c r="AI109" i="3"/>
  <c r="AI109" i="2" s="1"/>
  <c r="AI110"/>
  <c r="CE210"/>
  <c r="BE81"/>
  <c r="AG133"/>
  <c r="CI146"/>
  <c r="BE178" i="3"/>
  <c r="BE178" i="2" s="1"/>
  <c r="BE179"/>
  <c r="BF172"/>
  <c r="AX154"/>
  <c r="AM229" i="3"/>
  <c r="AM229" i="2" s="1"/>
  <c r="AM230"/>
  <c r="F70"/>
  <c r="F30"/>
  <c r="F145"/>
  <c r="F138"/>
  <c r="F54"/>
  <c r="F14"/>
  <c r="AP24"/>
  <c r="BG62"/>
  <c r="BX7"/>
  <c r="CD15"/>
  <c r="J70"/>
  <c r="AZ149"/>
  <c r="BQ38"/>
  <c r="AQ75" i="3"/>
  <c r="AQ75" i="2" s="1"/>
  <c r="AQ76"/>
  <c r="AM14"/>
  <c r="Y58"/>
  <c r="AU5"/>
  <c r="BR42"/>
  <c r="X200"/>
  <c r="AO55"/>
  <c r="P18"/>
  <c r="CH46"/>
  <c r="P69"/>
  <c r="AT33"/>
  <c r="BD73"/>
  <c r="BQ6"/>
  <c r="CI19" i="3"/>
  <c r="CI19" i="2" s="1"/>
  <c r="CI20"/>
  <c r="AV38"/>
  <c r="BL64"/>
  <c r="CF126" i="3"/>
  <c r="CF126" i="2" s="1"/>
  <c r="CF127"/>
  <c r="AJ29"/>
  <c r="BC61"/>
  <c r="BW184"/>
  <c r="CB19" i="3"/>
  <c r="CB19" i="2" s="1"/>
  <c r="CB20"/>
  <c r="Y146"/>
  <c r="F25"/>
  <c r="F114"/>
  <c r="F173"/>
  <c r="F165"/>
  <c r="F139"/>
  <c r="F123"/>
  <c r="F117"/>
  <c r="CC9"/>
  <c r="CJ49"/>
  <c r="AV159"/>
  <c r="BQ56"/>
  <c r="AW47"/>
  <c r="AH35" i="3"/>
  <c r="AH35" i="2" s="1"/>
  <c r="AH36"/>
  <c r="BD17"/>
  <c r="AL45"/>
  <c r="P111"/>
  <c r="BD21"/>
  <c r="BI54"/>
  <c r="AY12"/>
  <c r="AY11" i="3"/>
  <c r="AY11" i="2" s="1"/>
  <c r="AD40"/>
  <c r="W49"/>
  <c r="BF25"/>
  <c r="BO73"/>
  <c r="AH15"/>
  <c r="CI8"/>
  <c r="CB40"/>
  <c r="BM9"/>
  <c r="BS27" i="3"/>
  <c r="BS27" i="2" s="1"/>
  <c r="BS28"/>
  <c r="AS42"/>
  <c r="S63"/>
  <c r="AS204" i="3"/>
  <c r="AS204" i="2" s="1"/>
  <c r="AS205"/>
  <c r="CB47"/>
  <c r="BQ5"/>
  <c r="BT23"/>
  <c r="AZ37"/>
  <c r="AA54"/>
  <c r="AG11" i="3"/>
  <c r="AG11" i="2" s="1"/>
  <c r="AG12"/>
  <c r="H55"/>
  <c r="BA6"/>
  <c r="V25"/>
  <c r="CG39"/>
  <c r="CB73"/>
  <c r="P163"/>
  <c r="CH13"/>
  <c r="AP25"/>
  <c r="AX34"/>
  <c r="AN51" i="3"/>
  <c r="AN51" i="2" s="1"/>
  <c r="AN52"/>
  <c r="AC72"/>
  <c r="Q114"/>
  <c r="O178" i="3"/>
  <c r="O178" i="2" s="1"/>
  <c r="O179"/>
  <c r="Q10"/>
  <c r="N19" i="3"/>
  <c r="N19" i="2" s="1"/>
  <c r="N20"/>
  <c r="CD27" i="3"/>
  <c r="CD27" i="2" s="1"/>
  <c r="CD28"/>
  <c r="AL31"/>
  <c r="AU40"/>
  <c r="AC43" i="3"/>
  <c r="AC43" i="2" s="1"/>
  <c r="AC44"/>
  <c r="BN47"/>
  <c r="AE51" i="3"/>
  <c r="AE51" i="2" s="1"/>
  <c r="AE52"/>
  <c r="Q56"/>
  <c r="CB61"/>
  <c r="BW67" i="3"/>
  <c r="BW67" i="2" s="1"/>
  <c r="BW68"/>
  <c r="BS74"/>
  <c r="BU80"/>
  <c r="CC116"/>
  <c r="N137"/>
  <c r="O166"/>
  <c r="G217"/>
  <c r="BD6"/>
  <c r="P9"/>
  <c r="CK12"/>
  <c r="CK11" i="3"/>
  <c r="CK11" i="2" s="1"/>
  <c r="AT15"/>
  <c r="AI18"/>
  <c r="AC22"/>
  <c r="BS24"/>
  <c r="CC33"/>
  <c r="BI37"/>
  <c r="N40"/>
  <c r="BB42"/>
  <c r="AA46"/>
  <c r="BN49"/>
  <c r="AE54"/>
  <c r="AQ58"/>
  <c r="AJ63"/>
  <c r="S67" i="3"/>
  <c r="S67" i="2" s="1"/>
  <c r="S68"/>
  <c r="BO72"/>
  <c r="I80"/>
  <c r="CF124"/>
  <c r="BD141"/>
  <c r="AQ185"/>
  <c r="U5"/>
  <c r="BT6"/>
  <c r="BC8"/>
  <c r="T10"/>
  <c r="BW11" i="3"/>
  <c r="BW11" i="2" s="1"/>
  <c r="BW12"/>
  <c r="AY14"/>
  <c r="R16"/>
  <c r="BQ17"/>
  <c r="AA20"/>
  <c r="AA19" i="3"/>
  <c r="AA19" i="2" s="1"/>
  <c r="BW21"/>
  <c r="AN23"/>
  <c r="AK25"/>
  <c r="CJ26"/>
  <c r="BD29"/>
  <c r="AI31"/>
  <c r="CH32"/>
  <c r="AW34"/>
  <c r="O37"/>
  <c r="BN38"/>
  <c r="AI40"/>
  <c r="CE41"/>
  <c r="BA43" i="3"/>
  <c r="BA43" i="2" s="1"/>
  <c r="BA44"/>
  <c r="AG46"/>
  <c r="AS48"/>
  <c r="CB50"/>
  <c r="N54"/>
  <c r="AK56"/>
  <c r="AE60"/>
  <c r="AE59" i="3"/>
  <c r="AE59" i="2" s="1"/>
  <c r="BH63"/>
  <c r="I69"/>
  <c r="CE74"/>
  <c r="R82"/>
  <c r="BF109" i="3"/>
  <c r="BF109" i="2" s="1"/>
  <c r="BF110"/>
  <c r="AG125"/>
  <c r="BO141"/>
  <c r="AR176"/>
  <c r="BM3" i="3"/>
  <c r="BM3" i="2" s="1"/>
  <c r="BM4"/>
  <c r="CB6"/>
  <c r="BL9"/>
  <c r="AB13"/>
  <c r="BI15"/>
  <c r="AS18"/>
  <c r="BO21"/>
  <c r="AW24"/>
  <c r="M27" i="3"/>
  <c r="M27" i="2" s="1"/>
  <c r="M28"/>
  <c r="AT30"/>
  <c r="Y33"/>
  <c r="AP35" i="3"/>
  <c r="AP35" i="2" s="1"/>
  <c r="AP36"/>
  <c r="Z39"/>
  <c r="BW41"/>
  <c r="AZ45"/>
  <c r="P49"/>
  <c r="T53"/>
  <c r="BM57"/>
  <c r="AT63"/>
  <c r="BA67" i="3"/>
  <c r="BA67" i="2" s="1"/>
  <c r="BA68"/>
  <c r="BI74"/>
  <c r="AM81"/>
  <c r="BD123"/>
  <c r="V141"/>
  <c r="BS180"/>
  <c r="BX3" i="3"/>
  <c r="BX3" i="2" s="1"/>
  <c r="BX4"/>
  <c r="AA7"/>
  <c r="I10"/>
  <c r="Y13"/>
  <c r="H16"/>
  <c r="BI18"/>
  <c r="M22"/>
  <c r="CC24"/>
  <c r="J27" i="3"/>
  <c r="J27" i="2" s="1"/>
  <c r="J28"/>
  <c r="BZ30"/>
  <c r="AO33"/>
  <c r="V37"/>
  <c r="BD40"/>
  <c r="AQ43" i="3"/>
  <c r="AQ43" i="2" s="1"/>
  <c r="AQ44"/>
  <c r="AX47"/>
  <c r="I51" i="3"/>
  <c r="I51" i="2" s="1"/>
  <c r="I52"/>
  <c r="AZ55"/>
  <c r="BS59" i="3"/>
  <c r="BS59" i="2" s="1"/>
  <c r="BS60"/>
  <c r="AT64"/>
  <c r="AB70"/>
  <c r="BR76"/>
  <c r="BR75" i="3"/>
  <c r="BR75" i="2" s="1"/>
  <c r="AG82"/>
  <c r="CJ109" i="3"/>
  <c r="CJ109" i="2" s="1"/>
  <c r="CJ110"/>
  <c r="AR123"/>
  <c r="CD137"/>
  <c r="AD157"/>
  <c r="CA191"/>
  <c r="CI3" i="3"/>
  <c r="CI3" i="2" s="1"/>
  <c r="CI4"/>
  <c r="CD6"/>
  <c r="BO8"/>
  <c r="CH10"/>
  <c r="AW13"/>
  <c r="BR15"/>
  <c r="BO17"/>
  <c r="AT19" i="3"/>
  <c r="AT19" i="2" s="1"/>
  <c r="AT20"/>
  <c r="BA22"/>
  <c r="AH24"/>
  <c r="BD26"/>
  <c r="BG29"/>
  <c r="AO31"/>
  <c r="BJ33"/>
  <c r="AI35" i="3"/>
  <c r="AI35" i="2" s="1"/>
  <c r="AI36"/>
  <c r="AS38"/>
  <c r="AN40"/>
  <c r="AJ42"/>
  <c r="AS45"/>
  <c r="AF47"/>
  <c r="J50"/>
  <c r="BJ53"/>
  <c r="O57"/>
  <c r="AM62"/>
  <c r="BQ66"/>
  <c r="CJ71"/>
  <c r="AX77"/>
  <c r="BC82"/>
  <c r="BE114"/>
  <c r="BJ126" i="3"/>
  <c r="BJ126" i="2" s="1"/>
  <c r="BJ127"/>
  <c r="T141"/>
  <c r="BD157"/>
  <c r="CI208"/>
  <c r="AQ74"/>
  <c r="BP79"/>
  <c r="K116"/>
  <c r="CE128"/>
  <c r="Y142"/>
  <c r="Z159"/>
  <c r="AC196" i="3"/>
  <c r="AC196" i="2" s="1"/>
  <c r="AC197"/>
  <c r="AE5"/>
  <c r="BO7"/>
  <c r="N10"/>
  <c r="BP13"/>
  <c r="P16"/>
  <c r="AY18"/>
  <c r="CB21"/>
  <c r="AM24"/>
  <c r="CI26"/>
  <c r="AQ30"/>
  <c r="BX32"/>
  <c r="AO35" i="3"/>
  <c r="AO35" i="2" s="1"/>
  <c r="AO36"/>
  <c r="CJ38"/>
  <c r="AI41"/>
  <c r="BZ43" i="3"/>
  <c r="BZ43" i="2" s="1"/>
  <c r="BZ44"/>
  <c r="BO47"/>
  <c r="CG50"/>
  <c r="Q55"/>
  <c r="CD58"/>
  <c r="BD64"/>
  <c r="BM69"/>
  <c r="Q74"/>
  <c r="AN79"/>
  <c r="BA116"/>
  <c r="K130"/>
  <c r="AM143" i="3"/>
  <c r="AM143" i="2" s="1"/>
  <c r="AM144"/>
  <c r="L168"/>
  <c r="P3" i="3"/>
  <c r="P3" i="2" s="1"/>
  <c r="P4"/>
  <c r="BG5"/>
  <c r="Y7"/>
  <c r="BP8"/>
  <c r="Z10"/>
  <c r="BV11" i="3"/>
  <c r="BV11" i="2" s="1"/>
  <c r="BV12"/>
  <c r="AN14"/>
  <c r="CE15"/>
  <c r="AW17"/>
  <c r="L19" i="3"/>
  <c r="L19" i="2" s="1"/>
  <c r="L20"/>
  <c r="BC21"/>
  <c r="U23"/>
  <c r="BL24"/>
  <c r="AD26"/>
  <c r="BZ27" i="3"/>
  <c r="BZ27" i="2" s="1"/>
  <c r="BZ28"/>
  <c r="AJ30"/>
  <c r="CA31"/>
  <c r="AS33"/>
  <c r="CJ34"/>
  <c r="AQ37"/>
  <c r="I39"/>
  <c r="AZ40"/>
  <c r="J42"/>
  <c r="BF43" i="3"/>
  <c r="BF43" i="2" s="1"/>
  <c r="BF44"/>
  <c r="AO46"/>
  <c r="U48"/>
  <c r="W50"/>
  <c r="Z53"/>
  <c r="AL55"/>
  <c r="BJ57"/>
  <c r="W61"/>
  <c r="BT63"/>
  <c r="AJ66"/>
  <c r="AC70"/>
  <c r="CE72"/>
  <c r="AY75" i="3"/>
  <c r="AY75" i="2" s="1"/>
  <c r="AY76"/>
  <c r="BF79"/>
  <c r="CB82"/>
  <c r="AO109" i="3"/>
  <c r="AO109" i="2" s="1"/>
  <c r="AO110"/>
  <c r="AR116"/>
  <c r="T124"/>
  <c r="CA132"/>
  <c r="CJ141"/>
  <c r="AL151"/>
  <c r="AX167"/>
  <c r="BJ207"/>
  <c r="AR6"/>
  <c r="AP8"/>
  <c r="BD10"/>
  <c r="AY13"/>
  <c r="BE15"/>
  <c r="BK17"/>
  <c r="BN19" i="3"/>
  <c r="BN19" i="2" s="1"/>
  <c r="BN20"/>
  <c r="BT22"/>
  <c r="CH24"/>
  <c r="CF26"/>
  <c r="CI29"/>
  <c r="P32"/>
  <c r="V34"/>
  <c r="Y37"/>
  <c r="AE39"/>
  <c r="AK41"/>
  <c r="AF43" i="3"/>
  <c r="AF43" i="2" s="1"/>
  <c r="AF44"/>
  <c r="BO46"/>
  <c r="T49"/>
  <c r="BW51" i="3"/>
  <c r="BW51" i="2" s="1"/>
  <c r="BW52"/>
  <c r="BG55"/>
  <c r="BN58"/>
  <c r="AA63"/>
  <c r="CI66"/>
  <c r="AM71"/>
  <c r="BZ74"/>
  <c r="Q80"/>
  <c r="AC116"/>
  <c r="BO128"/>
  <c r="Q143" i="3"/>
  <c r="Q143" i="2" s="1"/>
  <c r="Q144"/>
  <c r="AT165"/>
  <c r="M3" i="3"/>
  <c r="M3" i="2" s="1"/>
  <c r="M4"/>
  <c r="CE6"/>
  <c r="BH9"/>
  <c r="BN13"/>
  <c r="CH17"/>
  <c r="BK22"/>
  <c r="AY26"/>
  <c r="BH31"/>
  <c r="BY35" i="3"/>
  <c r="BY35" i="2" s="1"/>
  <c r="BY36"/>
  <c r="BX41"/>
  <c r="G48"/>
  <c r="BF55"/>
  <c r="AY64"/>
  <c r="AI74"/>
  <c r="BT117"/>
  <c r="BA143" i="3"/>
  <c r="BA143" i="2" s="1"/>
  <c r="BA144"/>
  <c r="BS206"/>
  <c r="AP62"/>
  <c r="AS71"/>
  <c r="L134"/>
  <c r="AR190"/>
  <c r="AD131"/>
  <c r="Y178" i="3"/>
  <c r="Y178" i="2" s="1"/>
  <c r="Y179"/>
  <c r="AI161" i="3"/>
  <c r="AI161" i="2" s="1"/>
  <c r="AI162"/>
  <c r="CD231"/>
  <c r="K70"/>
  <c r="BD81"/>
  <c r="AH109" i="3"/>
  <c r="AH109" i="2" s="1"/>
  <c r="AH110"/>
  <c r="Y132"/>
  <c r="G160"/>
  <c r="AS224"/>
  <c r="CE121"/>
  <c r="CF146"/>
  <c r="AG185"/>
  <c r="P48"/>
  <c r="CD56"/>
  <c r="CI65"/>
  <c r="BX74"/>
  <c r="AS120"/>
  <c r="BO138"/>
  <c r="M158"/>
  <c r="AJ195"/>
  <c r="BP51" i="3"/>
  <c r="BP51" i="2" s="1"/>
  <c r="BP52"/>
  <c r="BU61"/>
  <c r="BB70"/>
  <c r="BG79"/>
  <c r="AG112"/>
  <c r="BW128"/>
  <c r="H149"/>
  <c r="AE181"/>
  <c r="Q126" i="3"/>
  <c r="Q126" i="2" s="1"/>
  <c r="Q127"/>
  <c r="K141"/>
  <c r="I164"/>
  <c r="AC216"/>
  <c r="CA126" i="3"/>
  <c r="CA126" i="2" s="1"/>
  <c r="CA127"/>
  <c r="AM158"/>
  <c r="BB124"/>
  <c r="Q166"/>
  <c r="CJ128"/>
  <c r="Q158"/>
  <c r="BE117"/>
  <c r="AQ147"/>
  <c r="BS191"/>
  <c r="T202"/>
  <c r="M159"/>
  <c r="CG225"/>
  <c r="AO236"/>
  <c r="F150"/>
  <c r="F22"/>
  <c r="F192"/>
  <c r="F130"/>
  <c r="F118" i="3"/>
  <c r="F118" i="2" s="1"/>
  <c r="F119"/>
  <c r="F160"/>
  <c r="F152" i="3"/>
  <c r="F152" i="2" s="1"/>
  <c r="F153"/>
  <c r="F32"/>
  <c r="F202"/>
  <c r="F131"/>
  <c r="F231"/>
  <c r="F45"/>
  <c r="F67" i="3"/>
  <c r="F67" i="2" s="1"/>
  <c r="F68"/>
  <c r="F79"/>
  <c r="F169"/>
  <c r="F40"/>
  <c r="F3" i="3"/>
  <c r="F3" i="2" s="1"/>
  <c r="F4"/>
  <c r="F211"/>
  <c r="F6"/>
  <c r="F195"/>
  <c r="F41"/>
  <c r="F69"/>
  <c r="F124"/>
  <c r="CC6"/>
  <c r="T118" i="3"/>
  <c r="T118" i="2" s="1"/>
  <c r="T119"/>
  <c r="AP155"/>
  <c r="CG5"/>
  <c r="AW46"/>
  <c r="N131"/>
  <c r="CD37"/>
  <c r="AU114"/>
  <c r="AA42"/>
  <c r="CH18"/>
  <c r="BY51" i="3"/>
  <c r="BY51" i="2" s="1"/>
  <c r="BY52"/>
  <c r="AO43" i="3"/>
  <c r="AO43" i="2" s="1"/>
  <c r="AO44"/>
  <c r="AO32"/>
  <c r="AA138"/>
  <c r="AL33"/>
  <c r="BZ71"/>
  <c r="AV7"/>
  <c r="BD16"/>
  <c r="T25"/>
  <c r="CI34"/>
  <c r="AG43" i="3"/>
  <c r="AG43" i="2" s="1"/>
  <c r="AG44"/>
  <c r="BK54"/>
  <c r="AN71"/>
  <c r="BS220" i="3"/>
  <c r="BS220" i="2" s="1"/>
  <c r="BS221"/>
  <c r="AY10"/>
  <c r="BD20"/>
  <c r="BD19" i="3"/>
  <c r="BD19" i="2" s="1"/>
  <c r="CF34"/>
  <c r="T43" i="3"/>
  <c r="T43" i="2" s="1"/>
  <c r="T44"/>
  <c r="AS53"/>
  <c r="W66"/>
  <c r="BR81"/>
  <c r="Z113"/>
  <c r="CG152" i="3"/>
  <c r="CG152" i="2" s="1"/>
  <c r="CG153"/>
  <c r="AI10"/>
  <c r="BC19" i="3"/>
  <c r="BC19" i="2" s="1"/>
  <c r="BC20"/>
  <c r="CH30"/>
  <c r="AF39"/>
  <c r="BS50"/>
  <c r="CE64"/>
  <c r="CB152" i="3"/>
  <c r="CB152" i="2" s="1"/>
  <c r="CB153"/>
  <c r="AG10"/>
  <c r="CG30"/>
  <c r="BW43" i="3"/>
  <c r="BW43" i="2" s="1"/>
  <c r="BW44"/>
  <c r="BL152" i="3"/>
  <c r="BL152" i="2" s="1"/>
  <c r="BL153"/>
  <c r="S11" i="3"/>
  <c r="S11" i="2" s="1"/>
  <c r="S12"/>
  <c r="BH24"/>
  <c r="AU33"/>
  <c r="BM42"/>
  <c r="P54"/>
  <c r="BN70"/>
  <c r="BY139"/>
  <c r="AG13"/>
  <c r="CJ29"/>
  <c r="CG56"/>
  <c r="Q3" i="3"/>
  <c r="Q3" i="2" s="1"/>
  <c r="Q4"/>
  <c r="R21"/>
  <c r="BA30"/>
  <c r="CE39"/>
  <c r="G50"/>
  <c r="BP65"/>
  <c r="AZ155"/>
  <c r="CC16"/>
  <c r="W5"/>
  <c r="Y9"/>
  <c r="Q14"/>
  <c r="AD18"/>
  <c r="AM23"/>
  <c r="AH27" i="3"/>
  <c r="AH27" i="2" s="1"/>
  <c r="AH28"/>
  <c r="V32"/>
  <c r="R37"/>
  <c r="AY41"/>
  <c r="V47"/>
  <c r="AD54"/>
  <c r="X62"/>
  <c r="AY70"/>
  <c r="Y79"/>
  <c r="BJ117"/>
  <c r="BP146"/>
  <c r="AF199"/>
  <c r="BN9"/>
  <c r="AT22"/>
  <c r="BK34"/>
  <c r="Y46"/>
  <c r="BA56"/>
  <c r="S73"/>
  <c r="AU143" i="3"/>
  <c r="AU143" i="2" s="1"/>
  <c r="AU144"/>
  <c r="V5"/>
  <c r="N9"/>
  <c r="L14"/>
  <c r="W18"/>
  <c r="AL23"/>
  <c r="R28"/>
  <c r="R27" i="3"/>
  <c r="R27" i="2" s="1"/>
  <c r="U32"/>
  <c r="M37"/>
  <c r="CH41"/>
  <c r="BR46"/>
  <c r="BT53"/>
  <c r="AZ59" i="3"/>
  <c r="AZ59" i="2" s="1"/>
  <c r="AZ60"/>
  <c r="BK67" i="3"/>
  <c r="BK67" i="2" s="1"/>
  <c r="BK68"/>
  <c r="AY82"/>
  <c r="O109" i="3"/>
  <c r="O109" i="2" s="1"/>
  <c r="O110"/>
  <c r="BZ134"/>
  <c r="K160"/>
  <c r="AD10"/>
  <c r="CF25"/>
  <c r="AA34"/>
  <c r="BB41"/>
  <c r="AX51" i="3"/>
  <c r="AX51" i="2" s="1"/>
  <c r="AX52"/>
  <c r="BN69"/>
  <c r="BD139"/>
  <c r="P6"/>
  <c r="BE10"/>
  <c r="BC15"/>
  <c r="CA19" i="3"/>
  <c r="CA19" i="2" s="1"/>
  <c r="CA20"/>
  <c r="BO24"/>
  <c r="BO29"/>
  <c r="AW33"/>
  <c r="AK39"/>
  <c r="AS43" i="3"/>
  <c r="AS43" i="2" s="1"/>
  <c r="AS44"/>
  <c r="BV48"/>
  <c r="AQ55"/>
  <c r="AK64"/>
  <c r="CI71"/>
  <c r="S122"/>
  <c r="R151"/>
  <c r="AU3" i="3"/>
  <c r="AU3" i="2" s="1"/>
  <c r="AU4"/>
  <c r="AH7"/>
  <c r="BW9"/>
  <c r="BE13"/>
  <c r="U16"/>
  <c r="BQ18"/>
  <c r="AK22"/>
  <c r="O25"/>
  <c r="CI27" i="3"/>
  <c r="CI27" i="2" s="1"/>
  <c r="CI28"/>
  <c r="AN31"/>
  <c r="Y34"/>
  <c r="BK37"/>
  <c r="AV40"/>
  <c r="CK42"/>
  <c r="AN47"/>
  <c r="BF50"/>
  <c r="X55"/>
  <c r="AG59" i="3"/>
  <c r="AG59" i="2" s="1"/>
  <c r="AG60"/>
  <c r="J65"/>
  <c r="BI71"/>
  <c r="AO77"/>
  <c r="CJ111"/>
  <c r="CC132"/>
  <c r="BU148"/>
  <c r="BX174"/>
  <c r="AR3" i="3"/>
  <c r="AR3" i="2" s="1"/>
  <c r="AR4"/>
  <c r="AF7"/>
  <c r="BU9"/>
  <c r="BD13"/>
  <c r="Q16"/>
  <c r="BO18"/>
  <c r="BI22"/>
  <c r="N25"/>
  <c r="BA27" i="3"/>
  <c r="BA27" i="2" s="1"/>
  <c r="BA28"/>
  <c r="K31"/>
  <c r="S34"/>
  <c r="BJ37"/>
  <c r="S40"/>
  <c r="CG42"/>
  <c r="AJ47"/>
  <c r="BD50"/>
  <c r="BL55"/>
  <c r="AE61"/>
  <c r="AB67" i="3"/>
  <c r="AB67" i="2" s="1"/>
  <c r="AB68"/>
  <c r="AD73"/>
  <c r="K80"/>
  <c r="BE115"/>
  <c r="AW132"/>
  <c r="AA156"/>
  <c r="AS206"/>
  <c r="AE6"/>
  <c r="BW8"/>
  <c r="BI11" i="3"/>
  <c r="BI11" i="2" s="1"/>
  <c r="BI12"/>
  <c r="O15"/>
  <c r="BN17"/>
  <c r="CK21"/>
  <c r="AQ24"/>
  <c r="X27" i="3"/>
  <c r="X27" i="2" s="1"/>
  <c r="X28"/>
  <c r="BO30"/>
  <c r="BC33"/>
  <c r="AD37"/>
  <c r="BT39"/>
  <c r="AC42"/>
  <c r="CF45"/>
  <c r="X49"/>
  <c r="AY53"/>
  <c r="CI57"/>
  <c r="CB62"/>
  <c r="CG66"/>
  <c r="G72"/>
  <c r="AJ79"/>
  <c r="AF121"/>
  <c r="CH139"/>
  <c r="CC163"/>
  <c r="CK3" i="3"/>
  <c r="CK3" i="2" s="1"/>
  <c r="CK4"/>
  <c r="BC6"/>
  <c r="AL8"/>
  <c r="CK9"/>
  <c r="BE11" i="3"/>
  <c r="BE11" i="2" s="1"/>
  <c r="BE12"/>
  <c r="AI14"/>
  <c r="CH15"/>
  <c r="AZ17"/>
  <c r="H19" i="3"/>
  <c r="H19" i="2" s="1"/>
  <c r="H20"/>
  <c r="BF21"/>
  <c r="X23"/>
  <c r="U25"/>
  <c r="BS26"/>
  <c r="AN29"/>
  <c r="R31"/>
  <c r="BQ32"/>
  <c r="AG34"/>
  <c r="CE35" i="3"/>
  <c r="CE35" i="2" s="1"/>
  <c r="CE36"/>
  <c r="AX38"/>
  <c r="P40"/>
  <c r="BN41"/>
  <c r="AJ43" i="3"/>
  <c r="AJ43" i="2" s="1"/>
  <c r="AJ44"/>
  <c r="M46"/>
  <c r="W48"/>
  <c r="BE50"/>
  <c r="BY53"/>
  <c r="L56"/>
  <c r="BX58"/>
  <c r="CJ62"/>
  <c r="BR67" i="3"/>
  <c r="BR67" i="2" s="1"/>
  <c r="BR68"/>
  <c r="AU74"/>
  <c r="BH80"/>
  <c r="U124"/>
  <c r="BA138"/>
  <c r="CA170" i="3"/>
  <c r="CA170" i="2" s="1"/>
  <c r="CA171"/>
  <c r="AJ3" i="3"/>
  <c r="AJ3" i="2" s="1"/>
  <c r="AJ4"/>
  <c r="BL6"/>
  <c r="AT9"/>
  <c r="BO11" i="3"/>
  <c r="BO11" i="2" s="1"/>
  <c r="BO12"/>
  <c r="AR15"/>
  <c r="K18"/>
  <c r="AX21"/>
  <c r="AE24"/>
  <c r="AS26"/>
  <c r="AC30"/>
  <c r="BZ32"/>
  <c r="Y35" i="3"/>
  <c r="Y35" i="2" s="1"/>
  <c r="Y36"/>
  <c r="H39"/>
  <c r="Y41"/>
  <c r="AD45"/>
  <c r="BE48"/>
  <c r="CD51" i="3"/>
  <c r="CD51" i="2" s="1"/>
  <c r="CD52"/>
  <c r="AO57"/>
  <c r="AN62"/>
  <c r="AA67" i="3"/>
  <c r="AA67" i="2" s="1"/>
  <c r="AA68"/>
  <c r="BW73"/>
  <c r="CI80"/>
  <c r="BG121"/>
  <c r="AA140"/>
  <c r="AM177"/>
  <c r="AH3" i="3"/>
  <c r="AH3" i="2" s="1"/>
  <c r="AH4"/>
  <c r="J7"/>
  <c r="BG9"/>
  <c r="H13"/>
  <c r="BY15"/>
  <c r="H18"/>
  <c r="CD21"/>
  <c r="AR24"/>
  <c r="BY26"/>
  <c r="BI30"/>
  <c r="BY32"/>
  <c r="BU35" i="3"/>
  <c r="BU35" i="2" s="1"/>
  <c r="BU36"/>
  <c r="W40"/>
  <c r="Y43" i="3"/>
  <c r="Y43" i="2" s="1"/>
  <c r="Y44"/>
  <c r="AE47"/>
  <c r="AP50"/>
  <c r="AA55"/>
  <c r="K59" i="3"/>
  <c r="K59" i="2" s="1"/>
  <c r="K60"/>
  <c r="P64"/>
  <c r="CC69"/>
  <c r="AA74"/>
  <c r="CB81"/>
  <c r="R109" i="3"/>
  <c r="R109" i="2" s="1"/>
  <c r="R110"/>
  <c r="AY120"/>
  <c r="CK135" i="3"/>
  <c r="CK135" i="2" s="1"/>
  <c r="CK136"/>
  <c r="AQ154"/>
  <c r="AB189"/>
  <c r="BV3" i="3"/>
  <c r="BV3" i="2" s="1"/>
  <c r="BV4"/>
  <c r="AS6"/>
  <c r="BB8"/>
  <c r="BI10"/>
  <c r="AL13"/>
  <c r="BF15"/>
  <c r="AB17"/>
  <c r="AF19" i="3"/>
  <c r="AF19" i="2" s="1"/>
  <c r="AF20"/>
  <c r="AB22"/>
  <c r="T24"/>
  <c r="AP26"/>
  <c r="T29"/>
  <c r="AA31"/>
  <c r="AJ33"/>
  <c r="W35" i="3"/>
  <c r="W35" i="2" s="1"/>
  <c r="W36"/>
  <c r="AF38"/>
  <c r="CJ39"/>
  <c r="V42"/>
  <c r="P45"/>
  <c r="R47"/>
  <c r="BZ49"/>
  <c r="M53"/>
  <c r="AO56"/>
  <c r="BF61"/>
  <c r="BR65"/>
  <c r="U71"/>
  <c r="BM75" i="3"/>
  <c r="BM75" i="2" s="1"/>
  <c r="BM76"/>
  <c r="BL81"/>
  <c r="BB111"/>
  <c r="O124"/>
  <c r="T139"/>
  <c r="BB154"/>
  <c r="AN193"/>
  <c r="BI73"/>
  <c r="CE78"/>
  <c r="Y114"/>
  <c r="CK125"/>
  <c r="W140"/>
  <c r="H155"/>
  <c r="L189"/>
  <c r="BO3" i="3"/>
  <c r="BO3" i="2" s="1"/>
  <c r="BO4"/>
  <c r="AB7"/>
  <c r="BJ9"/>
  <c r="AD13"/>
  <c r="BJ15"/>
  <c r="M18"/>
  <c r="AO21"/>
  <c r="CI23"/>
  <c r="AV26"/>
  <c r="BX29"/>
  <c r="AK32"/>
  <c r="CD34"/>
  <c r="AW38"/>
  <c r="CG40"/>
  <c r="AL43" i="3"/>
  <c r="AL43" i="2" s="1"/>
  <c r="AL44"/>
  <c r="W47"/>
  <c r="AH50"/>
  <c r="AY54"/>
  <c r="O58"/>
  <c r="BW63"/>
  <c r="CK67" i="3"/>
  <c r="CK67" i="2" s="1"/>
  <c r="CK68"/>
  <c r="AL73"/>
  <c r="AZ78"/>
  <c r="V114"/>
  <c r="P126" i="3"/>
  <c r="P126" i="2" s="1"/>
  <c r="P127"/>
  <c r="AR141"/>
  <c r="BL163"/>
  <c r="CC209"/>
  <c r="AI5"/>
  <c r="CH6"/>
  <c r="AR8"/>
  <c r="CI9"/>
  <c r="AX11" i="3"/>
  <c r="AX11" i="2" s="1"/>
  <c r="AX12"/>
  <c r="P14"/>
  <c r="BG15"/>
  <c r="Y17"/>
  <c r="BP18"/>
  <c r="AE21"/>
  <c r="BV22"/>
  <c r="AN24"/>
  <c r="CE25"/>
  <c r="BB27" i="3"/>
  <c r="BB27" i="2" s="1"/>
  <c r="BB28"/>
  <c r="L30"/>
  <c r="BC31"/>
  <c r="U33"/>
  <c r="BL34"/>
  <c r="S37"/>
  <c r="BR38"/>
  <c r="AB40"/>
  <c r="BS41"/>
  <c r="AH43" i="3"/>
  <c r="AH43" i="2" s="1"/>
  <c r="AH44"/>
  <c r="N46"/>
  <c r="BV47"/>
  <c r="BX49"/>
  <c r="CA52"/>
  <c r="CA51" i="3"/>
  <c r="CA51" i="2" s="1"/>
  <c r="CK54"/>
  <c r="Y57"/>
  <c r="BP59" i="3"/>
  <c r="BP59" i="2" s="1"/>
  <c r="BP60"/>
  <c r="AF63"/>
  <c r="CC65"/>
  <c r="BU69"/>
  <c r="AO72"/>
  <c r="H75" i="3"/>
  <c r="H75" i="2" s="1"/>
  <c r="H76"/>
  <c r="J79"/>
  <c r="AC82"/>
  <c r="CC114"/>
  <c r="BW122"/>
  <c r="AR131"/>
  <c r="S140"/>
  <c r="BT149"/>
  <c r="AS164"/>
  <c r="P199"/>
  <c r="L6"/>
  <c r="R8"/>
  <c r="X10"/>
  <c r="S13"/>
  <c r="AG15"/>
  <c r="AE17"/>
  <c r="AH19" i="3"/>
  <c r="AH19" i="2" s="1"/>
  <c r="AH20"/>
  <c r="AV22"/>
  <c r="BB24"/>
  <c r="AZ26"/>
  <c r="BK29"/>
  <c r="BQ31"/>
  <c r="BO33"/>
  <c r="CH35" i="3"/>
  <c r="CH35" i="2" s="1"/>
  <c r="CH36"/>
  <c r="CF38"/>
  <c r="CD40"/>
  <c r="H43" i="3"/>
  <c r="H43" i="2" s="1"/>
  <c r="H44"/>
  <c r="AD46"/>
  <c r="BI48"/>
  <c r="AQ51" i="3"/>
  <c r="AQ51" i="2" s="1"/>
  <c r="AQ52"/>
  <c r="K55"/>
  <c r="J58"/>
  <c r="BT62"/>
  <c r="AG66"/>
  <c r="BQ70"/>
  <c r="AK74"/>
  <c r="AM79"/>
  <c r="AR114"/>
  <c r="AN125"/>
  <c r="AY140"/>
  <c r="AM160"/>
  <c r="BY206"/>
  <c r="AI6"/>
  <c r="AB9"/>
  <c r="CI11" i="3"/>
  <c r="CI11" i="2" s="1"/>
  <c r="CI12"/>
  <c r="BW16"/>
  <c r="G22"/>
  <c r="CB25"/>
  <c r="CC30"/>
  <c r="BQ34"/>
  <c r="BM40"/>
  <c r="BW46"/>
  <c r="K54"/>
  <c r="CG62"/>
  <c r="X72"/>
  <c r="BT82"/>
  <c r="CJ112"/>
  <c r="H139"/>
  <c r="BJ185"/>
  <c r="AP59" i="3"/>
  <c r="AP59" i="2" s="1"/>
  <c r="AP60"/>
  <c r="BP69"/>
  <c r="G82"/>
  <c r="CD125"/>
  <c r="CE172"/>
  <c r="BH202"/>
  <c r="AH123"/>
  <c r="AW164"/>
  <c r="BZ154"/>
  <c r="AW203"/>
  <c r="CF66"/>
  <c r="N79"/>
  <c r="Z126" i="3"/>
  <c r="Z126" i="2" s="1"/>
  <c r="Z127"/>
  <c r="AS152" i="3"/>
  <c r="AS152" i="2" s="1"/>
  <c r="AS153"/>
  <c r="AX199"/>
  <c r="AW116"/>
  <c r="BS140"/>
  <c r="L174"/>
  <c r="AX46"/>
  <c r="AE55"/>
  <c r="L64"/>
  <c r="Y73"/>
  <c r="N82"/>
  <c r="AO116"/>
  <c r="T134"/>
  <c r="BA152" i="3"/>
  <c r="BA152" i="2" s="1"/>
  <c r="BA153"/>
  <c r="BM186"/>
  <c r="L50"/>
  <c r="CH58"/>
  <c r="CB67" i="3"/>
  <c r="CB67" i="2" s="1"/>
  <c r="CB68"/>
  <c r="BQ77"/>
  <c r="I124"/>
  <c r="CA143" i="3"/>
  <c r="CA143" i="2" s="1"/>
  <c r="CA144"/>
  <c r="BI172"/>
  <c r="AA123"/>
  <c r="AE137"/>
  <c r="BA156"/>
  <c r="S200"/>
  <c r="AT123"/>
  <c r="BA149"/>
  <c r="AW115"/>
  <c r="BY154"/>
  <c r="O123"/>
  <c r="CH150"/>
  <c r="CC202"/>
  <c r="Z112"/>
  <c r="AB140"/>
  <c r="CC178" i="3"/>
  <c r="CC178" i="2" s="1"/>
  <c r="CC179"/>
  <c r="AN184"/>
  <c r="CJ199"/>
  <c r="AO194"/>
  <c r="AE227"/>
  <c r="BH55"/>
  <c r="AA82"/>
  <c r="Q132"/>
  <c r="AK7"/>
  <c r="R15"/>
  <c r="AQ22"/>
  <c r="AK30"/>
  <c r="BP37"/>
  <c r="U45"/>
  <c r="CC54"/>
  <c r="R71"/>
  <c r="AG115"/>
  <c r="AC5"/>
  <c r="CA16"/>
  <c r="CC27" i="3"/>
  <c r="CC27" i="2" s="1"/>
  <c r="CC28"/>
  <c r="X40"/>
  <c r="AD55"/>
  <c r="Z77"/>
  <c r="BM114"/>
  <c r="BI5"/>
  <c r="J17"/>
  <c r="AB29"/>
  <c r="AN41"/>
  <c r="AM57"/>
  <c r="BI78"/>
  <c r="BZ161" i="3"/>
  <c r="BZ161" i="2" s="1"/>
  <c r="BZ162"/>
  <c r="BR9"/>
  <c r="AF18"/>
  <c r="AO27" i="3"/>
  <c r="AO27" i="2" s="1"/>
  <c r="AO28"/>
  <c r="AB37"/>
  <c r="CK45"/>
  <c r="BJ54"/>
  <c r="AZ73"/>
  <c r="AO145"/>
  <c r="W81"/>
  <c r="AJ147"/>
  <c r="AT8"/>
  <c r="CB16"/>
  <c r="BF27" i="3"/>
  <c r="BF27" i="2" s="1"/>
  <c r="BF28"/>
  <c r="BO39"/>
  <c r="CJ51" i="3"/>
  <c r="CJ51" i="2" s="1"/>
  <c r="CJ52"/>
  <c r="AC75" i="3"/>
  <c r="AC75" i="2" s="1"/>
  <c r="AC76"/>
  <c r="W109" i="3"/>
  <c r="W109" i="2" s="1"/>
  <c r="W110"/>
  <c r="M183"/>
  <c r="W9"/>
  <c r="AT16"/>
  <c r="BI23"/>
  <c r="AG29"/>
  <c r="AN35" i="3"/>
  <c r="AN35" i="2" s="1"/>
  <c r="AN36"/>
  <c r="AX42"/>
  <c r="BW50"/>
  <c r="G62"/>
  <c r="BP73"/>
  <c r="O112"/>
  <c r="S145"/>
  <c r="O7"/>
  <c r="AB16"/>
  <c r="BE25"/>
  <c r="BT32"/>
  <c r="H42"/>
  <c r="BN53"/>
  <c r="O69"/>
  <c r="BF149"/>
  <c r="AU10"/>
  <c r="BO27" i="3"/>
  <c r="BO27" i="2" s="1"/>
  <c r="BO28"/>
  <c r="BS49"/>
  <c r="CG124"/>
  <c r="CD73"/>
  <c r="I161" i="3"/>
  <c r="I161" i="2" s="1"/>
  <c r="I162"/>
  <c r="BK203"/>
  <c r="AO79"/>
  <c r="AO154"/>
  <c r="AK69"/>
  <c r="O143" i="3"/>
  <c r="O143" i="2" s="1"/>
  <c r="O144"/>
  <c r="J64"/>
  <c r="L155"/>
  <c r="CK174"/>
  <c r="O135" i="3"/>
  <c r="O135" i="2" s="1"/>
  <c r="O136"/>
  <c r="AY125"/>
  <c r="AA190"/>
  <c r="F196" i="3"/>
  <c r="F196" i="2" s="1"/>
  <c r="F197"/>
  <c r="F182"/>
  <c r="F110"/>
  <c r="F109" i="3"/>
  <c r="F109" i="2" s="1"/>
  <c r="F156"/>
  <c r="F82"/>
  <c r="F215"/>
  <c r="F63"/>
  <c r="AZ23"/>
  <c r="CF10"/>
  <c r="AM33"/>
  <c r="CF11" i="3"/>
  <c r="CF11" i="2" s="1"/>
  <c r="CF12"/>
  <c r="CE9"/>
  <c r="AZ10"/>
  <c r="AT47"/>
  <c r="P23"/>
  <c r="AO47"/>
  <c r="AJ14"/>
  <c r="BD54"/>
  <c r="AG16"/>
  <c r="BD112"/>
  <c r="AR37"/>
  <c r="CI78"/>
  <c r="CC36"/>
  <c r="CC35" i="3"/>
  <c r="CC35" i="2" s="1"/>
  <c r="AZ42"/>
  <c r="AO23"/>
  <c r="BN15"/>
  <c r="BP33"/>
  <c r="BD49"/>
  <c r="BM82"/>
  <c r="BO14"/>
  <c r="AR80"/>
  <c r="BG10"/>
  <c r="BP29"/>
  <c r="AE14"/>
  <c r="F47"/>
  <c r="F31"/>
  <c r="F234"/>
  <c r="F37"/>
  <c r="F198"/>
  <c r="F66"/>
  <c r="F172"/>
  <c r="F194"/>
  <c r="BI191"/>
  <c r="M138"/>
  <c r="BQ48"/>
  <c r="CJ149"/>
  <c r="AK43" i="3"/>
  <c r="AK43" i="2" s="1"/>
  <c r="AK44"/>
  <c r="I142"/>
  <c r="AQ8"/>
  <c r="CK36"/>
  <c r="CK35" i="3"/>
  <c r="CK35" i="2" s="1"/>
  <c r="CJ72"/>
  <c r="BA11" i="3"/>
  <c r="BA11" i="2" s="1"/>
  <c r="BA12"/>
  <c r="AK45"/>
  <c r="BU116"/>
  <c r="Z21"/>
  <c r="Q51" i="3"/>
  <c r="Q51" i="2" s="1"/>
  <c r="Q52"/>
  <c r="AQ161" i="3"/>
  <c r="AQ161" i="2" s="1"/>
  <c r="AQ162"/>
  <c r="CC32"/>
  <c r="G13"/>
  <c r="BR43" i="3"/>
  <c r="BR43" i="2" s="1"/>
  <c r="BR44"/>
  <c r="BM142"/>
  <c r="X63"/>
  <c r="BU22"/>
  <c r="CE51" i="3"/>
  <c r="CE51" i="2" s="1"/>
  <c r="CE52"/>
  <c r="BV159"/>
  <c r="BV5"/>
  <c r="BW18"/>
  <c r="BU32"/>
  <c r="CA47"/>
  <c r="W71"/>
  <c r="AW120"/>
  <c r="BZ11" i="3"/>
  <c r="BZ11" i="2" s="1"/>
  <c r="BZ12"/>
  <c r="AB35" i="3"/>
  <c r="AB35" i="2" s="1"/>
  <c r="AB36"/>
  <c r="AA75" i="3"/>
  <c r="AA75" i="2" s="1"/>
  <c r="AA76"/>
  <c r="AV149"/>
  <c r="BK14"/>
  <c r="BQ27" i="3"/>
  <c r="BQ27" i="2" s="1"/>
  <c r="BQ28"/>
  <c r="AR42"/>
  <c r="AV61"/>
  <c r="AO113"/>
  <c r="AT167"/>
  <c r="BX35" i="3"/>
  <c r="BX35" i="2" s="1"/>
  <c r="BX36"/>
  <c r="BK70"/>
  <c r="BR146"/>
  <c r="M16"/>
  <c r="V30"/>
  <c r="I45"/>
  <c r="AE56"/>
  <c r="BR3" i="3"/>
  <c r="BR3" i="2" s="1"/>
  <c r="BR4"/>
  <c r="S10"/>
  <c r="S19" i="3"/>
  <c r="S19" i="2" s="1"/>
  <c r="S20"/>
  <c r="AA29"/>
  <c r="AE38"/>
  <c r="AD43" i="3"/>
  <c r="AD43" i="2" s="1"/>
  <c r="AD44"/>
  <c r="BM55"/>
  <c r="BF65"/>
  <c r="CI150"/>
  <c r="BF7"/>
  <c r="AU16"/>
  <c r="AM25"/>
  <c r="CI37"/>
  <c r="AX27" i="3"/>
  <c r="AX27" i="2" s="1"/>
  <c r="AX28"/>
  <c r="F51" i="3"/>
  <c r="F51" i="2" s="1"/>
  <c r="F52"/>
  <c r="F33"/>
  <c r="F146"/>
  <c r="F19" i="3"/>
  <c r="F19" i="2" s="1"/>
  <c r="F20"/>
  <c r="F187" i="3"/>
  <c r="F187" i="2" s="1"/>
  <c r="F188"/>
  <c r="F58"/>
  <c r="F190"/>
  <c r="F222"/>
  <c r="F21"/>
  <c r="F166"/>
  <c r="F228"/>
  <c r="CD79"/>
  <c r="AY78"/>
  <c r="CB123"/>
  <c r="K82"/>
  <c r="BT13"/>
  <c r="AD41"/>
  <c r="S111"/>
  <c r="AU67" i="3"/>
  <c r="AU67" i="2" s="1"/>
  <c r="AU68"/>
  <c r="BB15"/>
  <c r="L33"/>
  <c r="AX53"/>
  <c r="AM195"/>
  <c r="BA18"/>
  <c r="M42"/>
  <c r="CI64"/>
  <c r="BQ143" i="3"/>
  <c r="BQ143" i="2" s="1"/>
  <c r="BQ144"/>
  <c r="AV18"/>
  <c r="AM38"/>
  <c r="AI63"/>
  <c r="CD147"/>
  <c r="CJ27" i="3"/>
  <c r="CJ27" i="2" s="1"/>
  <c r="CJ28"/>
  <c r="BR73"/>
  <c r="H7"/>
  <c r="AZ32"/>
  <c r="G51" i="3"/>
  <c r="G51" i="2" s="1"/>
  <c r="G52"/>
  <c r="AI8"/>
  <c r="BA54"/>
  <c r="V19" i="3"/>
  <c r="V19" i="2" s="1"/>
  <c r="V20"/>
  <c r="Q38"/>
  <c r="V64"/>
  <c r="BP15"/>
  <c r="BL8"/>
  <c r="BW17"/>
  <c r="BT26"/>
  <c r="BK35" i="3"/>
  <c r="BK35" i="2" s="1"/>
  <c r="BK36"/>
  <c r="BT46"/>
  <c r="BA61"/>
  <c r="BK69"/>
  <c r="U143" i="3"/>
  <c r="U143" i="2" s="1"/>
  <c r="U144"/>
  <c r="BQ7"/>
  <c r="V33"/>
  <c r="BX55"/>
  <c r="S130"/>
  <c r="BI8"/>
  <c r="BL13"/>
  <c r="BY22"/>
  <c r="BU31"/>
  <c r="AV41"/>
  <c r="AO51" i="3"/>
  <c r="AO51" i="2" s="1"/>
  <c r="AO52"/>
  <c r="BP66"/>
  <c r="BR129"/>
  <c r="BQ8"/>
  <c r="BS33"/>
  <c r="AM50"/>
  <c r="BC5"/>
  <c r="M15"/>
  <c r="AA24"/>
  <c r="N33"/>
  <c r="BY42"/>
  <c r="CE54"/>
  <c r="BN63"/>
  <c r="AX118" i="3"/>
  <c r="AX118" i="2" s="1"/>
  <c r="AX119"/>
  <c r="Z3" i="3"/>
  <c r="Z3" i="2" s="1"/>
  <c r="Z4"/>
  <c r="AX9"/>
  <c r="CA15"/>
  <c r="K22"/>
  <c r="BE27" i="3"/>
  <c r="BE27" i="2" s="1"/>
  <c r="BE28"/>
  <c r="CJ33"/>
  <c r="V40"/>
  <c r="BP46"/>
  <c r="BZ54"/>
  <c r="BG64"/>
  <c r="BO75" i="3"/>
  <c r="BO75" i="2" s="1"/>
  <c r="BO76"/>
  <c r="AV126" i="3"/>
  <c r="AV126" i="2" s="1"/>
  <c r="AV127"/>
  <c r="BK170" i="3"/>
  <c r="BK170" i="2" s="1"/>
  <c r="BK171"/>
  <c r="CI6"/>
  <c r="AE13"/>
  <c r="AM18"/>
  <c r="BW24"/>
  <c r="CF33"/>
  <c r="BY39"/>
  <c r="BK46"/>
  <c r="S55"/>
  <c r="AY66"/>
  <c r="AU79"/>
  <c r="L114"/>
  <c r="CB154"/>
  <c r="CH5"/>
  <c r="AJ11" i="3"/>
  <c r="AJ11" i="2" s="1"/>
  <c r="AJ12"/>
  <c r="AK17"/>
  <c r="R24"/>
  <c r="AM30"/>
  <c r="BM35" i="3"/>
  <c r="BM35" i="2" s="1"/>
  <c r="BM36"/>
  <c r="CK41"/>
  <c r="CC48"/>
  <c r="AV57"/>
  <c r="AG62"/>
  <c r="AU71"/>
  <c r="AQ138"/>
  <c r="BS4"/>
  <c r="BS3" i="3"/>
  <c r="BS3" i="2" s="1"/>
  <c r="V8"/>
  <c r="AO11" i="3"/>
  <c r="AO11" i="2" s="1"/>
  <c r="AO12"/>
  <c r="BQ15"/>
  <c r="CI18"/>
  <c r="G23"/>
  <c r="BA26"/>
  <c r="CI30"/>
  <c r="BA32"/>
  <c r="BO35" i="3"/>
  <c r="BO35" i="2" s="1"/>
  <c r="BO36"/>
  <c r="CF39"/>
  <c r="S44"/>
  <c r="S43" i="3"/>
  <c r="S43" i="2" s="1"/>
  <c r="CI47"/>
  <c r="BD53"/>
  <c r="AS58"/>
  <c r="AM67" i="3"/>
  <c r="AM67" i="2" s="1"/>
  <c r="AM68"/>
  <c r="W80"/>
  <c r="AV137"/>
  <c r="V229" i="3"/>
  <c r="V229" i="2" s="1"/>
  <c r="V230"/>
  <c r="K9"/>
  <c r="AB15"/>
  <c r="AG21"/>
  <c r="Z26"/>
  <c r="AB32"/>
  <c r="BF38"/>
  <c r="K45"/>
  <c r="BX56"/>
  <c r="BX66"/>
  <c r="AO80"/>
  <c r="AT117"/>
  <c r="CG172"/>
  <c r="CA6"/>
  <c r="CC11" i="3"/>
  <c r="CC11" i="2" s="1"/>
  <c r="CC12"/>
  <c r="BX17"/>
  <c r="CB23"/>
  <c r="AA30"/>
  <c r="BE35" i="3"/>
  <c r="BE35" i="2" s="1"/>
  <c r="BE36"/>
  <c r="BU42"/>
  <c r="U50"/>
  <c r="AE58"/>
  <c r="X69"/>
  <c r="AK81"/>
  <c r="BJ118" i="3"/>
  <c r="BJ118" i="2" s="1"/>
  <c r="BJ119"/>
  <c r="AO150"/>
  <c r="AZ3" i="3"/>
  <c r="AZ3" i="2" s="1"/>
  <c r="AZ4"/>
  <c r="AN8"/>
  <c r="X13"/>
  <c r="P17"/>
  <c r="BV21"/>
  <c r="Q26"/>
  <c r="P31"/>
  <c r="J35" i="3"/>
  <c r="J35" i="2" s="1"/>
  <c r="J36"/>
  <c r="BW39"/>
  <c r="BH43" i="3"/>
  <c r="BH43" i="2" s="1"/>
  <c r="BH44"/>
  <c r="AS49"/>
  <c r="T56"/>
  <c r="AT65"/>
  <c r="AO75" i="3"/>
  <c r="AO75" i="2" s="1"/>
  <c r="AO76"/>
  <c r="BC109" i="3"/>
  <c r="BC109" i="2" s="1"/>
  <c r="BC110"/>
  <c r="AR138"/>
  <c r="T187" i="3"/>
  <c r="T187" i="2" s="1"/>
  <c r="T188"/>
  <c r="BB78"/>
  <c r="W125"/>
  <c r="V154"/>
  <c r="BE3" i="3"/>
  <c r="BE3" i="2" s="1"/>
  <c r="BE4"/>
  <c r="AW9"/>
  <c r="AX15"/>
  <c r="AA21"/>
  <c r="AH26"/>
  <c r="Y32"/>
  <c r="AK38"/>
  <c r="AA43" i="3"/>
  <c r="AA43" i="2" s="1"/>
  <c r="AA44"/>
  <c r="P50"/>
  <c r="CA57"/>
  <c r="BO67" i="3"/>
  <c r="BO67" i="2" s="1"/>
  <c r="BO68"/>
  <c r="W78"/>
  <c r="BJ113"/>
  <c r="BU140"/>
  <c r="X201"/>
  <c r="BZ6"/>
  <c r="CA9"/>
  <c r="AP11" i="3"/>
  <c r="AP11" i="2" s="1"/>
  <c r="AP12"/>
  <c r="AY15"/>
  <c r="BH18"/>
  <c r="BN22"/>
  <c r="BW25"/>
  <c r="CK29"/>
  <c r="M33"/>
  <c r="K37"/>
  <c r="T40"/>
  <c r="Z43" i="3"/>
  <c r="Z43" i="2" s="1"/>
  <c r="Z44"/>
  <c r="BM47"/>
  <c r="BO51" i="3"/>
  <c r="BO51" i="2" s="1"/>
  <c r="BO52"/>
  <c r="L57"/>
  <c r="P63"/>
  <c r="BH69"/>
  <c r="CB74"/>
  <c r="M82"/>
  <c r="AI122"/>
  <c r="BH139"/>
  <c r="AY161" i="3"/>
  <c r="AY161" i="2" s="1"/>
  <c r="AY162"/>
  <c r="CK5"/>
  <c r="H10"/>
  <c r="Q15"/>
  <c r="Z19" i="3"/>
  <c r="Z19" i="2" s="1"/>
  <c r="Z20"/>
  <c r="AL24"/>
  <c r="AU29"/>
  <c r="BG33"/>
  <c r="BP38"/>
  <c r="CB42"/>
  <c r="AY48"/>
  <c r="BY54"/>
  <c r="AS62"/>
  <c r="BC70"/>
  <c r="W79"/>
  <c r="AH113"/>
  <c r="BC139"/>
  <c r="AB203"/>
  <c r="CK8"/>
  <c r="BO16"/>
  <c r="BT25"/>
  <c r="BI34"/>
  <c r="BM46"/>
  <c r="AQ62"/>
  <c r="BD82"/>
  <c r="AE112"/>
  <c r="BE184"/>
  <c r="BD69"/>
  <c r="AX125"/>
  <c r="AQ169"/>
  <c r="G122"/>
  <c r="I154"/>
  <c r="BJ66"/>
  <c r="X152" i="3"/>
  <c r="X152" i="2" s="1"/>
  <c r="X153"/>
  <c r="CJ139"/>
  <c r="R46"/>
  <c r="CK63"/>
  <c r="BW81"/>
  <c r="CK133"/>
  <c r="Y184"/>
  <c r="BZ58"/>
  <c r="AS77"/>
  <c r="I143" i="3"/>
  <c r="I143" i="2" s="1"/>
  <c r="I144"/>
  <c r="Q123"/>
  <c r="BR155"/>
  <c r="AU122"/>
  <c r="G115"/>
  <c r="AT150"/>
  <c r="BC111"/>
  <c r="BO175"/>
  <c r="S182"/>
  <c r="AZ198"/>
  <c r="AL218"/>
  <c r="F113"/>
  <c r="F170" i="3"/>
  <c r="F170" i="2" s="1"/>
  <c r="F171"/>
  <c r="F11" i="3"/>
  <c r="F11" i="2" s="1"/>
  <c r="F12"/>
  <c r="F161" i="3"/>
  <c r="F161" i="2" s="1"/>
  <c r="F162"/>
  <c r="F154"/>
  <c r="F15"/>
  <c r="F163"/>
  <c r="F204" i="3"/>
  <c r="F204" i="2" s="1"/>
  <c r="F205"/>
  <c r="F13"/>
  <c r="F177"/>
  <c r="F178" i="3"/>
  <c r="F178" i="2" s="1"/>
  <c r="F179"/>
  <c r="F24"/>
  <c r="F216"/>
  <c r="F50"/>
  <c r="F186"/>
  <c r="F143" i="3"/>
  <c r="F143" i="2" s="1"/>
  <c r="F144"/>
  <c r="F34"/>
  <c r="F209"/>
  <c r="F75" i="3"/>
  <c r="F75" i="2" s="1"/>
  <c r="F76"/>
  <c r="F56"/>
  <c r="F191"/>
  <c r="F49"/>
  <c r="F57"/>
  <c r="BE47"/>
  <c r="BM62"/>
  <c r="AH34"/>
  <c r="AW31"/>
  <c r="AV73"/>
  <c r="AP27" i="3"/>
  <c r="AP27" i="2" s="1"/>
  <c r="AP28"/>
  <c r="BV7"/>
  <c r="AT45"/>
  <c r="BJ71"/>
  <c r="AU26"/>
  <c r="CE17"/>
  <c r="N65"/>
  <c r="BC24"/>
  <c r="N64"/>
  <c r="AZ5"/>
  <c r="AU14"/>
  <c r="T23"/>
  <c r="N32"/>
  <c r="AA41"/>
  <c r="BD51" i="3"/>
  <c r="BD51" i="2" s="1"/>
  <c r="BD52"/>
  <c r="AA66"/>
  <c r="BG175"/>
  <c r="AM8"/>
  <c r="AY17"/>
  <c r="J29"/>
  <c r="Z41"/>
  <c r="BV50"/>
  <c r="BF63"/>
  <c r="BW77"/>
  <c r="BK140"/>
  <c r="AK8"/>
  <c r="AX17"/>
  <c r="CD26"/>
  <c r="BS37"/>
  <c r="T48"/>
  <c r="R59" i="3"/>
  <c r="R59" i="2" s="1"/>
  <c r="R60"/>
  <c r="G81"/>
  <c r="AI140"/>
  <c r="AI7"/>
  <c r="V21"/>
  <c r="CB41"/>
  <c r="AF64"/>
  <c r="Y135" i="3"/>
  <c r="Y135" i="2" s="1"/>
  <c r="Y136"/>
  <c r="O6"/>
  <c r="L22"/>
  <c r="BD31"/>
  <c r="CE40"/>
  <c r="AV50"/>
  <c r="BT65"/>
  <c r="BX131"/>
  <c r="AN6"/>
  <c r="CG25"/>
  <c r="H51" i="3"/>
  <c r="H51" i="2" s="1"/>
  <c r="H52"/>
  <c r="BD77"/>
  <c r="I156"/>
  <c r="CK16"/>
  <c r="AW27" i="3"/>
  <c r="AW27" i="2" s="1"/>
  <c r="AW28"/>
  <c r="AC37"/>
  <c r="CE46"/>
  <c r="BY62"/>
  <c r="CE82"/>
  <c r="AH131"/>
  <c r="BX10"/>
  <c r="AL3" i="3"/>
  <c r="AL3" i="2" s="1"/>
  <c r="AL4"/>
  <c r="P8"/>
  <c r="Q13"/>
  <c r="AC17"/>
  <c r="AR22"/>
  <c r="X26"/>
  <c r="AD31"/>
  <c r="Z35" i="3"/>
  <c r="Z35" i="2" s="1"/>
  <c r="Z36"/>
  <c r="K40"/>
  <c r="Q46"/>
  <c r="J53"/>
  <c r="BE59" i="3"/>
  <c r="BE59" i="2" s="1"/>
  <c r="BE60"/>
  <c r="CC66"/>
  <c r="L77"/>
  <c r="BD113"/>
  <c r="Z141"/>
  <c r="BQ173"/>
  <c r="BU6"/>
  <c r="CB18"/>
  <c r="BW32"/>
  <c r="Q43" i="3"/>
  <c r="Q43" i="2" s="1"/>
  <c r="Q44"/>
  <c r="AW54"/>
  <c r="AB71"/>
  <c r="AW125"/>
  <c r="AG4"/>
  <c r="AG3" i="3"/>
  <c r="AG3" i="2" s="1"/>
  <c r="N8"/>
  <c r="O13"/>
  <c r="X17"/>
  <c r="AL22"/>
  <c r="U26"/>
  <c r="X31"/>
  <c r="S35" i="3"/>
  <c r="S35" i="2" s="1"/>
  <c r="S36"/>
  <c r="CJ40"/>
  <c r="BN45"/>
  <c r="CC50"/>
  <c r="BX57"/>
  <c r="AA65"/>
  <c r="Z80"/>
  <c r="BB127"/>
  <c r="BB126" i="3"/>
  <c r="BB126" i="2" s="1"/>
  <c r="AD154"/>
  <c r="U7"/>
  <c r="CI24"/>
  <c r="AC32"/>
  <c r="BJ40"/>
  <c r="BY49"/>
  <c r="U66"/>
  <c r="BS82"/>
  <c r="CH122"/>
  <c r="R5"/>
  <c r="H9"/>
  <c r="BE14"/>
  <c r="BD18"/>
  <c r="BS23"/>
  <c r="BM27" i="3"/>
  <c r="BM27" i="2" s="1"/>
  <c r="BM28"/>
  <c r="BB32"/>
  <c r="AP38"/>
  <c r="AK42"/>
  <c r="BF47"/>
  <c r="S54"/>
  <c r="M62"/>
  <c r="W70"/>
  <c r="W82"/>
  <c r="O117"/>
  <c r="CK140"/>
  <c r="AD216"/>
  <c r="AH6"/>
  <c r="V9"/>
  <c r="BQ11" i="3"/>
  <c r="BQ11" i="2" s="1"/>
  <c r="BQ12"/>
  <c r="AZ15"/>
  <c r="O18"/>
  <c r="BR21"/>
  <c r="AZ24"/>
  <c r="AF27" i="3"/>
  <c r="AF27" i="2" s="1"/>
  <c r="AF28"/>
  <c r="BT30"/>
  <c r="BK33"/>
  <c r="L37"/>
  <c r="CD39"/>
  <c r="AI42"/>
  <c r="AI46"/>
  <c r="BR49"/>
  <c r="AN54"/>
  <c r="G58"/>
  <c r="G64"/>
  <c r="AX70"/>
  <c r="N75" i="3"/>
  <c r="N75" i="2" s="1"/>
  <c r="N76"/>
  <c r="AX82"/>
  <c r="AB125"/>
  <c r="AY145"/>
  <c r="AC166"/>
  <c r="AL202"/>
  <c r="BF6"/>
  <c r="Q9"/>
  <c r="BP11" i="3"/>
  <c r="BP11" i="2" s="1"/>
  <c r="BP12"/>
  <c r="AU15"/>
  <c r="N18"/>
  <c r="BL21"/>
  <c r="AX24"/>
  <c r="CK26"/>
  <c r="AN30"/>
  <c r="BD33"/>
  <c r="J37"/>
  <c r="AV39"/>
  <c r="AD42"/>
  <c r="AB46"/>
  <c r="BQ49"/>
  <c r="BU54"/>
  <c r="AA59" i="3"/>
  <c r="AA59" i="2" s="1"/>
  <c r="AA60"/>
  <c r="BD65"/>
  <c r="Q72"/>
  <c r="BS78"/>
  <c r="CE112"/>
  <c r="CK128"/>
  <c r="AM150"/>
  <c r="P193"/>
  <c r="BH5"/>
  <c r="S8"/>
  <c r="BP10"/>
  <c r="AW14"/>
  <c r="L17"/>
  <c r="AH21"/>
  <c r="CA23"/>
  <c r="BE26"/>
  <c r="N30"/>
  <c r="CG32"/>
  <c r="AJ36"/>
  <c r="AJ35" i="3"/>
  <c r="AJ35" i="2" s="1"/>
  <c r="S39"/>
  <c r="BL41"/>
  <c r="Y45"/>
  <c r="AP48"/>
  <c r="BN51" i="3"/>
  <c r="BN51" i="2" s="1"/>
  <c r="BN52"/>
  <c r="BB56"/>
  <c r="BY61"/>
  <c r="CJ65"/>
  <c r="CA70"/>
  <c r="AA77"/>
  <c r="BY116"/>
  <c r="H137"/>
  <c r="T156"/>
  <c r="BF3" i="3"/>
  <c r="BF3" i="2" s="1"/>
  <c r="BF4"/>
  <c r="U6"/>
  <c r="BT7"/>
  <c r="BB9"/>
  <c r="V11" i="3"/>
  <c r="V11" i="2" s="1"/>
  <c r="V12"/>
  <c r="CI13"/>
  <c r="BA15"/>
  <c r="S17"/>
  <c r="BR18"/>
  <c r="Y21"/>
  <c r="BX22"/>
  <c r="BE24"/>
  <c r="AK26"/>
  <c r="CK27" i="3"/>
  <c r="CK27" i="2" s="1"/>
  <c r="CK28"/>
  <c r="BS30"/>
  <c r="AJ32"/>
  <c r="CH33"/>
  <c r="AX35" i="3"/>
  <c r="AX35" i="2" s="1"/>
  <c r="AX36"/>
  <c r="P38"/>
  <c r="BP39"/>
  <c r="AG41"/>
  <c r="CF42"/>
  <c r="BI45"/>
  <c r="BL47"/>
  <c r="M50"/>
  <c r="AD53"/>
  <c r="AP55"/>
  <c r="S58"/>
  <c r="CH61"/>
  <c r="K67" i="3"/>
  <c r="K67" i="2" s="1"/>
  <c r="K68"/>
  <c r="AP72"/>
  <c r="CA79"/>
  <c r="AE118" i="3"/>
  <c r="AE118" i="2" s="1"/>
  <c r="AE119"/>
  <c r="AS135" i="3"/>
  <c r="AS135" i="2" s="1"/>
  <c r="AS136"/>
  <c r="BI156"/>
  <c r="AI214"/>
  <c r="AC6"/>
  <c r="AU8"/>
  <c r="AD11" i="3"/>
  <c r="AD11" i="2" s="1"/>
  <c r="AD12"/>
  <c r="BX14"/>
  <c r="AA17"/>
  <c r="Q21"/>
  <c r="AF23"/>
  <c r="J26"/>
  <c r="BN29"/>
  <c r="K32"/>
  <c r="BV34"/>
  <c r="H38"/>
  <c r="BY40"/>
  <c r="BI43" i="3"/>
  <c r="BI43" i="2" s="1"/>
  <c r="BI44"/>
  <c r="BC47"/>
  <c r="AM52"/>
  <c r="AM51" i="3"/>
  <c r="AM51" i="2" s="1"/>
  <c r="CC55"/>
  <c r="BS61"/>
  <c r="N66"/>
  <c r="BT71"/>
  <c r="AX79"/>
  <c r="AU116"/>
  <c r="BE133"/>
  <c r="AX157"/>
  <c r="M226"/>
  <c r="AP6"/>
  <c r="BZ8"/>
  <c r="BJ11" i="3"/>
  <c r="BJ11" i="2" s="1"/>
  <c r="BJ12"/>
  <c r="BW14"/>
  <c r="BH17"/>
  <c r="AF21"/>
  <c r="BL23"/>
  <c r="AO26"/>
  <c r="BI29"/>
  <c r="AQ32"/>
  <c r="T35" i="3"/>
  <c r="T35" i="2" s="1"/>
  <c r="T36"/>
  <c r="U39"/>
  <c r="BE42"/>
  <c r="S46"/>
  <c r="CB49"/>
  <c r="U54"/>
  <c r="CK57"/>
  <c r="AK63"/>
  <c r="Y67" i="3"/>
  <c r="Y67" i="2" s="1"/>
  <c r="Y68"/>
  <c r="AI73"/>
  <c r="AM80"/>
  <c r="AJ117"/>
  <c r="BA132"/>
  <c r="T149"/>
  <c r="Y177"/>
  <c r="T3" i="3"/>
  <c r="T3" i="2" s="1"/>
  <c r="T4"/>
  <c r="R6"/>
  <c r="O8"/>
  <c r="K10"/>
  <c r="L13"/>
  <c r="BN14"/>
  <c r="CJ16"/>
  <c r="CG18"/>
  <c r="BJ21"/>
  <c r="CC23"/>
  <c r="AZ25"/>
  <c r="CB27" i="3"/>
  <c r="CB27" i="2" s="1"/>
  <c r="CB28"/>
  <c r="BY30"/>
  <c r="BR32"/>
  <c r="BX34"/>
  <c r="BA37"/>
  <c r="BI39"/>
  <c r="BR41"/>
  <c r="AT43" i="3"/>
  <c r="AT43" i="2" s="1"/>
  <c r="AT44"/>
  <c r="BU46"/>
  <c r="BY48"/>
  <c r="BK51" i="3"/>
  <c r="BK51" i="2" s="1"/>
  <c r="BK52"/>
  <c r="BN55"/>
  <c r="CF59" i="3"/>
  <c r="CF59" i="2" s="1"/>
  <c r="CF60"/>
  <c r="CK64"/>
  <c r="AK70"/>
  <c r="CA74"/>
  <c r="BS80"/>
  <c r="H122"/>
  <c r="AI135" i="3"/>
  <c r="AI135" i="2" s="1"/>
  <c r="AI136"/>
  <c r="AG150"/>
  <c r="AU184"/>
  <c r="CD72"/>
  <c r="CJ77"/>
  <c r="BQ82"/>
  <c r="BZ112"/>
  <c r="BV123"/>
  <c r="K138"/>
  <c r="BB151"/>
  <c r="BM183"/>
  <c r="AI3" i="3"/>
  <c r="AI3" i="2" s="1"/>
  <c r="AI4"/>
  <c r="BV6"/>
  <c r="X9"/>
  <c r="BM11" i="3"/>
  <c r="BM11" i="2" s="1"/>
  <c r="BM12"/>
  <c r="W15"/>
  <c r="BG17"/>
  <c r="CJ20"/>
  <c r="CJ19" i="3"/>
  <c r="CJ19" i="2" s="1"/>
  <c r="AV23"/>
  <c r="I26"/>
  <c r="AK29"/>
  <c r="CE31"/>
  <c r="AQ34"/>
  <c r="J38"/>
  <c r="AT40"/>
  <c r="BZ42"/>
  <c r="BL46"/>
  <c r="BP49"/>
  <c r="CJ53"/>
  <c r="AN57"/>
  <c r="BQ62"/>
  <c r="W67" i="3"/>
  <c r="W67" i="2" s="1"/>
  <c r="W68"/>
  <c r="BF72"/>
  <c r="BF77"/>
  <c r="BN82"/>
  <c r="BM112"/>
  <c r="AE124"/>
  <c r="AL139"/>
  <c r="CD156"/>
  <c r="R194"/>
  <c r="K5"/>
  <c r="BJ6"/>
  <c r="T8"/>
  <c r="BK9"/>
  <c r="Z11" i="3"/>
  <c r="Z11" i="2" s="1"/>
  <c r="Z12"/>
  <c r="BY13"/>
  <c r="AI15"/>
  <c r="CH16"/>
  <c r="AR18"/>
  <c r="G21"/>
  <c r="AX22"/>
  <c r="P24"/>
  <c r="BG25"/>
  <c r="AD27" i="3"/>
  <c r="AD27" i="2" s="1"/>
  <c r="AD28"/>
  <c r="BU29"/>
  <c r="AE31"/>
  <c r="BV32"/>
  <c r="AN34"/>
  <c r="CB35" i="3"/>
  <c r="CB35" i="2" s="1"/>
  <c r="CB36"/>
  <c r="AT38"/>
  <c r="CK39"/>
  <c r="AU41"/>
  <c r="J43" i="3"/>
  <c r="J43" i="2" s="1"/>
  <c r="J44"/>
  <c r="BJ45"/>
  <c r="AU47"/>
  <c r="AR49"/>
  <c r="AU51" i="3"/>
  <c r="AU51" i="2" s="1"/>
  <c r="AU52"/>
  <c r="BE54"/>
  <c r="BW56"/>
  <c r="Z59" i="3"/>
  <c r="Z59" i="2" s="1"/>
  <c r="Z60"/>
  <c r="BW62"/>
  <c r="AL65"/>
  <c r="AG69"/>
  <c r="CG71"/>
  <c r="BA74"/>
  <c r="AU78"/>
  <c r="BN81"/>
  <c r="BO113"/>
  <c r="BA121"/>
  <c r="J130"/>
  <c r="BX138"/>
  <c r="U148"/>
  <c r="CH159"/>
  <c r="BZ191"/>
  <c r="BM5"/>
  <c r="BK7"/>
  <c r="BY9"/>
  <c r="BT11" i="3"/>
  <c r="BT11" i="2" s="1"/>
  <c r="BT12"/>
  <c r="BZ14"/>
  <c r="CF16"/>
  <c r="CD18"/>
  <c r="H22"/>
  <c r="V24"/>
  <c r="T26"/>
  <c r="W29"/>
  <c r="AK31"/>
  <c r="AI33"/>
  <c r="AT35" i="3"/>
  <c r="AT35" i="2" s="1"/>
  <c r="AT36"/>
  <c r="AZ38"/>
  <c r="AX40"/>
  <c r="BD42"/>
  <c r="BZ45"/>
  <c r="S48"/>
  <c r="BU50"/>
  <c r="BC54"/>
  <c r="AU57"/>
  <c r="CJ61"/>
  <c r="AW65"/>
  <c r="M70"/>
  <c r="AY73"/>
  <c r="AR78"/>
  <c r="BO111"/>
  <c r="BO122"/>
  <c r="Z137"/>
  <c r="T155"/>
  <c r="T200"/>
  <c r="BT5"/>
  <c r="BE8"/>
  <c r="AU11" i="3"/>
  <c r="AU11" i="2" s="1"/>
  <c r="AU12"/>
  <c r="AI16"/>
  <c r="AB21"/>
  <c r="P25"/>
  <c r="I30"/>
  <c r="U34"/>
  <c r="Y40"/>
  <c r="K46"/>
  <c r="U53"/>
  <c r="BV61"/>
  <c r="X71"/>
  <c r="BX81"/>
  <c r="CC134"/>
  <c r="BJ175"/>
  <c r="BK58"/>
  <c r="BQ67" i="3"/>
  <c r="BQ67" i="2" s="1"/>
  <c r="BQ68"/>
  <c r="S80"/>
  <c r="BT122"/>
  <c r="BI164"/>
  <c r="Z191"/>
  <c r="BI118" i="3"/>
  <c r="BI118" i="2" s="1"/>
  <c r="BI119"/>
  <c r="BJ155"/>
  <c r="L151"/>
  <c r="AR198"/>
  <c r="AY65"/>
  <c r="BO77"/>
  <c r="K124"/>
  <c r="P149"/>
  <c r="J191"/>
  <c r="BR114"/>
  <c r="BD137"/>
  <c r="U166"/>
  <c r="AU45"/>
  <c r="AJ54"/>
  <c r="AG63"/>
  <c r="N72"/>
  <c r="K81"/>
  <c r="L115"/>
  <c r="G132"/>
  <c r="AE150"/>
  <c r="AK181"/>
  <c r="I49"/>
  <c r="V58"/>
  <c r="CB66"/>
  <c r="BF75" i="3"/>
  <c r="BF75" i="2" s="1"/>
  <c r="BF76"/>
  <c r="CF121"/>
  <c r="X141"/>
  <c r="Z167"/>
  <c r="BB231"/>
  <c r="U135" i="3"/>
  <c r="U135" i="2" s="1"/>
  <c r="U136"/>
  <c r="BH152" i="3"/>
  <c r="BH152" i="2" s="1"/>
  <c r="BH153"/>
  <c r="AH192"/>
  <c r="BE120"/>
  <c r="AE146"/>
  <c r="BJ217"/>
  <c r="CD148"/>
  <c r="N120"/>
  <c r="H148"/>
  <c r="BU195"/>
  <c r="BT135" i="3"/>
  <c r="BT135" i="2" s="1"/>
  <c r="BT136"/>
  <c r="S170" i="3"/>
  <c r="S170" i="2" s="1"/>
  <c r="S171"/>
  <c r="AV174"/>
  <c r="BT190"/>
  <c r="AZ181"/>
  <c r="R210"/>
  <c r="CJ50"/>
  <c r="BX69"/>
  <c r="CA112"/>
  <c r="BS5"/>
  <c r="BB13"/>
  <c r="BZ19" i="3"/>
  <c r="BZ19" i="2" s="1"/>
  <c r="BZ20"/>
  <c r="BD27" i="3"/>
  <c r="BD27" i="2" s="1"/>
  <c r="BD28"/>
  <c r="Q35" i="3"/>
  <c r="Q35" i="2" s="1"/>
  <c r="Q36"/>
  <c r="AY42"/>
  <c r="BT51" i="3"/>
  <c r="BT51" i="2" s="1"/>
  <c r="BT52"/>
  <c r="AJ65"/>
  <c r="BB147"/>
  <c r="BJ10"/>
  <c r="CG22"/>
  <c r="BZ33"/>
  <c r="CI49"/>
  <c r="BH70"/>
  <c r="Q201"/>
  <c r="AP14"/>
  <c r="AS25"/>
  <c r="BD38"/>
  <c r="R53"/>
  <c r="AM66"/>
  <c r="CA146"/>
  <c r="AX7"/>
  <c r="AW16"/>
  <c r="Q23"/>
  <c r="AS32"/>
  <c r="R41"/>
  <c r="M51" i="3"/>
  <c r="M51" i="2" s="1"/>
  <c r="M52"/>
  <c r="L69"/>
  <c r="BC170" i="3"/>
  <c r="BC170" i="2" s="1"/>
  <c r="BC171"/>
  <c r="CB118" i="3"/>
  <c r="CB118" i="2" s="1"/>
  <c r="CB119"/>
  <c r="W219"/>
  <c r="AR14"/>
  <c r="AD25"/>
  <c r="AE37"/>
  <c r="BO48"/>
  <c r="CB65"/>
  <c r="AN120"/>
  <c r="BD4"/>
  <c r="BD3" i="3"/>
  <c r="BD3" i="2" s="1"/>
  <c r="BN10"/>
  <c r="CK17"/>
  <c r="S25"/>
  <c r="AH32"/>
  <c r="CE37"/>
  <c r="Q45"/>
  <c r="BZ53"/>
  <c r="BE64"/>
  <c r="AY77"/>
  <c r="U118" i="3"/>
  <c r="U118" i="2" s="1"/>
  <c r="U119"/>
  <c r="AO155"/>
  <c r="U9"/>
  <c r="AH18"/>
  <c r="BH27" i="3"/>
  <c r="BH27" i="2" s="1"/>
  <c r="BH28"/>
  <c r="CC37"/>
  <c r="N45"/>
  <c r="BH56"/>
  <c r="AY72"/>
  <c r="O177"/>
  <c r="H15"/>
  <c r="CI32"/>
  <c r="AR57"/>
  <c r="N56"/>
  <c r="G140"/>
  <c r="CI72"/>
  <c r="AH140"/>
  <c r="AZ129"/>
  <c r="X59" i="3"/>
  <c r="X59" i="2" s="1"/>
  <c r="X60"/>
  <c r="BP165"/>
  <c r="BP72"/>
  <c r="W195"/>
  <c r="AQ112"/>
  <c r="BA137"/>
  <c r="BW236"/>
  <c r="F128"/>
  <c r="F55"/>
  <c r="F48"/>
  <c r="F225"/>
  <c r="F207"/>
  <c r="F206"/>
  <c r="BW19" i="3"/>
  <c r="BW19" i="2" s="1"/>
  <c r="BW20"/>
  <c r="CE53"/>
  <c r="CC75" i="3"/>
  <c r="CC75" i="2" s="1"/>
  <c r="CC76"/>
  <c r="BU74"/>
  <c r="AQ45"/>
  <c r="BJ19" i="3"/>
  <c r="BJ19" i="2" s="1"/>
  <c r="BJ20"/>
  <c r="CG59" i="3"/>
  <c r="CG59" i="2" s="1"/>
  <c r="CG60"/>
  <c r="AX5"/>
  <c r="BM38"/>
  <c r="BA129"/>
  <c r="CB33"/>
  <c r="AW72"/>
  <c r="AT37"/>
  <c r="BI27" i="3"/>
  <c r="BI27" i="2" s="1"/>
  <c r="BI28"/>
  <c r="K58"/>
  <c r="S22"/>
  <c r="CG10"/>
  <c r="AF55"/>
  <c r="BM10"/>
  <c r="BQ29"/>
  <c r="BJ43" i="3"/>
  <c r="BJ43" i="2" s="1"/>
  <c r="BJ44"/>
  <c r="N73"/>
  <c r="CD3" i="3"/>
  <c r="CD3" i="2" s="1"/>
  <c r="CD4"/>
  <c r="M49"/>
  <c r="BN6"/>
  <c r="BP24"/>
  <c r="CG29"/>
  <c r="F229" i="3"/>
  <c r="F229" i="2" s="1"/>
  <c r="F230"/>
  <c r="F141"/>
  <c r="F220" i="3"/>
  <c r="F220" i="2" s="1"/>
  <c r="F221"/>
  <c r="F10"/>
  <c r="F115"/>
  <c r="F65"/>
  <c r="F72"/>
  <c r="F23"/>
  <c r="K3" i="3"/>
  <c r="K3" i="2" s="1"/>
  <c r="K4"/>
  <c r="BR8"/>
  <c r="BK40"/>
  <c r="BB22"/>
  <c r="BZ133"/>
  <c r="CE10"/>
  <c r="AW75" i="3"/>
  <c r="AW75" i="2" s="1"/>
  <c r="AW76"/>
  <c r="O26"/>
  <c r="AP57"/>
  <c r="AQ227"/>
  <c r="CF35" i="3"/>
  <c r="CF35" i="2" s="1"/>
  <c r="CF36"/>
  <c r="N67" i="3"/>
  <c r="N67" i="2" s="1"/>
  <c r="N68"/>
  <c r="BC181"/>
  <c r="CH31"/>
  <c r="T69"/>
  <c r="AR11" i="3"/>
  <c r="AR11" i="2" s="1"/>
  <c r="AR12"/>
  <c r="Q161" i="3"/>
  <c r="Q161" i="2" s="1"/>
  <c r="Q162"/>
  <c r="AP34"/>
  <c r="AN55"/>
  <c r="CD31"/>
  <c r="AX31"/>
  <c r="T70"/>
  <c r="AE18"/>
  <c r="BM14"/>
  <c r="BZ23"/>
  <c r="BB37"/>
  <c r="BU55"/>
  <c r="AJ80"/>
  <c r="BJ151"/>
  <c r="CK23"/>
  <c r="AD57"/>
  <c r="BF9"/>
  <c r="BT18"/>
  <c r="BP32"/>
  <c r="T47"/>
  <c r="BJ69"/>
  <c r="BU135" i="3"/>
  <c r="BU135" i="2" s="1"/>
  <c r="BU136"/>
  <c r="AC26"/>
  <c r="AT42"/>
  <c r="T11" i="3"/>
  <c r="T11" i="2" s="1"/>
  <c r="T12"/>
  <c r="AD21"/>
  <c r="I34"/>
  <c r="AU49"/>
  <c r="X65"/>
  <c r="AC124"/>
  <c r="BG7"/>
  <c r="AV16"/>
  <c r="BJ22"/>
  <c r="BO31"/>
  <c r="BZ40"/>
  <c r="BP47"/>
  <c r="CC59" i="3"/>
  <c r="CC59" i="2" s="1"/>
  <c r="CC60"/>
  <c r="M78"/>
  <c r="Y134"/>
  <c r="BP3" i="3"/>
  <c r="BP3" i="2" s="1"/>
  <c r="BP4"/>
  <c r="CF13"/>
  <c r="CK22"/>
  <c r="AU34"/>
  <c r="AH31"/>
  <c r="F193"/>
  <c r="F26"/>
  <c r="F77"/>
  <c r="F167"/>
  <c r="F80"/>
  <c r="F111"/>
  <c r="F201"/>
  <c r="F174"/>
  <c r="F61"/>
  <c r="F189"/>
  <c r="F62"/>
  <c r="L3" i="3"/>
  <c r="L3" i="2" s="1"/>
  <c r="L4"/>
  <c r="BL40"/>
  <c r="AB34"/>
  <c r="AV31"/>
  <c r="BN48"/>
  <c r="AQ29"/>
  <c r="AV30"/>
  <c r="AX6"/>
  <c r="Q24"/>
  <c r="S42"/>
  <c r="AL67" i="3"/>
  <c r="AL67" i="2" s="1"/>
  <c r="AL68"/>
  <c r="AN9"/>
  <c r="CK33"/>
  <c r="S51" i="3"/>
  <c r="S51" i="2" s="1"/>
  <c r="S52"/>
  <c r="BT79"/>
  <c r="AH9"/>
  <c r="G27" i="3"/>
  <c r="G27" i="2" s="1"/>
  <c r="G28"/>
  <c r="AP49"/>
  <c r="AG9"/>
  <c r="BQ42"/>
  <c r="BZ142"/>
  <c r="BP23"/>
  <c r="BZ41"/>
  <c r="H69"/>
  <c r="V135" i="3"/>
  <c r="V135" i="2" s="1"/>
  <c r="V136"/>
  <c r="CB26"/>
  <c r="AJ186"/>
  <c r="BF29"/>
  <c r="CJ47"/>
  <c r="BC142"/>
  <c r="BW3" i="3"/>
  <c r="BW3" i="2" s="1"/>
  <c r="BW4"/>
  <c r="BM13"/>
  <c r="CC22"/>
  <c r="BV31"/>
  <c r="BC40"/>
  <c r="BV53"/>
  <c r="AG78"/>
  <c r="CK115"/>
  <c r="AO184"/>
  <c r="BB19" i="3"/>
  <c r="BB19" i="2" s="1"/>
  <c r="BB20"/>
  <c r="BW45"/>
  <c r="AN72"/>
  <c r="BU4"/>
  <c r="BU3" i="3"/>
  <c r="BU3" i="2" s="1"/>
  <c r="BL17"/>
  <c r="BN26"/>
  <c r="BG35" i="3"/>
  <c r="BG35" i="2" s="1"/>
  <c r="BG36"/>
  <c r="O46"/>
  <c r="BE58"/>
  <c r="Z81"/>
  <c r="BN157"/>
  <c r="AH25"/>
  <c r="Q41"/>
  <c r="CE66"/>
  <c r="BB137"/>
  <c r="BD9"/>
  <c r="AD19" i="3"/>
  <c r="AD19" i="2" s="1"/>
  <c r="AD20"/>
  <c r="R29"/>
  <c r="CK38"/>
  <c r="Y48"/>
  <c r="N71"/>
  <c r="Q146"/>
  <c r="BM6"/>
  <c r="AF13"/>
  <c r="AN18"/>
  <c r="CA24"/>
  <c r="N31"/>
  <c r="AK37"/>
  <c r="BJ42"/>
  <c r="Y50"/>
  <c r="BA58"/>
  <c r="H71"/>
  <c r="CI109" i="3"/>
  <c r="CI109" i="2" s="1"/>
  <c r="CI110"/>
  <c r="P147"/>
  <c r="W3" i="3"/>
  <c r="W3" i="2" s="1"/>
  <c r="W4"/>
  <c r="AV9"/>
  <c r="BV15"/>
  <c r="AJ22"/>
  <c r="Y27" i="3"/>
  <c r="Y27" i="2" s="1"/>
  <c r="Y28"/>
  <c r="BR30"/>
  <c r="AJ37"/>
  <c r="BH42"/>
  <c r="Q50"/>
  <c r="BW59" i="3"/>
  <c r="BW59" i="2" s="1"/>
  <c r="BW60"/>
  <c r="BU72"/>
  <c r="BL130"/>
  <c r="Y202"/>
  <c r="AV8"/>
  <c r="BV14"/>
  <c r="BG21"/>
  <c r="CG26"/>
  <c r="AD33"/>
  <c r="AS39"/>
  <c r="BD45"/>
  <c r="P53"/>
  <c r="AL66"/>
  <c r="BR78"/>
  <c r="I120"/>
  <c r="AU158"/>
  <c r="AM6"/>
  <c r="BT9"/>
  <c r="R14"/>
  <c r="AJ17"/>
  <c r="AP21"/>
  <c r="BV24"/>
  <c r="U29"/>
  <c r="O34"/>
  <c r="AG38"/>
  <c r="AX41"/>
  <c r="CD45"/>
  <c r="AI50"/>
  <c r="BP55"/>
  <c r="BD62"/>
  <c r="BG73"/>
  <c r="N122"/>
  <c r="BX168"/>
  <c r="AU6"/>
  <c r="AW11" i="3"/>
  <c r="AW11" i="2" s="1"/>
  <c r="AW12"/>
  <c r="AR17"/>
  <c r="CF23"/>
  <c r="K30"/>
  <c r="G35" i="3"/>
  <c r="G35" i="2" s="1"/>
  <c r="G36"/>
  <c r="H41"/>
  <c r="BU47"/>
  <c r="BG51" i="3"/>
  <c r="BG51" i="2" s="1"/>
  <c r="BG52"/>
  <c r="K62"/>
  <c r="U72"/>
  <c r="BJ134"/>
  <c r="S3" i="3"/>
  <c r="S3" i="2" s="1"/>
  <c r="S4"/>
  <c r="I9"/>
  <c r="AP15"/>
  <c r="BM21"/>
  <c r="BF26"/>
  <c r="BH32"/>
  <c r="AN39"/>
  <c r="CA46"/>
  <c r="BO54"/>
  <c r="BR63"/>
  <c r="BT73"/>
  <c r="BH134"/>
  <c r="BF180"/>
  <c r="AF6"/>
  <c r="V10"/>
  <c r="AE15"/>
  <c r="U19" i="3"/>
  <c r="U19" i="2" s="1"/>
  <c r="U20"/>
  <c r="I24"/>
  <c r="H29"/>
  <c r="CF32"/>
  <c r="G38"/>
  <c r="K42"/>
  <c r="CK46"/>
  <c r="CC51" i="3"/>
  <c r="CC51" i="2" s="1"/>
  <c r="CC52"/>
  <c r="AL61"/>
  <c r="CF70"/>
  <c r="AL81"/>
  <c r="AJ123"/>
  <c r="BY152" i="3"/>
  <c r="BY152" i="2" s="1"/>
  <c r="BY153"/>
  <c r="AP73"/>
  <c r="BW113"/>
  <c r="AT139"/>
  <c r="CF186"/>
  <c r="P7"/>
  <c r="P13"/>
  <c r="CF17"/>
  <c r="BU23"/>
  <c r="BL29"/>
  <c r="BP34"/>
  <c r="BS40"/>
  <c r="I47"/>
  <c r="AI54"/>
  <c r="AX63"/>
  <c r="P73"/>
  <c r="BS125"/>
  <c r="U160"/>
  <c r="AA5"/>
  <c r="AJ8"/>
  <c r="H14"/>
  <c r="Q17"/>
  <c r="W21"/>
  <c r="AF24"/>
  <c r="AT27" i="3"/>
  <c r="AT27" i="2" s="1"/>
  <c r="AT28"/>
  <c r="AU31"/>
  <c r="BD34"/>
  <c r="BJ38"/>
  <c r="BK41"/>
  <c r="CC45"/>
  <c r="BL49"/>
  <c r="CA54"/>
  <c r="BC59" i="3"/>
  <c r="BC59" i="2" s="1"/>
  <c r="BC60"/>
  <c r="BO65"/>
  <c r="AA72"/>
  <c r="CC78"/>
  <c r="AT114"/>
  <c r="CG130"/>
  <c r="X149"/>
  <c r="CG195"/>
  <c r="CI7"/>
  <c r="K13"/>
  <c r="O17"/>
  <c r="AF22"/>
  <c r="AR26"/>
  <c r="BA31"/>
  <c r="BR35" i="3"/>
  <c r="BR35" i="2" s="1"/>
  <c r="BR36"/>
  <c r="BV40"/>
  <c r="L46"/>
  <c r="W52"/>
  <c r="W51" i="3"/>
  <c r="W51" i="2" s="1"/>
  <c r="CD57"/>
  <c r="BX65"/>
  <c r="G74"/>
  <c r="AZ124"/>
  <c r="H157"/>
  <c r="S6"/>
  <c r="CA11" i="3"/>
  <c r="CA11" i="2" s="1"/>
  <c r="CA12"/>
  <c r="AZ21"/>
  <c r="BM30"/>
  <c r="BE40"/>
  <c r="BW53"/>
  <c r="I72"/>
  <c r="BR137"/>
  <c r="AB59" i="3"/>
  <c r="AB59" i="2" s="1"/>
  <c r="AB60"/>
  <c r="BJ81"/>
  <c r="BQ201"/>
  <c r="P159"/>
  <c r="CD202"/>
  <c r="BP78"/>
  <c r="CF125"/>
  <c r="J196" i="3"/>
  <c r="J196" i="2" s="1"/>
  <c r="J197"/>
  <c r="M116"/>
  <c r="BW169"/>
  <c r="O55"/>
  <c r="Q73"/>
  <c r="CD115"/>
  <c r="CD151"/>
  <c r="BU49"/>
  <c r="BL67" i="3"/>
  <c r="BL67" i="2" s="1"/>
  <c r="BL68"/>
  <c r="BX123"/>
  <c r="CI168"/>
  <c r="I137"/>
  <c r="H198"/>
  <c r="AE149"/>
  <c r="BC154"/>
  <c r="BU121"/>
  <c r="BC200"/>
  <c r="Y139"/>
  <c r="AM192"/>
  <c r="F218"/>
  <c r="F135" i="3"/>
  <c r="F135" i="2" s="1"/>
  <c r="F136"/>
  <c r="F142"/>
  <c r="F199"/>
  <c r="F134"/>
  <c r="F147"/>
  <c r="F27" i="3"/>
  <c r="F27" i="2" s="1"/>
  <c r="F28"/>
  <c r="F8"/>
  <c r="F116"/>
  <c r="F74"/>
  <c r="F155"/>
  <c r="F180"/>
  <c r="F16"/>
  <c r="F5"/>
  <c r="F64"/>
  <c r="F7"/>
  <c r="F122"/>
  <c r="F129"/>
  <c r="F140"/>
  <c r="F217"/>
  <c r="F149"/>
  <c r="F38"/>
  <c r="F236"/>
  <c r="BG41"/>
  <c r="BE66"/>
  <c r="BT38"/>
  <c r="AP29"/>
  <c r="AL78"/>
  <c r="AX25"/>
  <c r="BG65"/>
  <c r="CD16"/>
  <c r="CF3" i="3"/>
  <c r="CF3" i="2" s="1"/>
  <c r="CF4"/>
  <c r="T42"/>
  <c r="AE36"/>
  <c r="AE35" i="3"/>
  <c r="AE35" i="2" s="1"/>
  <c r="BT21"/>
  <c r="CH8"/>
  <c r="G61"/>
  <c r="CE18"/>
  <c r="AD56"/>
  <c r="BG3" i="3"/>
  <c r="BG3" i="2" s="1"/>
  <c r="BG4"/>
  <c r="AU13"/>
  <c r="AZ22"/>
  <c r="Q31"/>
  <c r="AK40"/>
  <c r="CA49"/>
  <c r="BI63"/>
  <c r="CH81"/>
  <c r="H163"/>
  <c r="AQ7"/>
  <c r="AX16"/>
  <c r="I27" i="3"/>
  <c r="I27" i="2" s="1"/>
  <c r="I28"/>
  <c r="AE40"/>
  <c r="AT49"/>
  <c r="H62"/>
  <c r="AI75" i="3"/>
  <c r="AI75" i="2" s="1"/>
  <c r="AI76"/>
  <c r="BV137"/>
  <c r="AN7"/>
  <c r="AM16"/>
  <c r="CH25"/>
  <c r="CD35" i="3"/>
  <c r="CD35" i="2" s="1"/>
  <c r="CD36"/>
  <c r="K47"/>
  <c r="T58"/>
  <c r="BL79"/>
  <c r="BM125"/>
  <c r="AP5"/>
  <c r="AC19" i="3"/>
  <c r="AC19" i="2" s="1"/>
  <c r="AC20"/>
  <c r="AA40"/>
  <c r="BP61"/>
  <c r="AY128"/>
  <c r="O5"/>
  <c r="S21"/>
  <c r="BD30"/>
  <c r="M39"/>
  <c r="U49"/>
  <c r="AA64"/>
  <c r="CI82"/>
  <c r="AO128"/>
  <c r="Z192"/>
  <c r="CK24"/>
  <c r="BL50"/>
  <c r="AU72"/>
  <c r="BR147"/>
  <c r="CK14"/>
  <c r="AW26"/>
  <c r="AU35" i="3"/>
  <c r="AU35" i="2" s="1"/>
  <c r="AU36"/>
  <c r="BX45"/>
  <c r="O61"/>
  <c r="AY80"/>
  <c r="CE123"/>
  <c r="AD9"/>
  <c r="BV26"/>
  <c r="BP7"/>
  <c r="BX11" i="3"/>
  <c r="BX11" i="2" s="1"/>
  <c r="BX12"/>
  <c r="BM16"/>
  <c r="CH21"/>
  <c r="BX25"/>
  <c r="BW30"/>
  <c r="BH34"/>
  <c r="BD39"/>
  <c r="BU45"/>
  <c r="AS51" i="3"/>
  <c r="AS51" i="2" s="1"/>
  <c r="AS52"/>
  <c r="BO58"/>
  <c r="K66"/>
  <c r="P76"/>
  <c r="P75" i="3"/>
  <c r="P75" i="2" s="1"/>
  <c r="P112"/>
  <c r="AH139"/>
  <c r="BT167"/>
  <c r="Y6"/>
  <c r="CD17"/>
  <c r="AF31"/>
  <c r="L42"/>
  <c r="CB53"/>
  <c r="I67" i="3"/>
  <c r="I67" i="2" s="1"/>
  <c r="I68"/>
  <c r="CB120"/>
  <c r="CK218"/>
  <c r="BN7"/>
  <c r="BR11" i="3"/>
  <c r="BR11" i="2" s="1"/>
  <c r="BR12"/>
  <c r="BL16"/>
  <c r="CC21"/>
  <c r="BV25"/>
  <c r="BL30"/>
  <c r="BG34"/>
  <c r="BA40"/>
  <c r="L45"/>
  <c r="AF50"/>
  <c r="W57"/>
  <c r="BI64"/>
  <c r="Q79"/>
  <c r="BA124"/>
  <c r="BG151"/>
  <c r="AD5"/>
  <c r="AF17"/>
  <c r="CC31"/>
  <c r="M40"/>
  <c r="AA47"/>
  <c r="AN65"/>
  <c r="AN81"/>
  <c r="BL117"/>
  <c r="BH3" i="3"/>
  <c r="BH3" i="2" s="1"/>
  <c r="BH4"/>
  <c r="BD8"/>
  <c r="K14"/>
  <c r="V18"/>
  <c r="V23"/>
  <c r="Q27" i="3"/>
  <c r="Q27" i="2" s="1"/>
  <c r="Q28"/>
  <c r="Q32"/>
  <c r="AU37"/>
  <c r="CC41"/>
  <c r="O47"/>
  <c r="BQ53"/>
  <c r="V61"/>
  <c r="AW69"/>
  <c r="O81"/>
  <c r="AJ113"/>
  <c r="BE135" i="3"/>
  <c r="BE135" i="2" s="1"/>
  <c r="BE136"/>
  <c r="AS203"/>
  <c r="H6"/>
  <c r="CE8"/>
  <c r="AQ11" i="3"/>
  <c r="AQ11" i="2" s="1"/>
  <c r="AQ12"/>
  <c r="V15"/>
  <c r="BV17"/>
  <c r="AN21"/>
  <c r="Y24"/>
  <c r="BM26"/>
  <c r="AU30"/>
  <c r="AF33"/>
  <c r="BS35" i="3"/>
  <c r="BS35" i="2" s="1"/>
  <c r="BS36"/>
  <c r="AZ39"/>
  <c r="I42"/>
  <c r="BL45"/>
  <c r="AJ49"/>
  <c r="G54"/>
  <c r="BC57"/>
  <c r="AY63"/>
  <c r="AL69"/>
  <c r="BT74"/>
  <c r="BQ81"/>
  <c r="AF123"/>
  <c r="AG140"/>
  <c r="K164"/>
  <c r="M198"/>
  <c r="AG6"/>
  <c r="BY8"/>
  <c r="AK11" i="3"/>
  <c r="AK11" i="2" s="1"/>
  <c r="AK12"/>
  <c r="U15"/>
  <c r="BP17"/>
  <c r="AL21"/>
  <c r="S24"/>
  <c r="BL26"/>
  <c r="O30"/>
  <c r="AE33"/>
  <c r="BP35" i="3"/>
  <c r="BP35" i="2" s="1"/>
  <c r="BP36"/>
  <c r="T39"/>
  <c r="BM41"/>
  <c r="BE45"/>
  <c r="AE49"/>
  <c r="AM54"/>
  <c r="AR58"/>
  <c r="AW64"/>
  <c r="AV71"/>
  <c r="G78"/>
  <c r="CH111"/>
  <c r="AP126" i="3"/>
  <c r="AP126" i="2" s="1"/>
  <c r="AP127"/>
  <c r="AJ148"/>
  <c r="AZ185"/>
  <c r="AH5"/>
  <c r="CE7"/>
  <c r="AL10"/>
  <c r="T14"/>
  <c r="BQ16"/>
  <c r="BL20"/>
  <c r="BL19" i="3"/>
  <c r="BL19" i="2" s="1"/>
  <c r="BB23"/>
  <c r="AF26"/>
  <c r="BW29"/>
  <c r="BE32"/>
  <c r="K35" i="3"/>
  <c r="K35" i="2" s="1"/>
  <c r="K36"/>
  <c r="CB38"/>
  <c r="AH41"/>
  <c r="CD43" i="3"/>
  <c r="CD43" i="2" s="1"/>
  <c r="CD44"/>
  <c r="BG47"/>
  <c r="AA51" i="3"/>
  <c r="AA51" i="2" s="1"/>
  <c r="AA52"/>
  <c r="O56"/>
  <c r="Z61"/>
  <c r="AQ65"/>
  <c r="AJ70"/>
  <c r="BC75" i="3"/>
  <c r="BC75" i="2" s="1"/>
  <c r="BC76"/>
  <c r="AH115"/>
  <c r="CC133"/>
  <c r="AL154"/>
  <c r="AQ3" i="3"/>
  <c r="AQ3" i="2" s="1"/>
  <c r="AQ4"/>
  <c r="CI5"/>
  <c r="BD7"/>
  <c r="AL9"/>
  <c r="CK10"/>
  <c r="BS13"/>
  <c r="AJ15"/>
  <c r="CI16"/>
  <c r="BB18"/>
  <c r="H21"/>
  <c r="BH22"/>
  <c r="AO24"/>
  <c r="R26"/>
  <c r="BU27" i="3"/>
  <c r="BU27" i="2" s="1"/>
  <c r="BU28"/>
  <c r="BB30"/>
  <c r="S32"/>
  <c r="BR33"/>
  <c r="AG35" i="3"/>
  <c r="AG35" i="2" s="1"/>
  <c r="AG36"/>
  <c r="CG37"/>
  <c r="AY39"/>
  <c r="P41"/>
  <c r="BP42"/>
  <c r="AN45"/>
  <c r="AP47"/>
  <c r="BV49"/>
  <c r="H53"/>
  <c r="R55"/>
  <c r="CB57"/>
  <c r="BD61"/>
  <c r="BI66"/>
  <c r="BH71"/>
  <c r="AF79"/>
  <c r="Q116"/>
  <c r="V134"/>
  <c r="BO148"/>
  <c r="AB206"/>
  <c r="CA5"/>
  <c r="AD8"/>
  <c r="N11" i="3"/>
  <c r="N11" i="2" s="1"/>
  <c r="N12"/>
  <c r="Z14"/>
  <c r="K17"/>
  <c r="BQ19" i="3"/>
  <c r="BQ19" i="2" s="1"/>
  <c r="BQ20"/>
  <c r="O23"/>
  <c r="CA25"/>
  <c r="M29"/>
  <c r="BZ31"/>
  <c r="AO34"/>
  <c r="BX37"/>
  <c r="BI40"/>
  <c r="K43" i="3"/>
  <c r="K43" i="2" s="1"/>
  <c r="K44"/>
  <c r="AG47"/>
  <c r="BQ50"/>
  <c r="BD55"/>
  <c r="AR61"/>
  <c r="R65"/>
  <c r="AK71"/>
  <c r="BO78"/>
  <c r="BT115"/>
  <c r="BH131"/>
  <c r="BO154"/>
  <c r="O220" i="3"/>
  <c r="O220" i="2" s="1"/>
  <c r="O221"/>
  <c r="BY5"/>
  <c r="BJ8"/>
  <c r="AC11" i="3"/>
  <c r="AC11" i="2" s="1"/>
  <c r="AC12"/>
  <c r="BG14"/>
  <c r="AQ17"/>
  <c r="BO19" i="3"/>
  <c r="BO19" i="2" s="1"/>
  <c r="BO20"/>
  <c r="AU23"/>
  <c r="H26"/>
  <c r="AR29"/>
  <c r="AA32"/>
  <c r="BC34"/>
  <c r="BU38"/>
  <c r="U42"/>
  <c r="CG45"/>
  <c r="BF49"/>
  <c r="AN53"/>
  <c r="BL57"/>
  <c r="BO62"/>
  <c r="BR66"/>
  <c r="CK72"/>
  <c r="H79"/>
  <c r="AS116"/>
  <c r="U129"/>
  <c r="CH147"/>
  <c r="BI169"/>
  <c r="J3" i="3"/>
  <c r="J3" i="2" s="1"/>
  <c r="J4"/>
  <c r="G6"/>
  <c r="BI7"/>
  <c r="CD9"/>
  <c r="BU11" i="3"/>
  <c r="BU11" i="2" s="1"/>
  <c r="BU12"/>
  <c r="AZ14"/>
  <c r="BV16"/>
  <c r="AT18"/>
  <c r="AW21"/>
  <c r="BD23"/>
  <c r="AL25"/>
  <c r="BN27" i="3"/>
  <c r="BN27" i="2" s="1"/>
  <c r="BN28"/>
  <c r="AL30"/>
  <c r="BG32"/>
  <c r="AY34"/>
  <c r="AM37"/>
  <c r="AX39"/>
  <c r="AF41"/>
  <c r="AI43" i="3"/>
  <c r="AI43" i="2" s="1"/>
  <c r="AI44"/>
  <c r="AS46"/>
  <c r="BG48"/>
  <c r="AV51" i="3"/>
  <c r="AV51" i="2" s="1"/>
  <c r="AV52"/>
  <c r="AB55"/>
  <c r="AK59" i="3"/>
  <c r="AK59" i="2" s="1"/>
  <c r="AK60"/>
  <c r="AU64"/>
  <c r="CA69"/>
  <c r="AE74"/>
  <c r="R80"/>
  <c r="BT120"/>
  <c r="K134"/>
  <c r="AO148"/>
  <c r="BV180"/>
  <c r="AI72"/>
  <c r="AL77"/>
  <c r="Q82"/>
  <c r="CB111"/>
  <c r="BJ121"/>
  <c r="BP135" i="3"/>
  <c r="BP135" i="2" s="1"/>
  <c r="BP136"/>
  <c r="CF149"/>
  <c r="CK177"/>
  <c r="N3" i="3"/>
  <c r="N3" i="2" s="1"/>
  <c r="N4"/>
  <c r="AW6"/>
  <c r="CG8"/>
  <c r="AL11" i="3"/>
  <c r="AL11" i="2" s="1"/>
  <c r="AL12"/>
  <c r="CE14"/>
  <c r="AH17"/>
  <c r="BK19" i="3"/>
  <c r="BK19" i="2" s="1"/>
  <c r="BK20"/>
  <c r="W23"/>
  <c r="BQ25"/>
  <c r="L29"/>
  <c r="BF31"/>
  <c r="R34"/>
  <c r="BR37"/>
  <c r="U40"/>
  <c r="BA42"/>
  <c r="AJ46"/>
  <c r="AH49"/>
  <c r="AZ53"/>
  <c r="CI56"/>
  <c r="Y62"/>
  <c r="BC66"/>
  <c r="M72"/>
  <c r="J77"/>
  <c r="P82"/>
  <c r="BR111"/>
  <c r="CJ122"/>
  <c r="R137"/>
  <c r="AD152" i="3"/>
  <c r="AD152" i="2" s="1"/>
  <c r="AD153"/>
  <c r="BP190"/>
  <c r="CB3" i="3"/>
  <c r="CB3" i="2" s="1"/>
  <c r="CB4"/>
  <c r="AT6"/>
  <c r="CK7"/>
  <c r="AU9"/>
  <c r="J12"/>
  <c r="J11" i="3"/>
  <c r="J11" i="2" s="1"/>
  <c r="BI13"/>
  <c r="S15"/>
  <c r="BR16"/>
  <c r="AB18"/>
  <c r="BX19" i="3"/>
  <c r="BX19" i="2" s="1"/>
  <c r="BX20"/>
  <c r="AH22"/>
  <c r="CG23"/>
  <c r="AQ25"/>
  <c r="N28"/>
  <c r="N27" i="3"/>
  <c r="N27" i="2" s="1"/>
  <c r="BE29"/>
  <c r="O31"/>
  <c r="BF32"/>
  <c r="X34"/>
  <c r="BL35" i="3"/>
  <c r="BL35" i="2" s="1"/>
  <c r="BL36"/>
  <c r="AD38"/>
  <c r="BU39"/>
  <c r="AE41"/>
  <c r="BV42"/>
  <c r="AR45"/>
  <c r="AB47"/>
  <c r="V49"/>
  <c r="Y51" i="3"/>
  <c r="Y51" i="2" s="1"/>
  <c r="Y52"/>
  <c r="AK54"/>
  <c r="AY56"/>
  <c r="CE58"/>
  <c r="AV62"/>
  <c r="K65"/>
  <c r="BY67" i="3"/>
  <c r="BY67" i="2" s="1"/>
  <c r="BY68"/>
  <c r="BF71"/>
  <c r="Y74"/>
  <c r="O78"/>
  <c r="AF81"/>
  <c r="L113"/>
  <c r="BQ120"/>
  <c r="T129"/>
  <c r="BX137"/>
  <c r="O147"/>
  <c r="AR157"/>
  <c r="CE183"/>
  <c r="AO5"/>
  <c r="AU7"/>
  <c r="BA9"/>
  <c r="AV11" i="3"/>
  <c r="AV11" i="2" s="1"/>
  <c r="AV12"/>
  <c r="BJ14"/>
  <c r="BH16"/>
  <c r="BF18"/>
  <c r="BY21"/>
  <c r="BW23"/>
  <c r="CC25"/>
  <c r="G29"/>
  <c r="M31"/>
  <c r="K33"/>
  <c r="AD35" i="3"/>
  <c r="AD35" i="2" s="1"/>
  <c r="AD36"/>
  <c r="AB38"/>
  <c r="Z40"/>
  <c r="AN42"/>
  <c r="AY45"/>
  <c r="BT47"/>
  <c r="AY50"/>
  <c r="W54"/>
  <c r="I57"/>
  <c r="BI61"/>
  <c r="H65"/>
  <c r="BE69"/>
  <c r="X73"/>
  <c r="CC77"/>
  <c r="AO82"/>
  <c r="BM109" i="3"/>
  <c r="BM109" i="2" s="1"/>
  <c r="BM110"/>
  <c r="CB121"/>
  <c r="CG134"/>
  <c r="BX151"/>
  <c r="BB192"/>
  <c r="AV5"/>
  <c r="Y8"/>
  <c r="CI10"/>
  <c r="BL15"/>
  <c r="BU19" i="3"/>
  <c r="BU19" i="2" s="1"/>
  <c r="BU20"/>
  <c r="BI24"/>
  <c r="BJ29"/>
  <c r="AP33"/>
  <c r="AT39"/>
  <c r="V45"/>
  <c r="U51" i="3"/>
  <c r="U51" i="2" s="1"/>
  <c r="U52"/>
  <c r="AI59" i="3"/>
  <c r="AI59" i="2" s="1"/>
  <c r="AI60"/>
  <c r="CD69"/>
  <c r="AC80"/>
  <c r="Z131"/>
  <c r="W164"/>
  <c r="BD57"/>
  <c r="BB66"/>
  <c r="AH77"/>
  <c r="R118" i="3"/>
  <c r="R118" i="2" s="1"/>
  <c r="R119"/>
  <c r="AT154"/>
  <c r="BX176"/>
  <c r="BB114"/>
  <c r="AJ149"/>
  <c r="BD147"/>
  <c r="AU189"/>
  <c r="CF63"/>
  <c r="O75" i="3"/>
  <c r="O75" i="2" s="1"/>
  <c r="O76"/>
  <c r="AP120"/>
  <c r="AL145"/>
  <c r="AN182"/>
  <c r="BK81"/>
  <c r="AL112"/>
  <c r="BJ133"/>
  <c r="AC160"/>
  <c r="AB216"/>
  <c r="Q53"/>
  <c r="V62"/>
  <c r="CB70"/>
  <c r="BQ79"/>
  <c r="CG112"/>
  <c r="J129"/>
  <c r="BL147"/>
  <c r="AG174"/>
  <c r="BW47"/>
  <c r="CB56"/>
  <c r="BI65"/>
  <c r="AH74"/>
  <c r="BR118" i="3"/>
  <c r="BR118" i="2" s="1"/>
  <c r="BR119"/>
  <c r="AC138"/>
  <c r="CA160"/>
  <c r="BX210"/>
  <c r="AN133"/>
  <c r="M150"/>
  <c r="CK184"/>
  <c r="BK116"/>
  <c r="BI140"/>
  <c r="G200"/>
  <c r="AD143" i="3"/>
  <c r="AD143" i="2" s="1"/>
  <c r="AD144"/>
  <c r="BA206"/>
  <c r="AX114"/>
  <c r="AB143" i="3"/>
  <c r="AB143" i="2" s="1"/>
  <c r="AB144"/>
  <c r="CC185"/>
  <c r="CA131"/>
  <c r="O164"/>
  <c r="AX164"/>
  <c r="BN177"/>
  <c r="AT227"/>
  <c r="AF209"/>
  <c r="AC54"/>
  <c r="CJ55"/>
  <c r="BT57"/>
  <c r="N61"/>
  <c r="U63"/>
  <c r="Z65"/>
  <c r="BC67" i="3"/>
  <c r="BC67" i="2" s="1"/>
  <c r="BC68"/>
  <c r="BI70"/>
  <c r="BT72"/>
  <c r="U75" i="3"/>
  <c r="U75" i="2" s="1"/>
  <c r="U76"/>
  <c r="AM78"/>
  <c r="H81"/>
  <c r="AI116"/>
  <c r="BU122"/>
  <c r="BX129"/>
  <c r="BF137"/>
  <c r="G143" i="3"/>
  <c r="G143" i="2" s="1"/>
  <c r="G144"/>
  <c r="P151"/>
  <c r="BJ167"/>
  <c r="I186"/>
  <c r="CK217"/>
  <c r="R73"/>
  <c r="K75" i="3"/>
  <c r="K75" i="2" s="1"/>
  <c r="K76"/>
  <c r="AC78"/>
  <c r="BF80"/>
  <c r="R113"/>
  <c r="CH117"/>
  <c r="AK124"/>
  <c r="CC130"/>
  <c r="BY138"/>
  <c r="BU145"/>
  <c r="AI152" i="3"/>
  <c r="AI152" i="2" s="1"/>
  <c r="AI153"/>
  <c r="CA166"/>
  <c r="AE185"/>
  <c r="J212" i="3"/>
  <c r="J212" i="2" s="1"/>
  <c r="J213"/>
  <c r="AT3" i="3"/>
  <c r="AT3" i="2" s="1"/>
  <c r="AT4"/>
  <c r="BR5"/>
  <c r="CJ6"/>
  <c r="U8"/>
  <c r="AI9"/>
  <c r="BA10"/>
  <c r="BY11" i="3"/>
  <c r="BY11" i="2" s="1"/>
  <c r="BY12"/>
  <c r="S14"/>
  <c r="AK15"/>
  <c r="BC16"/>
  <c r="BT17"/>
  <c r="CJ18"/>
  <c r="P21"/>
  <c r="AS22"/>
  <c r="BJ23"/>
  <c r="BX24"/>
  <c r="W26"/>
  <c r="AG27" i="3"/>
  <c r="AG27" i="2" s="1"/>
  <c r="AG28"/>
  <c r="AY29"/>
  <c r="CB30"/>
  <c r="L32"/>
  <c r="AB33"/>
  <c r="BE34"/>
  <c r="CA35" i="3"/>
  <c r="CA35" i="2" s="1"/>
  <c r="CA36"/>
  <c r="X38"/>
  <c r="AP39"/>
  <c r="BG40"/>
  <c r="BV41"/>
  <c r="M43" i="3"/>
  <c r="M43" i="2" s="1"/>
  <c r="M44"/>
  <c r="AW45"/>
  <c r="CB46"/>
  <c r="AH48"/>
  <c r="CG49"/>
  <c r="AY51" i="3"/>
  <c r="AY51" i="2" s="1"/>
  <c r="AY52"/>
  <c r="Q54"/>
  <c r="BW55"/>
  <c r="BH57"/>
  <c r="BQ59" i="3"/>
  <c r="BQ59" i="2" s="1"/>
  <c r="BQ60"/>
  <c r="AB63"/>
  <c r="AG65"/>
  <c r="AO67" i="3"/>
  <c r="AO67" i="2" s="1"/>
  <c r="AO68"/>
  <c r="AW70"/>
  <c r="BY72"/>
  <c r="CH74"/>
  <c r="CH77"/>
  <c r="BC80"/>
  <c r="Q113"/>
  <c r="W118" i="3"/>
  <c r="W118" i="2" s="1"/>
  <c r="W119"/>
  <c r="R125"/>
  <c r="AE132"/>
  <c r="O140"/>
  <c r="X147"/>
  <c r="L159"/>
  <c r="CK178" i="3"/>
  <c r="CK178" i="2" s="1"/>
  <c r="CK179"/>
  <c r="AH199"/>
  <c r="AN3" i="3"/>
  <c r="AN3" i="2" s="1"/>
  <c r="AN4"/>
  <c r="S5"/>
  <c r="CE5"/>
  <c r="BR6"/>
  <c r="AW7"/>
  <c r="AB8"/>
  <c r="G9"/>
  <c r="BS9"/>
  <c r="AX10"/>
  <c r="AH11" i="3"/>
  <c r="AH11" i="2" s="1"/>
  <c r="AH12"/>
  <c r="U13"/>
  <c r="CG13"/>
  <c r="BL14"/>
  <c r="AQ15"/>
  <c r="AD16"/>
  <c r="I17"/>
  <c r="BU17"/>
  <c r="AZ18"/>
  <c r="AJ19" i="3"/>
  <c r="AJ19" i="2" s="1"/>
  <c r="AJ20"/>
  <c r="O21"/>
  <c r="CA21"/>
  <c r="BF22"/>
  <c r="AS23"/>
  <c r="X24"/>
  <c r="CJ24"/>
  <c r="BO25"/>
  <c r="BB26"/>
  <c r="AL27" i="3"/>
  <c r="AL27" i="2" s="1"/>
  <c r="AL28"/>
  <c r="Q29"/>
  <c r="CC29"/>
  <c r="BH30"/>
  <c r="AM31"/>
  <c r="R32"/>
  <c r="CD32"/>
  <c r="BQ33"/>
  <c r="AV34"/>
  <c r="X35" i="3"/>
  <c r="X35" i="2" s="1"/>
  <c r="X36"/>
  <c r="CJ35" i="3"/>
  <c r="CJ35" i="2" s="1"/>
  <c r="CJ36"/>
  <c r="BO37"/>
  <c r="BB38"/>
  <c r="AG39"/>
  <c r="L40"/>
  <c r="BX40"/>
  <c r="BC41"/>
  <c r="AH42"/>
  <c r="R43" i="3"/>
  <c r="R43" i="2" s="1"/>
  <c r="R44"/>
  <c r="CE43" i="3"/>
  <c r="CE43" i="2" s="1"/>
  <c r="CE44"/>
  <c r="BT45"/>
  <c r="BQ46"/>
  <c r="BD47"/>
  <c r="BA48"/>
  <c r="BB49"/>
  <c r="BC50"/>
  <c r="BE51" i="3"/>
  <c r="BE51" i="2" s="1"/>
  <c r="BE52"/>
  <c r="BF53"/>
  <c r="BQ54"/>
  <c r="BV55"/>
  <c r="CH56"/>
  <c r="L58"/>
  <c r="AM59" i="3"/>
  <c r="AM59" i="2" s="1"/>
  <c r="AM60"/>
  <c r="BL61"/>
  <c r="CK62"/>
  <c r="AC64"/>
  <c r="AZ65"/>
  <c r="BY66"/>
  <c r="AU69"/>
  <c r="BU70"/>
  <c r="O72"/>
  <c r="AN73"/>
  <c r="BO74"/>
  <c r="S77"/>
  <c r="BM78"/>
  <c r="AK80"/>
  <c r="CD81"/>
  <c r="AR111"/>
  <c r="O114"/>
  <c r="BB117"/>
  <c r="CG121"/>
  <c r="BC125"/>
  <c r="AU130"/>
  <c r="Q134"/>
  <c r="W139"/>
  <c r="AC143" i="3"/>
  <c r="AC143" i="2" s="1"/>
  <c r="AC144"/>
  <c r="BP148"/>
  <c r="X154"/>
  <c r="BQ160"/>
  <c r="BL173"/>
  <c r="K194"/>
  <c r="BZ3" i="3"/>
  <c r="BZ3" i="2" s="1"/>
  <c r="BZ4"/>
  <c r="CC5"/>
  <c r="BX6"/>
  <c r="CA7"/>
  <c r="CD8"/>
  <c r="CG9"/>
  <c r="CJ10"/>
  <c r="CJ12"/>
  <c r="CJ11" i="3"/>
  <c r="CJ11" i="2" s="1"/>
  <c r="CE13"/>
  <c r="I15"/>
  <c r="L16"/>
  <c r="G17"/>
  <c r="J18"/>
  <c r="R19" i="3"/>
  <c r="R19" i="2" s="1"/>
  <c r="R20"/>
  <c r="U21"/>
  <c r="X22"/>
  <c r="AA23"/>
  <c r="AD24"/>
  <c r="AG25"/>
  <c r="AJ26"/>
  <c r="AJ27" i="3"/>
  <c r="AJ27" i="2" s="1"/>
  <c r="AJ28"/>
  <c r="AM29"/>
  <c r="AP30"/>
  <c r="AS31"/>
  <c r="AV32"/>
  <c r="AY33"/>
  <c r="BB34"/>
  <c r="BJ35" i="3"/>
  <c r="BJ35" i="2" s="1"/>
  <c r="BJ36"/>
  <c r="BM37"/>
  <c r="BH38"/>
  <c r="BK39"/>
  <c r="BN40"/>
  <c r="BQ41"/>
  <c r="BT42"/>
  <c r="BT44"/>
  <c r="BT43" i="3"/>
  <c r="BT43" i="2" s="1"/>
  <c r="CJ45"/>
  <c r="Q47"/>
  <c r="AO48"/>
  <c r="BJ49"/>
  <c r="K51" i="3"/>
  <c r="K51" i="2" s="1"/>
  <c r="K52"/>
  <c r="AR53"/>
  <c r="BM54"/>
  <c r="V56"/>
  <c r="BS57"/>
  <c r="AJ59" i="3"/>
  <c r="AJ59" i="2" s="1"/>
  <c r="AJ60"/>
  <c r="AF62"/>
  <c r="M64"/>
  <c r="BL65"/>
  <c r="BH67" i="3"/>
  <c r="BH67" i="2" s="1"/>
  <c r="BH68"/>
  <c r="AO70"/>
  <c r="J72"/>
  <c r="BZ73"/>
  <c r="BW75" i="3"/>
  <c r="BW75" i="2" s="1"/>
  <c r="BW76"/>
  <c r="BH78"/>
  <c r="AC81"/>
  <c r="BK112"/>
  <c r="BY117"/>
  <c r="AZ123"/>
  <c r="AO130"/>
  <c r="BT137"/>
  <c r="AO146"/>
  <c r="AK156"/>
  <c r="S173"/>
  <c r="CH201"/>
  <c r="BI3" i="3"/>
  <c r="BI3" i="2" s="1"/>
  <c r="BI4"/>
  <c r="CB5"/>
  <c r="AL7"/>
  <c r="CC8"/>
  <c r="W10"/>
  <c r="BC11" i="3"/>
  <c r="BC11" i="2" s="1"/>
  <c r="BC12"/>
  <c r="AS14"/>
  <c r="AY16"/>
  <c r="BM18"/>
  <c r="AJ21"/>
  <c r="AP23"/>
  <c r="X25"/>
  <c r="AQ27" i="3"/>
  <c r="AQ27" i="2" s="1"/>
  <c r="AQ28"/>
  <c r="AO30"/>
  <c r="AE32"/>
  <c r="AC34"/>
  <c r="CB37"/>
  <c r="AG40"/>
  <c r="BK42"/>
  <c r="AC46"/>
  <c r="R49"/>
  <c r="BA53"/>
  <c r="CE56"/>
  <c r="CI61"/>
  <c r="AE66"/>
  <c r="AL71"/>
  <c r="P77"/>
  <c r="H82"/>
  <c r="AK111"/>
  <c r="H123"/>
  <c r="AL135" i="3"/>
  <c r="AL135" i="2" s="1"/>
  <c r="AL136"/>
  <c r="K150"/>
  <c r="BM178" i="3"/>
  <c r="BM178" i="2" s="1"/>
  <c r="BM179"/>
  <c r="BE55"/>
  <c r="BW58"/>
  <c r="BZ63"/>
  <c r="G69"/>
  <c r="CC72"/>
  <c r="BX80"/>
  <c r="G109" i="3"/>
  <c r="G109" i="2" s="1"/>
  <c r="G110"/>
  <c r="J123"/>
  <c r="AT141"/>
  <c r="AD165"/>
  <c r="AY207"/>
  <c r="BM193"/>
  <c r="BY120"/>
  <c r="X137"/>
  <c r="K156"/>
  <c r="AR194"/>
  <c r="CB151"/>
  <c r="Z170" i="3"/>
  <c r="Z170" i="2" s="1"/>
  <c r="Z171"/>
  <c r="I199"/>
  <c r="BI59" i="3"/>
  <c r="BI59" i="2" s="1"/>
  <c r="BI60"/>
  <c r="CE65"/>
  <c r="CH71"/>
  <c r="AT78"/>
  <c r="CJ113"/>
  <c r="BC124"/>
  <c r="BM137"/>
  <c r="CH149"/>
  <c r="AH166"/>
  <c r="BW193"/>
  <c r="BA78"/>
  <c r="CK114"/>
  <c r="AE125"/>
  <c r="BI138"/>
  <c r="T151"/>
  <c r="AF168"/>
  <c r="O194"/>
  <c r="BC45"/>
  <c r="BG49"/>
  <c r="AZ54"/>
  <c r="BT58"/>
  <c r="BE63"/>
  <c r="AP67" i="3"/>
  <c r="AP67" i="2" s="1"/>
  <c r="AP68"/>
  <c r="AT72"/>
  <c r="AE77"/>
  <c r="AQ81"/>
  <c r="Y115"/>
  <c r="L123"/>
  <c r="AO132"/>
  <c r="AS141"/>
  <c r="N151"/>
  <c r="BD163"/>
  <c r="BW181"/>
  <c r="BC204" i="3"/>
  <c r="BC204" i="2" s="1"/>
  <c r="BC205"/>
  <c r="AG49"/>
  <c r="AH54"/>
  <c r="AD58"/>
  <c r="O63"/>
  <c r="P67" i="3"/>
  <c r="P67" i="2" s="1"/>
  <c r="P68"/>
  <c r="CK71"/>
  <c r="AC77"/>
  <c r="Q81"/>
  <c r="AZ114"/>
  <c r="AQ122"/>
  <c r="BR131"/>
  <c r="X142"/>
  <c r="AY152" i="3"/>
  <c r="AY152" i="2" s="1"/>
  <c r="AY153"/>
  <c r="BB167"/>
  <c r="BV190"/>
  <c r="AQ233"/>
  <c r="AX129"/>
  <c r="AE135" i="3"/>
  <c r="AE135" i="2" s="1"/>
  <c r="AE136"/>
  <c r="BZ143" i="3"/>
  <c r="BZ143" i="2" s="1"/>
  <c r="BZ144"/>
  <c r="AC154"/>
  <c r="AX170" i="3"/>
  <c r="AX170" i="2" s="1"/>
  <c r="AX171"/>
  <c r="CJ194"/>
  <c r="BL109" i="3"/>
  <c r="BL109" i="2" s="1"/>
  <c r="BL110"/>
  <c r="N121"/>
  <c r="AA132"/>
  <c r="BA146"/>
  <c r="AM174"/>
  <c r="Q232"/>
  <c r="BD131"/>
  <c r="BI150"/>
  <c r="BA178" i="3"/>
  <c r="BA178" i="2" s="1"/>
  <c r="BA179"/>
  <c r="AD120"/>
  <c r="CI133"/>
  <c r="AN148"/>
  <c r="BD167"/>
  <c r="AS196" i="3"/>
  <c r="AS196" i="2" s="1"/>
  <c r="AS197"/>
  <c r="U123"/>
  <c r="V138"/>
  <c r="AU151"/>
  <c r="S172"/>
  <c r="I206"/>
  <c r="P177"/>
  <c r="AR158"/>
  <c r="BM192"/>
  <c r="CF175"/>
  <c r="CG184"/>
  <c r="AR195"/>
  <c r="BR224"/>
  <c r="P234"/>
  <c r="AH63"/>
  <c r="CK66"/>
  <c r="AU70"/>
  <c r="I74"/>
  <c r="CH78"/>
  <c r="BG82"/>
  <c r="AY113"/>
  <c r="R123"/>
  <c r="S133"/>
  <c r="AL143" i="3"/>
  <c r="AL143" i="2" s="1"/>
  <c r="AL144"/>
  <c r="AC158"/>
  <c r="CK199"/>
  <c r="AX3" i="3"/>
  <c r="AX3" i="2" s="1"/>
  <c r="AX4"/>
  <c r="M6"/>
  <c r="BL7"/>
  <c r="AA9"/>
  <c r="CC10"/>
  <c r="AT13"/>
  <c r="J15"/>
  <c r="BI16"/>
  <c r="AC18"/>
  <c r="CH19" i="3"/>
  <c r="CH19" i="2" s="1"/>
  <c r="CH20"/>
  <c r="AY22"/>
  <c r="O24"/>
  <c r="BJ25"/>
  <c r="AE27" i="3"/>
  <c r="AE27" i="2" s="1"/>
  <c r="AE28"/>
  <c r="CD29"/>
  <c r="AQ31"/>
  <c r="H33"/>
  <c r="BF34"/>
  <c r="W37"/>
  <c r="BY38"/>
  <c r="AQ40"/>
  <c r="Y42"/>
  <c r="CA43" i="3"/>
  <c r="CA43" i="2" s="1"/>
  <c r="CA44"/>
  <c r="CC46"/>
  <c r="CA48"/>
  <c r="P51" i="3"/>
  <c r="P51" i="2" s="1"/>
  <c r="P52"/>
  <c r="AV54"/>
  <c r="P57"/>
  <c r="M61"/>
  <c r="BX63"/>
  <c r="AR66"/>
  <c r="AH70"/>
  <c r="AC74"/>
  <c r="L79"/>
  <c r="CD113"/>
  <c r="BB122"/>
  <c r="BC132"/>
  <c r="AB149"/>
  <c r="AO175"/>
  <c r="BF211"/>
  <c r="J5"/>
  <c r="BI6"/>
  <c r="AA8"/>
  <c r="BZ9"/>
  <c r="AS11" i="3"/>
  <c r="AS11" i="2" s="1"/>
  <c r="AS12"/>
  <c r="I14"/>
  <c r="BH15"/>
  <c r="Z17"/>
  <c r="BZ18"/>
  <c r="AV21"/>
  <c r="N23"/>
  <c r="BK24"/>
  <c r="Y26"/>
  <c r="CA27" i="3"/>
  <c r="CA27" i="2" s="1"/>
  <c r="CA28"/>
  <c r="AS30"/>
  <c r="I32"/>
  <c r="BE33"/>
  <c r="AM36"/>
  <c r="AM35" i="3"/>
  <c r="AM35" i="2" s="1"/>
  <c r="AN38"/>
  <c r="AM40"/>
  <c r="AL42"/>
  <c r="AB45"/>
  <c r="L47"/>
  <c r="AK49"/>
  <c r="AH51" i="3"/>
  <c r="AH51" i="2" s="1"/>
  <c r="AH52"/>
  <c r="AO54"/>
  <c r="J57"/>
  <c r="AQ59" i="3"/>
  <c r="AQ59" i="2" s="1"/>
  <c r="AQ60"/>
  <c r="K63"/>
  <c r="BV65"/>
  <c r="AX69"/>
  <c r="BA72"/>
  <c r="V77"/>
  <c r="BW80"/>
  <c r="BL115"/>
  <c r="BJ124"/>
  <c r="AQ133"/>
  <c r="BO145"/>
  <c r="BF155"/>
  <c r="AY172"/>
  <c r="BY215"/>
  <c r="BK3" i="3"/>
  <c r="BK3" i="2" s="1"/>
  <c r="BK4"/>
  <c r="BZ5"/>
  <c r="K7"/>
  <c r="AC8"/>
  <c r="BE9"/>
  <c r="BW10"/>
  <c r="CG11" i="3"/>
  <c r="CG11" i="2" s="1"/>
  <c r="CG12"/>
  <c r="O14"/>
  <c r="AS15"/>
  <c r="BK16"/>
  <c r="CB17"/>
  <c r="G19" i="3"/>
  <c r="G19" i="2" s="1"/>
  <c r="G20"/>
  <c r="X21"/>
  <c r="AO22"/>
  <c r="BR23"/>
  <c r="CF24"/>
  <c r="AE26"/>
  <c r="BC27" i="3"/>
  <c r="BC27" i="2" s="1"/>
  <c r="BC28"/>
  <c r="BT29"/>
  <c r="CJ30"/>
  <c r="AG32"/>
  <c r="AV33"/>
  <c r="BM34"/>
  <c r="CI36"/>
  <c r="CI35" i="3"/>
  <c r="CI35" i="2" s="1"/>
  <c r="R38"/>
  <c r="AJ39"/>
  <c r="BB40"/>
  <c r="CD41"/>
  <c r="I43" i="3"/>
  <c r="I43" i="2" s="1"/>
  <c r="I44"/>
  <c r="AC45"/>
  <c r="BI46"/>
  <c r="J48"/>
  <c r="BH49"/>
  <c r="AC51" i="3"/>
  <c r="AC51" i="2" s="1"/>
  <c r="AC52"/>
  <c r="CD53"/>
  <c r="AW55"/>
  <c r="AE57"/>
  <c r="BG59" i="3"/>
  <c r="BG59" i="2" s="1"/>
  <c r="BG60"/>
  <c r="BL62"/>
  <c r="BR64"/>
  <c r="M67" i="3"/>
  <c r="M67" i="2" s="1"/>
  <c r="M68"/>
  <c r="R70"/>
  <c r="Z72"/>
  <c r="BD74"/>
  <c r="BU77"/>
  <c r="AQ80"/>
  <c r="CD82"/>
  <c r="Z115"/>
  <c r="AK121"/>
  <c r="AQ128"/>
  <c r="BU134"/>
  <c r="CH141"/>
  <c r="AK149"/>
  <c r="BC158"/>
  <c r="BW182"/>
  <c r="AD211"/>
  <c r="BG72"/>
  <c r="BQ74"/>
  <c r="BG77"/>
  <c r="G80"/>
  <c r="AQ82"/>
  <c r="W112"/>
  <c r="BE116"/>
  <c r="AO122"/>
  <c r="AP129"/>
  <c r="AL137"/>
  <c r="AO143" i="3"/>
  <c r="AO143" i="2" s="1"/>
  <c r="AO144"/>
  <c r="BE150"/>
  <c r="BC160"/>
  <c r="BB181"/>
  <c r="AQ199"/>
  <c r="Y3" i="3"/>
  <c r="Y3" i="2" s="1"/>
  <c r="Y4"/>
  <c r="AS5"/>
  <c r="BK6"/>
  <c r="CB7"/>
  <c r="J9"/>
  <c r="AB10"/>
  <c r="AZ11" i="3"/>
  <c r="AZ11" i="2" s="1"/>
  <c r="AZ12"/>
  <c r="CB13"/>
  <c r="L15"/>
  <c r="AC16"/>
  <c r="AS17"/>
  <c r="BK18"/>
  <c r="BY19" i="3"/>
  <c r="BY19" i="2" s="1"/>
  <c r="BY20"/>
  <c r="T22"/>
  <c r="AJ23"/>
  <c r="AY24"/>
  <c r="CD25"/>
  <c r="H27" i="3"/>
  <c r="H27" i="2" s="1"/>
  <c r="H28"/>
  <c r="Z29"/>
  <c r="BC30"/>
  <c r="BT31"/>
  <c r="CK32"/>
  <c r="AE34"/>
  <c r="AZ35" i="3"/>
  <c r="AZ35" i="2" s="1"/>
  <c r="AZ36"/>
  <c r="CF37"/>
  <c r="P39"/>
  <c r="AF40"/>
  <c r="AW41"/>
  <c r="BO42"/>
  <c r="T45"/>
  <c r="AZ46"/>
  <c r="CF47"/>
  <c r="AV49"/>
  <c r="R51" i="3"/>
  <c r="R51" i="2" s="1"/>
  <c r="R52"/>
  <c r="BR53"/>
  <c r="AJ55"/>
  <c r="R57"/>
  <c r="Y59" i="3"/>
  <c r="Y59" i="2" s="1"/>
  <c r="Y60"/>
  <c r="AW62"/>
  <c r="BY64"/>
  <c r="CA66"/>
  <c r="CK69"/>
  <c r="AH72"/>
  <c r="AO74"/>
  <c r="AG77"/>
  <c r="BM79"/>
  <c r="AM82"/>
  <c r="Q112"/>
  <c r="T117"/>
  <c r="BP123"/>
  <c r="BO130"/>
  <c r="BW138"/>
  <c r="BR145"/>
  <c r="CB155"/>
  <c r="CB169"/>
  <c r="BO192"/>
  <c r="X4"/>
  <c r="X3" i="3"/>
  <c r="X3" i="2" s="1"/>
  <c r="CJ3" i="3"/>
  <c r="CJ3" i="2" s="1"/>
  <c r="CJ4"/>
  <c r="BO5"/>
  <c r="BB6"/>
  <c r="AG7"/>
  <c r="L8"/>
  <c r="BX8"/>
  <c r="BC9"/>
  <c r="AH10"/>
  <c r="R11" i="3"/>
  <c r="R11" i="2" s="1"/>
  <c r="R12"/>
  <c r="CD11" i="3"/>
  <c r="CD11" i="2" s="1"/>
  <c r="CD12"/>
  <c r="BQ13"/>
  <c r="AV14"/>
  <c r="AA15"/>
  <c r="N16"/>
  <c r="BZ16"/>
  <c r="BE17"/>
  <c r="AJ18"/>
  <c r="T19" i="3"/>
  <c r="T19" i="2" s="1"/>
  <c r="T20"/>
  <c r="CF19" i="3"/>
  <c r="CF19" i="2" s="1"/>
  <c r="CF20"/>
  <c r="BK21"/>
  <c r="AP22"/>
  <c r="AC23"/>
  <c r="H24"/>
  <c r="BT24"/>
  <c r="AY25"/>
  <c r="AL26"/>
  <c r="V27" i="3"/>
  <c r="V27" i="2" s="1"/>
  <c r="V28"/>
  <c r="CH27" i="3"/>
  <c r="CH27" i="2" s="1"/>
  <c r="CH28"/>
  <c r="BM29"/>
  <c r="AR30"/>
  <c r="W31"/>
  <c r="CI31"/>
  <c r="BN32"/>
  <c r="BA33"/>
  <c r="AF34"/>
  <c r="H35" i="3"/>
  <c r="H35" i="2" s="1"/>
  <c r="H36"/>
  <c r="BT35" i="3"/>
  <c r="BT35" i="2" s="1"/>
  <c r="BT36"/>
  <c r="AY37"/>
  <c r="AL38"/>
  <c r="Q39"/>
  <c r="CC39"/>
  <c r="BH40"/>
  <c r="AM41"/>
  <c r="R42"/>
  <c r="CD42"/>
  <c r="BN44"/>
  <c r="BN43" i="3"/>
  <c r="BN43" i="2" s="1"/>
  <c r="BA45"/>
  <c r="AY46"/>
  <c r="AL47"/>
  <c r="AG48"/>
  <c r="AF49"/>
  <c r="AG50"/>
  <c r="AI51" i="3"/>
  <c r="AI51" i="2" s="1"/>
  <c r="AI52"/>
  <c r="AJ53"/>
  <c r="AU54"/>
  <c r="AX55"/>
  <c r="BJ56"/>
  <c r="BU57"/>
  <c r="L59" i="3"/>
  <c r="L59" i="2" s="1"/>
  <c r="L60"/>
  <c r="AK61"/>
  <c r="BI62"/>
  <c r="CH63"/>
  <c r="Y65"/>
  <c r="AW66"/>
  <c r="Q69"/>
  <c r="AS70"/>
  <c r="BS71"/>
  <c r="M73"/>
  <c r="AM74"/>
  <c r="BL75" i="3"/>
  <c r="BL75" i="2" s="1"/>
  <c r="BL76"/>
  <c r="AD78"/>
  <c r="BV79"/>
  <c r="AX81"/>
  <c r="BW109" i="3"/>
  <c r="BW109" i="2" s="1"/>
  <c r="BW110"/>
  <c r="AN113"/>
  <c r="BW116"/>
  <c r="T121"/>
  <c r="BG124"/>
  <c r="BK129"/>
  <c r="V133"/>
  <c r="AI138"/>
  <c r="AM142"/>
  <c r="BJ147"/>
  <c r="U152" i="3"/>
  <c r="U152" i="2" s="1"/>
  <c r="U153"/>
  <c r="U158"/>
  <c r="BL169"/>
  <c r="AZ190"/>
  <c r="CA212" i="3"/>
  <c r="CA212" i="2" s="1"/>
  <c r="CA213"/>
  <c r="BE5"/>
  <c r="BH6"/>
  <c r="BC7"/>
  <c r="BF8"/>
  <c r="BQ9"/>
  <c r="BL10"/>
  <c r="BL11" i="3"/>
  <c r="BL11" i="2" s="1"/>
  <c r="BL12"/>
  <c r="BO13"/>
  <c r="BR14"/>
  <c r="BU15"/>
  <c r="BX16"/>
  <c r="BS17"/>
  <c r="BV18"/>
  <c r="CD19" i="3"/>
  <c r="CD19" i="2" s="1"/>
  <c r="CD20"/>
  <c r="CG21"/>
  <c r="CJ22"/>
  <c r="N24"/>
  <c r="I25"/>
  <c r="L26"/>
  <c r="T27" i="3"/>
  <c r="T27" i="2" s="1"/>
  <c r="T28"/>
  <c r="O29"/>
  <c r="R30"/>
  <c r="AC31"/>
  <c r="X32"/>
  <c r="AA33"/>
  <c r="AL34"/>
  <c r="AL35" i="3"/>
  <c r="AL35" i="2" s="1"/>
  <c r="AL36"/>
  <c r="AO37"/>
  <c r="AR38"/>
  <c r="AM39"/>
  <c r="AP40"/>
  <c r="BA41"/>
  <c r="AV42"/>
  <c r="AV43" i="3"/>
  <c r="AV43" i="2" s="1"/>
  <c r="AV44"/>
  <c r="BQ45"/>
  <c r="BX46"/>
  <c r="I48"/>
  <c r="AN49"/>
  <c r="BK50"/>
  <c r="L53"/>
  <c r="AS54"/>
  <c r="BT55"/>
  <c r="AG57"/>
  <c r="J59" i="3"/>
  <c r="J59" i="2" s="1"/>
  <c r="J60"/>
  <c r="BX61"/>
  <c r="BD63"/>
  <c r="AI65"/>
  <c r="Q67" i="3"/>
  <c r="Q67" i="2" s="1"/>
  <c r="Q68"/>
  <c r="CF69"/>
  <c r="BP71"/>
  <c r="AK73"/>
  <c r="AF76"/>
  <c r="AF75" i="3"/>
  <c r="AF75" i="2" s="1"/>
  <c r="AB78"/>
  <c r="AG80"/>
  <c r="BU82"/>
  <c r="AL111"/>
  <c r="BO116"/>
  <c r="X122"/>
  <c r="L129"/>
  <c r="AR135" i="3"/>
  <c r="AR135" i="2" s="1"/>
  <c r="AR136"/>
  <c r="BG143" i="3"/>
  <c r="BG143" i="2" s="1"/>
  <c r="BG144"/>
  <c r="P154"/>
  <c r="AX169"/>
  <c r="AE195"/>
  <c r="AC3" i="3"/>
  <c r="AC3" i="2" s="1"/>
  <c r="AC4"/>
  <c r="BD5"/>
  <c r="N7"/>
  <c r="AW8"/>
  <c r="BP9"/>
  <c r="W11" i="3"/>
  <c r="W11" i="2" s="1"/>
  <c r="W12"/>
  <c r="U14"/>
  <c r="K16"/>
  <c r="I18"/>
  <c r="CC19" i="3"/>
  <c r="CC19" i="2" s="1"/>
  <c r="CC20"/>
  <c r="BS22"/>
  <c r="H25"/>
  <c r="CE26"/>
  <c r="CH29"/>
  <c r="BX31"/>
  <c r="BN33"/>
  <c r="P37"/>
  <c r="BB39"/>
  <c r="CF41"/>
  <c r="AO45"/>
  <c r="R48"/>
  <c r="BA51" i="3"/>
  <c r="BA51" i="2" s="1"/>
  <c r="BA52"/>
  <c r="BR55"/>
  <c r="AW59" i="3"/>
  <c r="AW59" i="2" s="1"/>
  <c r="AW60"/>
  <c r="CB64"/>
  <c r="L70"/>
  <c r="BW74"/>
  <c r="AU80"/>
  <c r="AP118" i="3"/>
  <c r="AP118" i="2" s="1"/>
  <c r="AP119"/>
  <c r="BN131"/>
  <c r="CE145"/>
  <c r="L165"/>
  <c r="AY217"/>
  <c r="BN57"/>
  <c r="BC62"/>
  <c r="BZ66"/>
  <c r="BD71"/>
  <c r="AW78"/>
  <c r="AM118" i="3"/>
  <c r="AM118" i="2" s="1"/>
  <c r="AM119"/>
  <c r="BH135" i="3"/>
  <c r="BH135" i="2" s="1"/>
  <c r="BH136"/>
  <c r="AJ155"/>
  <c r="P192"/>
  <c r="Z180"/>
  <c r="AH116"/>
  <c r="BJ131"/>
  <c r="BR149"/>
  <c r="BS181"/>
  <c r="CA147"/>
  <c r="AJ164"/>
  <c r="M190"/>
  <c r="AP234"/>
  <c r="AO64"/>
  <c r="AQ70"/>
  <c r="BQ76"/>
  <c r="BQ75" i="3"/>
  <c r="BQ75" i="2" s="1"/>
  <c r="BP81"/>
  <c r="AT111"/>
  <c r="P121"/>
  <c r="Y133"/>
  <c r="AT146"/>
  <c r="AQ160"/>
  <c r="BB185"/>
  <c r="H231"/>
  <c r="CG81"/>
  <c r="BA112"/>
  <c r="Q122"/>
  <c r="U134"/>
  <c r="R147"/>
  <c r="CE161" i="3"/>
  <c r="CE161" i="2" s="1"/>
  <c r="CE162"/>
  <c r="CK185"/>
  <c r="AE217"/>
  <c r="AV48"/>
  <c r="AO53"/>
  <c r="AS57"/>
  <c r="AD62"/>
  <c r="J66"/>
  <c r="S71"/>
  <c r="L75" i="3"/>
  <c r="L75" i="2" s="1"/>
  <c r="L76"/>
  <c r="AF80"/>
  <c r="X113"/>
  <c r="BU120"/>
  <c r="BJ129"/>
  <c r="CG138"/>
  <c r="BM148"/>
  <c r="AO158"/>
  <c r="BT174"/>
  <c r="AH196" i="3"/>
  <c r="AH196" i="2" s="1"/>
  <c r="AH197"/>
  <c r="CE47"/>
  <c r="O53"/>
  <c r="CJ56"/>
  <c r="CC61"/>
  <c r="H66"/>
  <c r="BZ70"/>
  <c r="BV74"/>
  <c r="BO79"/>
  <c r="BR112"/>
  <c r="AO120"/>
  <c r="V129"/>
  <c r="L139"/>
  <c r="AR149"/>
  <c r="BA161" i="3"/>
  <c r="BA161" i="2" s="1"/>
  <c r="BA162"/>
  <c r="CH182"/>
  <c r="AG211"/>
  <c r="CC126" i="3"/>
  <c r="CC126" i="2" s="1"/>
  <c r="CC127"/>
  <c r="AX133"/>
  <c r="U141"/>
  <c r="BD150"/>
  <c r="Y164"/>
  <c r="Q187" i="3"/>
  <c r="Q187" i="2" s="1"/>
  <c r="Q188"/>
  <c r="BU216"/>
  <c r="J117"/>
  <c r="CA128"/>
  <c r="H142"/>
  <c r="V163"/>
  <c r="BI201"/>
  <c r="V125"/>
  <c r="AX145"/>
  <c r="M167"/>
  <c r="BD217"/>
  <c r="AS115"/>
  <c r="AL130"/>
  <c r="BP143" i="3"/>
  <c r="BP143" i="2" s="1"/>
  <c r="BP144"/>
  <c r="Y160"/>
  <c r="AR186"/>
  <c r="BU117"/>
  <c r="AS133"/>
  <c r="BO147"/>
  <c r="BA164"/>
  <c r="CH193"/>
  <c r="CG165"/>
  <c r="CF207"/>
  <c r="BQ178" i="3"/>
  <c r="BQ178" i="2" s="1"/>
  <c r="BQ179"/>
  <c r="CG159"/>
  <c r="W172"/>
  <c r="T172"/>
  <c r="CB212" i="3"/>
  <c r="CB212" i="2" s="1"/>
  <c r="CB213"/>
  <c r="CG227"/>
  <c r="AB66"/>
  <c r="BT69"/>
  <c r="Z73"/>
  <c r="AQ77"/>
  <c r="BF81"/>
  <c r="N112"/>
  <c r="X121"/>
  <c r="L131"/>
  <c r="BN140"/>
  <c r="AB155"/>
  <c r="BN190"/>
  <c r="V3" i="3"/>
  <c r="V3" i="2" s="1"/>
  <c r="V4"/>
  <c r="BJ5"/>
  <c r="AC7"/>
  <c r="CB8"/>
  <c r="AS10"/>
  <c r="I13"/>
  <c r="BH14"/>
  <c r="Z16"/>
  <c r="BY17"/>
  <c r="BA19" i="3"/>
  <c r="BA19" i="2" s="1"/>
  <c r="BA20"/>
  <c r="Q22"/>
  <c r="BM23"/>
  <c r="AC25"/>
  <c r="CA26"/>
  <c r="AV29"/>
  <c r="J31"/>
  <c r="BI32"/>
  <c r="W34"/>
  <c r="BW35" i="3"/>
  <c r="BW35" i="2" s="1"/>
  <c r="BW36"/>
  <c r="AO38"/>
  <c r="H40"/>
  <c r="BF41"/>
  <c r="AR43" i="3"/>
  <c r="AR43" i="2" s="1"/>
  <c r="AR44"/>
  <c r="AQ46"/>
  <c r="AI48"/>
  <c r="AU50"/>
  <c r="BO53"/>
  <c r="AZ56"/>
  <c r="AR59" i="3"/>
  <c r="AR59" i="2" s="1"/>
  <c r="AR60"/>
  <c r="N63"/>
  <c r="CD65"/>
  <c r="AZ69"/>
  <c r="AQ73"/>
  <c r="V78"/>
  <c r="AK82"/>
  <c r="AS112"/>
  <c r="BN120"/>
  <c r="AQ130"/>
  <c r="CG143" i="3"/>
  <c r="CG143" i="2" s="1"/>
  <c r="CG144"/>
  <c r="CA169"/>
  <c r="G194"/>
  <c r="BJ3" i="3"/>
  <c r="BJ3" i="2" s="1"/>
  <c r="BJ4"/>
  <c r="Z6"/>
  <c r="BY7"/>
  <c r="AP9"/>
  <c r="L11" i="3"/>
  <c r="L11" i="2" s="1"/>
  <c r="L12"/>
  <c r="BH13"/>
  <c r="Z15"/>
  <c r="BY16"/>
  <c r="AQ18"/>
  <c r="N21"/>
  <c r="BM22"/>
  <c r="AB24"/>
  <c r="BZ25"/>
  <c r="AS27" i="3"/>
  <c r="AS27" i="2" s="1"/>
  <c r="AS28"/>
  <c r="H30"/>
  <c r="BG31"/>
  <c r="X33"/>
  <c r="CK34"/>
  <c r="BV37"/>
  <c r="BV39"/>
  <c r="BU41"/>
  <c r="BY43" i="3"/>
  <c r="BY43" i="2" s="1"/>
  <c r="BY44"/>
  <c r="BG46"/>
  <c r="BX48"/>
  <c r="CK50"/>
  <c r="CF53"/>
  <c r="AR56"/>
  <c r="CK58"/>
  <c r="AK62"/>
  <c r="P65"/>
  <c r="CE67" i="3"/>
  <c r="CE67" i="2" s="1"/>
  <c r="CE68"/>
  <c r="BR71"/>
  <c r="AM75" i="3"/>
  <c r="AM75" i="2" s="1"/>
  <c r="AM76"/>
  <c r="CK79"/>
  <c r="BZ113"/>
  <c r="BA122"/>
  <c r="AT131"/>
  <c r="AK142"/>
  <c r="AP152" i="3"/>
  <c r="AP152" i="2" s="1"/>
  <c r="AP153"/>
  <c r="CD166"/>
  <c r="CJ207"/>
  <c r="AP3" i="3"/>
  <c r="AP3" i="2" s="1"/>
  <c r="AP4"/>
  <c r="BA5"/>
  <c r="BS6"/>
  <c r="CJ7"/>
  <c r="AF9"/>
  <c r="AW10"/>
  <c r="BH11" i="3"/>
  <c r="BH11" i="2" s="1"/>
  <c r="BH12"/>
  <c r="BX13"/>
  <c r="T15"/>
  <c r="AK16"/>
  <c r="BA17"/>
  <c r="BS18"/>
  <c r="CG19" i="3"/>
  <c r="CG19" i="2" s="1"/>
  <c r="CG20"/>
  <c r="N22"/>
  <c r="AR23"/>
  <c r="BG24"/>
  <c r="BY25"/>
  <c r="AC27" i="3"/>
  <c r="AC27" i="2" s="1"/>
  <c r="AC28"/>
  <c r="AS29"/>
  <c r="BK30"/>
  <c r="CB31"/>
  <c r="W33"/>
  <c r="AM34"/>
  <c r="BH35" i="3"/>
  <c r="BH35" i="2" s="1"/>
  <c r="BH36"/>
  <c r="BZ37"/>
  <c r="K39"/>
  <c r="AC40"/>
  <c r="BE41"/>
  <c r="BW42"/>
  <c r="CI43" i="3"/>
  <c r="CI43" i="2" s="1"/>
  <c r="CI44"/>
  <c r="AE46"/>
  <c r="BH47"/>
  <c r="Z49"/>
  <c r="CA50"/>
  <c r="AV53"/>
  <c r="I55"/>
  <c r="CA56"/>
  <c r="O59" i="3"/>
  <c r="O59" i="2" s="1"/>
  <c r="O60"/>
  <c r="R62"/>
  <c r="W64"/>
  <c r="AU66"/>
  <c r="BF69"/>
  <c r="BK71"/>
  <c r="N74"/>
  <c r="X77"/>
  <c r="CC79"/>
  <c r="AE82"/>
  <c r="AT113"/>
  <c r="P120"/>
  <c r="BE125"/>
  <c r="AI133"/>
  <c r="BC140"/>
  <c r="BV147"/>
  <c r="AP156"/>
  <c r="I178" i="3"/>
  <c r="I178" i="2" s="1"/>
  <c r="I179"/>
  <c r="CD200"/>
  <c r="P72"/>
  <c r="X74"/>
  <c r="K77"/>
  <c r="AR79"/>
  <c r="BT81"/>
  <c r="AB111"/>
  <c r="AT115"/>
  <c r="K121"/>
  <c r="M128"/>
  <c r="AG134"/>
  <c r="BB141"/>
  <c r="CK148"/>
  <c r="P158"/>
  <c r="V176"/>
  <c r="AE194"/>
  <c r="AZ234"/>
  <c r="T5"/>
  <c r="AK6"/>
  <c r="BA7"/>
  <c r="BS8"/>
  <c r="CJ9"/>
  <c r="AA11" i="3"/>
  <c r="AA11" i="2" s="1"/>
  <c r="AA12"/>
  <c r="BC13"/>
  <c r="BS14"/>
  <c r="CI15"/>
  <c r="T17"/>
  <c r="AL18"/>
  <c r="AY19" i="3"/>
  <c r="AY19" i="2" s="1"/>
  <c r="AY20"/>
  <c r="BN21"/>
  <c r="I23"/>
  <c r="Z24"/>
  <c r="BC25"/>
  <c r="BU26"/>
  <c r="CG27" i="3"/>
  <c r="CG27" i="2" s="1"/>
  <c r="CG28"/>
  <c r="AD30"/>
  <c r="AT31"/>
  <c r="BJ32"/>
  <c r="CA33"/>
  <c r="AA35" i="3"/>
  <c r="AA35" i="2" s="1"/>
  <c r="AA36"/>
  <c r="BF37"/>
  <c r="BV38"/>
  <c r="G40"/>
  <c r="X41"/>
  <c r="AO42"/>
  <c r="BM43" i="3"/>
  <c r="BM43" i="2" s="1"/>
  <c r="BM44"/>
  <c r="V46"/>
  <c r="AY47"/>
  <c r="O49"/>
  <c r="BO50"/>
  <c r="AK53"/>
  <c r="CG54"/>
  <c r="BO56"/>
  <c r="BF58"/>
  <c r="BQ61"/>
  <c r="AG64"/>
  <c r="AI66"/>
  <c r="AT69"/>
  <c r="BV71"/>
  <c r="CF73"/>
  <c r="BT75" i="3"/>
  <c r="BT75" i="2" s="1"/>
  <c r="BT76"/>
  <c r="O79"/>
  <c r="BS81"/>
  <c r="V111"/>
  <c r="AL115"/>
  <c r="AD122"/>
  <c r="AL129"/>
  <c r="BM136"/>
  <c r="BM135" i="3"/>
  <c r="BM135" i="2" s="1"/>
  <c r="CK142"/>
  <c r="AX151"/>
  <c r="BQ166"/>
  <c r="AW186"/>
  <c r="H3" i="3"/>
  <c r="H3" i="2" s="1"/>
  <c r="H4"/>
  <c r="BT3" i="3"/>
  <c r="BT3" i="2" s="1"/>
  <c r="BT4"/>
  <c r="AY5"/>
  <c r="AL6"/>
  <c r="Q7"/>
  <c r="CC7"/>
  <c r="BH8"/>
  <c r="AM9"/>
  <c r="R10"/>
  <c r="CD10"/>
  <c r="BN11" i="3"/>
  <c r="BN11" i="2" s="1"/>
  <c r="BN12"/>
  <c r="BA13"/>
  <c r="AF14"/>
  <c r="K15"/>
  <c r="BW15"/>
  <c r="BJ16"/>
  <c r="AO17"/>
  <c r="T18"/>
  <c r="CF18"/>
  <c r="BP19" i="3"/>
  <c r="BP19" i="2" s="1"/>
  <c r="BP20"/>
  <c r="AU21"/>
  <c r="Z22"/>
  <c r="M23"/>
  <c r="BY23"/>
  <c r="BD24"/>
  <c r="AI25"/>
  <c r="V26"/>
  <c r="CH26"/>
  <c r="BR27" i="3"/>
  <c r="BR27" i="2" s="1"/>
  <c r="BR28"/>
  <c r="AW29"/>
  <c r="AB30"/>
  <c r="G31"/>
  <c r="BS31"/>
  <c r="AX32"/>
  <c r="AK33"/>
  <c r="P34"/>
  <c r="CB34"/>
  <c r="BD35" i="3"/>
  <c r="BD35" i="2" s="1"/>
  <c r="BD36"/>
  <c r="AI37"/>
  <c r="V38"/>
  <c r="CH38"/>
  <c r="BM39"/>
  <c r="AR40"/>
  <c r="W41"/>
  <c r="CI41"/>
  <c r="BN42"/>
  <c r="AX44"/>
  <c r="AX43" i="3"/>
  <c r="AX43" i="2" s="1"/>
  <c r="AI45"/>
  <c r="AF46"/>
  <c r="S47"/>
  <c r="K48"/>
  <c r="L49"/>
  <c r="K50"/>
  <c r="O51" i="3"/>
  <c r="O51" i="2" s="1"/>
  <c r="O52"/>
  <c r="N53"/>
  <c r="Y54"/>
  <c r="Z55"/>
  <c r="AL56"/>
  <c r="AW57"/>
  <c r="BP58"/>
  <c r="J61"/>
  <c r="AH62"/>
  <c r="BG63"/>
  <c r="CH64"/>
  <c r="V66"/>
  <c r="BJ67" i="3"/>
  <c r="BJ67" i="2" s="1"/>
  <c r="BJ68"/>
  <c r="Q70"/>
  <c r="AP71"/>
  <c r="BS72"/>
  <c r="K74"/>
  <c r="AL75" i="3"/>
  <c r="AL75" i="2" s="1"/>
  <c r="AL76"/>
  <c r="CE77"/>
  <c r="AP79"/>
  <c r="P81"/>
  <c r="BI82"/>
  <c r="P109" i="3"/>
  <c r="P109" i="2" s="1"/>
  <c r="P110"/>
  <c r="BS112"/>
  <c r="BJ115"/>
  <c r="AM120"/>
  <c r="BF123"/>
  <c r="BV128"/>
  <c r="AF132"/>
  <c r="AN137"/>
  <c r="AX141"/>
  <c r="BE146"/>
  <c r="CB150"/>
  <c r="AU156"/>
  <c r="AQ166"/>
  <c r="AK182"/>
  <c r="BJ204" i="3"/>
  <c r="BJ204" i="2" s="1"/>
  <c r="BJ205"/>
  <c r="AG5"/>
  <c r="AJ6"/>
  <c r="AM7"/>
  <c r="AH8"/>
  <c r="AS9"/>
  <c r="AV10"/>
  <c r="AN11" i="3"/>
  <c r="AN11" i="2" s="1"/>
  <c r="AN12"/>
  <c r="AQ13"/>
  <c r="BB14"/>
  <c r="AW15"/>
  <c r="AZ16"/>
  <c r="BC17"/>
  <c r="AX18"/>
  <c r="BF19" i="3"/>
  <c r="BF19" i="2" s="1"/>
  <c r="BF20"/>
  <c r="BQ21"/>
  <c r="BL22"/>
  <c r="BO23"/>
  <c r="BZ24"/>
  <c r="BU25"/>
  <c r="BX26"/>
  <c r="CF27" i="3"/>
  <c r="CF27" i="2" s="1"/>
  <c r="CF28"/>
  <c r="CA29"/>
  <c r="CD30"/>
  <c r="H32"/>
  <c r="CJ32"/>
  <c r="N34"/>
  <c r="V35" i="3"/>
  <c r="V35" i="2" s="1"/>
  <c r="V36"/>
  <c r="Q37"/>
  <c r="T38"/>
  <c r="W39"/>
  <c r="R40"/>
  <c r="AC41"/>
  <c r="AF42"/>
  <c r="X44"/>
  <c r="X43" i="3"/>
  <c r="X43" i="2" s="1"/>
  <c r="AP45"/>
  <c r="BE46"/>
  <c r="BK47"/>
  <c r="H49"/>
  <c r="AO50"/>
  <c r="BM51" i="3"/>
  <c r="BM51" i="2" s="1"/>
  <c r="BM52"/>
  <c r="M54"/>
  <c r="AV55"/>
  <c r="CF56"/>
  <c r="AZ58"/>
  <c r="AU61"/>
  <c r="M63"/>
  <c r="CC64"/>
  <c r="BW66"/>
  <c r="AO69"/>
  <c r="Z71"/>
  <c r="J73"/>
  <c r="BK74"/>
  <c r="BM77"/>
  <c r="CI79"/>
  <c r="Z82"/>
  <c r="I109" i="3"/>
  <c r="I109" i="2" s="1"/>
  <c r="I110"/>
  <c r="R115"/>
  <c r="AQ121"/>
  <c r="BR126" i="3"/>
  <c r="BR126" i="2" s="1"/>
  <c r="BR127"/>
  <c r="AT134"/>
  <c r="CD141"/>
  <c r="Z151"/>
  <c r="AX163"/>
  <c r="BU184"/>
  <c r="BN223"/>
  <c r="AN5"/>
  <c r="BG6"/>
  <c r="Q8"/>
  <c r="AR9"/>
  <c r="CA10"/>
  <c r="BF13"/>
  <c r="BD15"/>
  <c r="BB17"/>
  <c r="AO19" i="3"/>
  <c r="AO19" i="2" s="1"/>
  <c r="AO20"/>
  <c r="AM22"/>
  <c r="AS24"/>
  <c r="AA26"/>
  <c r="AL29"/>
  <c r="T31"/>
  <c r="AH33"/>
  <c r="BA35" i="3"/>
  <c r="BA35" i="2" s="1"/>
  <c r="BA36"/>
  <c r="N39"/>
  <c r="AR41"/>
  <c r="CK43" i="3"/>
  <c r="CK43" i="2" s="1"/>
  <c r="CK44"/>
  <c r="BJ47"/>
  <c r="BT50"/>
  <c r="J55"/>
  <c r="BM58"/>
  <c r="X64"/>
  <c r="AN69"/>
  <c r="BJ73"/>
  <c r="BB79"/>
  <c r="CH115"/>
  <c r="AT129"/>
  <c r="BQ142"/>
  <c r="AG160"/>
  <c r="AN201"/>
  <c r="N57"/>
  <c r="BN61"/>
  <c r="AC66"/>
  <c r="CC70"/>
  <c r="BG75" i="3"/>
  <c r="BG75" i="2" s="1"/>
  <c r="BG76"/>
  <c r="O116"/>
  <c r="M132"/>
  <c r="BK150"/>
  <c r="AV183"/>
  <c r="AO174"/>
  <c r="BR235"/>
  <c r="AQ113"/>
  <c r="CG128"/>
  <c r="BF145"/>
  <c r="Y174"/>
  <c r="AB146"/>
  <c r="CE158"/>
  <c r="BS184"/>
  <c r="BV214"/>
  <c r="AZ63"/>
  <c r="BB69"/>
  <c r="BC74"/>
  <c r="BO80"/>
  <c r="AH118" i="3"/>
  <c r="AH118" i="2" s="1"/>
  <c r="AH119"/>
  <c r="CE130"/>
  <c r="BE143" i="3"/>
  <c r="BE143" i="2" s="1"/>
  <c r="BE144"/>
  <c r="BA157"/>
  <c r="U178" i="3"/>
  <c r="U178" i="2" s="1"/>
  <c r="U179"/>
  <c r="BD213"/>
  <c r="BD212" i="3"/>
  <c r="BD212" i="2" s="1"/>
  <c r="CF80"/>
  <c r="BI109" i="3"/>
  <c r="BI109" i="2" s="1"/>
  <c r="BI110"/>
  <c r="AK120"/>
  <c r="BK132"/>
  <c r="BB145"/>
  <c r="X158"/>
  <c r="BF181"/>
  <c r="J209"/>
  <c r="BY47"/>
  <c r="BR51" i="3"/>
  <c r="BR51" i="2" s="1"/>
  <c r="BR52"/>
  <c r="AX56"/>
  <c r="AQ61"/>
  <c r="AE65"/>
  <c r="AV70"/>
  <c r="AJ74"/>
  <c r="AC79"/>
  <c r="M112"/>
  <c r="AS118" i="3"/>
  <c r="AS118" i="2" s="1"/>
  <c r="AS119"/>
  <c r="BK128"/>
  <c r="CH137"/>
  <c r="CC146"/>
  <c r="S156"/>
  <c r="AU170" i="3"/>
  <c r="AU170" i="2" s="1"/>
  <c r="AU171"/>
  <c r="AT193"/>
  <c r="CA226"/>
  <c r="AB51" i="3"/>
  <c r="AB51" i="2" s="1"/>
  <c r="AB52"/>
  <c r="X56"/>
  <c r="Q61"/>
  <c r="AK65"/>
  <c r="V70"/>
  <c r="CI73"/>
  <c r="CJ78"/>
  <c r="BX82"/>
  <c r="BF111"/>
  <c r="AB118" i="3"/>
  <c r="AB118" i="2" s="1"/>
  <c r="AB119"/>
  <c r="BF126" i="3"/>
  <c r="BF126" i="2" s="1"/>
  <c r="BF127"/>
  <c r="CF135" i="3"/>
  <c r="CF135" i="2" s="1"/>
  <c r="CF136"/>
  <c r="BF147"/>
  <c r="BK158"/>
  <c r="AU180"/>
  <c r="BW207"/>
  <c r="AV125"/>
  <c r="AN132"/>
  <c r="BV139"/>
  <c r="W149"/>
  <c r="AC161" i="3"/>
  <c r="AC161" i="2" s="1"/>
  <c r="AC162"/>
  <c r="BD182"/>
  <c r="BF209"/>
  <c r="AE115"/>
  <c r="AU126" i="3"/>
  <c r="AU126" i="2" s="1"/>
  <c r="AU127"/>
  <c r="AM139"/>
  <c r="BZ155"/>
  <c r="AY192"/>
  <c r="M122"/>
  <c r="AV141"/>
  <c r="BB161" i="3"/>
  <c r="BB161" i="2" s="1"/>
  <c r="BB162"/>
  <c r="AK199"/>
  <c r="G113"/>
  <c r="AF128"/>
  <c r="BM141"/>
  <c r="CI155"/>
  <c r="AX181"/>
  <c r="AH218"/>
  <c r="AD116"/>
  <c r="AZ130"/>
  <c r="AK145"/>
  <c r="CD159"/>
  <c r="W189"/>
  <c r="AR160"/>
  <c r="BY195"/>
  <c r="BZ170" i="3"/>
  <c r="BZ170" i="2" s="1"/>
  <c r="BZ171"/>
  <c r="AI219"/>
  <c r="N215"/>
  <c r="CE212" i="3"/>
  <c r="CE212" i="2" s="1"/>
  <c r="CE213"/>
  <c r="AL231"/>
  <c r="AN236"/>
  <c r="Z62"/>
  <c r="BM65"/>
  <c r="AM69"/>
  <c r="BV72"/>
  <c r="H77"/>
  <c r="R81"/>
  <c r="AP111"/>
  <c r="S120"/>
  <c r="CB129"/>
  <c r="BR139"/>
  <c r="AH151"/>
  <c r="V187" i="3"/>
  <c r="V187" i="2" s="1"/>
  <c r="V188"/>
  <c r="G3" i="3"/>
  <c r="G3" i="2" s="1"/>
  <c r="G4"/>
  <c r="AT5"/>
  <c r="L7"/>
  <c r="BK8"/>
  <c r="AC10"/>
  <c r="CE11" i="3"/>
  <c r="CE11" i="2" s="1"/>
  <c r="CE12"/>
  <c r="AQ14"/>
  <c r="I16"/>
  <c r="BI17"/>
  <c r="AI19" i="3"/>
  <c r="AI19" i="2" s="1"/>
  <c r="AI20"/>
  <c r="CE21"/>
  <c r="AW23"/>
  <c r="L25"/>
  <c r="BK26"/>
  <c r="AC29"/>
  <c r="CA30"/>
  <c r="AR32"/>
  <c r="G34"/>
  <c r="BF35" i="3"/>
  <c r="BF35" i="2" s="1"/>
  <c r="BF36"/>
  <c r="Y38"/>
  <c r="BX39"/>
  <c r="AO41"/>
  <c r="AB43" i="3"/>
  <c r="AB43" i="2" s="1"/>
  <c r="AB44"/>
  <c r="X46"/>
  <c r="L48"/>
  <c r="X50"/>
  <c r="AP53"/>
  <c r="W56"/>
  <c r="M59" i="3"/>
  <c r="M59" i="2" s="1"/>
  <c r="M60"/>
  <c r="BV62"/>
  <c r="AX65"/>
  <c r="Y69"/>
  <c r="BI72"/>
  <c r="BR77"/>
  <c r="CF81"/>
  <c r="CE111"/>
  <c r="BQ118" i="3"/>
  <c r="BQ118" i="2" s="1"/>
  <c r="BQ119"/>
  <c r="AE129"/>
  <c r="AW142"/>
  <c r="CC160"/>
  <c r="BN189"/>
  <c r="AW3" i="3"/>
  <c r="AW3" i="2" s="1"/>
  <c r="AW4"/>
  <c r="I6"/>
  <c r="BH7"/>
  <c r="Z9"/>
  <c r="BY10"/>
  <c r="AR13"/>
  <c r="G15"/>
  <c r="BF16"/>
  <c r="AA18"/>
  <c r="CE19" i="3"/>
  <c r="CE19" i="2" s="1"/>
  <c r="CE20"/>
  <c r="AW22"/>
  <c r="K24"/>
  <c r="BI25"/>
  <c r="Z27" i="3"/>
  <c r="Z27" i="2" s="1"/>
  <c r="Z28"/>
  <c r="CB29"/>
  <c r="AP31"/>
  <c r="G33"/>
  <c r="BU34"/>
  <c r="BC37"/>
  <c r="BF39"/>
  <c r="BD41"/>
  <c r="BG43" i="3"/>
  <c r="BG43" i="2" s="1"/>
  <c r="BG44"/>
  <c r="AN46"/>
  <c r="BC48"/>
  <c r="BN50"/>
  <c r="BI53"/>
  <c r="S56"/>
  <c r="BH58"/>
  <c r="J62"/>
  <c r="BW64"/>
  <c r="AZ67" i="3"/>
  <c r="AZ67" i="2" s="1"/>
  <c r="AZ68"/>
  <c r="AJ71"/>
  <c r="BG74"/>
  <c r="AW79"/>
  <c r="I113"/>
  <c r="AY121"/>
  <c r="W130"/>
  <c r="M141"/>
  <c r="CH151"/>
  <c r="CC164"/>
  <c r="AY196" i="3"/>
  <c r="AY196" i="2" s="1"/>
  <c r="AY197"/>
  <c r="AE4"/>
  <c r="AE3" i="3"/>
  <c r="AE3" i="2" s="1"/>
  <c r="AM5"/>
  <c r="BE6"/>
  <c r="BW7"/>
  <c r="R9"/>
  <c r="AJ10"/>
  <c r="AT11" i="3"/>
  <c r="AT11" i="2" s="1"/>
  <c r="AT12"/>
  <c r="BK13"/>
  <c r="CA14"/>
  <c r="X16"/>
  <c r="AP17"/>
  <c r="BG18"/>
  <c r="BS19" i="3"/>
  <c r="BS19" i="2" s="1"/>
  <c r="BS20"/>
  <c r="CJ21"/>
  <c r="AE23"/>
  <c r="AU24"/>
  <c r="BK25"/>
  <c r="P27" i="3"/>
  <c r="P27" i="2" s="1"/>
  <c r="P28"/>
  <c r="AH29"/>
  <c r="AY30"/>
  <c r="BN31"/>
  <c r="I33"/>
  <c r="Z34"/>
  <c r="AW35" i="3"/>
  <c r="AW35" i="2" s="1"/>
  <c r="AW36"/>
  <c r="BN37"/>
  <c r="CD38"/>
  <c r="O40"/>
  <c r="AQ41"/>
  <c r="BI42"/>
  <c r="BU43" i="3"/>
  <c r="BU43" i="2" s="1"/>
  <c r="BU44"/>
  <c r="P46"/>
  <c r="AV47"/>
  <c r="J49"/>
  <c r="BG50"/>
  <c r="AC53"/>
  <c r="CB54"/>
  <c r="BI56"/>
  <c r="BU58"/>
  <c r="CD61"/>
  <c r="CJ63"/>
  <c r="Y66"/>
  <c r="AJ69"/>
  <c r="AT71"/>
  <c r="BV73"/>
  <c r="CH75" i="3"/>
  <c r="CH75" i="2" s="1"/>
  <c r="CH76"/>
  <c r="BE79"/>
  <c r="CI81"/>
  <c r="AW112"/>
  <c r="BF118" i="3"/>
  <c r="BF118" i="2" s="1"/>
  <c r="BF119"/>
  <c r="BU124"/>
  <c r="BU132"/>
  <c r="CB139"/>
  <c r="T146"/>
  <c r="AX155"/>
  <c r="AB175"/>
  <c r="U198"/>
  <c r="BY71"/>
  <c r="CG73"/>
  <c r="BY75" i="3"/>
  <c r="BY75" i="2" s="1"/>
  <c r="BY76"/>
  <c r="P79"/>
  <c r="AZ81"/>
  <c r="CA110"/>
  <c r="CA109" i="3"/>
  <c r="CA109" i="2" s="1"/>
  <c r="CI114"/>
  <c r="AV120"/>
  <c r="AH126" i="3"/>
  <c r="AH126" i="2" s="1"/>
  <c r="AH127"/>
  <c r="BW133"/>
  <c r="CE140"/>
  <c r="O148"/>
  <c r="CG156"/>
  <c r="H174"/>
  <c r="CI190"/>
  <c r="AH224"/>
  <c r="CA3" i="3"/>
  <c r="CA3" i="2" s="1"/>
  <c r="CA4"/>
  <c r="X6"/>
  <c r="AP7"/>
  <c r="BG8"/>
  <c r="BV9"/>
  <c r="M11" i="3"/>
  <c r="M11" i="2" s="1"/>
  <c r="M12"/>
  <c r="AO13"/>
  <c r="BF14"/>
  <c r="BX15"/>
  <c r="H17"/>
  <c r="X18"/>
  <c r="AL19" i="3"/>
  <c r="AL19" i="2" s="1"/>
  <c r="AL20"/>
  <c r="BB21"/>
  <c r="CF22"/>
  <c r="L24"/>
  <c r="AR25"/>
  <c r="BI26"/>
  <c r="BT27" i="3"/>
  <c r="BT27" i="2" s="1"/>
  <c r="BT28"/>
  <c r="P30"/>
  <c r="AG31"/>
  <c r="AY32"/>
  <c r="BM33"/>
  <c r="O36"/>
  <c r="O35" i="3"/>
  <c r="O35" i="2" s="1"/>
  <c r="AS37"/>
  <c r="BK38"/>
  <c r="CB39"/>
  <c r="J41"/>
  <c r="AB42"/>
  <c r="AZ43" i="3"/>
  <c r="AZ43" i="2" s="1"/>
  <c r="AZ44"/>
  <c r="G46"/>
  <c r="AM47"/>
  <c r="CF48"/>
  <c r="AW50"/>
  <c r="S53"/>
  <c r="BR54"/>
  <c r="AW56"/>
  <c r="AH58"/>
  <c r="AS61"/>
  <c r="H64"/>
  <c r="L66"/>
  <c r="W69"/>
  <c r="AX71"/>
  <c r="BH73"/>
  <c r="BA75" i="3"/>
  <c r="BA75" i="2" s="1"/>
  <c r="BA76"/>
  <c r="CA78"/>
  <c r="AU81"/>
  <c r="BS109" i="3"/>
  <c r="BS109" i="2" s="1"/>
  <c r="BS110"/>
  <c r="BX114"/>
  <c r="BI121"/>
  <c r="BU128"/>
  <c r="AD134"/>
  <c r="Q142"/>
  <c r="AW150"/>
  <c r="CF164"/>
  <c r="AA185"/>
  <c r="CG228"/>
  <c r="BL3" i="3"/>
  <c r="BL3" i="2" s="1"/>
  <c r="BL4"/>
  <c r="AQ5"/>
  <c r="AD6"/>
  <c r="I7"/>
  <c r="BU7"/>
  <c r="AZ8"/>
  <c r="AE9"/>
  <c r="J10"/>
  <c r="BV10"/>
  <c r="BF11" i="3"/>
  <c r="BF11" i="2" s="1"/>
  <c r="BF12"/>
  <c r="AS13"/>
  <c r="X14"/>
  <c r="CJ14"/>
  <c r="BO15"/>
  <c r="BB16"/>
  <c r="AG17"/>
  <c r="L18"/>
  <c r="BX18"/>
  <c r="BH19" i="3"/>
  <c r="BH19" i="2" s="1"/>
  <c r="BH20"/>
  <c r="AM21"/>
  <c r="R22"/>
  <c r="CD22"/>
  <c r="BQ23"/>
  <c r="AV24"/>
  <c r="AA25"/>
  <c r="N26"/>
  <c r="BZ26"/>
  <c r="BJ27" i="3"/>
  <c r="BJ27" i="2" s="1"/>
  <c r="BJ28"/>
  <c r="AO29"/>
  <c r="T30"/>
  <c r="CF30"/>
  <c r="BK31"/>
  <c r="AP32"/>
  <c r="AC33"/>
  <c r="H34"/>
  <c r="BT34"/>
  <c r="AV35" i="3"/>
  <c r="AV35" i="2" s="1"/>
  <c r="AV36"/>
  <c r="AA37"/>
  <c r="N38"/>
  <c r="BZ38"/>
  <c r="BE39"/>
  <c r="AJ40"/>
  <c r="O41"/>
  <c r="CA41"/>
  <c r="BF42"/>
  <c r="AP43" i="3"/>
  <c r="AP43" i="2" s="1"/>
  <c r="AP44"/>
  <c r="Z45"/>
  <c r="W46"/>
  <c r="J47"/>
  <c r="CH47"/>
  <c r="CG48"/>
  <c r="CH49"/>
  <c r="CI50"/>
  <c r="CK51" i="3"/>
  <c r="CK51" i="2" s="1"/>
  <c r="CK52"/>
  <c r="O54"/>
  <c r="N55"/>
  <c r="AA56"/>
  <c r="AL57"/>
  <c r="BC58"/>
  <c r="CD59" i="3"/>
  <c r="CD59" i="2" s="1"/>
  <c r="CD60"/>
  <c r="U62"/>
  <c r="AS63"/>
  <c r="BS64"/>
  <c r="G66"/>
  <c r="AW67" i="3"/>
  <c r="AW67" i="2" s="1"/>
  <c r="AW68"/>
  <c r="CJ69"/>
  <c r="AC71"/>
  <c r="BD72"/>
  <c r="CE73"/>
  <c r="W75" i="3"/>
  <c r="W75" i="2" s="1"/>
  <c r="W76"/>
  <c r="BP77"/>
  <c r="Z79"/>
  <c r="CG80"/>
  <c r="AS82"/>
  <c r="AN112"/>
  <c r="AF115"/>
  <c r="BA118" i="3"/>
  <c r="BA118" i="2" s="1"/>
  <c r="BA119"/>
  <c r="T123"/>
  <c r="AK128"/>
  <c r="CD131"/>
  <c r="AT135" i="3"/>
  <c r="AT135" i="2" s="1"/>
  <c r="AT136"/>
  <c r="BE140"/>
  <c r="BE145"/>
  <c r="AI150"/>
  <c r="CJ155"/>
  <c r="BC165"/>
  <c r="AJ177"/>
  <c r="AE200"/>
  <c r="Y5"/>
  <c r="T6"/>
  <c r="W7"/>
  <c r="Z8"/>
  <c r="AC9"/>
  <c r="AF10"/>
  <c r="AF11" i="3"/>
  <c r="AF11" i="2" s="1"/>
  <c r="AF12"/>
  <c r="AA13"/>
  <c r="AL14"/>
  <c r="AO15"/>
  <c r="AJ16"/>
  <c r="AM17"/>
  <c r="AP18"/>
  <c r="AP19" i="3"/>
  <c r="AP19" i="2" s="1"/>
  <c r="AP20"/>
  <c r="BA21"/>
  <c r="BD22"/>
  <c r="AY23"/>
  <c r="BJ24"/>
  <c r="BM25"/>
  <c r="BH26"/>
  <c r="BP27" i="3"/>
  <c r="BP27" i="2" s="1"/>
  <c r="BP28"/>
  <c r="BS29"/>
  <c r="BN30"/>
  <c r="BY31"/>
  <c r="CB32"/>
  <c r="BW33"/>
  <c r="CH34"/>
  <c r="I37"/>
  <c r="CK37"/>
  <c r="G39"/>
  <c r="J40"/>
  <c r="M41"/>
  <c r="P42"/>
  <c r="P44"/>
  <c r="P43" i="3"/>
  <c r="P43" i="2" s="1"/>
  <c r="X45"/>
  <c r="AM46"/>
  <c r="BB47"/>
  <c r="BU48"/>
  <c r="S50"/>
  <c r="BC51" i="3"/>
  <c r="BC51" i="2" s="1"/>
  <c r="BC52"/>
  <c r="BX53"/>
  <c r="V55"/>
  <c r="BS56"/>
  <c r="W58"/>
  <c r="U61"/>
  <c r="CI62"/>
  <c r="BB64"/>
  <c r="AT66"/>
  <c r="AB69"/>
  <c r="CE70"/>
  <c r="BN72"/>
  <c r="AW74"/>
  <c r="AD77"/>
  <c r="BS79"/>
  <c r="CA81"/>
  <c r="BU114"/>
  <c r="AC120"/>
  <c r="AF126" i="3"/>
  <c r="AF126" i="2" s="1"/>
  <c r="AF127"/>
  <c r="BL132"/>
  <c r="AI141"/>
  <c r="S150"/>
  <c r="AM161" i="3"/>
  <c r="AM161" i="2" s="1"/>
  <c r="AM162"/>
  <c r="BG183"/>
  <c r="CE208"/>
  <c r="P5"/>
  <c r="AY6"/>
  <c r="CH7"/>
  <c r="AJ9"/>
  <c r="BS10"/>
  <c r="Z13"/>
  <c r="AF15"/>
  <c r="AL17"/>
  <c r="Q19" i="3"/>
  <c r="Q19" i="2" s="1"/>
  <c r="Q20"/>
  <c r="O22"/>
  <c r="CD23"/>
  <c r="S26"/>
  <c r="AD29"/>
  <c r="L31"/>
  <c r="J33"/>
  <c r="AS35" i="3"/>
  <c r="AS35" i="2" s="1"/>
  <c r="AS36"/>
  <c r="BW38"/>
  <c r="AJ41"/>
  <c r="BK43" i="3"/>
  <c r="BK43" i="2" s="1"/>
  <c r="BK44"/>
  <c r="AZ47"/>
  <c r="BI50"/>
  <c r="BW54"/>
  <c r="AX58"/>
  <c r="BP63"/>
  <c r="Z69"/>
  <c r="AX73"/>
  <c r="V79"/>
  <c r="O115"/>
  <c r="H129"/>
  <c r="AH141"/>
  <c r="AY159"/>
  <c r="AN198"/>
  <c r="BZ56"/>
  <c r="BB61"/>
  <c r="BN65"/>
  <c r="BP70"/>
  <c r="AT75" i="3"/>
  <c r="AT75" i="2" s="1"/>
  <c r="AT76"/>
  <c r="BV115"/>
  <c r="BP131"/>
  <c r="AN149"/>
  <c r="CI181"/>
  <c r="CG167"/>
  <c r="BT222"/>
  <c r="BO112"/>
  <c r="AZ126" i="3"/>
  <c r="AZ126" i="2" s="1"/>
  <c r="AZ127"/>
  <c r="AA145"/>
  <c r="H170" i="3"/>
  <c r="H170" i="2" s="1"/>
  <c r="H171"/>
  <c r="BL222"/>
  <c r="K158"/>
  <c r="H183"/>
  <c r="BV212" i="3"/>
  <c r="BV212" i="2" s="1"/>
  <c r="BV213"/>
  <c r="CE62"/>
  <c r="AP69"/>
  <c r="AS74"/>
  <c r="AS80"/>
  <c r="AU117"/>
  <c r="O130"/>
  <c r="AS142"/>
  <c r="P157"/>
  <c r="AO177"/>
  <c r="AI209"/>
  <c r="BK80"/>
  <c r="R120"/>
  <c r="BB131"/>
  <c r="BS143" i="3"/>
  <c r="BS143" i="2" s="1"/>
  <c r="BS144"/>
  <c r="AH157"/>
  <c r="L180"/>
  <c r="AI208"/>
  <c r="AK47"/>
  <c r="BJ51" i="3"/>
  <c r="BJ51" i="2" s="1"/>
  <c r="BJ52"/>
  <c r="AP56"/>
  <c r="AA61"/>
  <c r="W65"/>
  <c r="P70"/>
  <c r="AB74"/>
  <c r="U79"/>
  <c r="BH111"/>
  <c r="P118" i="3"/>
  <c r="P118" i="2" s="1"/>
  <c r="P119"/>
  <c r="AT126" i="3"/>
  <c r="AT126" i="2" s="1"/>
  <c r="AT127"/>
  <c r="AG137"/>
  <c r="AD146"/>
  <c r="AH155"/>
  <c r="J170" i="3"/>
  <c r="J170" i="2" s="1"/>
  <c r="J171"/>
  <c r="AE191"/>
  <c r="BF223"/>
  <c r="L51" i="3"/>
  <c r="L51" i="2" s="1"/>
  <c r="L52"/>
  <c r="CG55"/>
  <c r="I61"/>
  <c r="BV64"/>
  <c r="N70"/>
  <c r="CA73"/>
  <c r="BT78"/>
  <c r="BP82"/>
  <c r="T111"/>
  <c r="AK117"/>
  <c r="AO126" i="3"/>
  <c r="AO126" i="2" s="1"/>
  <c r="AO127"/>
  <c r="BO135" i="3"/>
  <c r="BO135" i="2" s="1"/>
  <c r="BO136"/>
  <c r="H147"/>
  <c r="BP157"/>
  <c r="BI176"/>
  <c r="AY203"/>
  <c r="P125"/>
  <c r="CE131"/>
  <c r="BA139"/>
  <c r="BC148"/>
  <c r="BE160"/>
  <c r="J182"/>
  <c r="BV206"/>
  <c r="BK114"/>
  <c r="X125"/>
  <c r="AC139"/>
  <c r="BE155"/>
  <c r="CC189"/>
  <c r="V121"/>
  <c r="AU139"/>
  <c r="CE160"/>
  <c r="AT198"/>
  <c r="T112"/>
  <c r="BA125"/>
  <c r="Y141"/>
  <c r="AU155"/>
  <c r="AZ178" i="3"/>
  <c r="AZ178" i="2" s="1"/>
  <c r="AZ179"/>
  <c r="BT215"/>
  <c r="AI115"/>
  <c r="BM129"/>
  <c r="CD142"/>
  <c r="R159"/>
  <c r="CA184"/>
  <c r="CC159"/>
  <c r="CK194"/>
  <c r="BM169"/>
  <c r="BR217"/>
  <c r="CF202"/>
  <c r="AW211"/>
  <c r="W224"/>
  <c r="CC223"/>
  <c r="BK11" i="3"/>
  <c r="BK11" i="2" s="1"/>
  <c r="BK12"/>
  <c r="M14"/>
  <c r="X15"/>
  <c r="AQ16"/>
  <c r="BJ17"/>
  <c r="CC18"/>
  <c r="T21"/>
  <c r="AE22"/>
  <c r="AX23"/>
  <c r="BQ24"/>
  <c r="CJ25"/>
  <c r="AI27" i="3"/>
  <c r="AI27" i="2" s="1"/>
  <c r="AI28"/>
  <c r="BB29"/>
  <c r="BU30"/>
  <c r="CF31"/>
  <c r="R33"/>
  <c r="BA34"/>
  <c r="BQ35" i="3"/>
  <c r="BQ35" i="2" s="1"/>
  <c r="BQ36"/>
  <c r="CJ37"/>
  <c r="V39"/>
  <c r="AO40"/>
  <c r="BP41"/>
  <c r="CA42"/>
  <c r="M45"/>
  <c r="AL46"/>
  <c r="BS47"/>
  <c r="AX49"/>
  <c r="J51" i="3"/>
  <c r="J51" i="2" s="1"/>
  <c r="J52"/>
  <c r="BL53"/>
  <c r="T55"/>
  <c r="H57"/>
  <c r="U59" i="3"/>
  <c r="U59" i="2" s="1"/>
  <c r="U60"/>
  <c r="AA62"/>
  <c r="AL64"/>
  <c r="AS66"/>
  <c r="BC69"/>
  <c r="CA71"/>
  <c r="S74"/>
  <c r="AB77"/>
  <c r="BR79"/>
  <c r="X82"/>
  <c r="BN111"/>
  <c r="AA116"/>
  <c r="AX123"/>
  <c r="BS130"/>
  <c r="W137"/>
  <c r="P144"/>
  <c r="P143" i="3"/>
  <c r="P143" i="2" s="1"/>
  <c r="BO150"/>
  <c r="AD161" i="3"/>
  <c r="AD161" i="2" s="1"/>
  <c r="AD162"/>
  <c r="U183"/>
  <c r="W204" i="3"/>
  <c r="W204" i="2" s="1"/>
  <c r="W205"/>
  <c r="BO55"/>
  <c r="X57"/>
  <c r="CI58"/>
  <c r="AC62"/>
  <c r="AD64"/>
  <c r="AQ66"/>
  <c r="R69"/>
  <c r="G71"/>
  <c r="AF73"/>
  <c r="T77"/>
  <c r="T81"/>
  <c r="BU109" i="3"/>
  <c r="BU109" i="2" s="1"/>
  <c r="BU110"/>
  <c r="BM116"/>
  <c r="BW124"/>
  <c r="J133"/>
  <c r="BY141"/>
  <c r="AT151"/>
  <c r="BK166"/>
  <c r="BC189"/>
  <c r="BZ210"/>
  <c r="K175"/>
  <c r="BF195"/>
  <c r="CK113"/>
  <c r="BO121"/>
  <c r="X129"/>
  <c r="AG138"/>
  <c r="BE147"/>
  <c r="AW158"/>
  <c r="BW175"/>
  <c r="AY195"/>
  <c r="AZ146"/>
  <c r="BW152" i="3"/>
  <c r="BW152" i="2" s="1"/>
  <c r="BW153"/>
  <c r="AT160"/>
  <c r="AH172"/>
  <c r="Y186"/>
  <c r="U200"/>
  <c r="BA225"/>
  <c r="H61"/>
  <c r="BJ63"/>
  <c r="I66"/>
  <c r="BL69"/>
  <c r="BC72"/>
  <c r="CI74"/>
  <c r="BE78"/>
  <c r="CK80"/>
  <c r="Q109" i="3"/>
  <c r="Q109" i="2" s="1"/>
  <c r="Q110"/>
  <c r="T114"/>
  <c r="AZ118" i="3"/>
  <c r="AZ118" i="2" s="1"/>
  <c r="AZ119"/>
  <c r="CA124"/>
  <c r="CG131"/>
  <c r="BU138"/>
  <c r="Q145"/>
  <c r="BQ150"/>
  <c r="AK158"/>
  <c r="AT168"/>
  <c r="BW180"/>
  <c r="AQ194"/>
  <c r="BL214"/>
  <c r="BK78"/>
  <c r="BA81"/>
  <c r="BY109" i="3"/>
  <c r="BY109" i="2" s="1"/>
  <c r="BY110"/>
  <c r="BF115"/>
  <c r="AA121"/>
  <c r="AN126" i="3"/>
  <c r="AN126" i="2" s="1"/>
  <c r="AN127"/>
  <c r="CG132"/>
  <c r="CI138"/>
  <c r="BW145"/>
  <c r="AN152" i="3"/>
  <c r="AN152" i="2" s="1"/>
  <c r="AN153"/>
  <c r="BZ159"/>
  <c r="Y169"/>
  <c r="V183"/>
  <c r="AQ195"/>
  <c r="AA214"/>
  <c r="CA45"/>
  <c r="CG47"/>
  <c r="BO49"/>
  <c r="BZ51" i="3"/>
  <c r="BZ51" i="2" s="1"/>
  <c r="BZ52"/>
  <c r="G55"/>
  <c r="BV56"/>
  <c r="CB58"/>
  <c r="BG61"/>
  <c r="BM63"/>
  <c r="CA65"/>
  <c r="BF67" i="3"/>
  <c r="BF67" i="2" s="1"/>
  <c r="BF68"/>
  <c r="BT70"/>
  <c r="BB72"/>
  <c r="BH74"/>
  <c r="BK77"/>
  <c r="BI79"/>
  <c r="AY81"/>
  <c r="X112"/>
  <c r="AN115"/>
  <c r="AE120"/>
  <c r="BL123"/>
  <c r="CC128"/>
  <c r="BW132"/>
  <c r="Q138"/>
  <c r="BK142"/>
  <c r="AD147"/>
  <c r="BN151"/>
  <c r="AI156"/>
  <c r="AU164"/>
  <c r="M173"/>
  <c r="BX183"/>
  <c r="CF193"/>
  <c r="Q206"/>
  <c r="AH228"/>
  <c r="BM49"/>
  <c r="BH52"/>
  <c r="BH51" i="3"/>
  <c r="BH51" i="2" s="1"/>
  <c r="AX54"/>
  <c r="AV56"/>
  <c r="AT58"/>
  <c r="BE61"/>
  <c r="AM63"/>
  <c r="AS65"/>
  <c r="X67" i="3"/>
  <c r="X67" i="2" s="1"/>
  <c r="X68"/>
  <c r="AD70"/>
  <c r="AR72"/>
  <c r="Z74"/>
  <c r="AK77"/>
  <c r="S79"/>
  <c r="Y81"/>
  <c r="U112"/>
  <c r="W115"/>
  <c r="BC118" i="3"/>
  <c r="BC118" i="2" s="1"/>
  <c r="BC119"/>
  <c r="I123"/>
  <c r="I128"/>
  <c r="BS132"/>
  <c r="AT137"/>
  <c r="AO142"/>
  <c r="BZ147"/>
  <c r="BO152" i="3"/>
  <c r="BO152" i="2" s="1"/>
  <c r="BO153"/>
  <c r="AA160"/>
  <c r="BA168"/>
  <c r="CD180"/>
  <c r="BD191"/>
  <c r="AO208"/>
  <c r="CC122"/>
  <c r="CB125"/>
  <c r="H130"/>
  <c r="AY132"/>
  <c r="BW135" i="3"/>
  <c r="BW135" i="2" s="1"/>
  <c r="BW136"/>
  <c r="BA140"/>
  <c r="BD145"/>
  <c r="BC149"/>
  <c r="CC154"/>
  <c r="AS161" i="3"/>
  <c r="AS161" i="2" s="1"/>
  <c r="AS162"/>
  <c r="BJ173"/>
  <c r="BP184"/>
  <c r="R196" i="3"/>
  <c r="R196" i="2" s="1"/>
  <c r="R197"/>
  <c r="BD211"/>
  <c r="AF111"/>
  <c r="AE116"/>
  <c r="BF121"/>
  <c r="BE126" i="3"/>
  <c r="BE126" i="2" s="1"/>
  <c r="BE127"/>
  <c r="AL132"/>
  <c r="AC140"/>
  <c r="AP148"/>
  <c r="BX157"/>
  <c r="N175"/>
  <c r="BR193"/>
  <c r="BQ236"/>
  <c r="L124"/>
  <c r="BZ132"/>
  <c r="BR142"/>
  <c r="AY151"/>
  <c r="AI164"/>
  <c r="AA183"/>
  <c r="CI203"/>
  <c r="AH114"/>
  <c r="BE121"/>
  <c r="BT128"/>
  <c r="CD134"/>
  <c r="T142"/>
  <c r="AD150"/>
  <c r="BM156"/>
  <c r="BQ168"/>
  <c r="CG181"/>
  <c r="G199"/>
  <c r="BU232"/>
  <c r="L109" i="3"/>
  <c r="L109" i="2" s="1"/>
  <c r="L110"/>
  <c r="BR116"/>
  <c r="BL124"/>
  <c r="BC131"/>
  <c r="I139"/>
  <c r="CG145"/>
  <c r="AE152" i="3"/>
  <c r="AE152" i="2" s="1"/>
  <c r="AE153"/>
  <c r="AT161" i="3"/>
  <c r="AT161" i="2" s="1"/>
  <c r="AT162"/>
  <c r="AJ174"/>
  <c r="BD189"/>
  <c r="BG206"/>
  <c r="BP160"/>
  <c r="AN181"/>
  <c r="H201"/>
  <c r="W159"/>
  <c r="BO174"/>
  <c r="BX193"/>
  <c r="AX158"/>
  <c r="BD178" i="3"/>
  <c r="BD178" i="2" s="1"/>
  <c r="BD179"/>
  <c r="BS223"/>
  <c r="CJ185"/>
  <c r="G219"/>
  <c r="BR210"/>
  <c r="AW206"/>
  <c r="BJ229" i="3"/>
  <c r="BJ229" i="2" s="1"/>
  <c r="BJ230"/>
  <c r="CG223"/>
  <c r="N236"/>
  <c r="AP13"/>
  <c r="BY14"/>
  <c r="CJ15"/>
  <c r="AD17"/>
  <c r="AO18"/>
  <c r="BE19" i="3"/>
  <c r="BE19" i="2" s="1"/>
  <c r="BE20"/>
  <c r="CF21"/>
  <c r="J23"/>
  <c r="AK24"/>
  <c r="AV25"/>
  <c r="BO26"/>
  <c r="V29"/>
  <c r="AG30"/>
  <c r="AZ31"/>
  <c r="BK32"/>
  <c r="CD33"/>
  <c r="AK35" i="3"/>
  <c r="AK35" i="2" s="1"/>
  <c r="AK36"/>
  <c r="AV37"/>
  <c r="BO38"/>
  <c r="CH39"/>
  <c r="T41"/>
  <c r="AU42"/>
  <c r="BC43" i="3"/>
  <c r="BC43" i="2" s="1"/>
  <c r="BC44"/>
  <c r="CH45"/>
  <c r="Y47"/>
  <c r="BS48"/>
  <c r="AX50"/>
  <c r="K53"/>
  <c r="BL54"/>
  <c r="AG56"/>
  <c r="U58"/>
  <c r="BH61"/>
  <c r="BA63"/>
  <c r="BW65"/>
  <c r="BS67" i="3"/>
  <c r="BS67" i="2" s="1"/>
  <c r="BS68"/>
  <c r="CD70"/>
  <c r="AJ73"/>
  <c r="AS76"/>
  <c r="AS75" i="3"/>
  <c r="AS75" i="2" s="1"/>
  <c r="BU78"/>
  <c r="AB81"/>
  <c r="BP114"/>
  <c r="AL121"/>
  <c r="S128"/>
  <c r="AO134"/>
  <c r="CI140"/>
  <c r="AY148"/>
  <c r="AE156"/>
  <c r="I173"/>
  <c r="L195"/>
  <c r="CE229" i="3"/>
  <c r="CE229" i="2" s="1"/>
  <c r="CE230"/>
  <c r="BP56"/>
  <c r="Z58"/>
  <c r="AC61"/>
  <c r="BB63"/>
  <c r="BB65"/>
  <c r="BE67" i="3"/>
  <c r="BE67" i="2" s="1"/>
  <c r="BE68"/>
  <c r="AE70"/>
  <c r="AS72"/>
  <c r="V75" i="3"/>
  <c r="V75" i="2" s="1"/>
  <c r="V76"/>
  <c r="AV79"/>
  <c r="AI114"/>
  <c r="BW121"/>
  <c r="AL131"/>
  <c r="M139"/>
  <c r="BA148"/>
  <c r="AL159"/>
  <c r="AJ180"/>
  <c r="BZ202"/>
  <c r="X167"/>
  <c r="BB187" i="3"/>
  <c r="BB187" i="2" s="1"/>
  <c r="BB188"/>
  <c r="AI212" i="3"/>
  <c r="AI212" i="2" s="1"/>
  <c r="AI213"/>
  <c r="AU112"/>
  <c r="AK118" i="3"/>
  <c r="AK118" i="2" s="1"/>
  <c r="AK119"/>
  <c r="T126" i="3"/>
  <c r="T126" i="2" s="1"/>
  <c r="T127"/>
  <c r="AL134"/>
  <c r="BU142"/>
  <c r="BW154"/>
  <c r="BX167"/>
  <c r="AG189"/>
  <c r="AT210"/>
  <c r="AA150"/>
  <c r="BH157"/>
  <c r="AC167"/>
  <c r="BB182"/>
  <c r="AY194"/>
  <c r="AQ210"/>
  <c r="AO59" i="3"/>
  <c r="AO59" i="2" s="1"/>
  <c r="AO60"/>
  <c r="BK62"/>
  <c r="AO65"/>
  <c r="BM67" i="3"/>
  <c r="BM67" i="2" s="1"/>
  <c r="BM68"/>
  <c r="AR71"/>
  <c r="M74"/>
  <c r="BE77"/>
  <c r="M80"/>
  <c r="BE82"/>
  <c r="AO112"/>
  <c r="L117"/>
  <c r="AT122"/>
  <c r="AJ129"/>
  <c r="CH135" i="3"/>
  <c r="CH135" i="2" s="1"/>
  <c r="CH136"/>
  <c r="U142"/>
  <c r="CA148"/>
  <c r="BD155"/>
  <c r="BK164"/>
  <c r="CF176"/>
  <c r="CF189"/>
  <c r="BO208"/>
  <c r="BL77"/>
  <c r="AP80"/>
  <c r="CB113"/>
  <c r="Z118" i="3"/>
  <c r="Z118" i="2" s="1"/>
  <c r="Z119"/>
  <c r="AY124"/>
  <c r="BV130"/>
  <c r="J137"/>
  <c r="AI142"/>
  <c r="BB149"/>
  <c r="CI156"/>
  <c r="BZ165"/>
  <c r="AW178" i="3"/>
  <c r="AW178" i="2" s="1"/>
  <c r="AW179"/>
  <c r="AB190"/>
  <c r="J206"/>
  <c r="AM45"/>
  <c r="U47"/>
  <c r="AA49"/>
  <c r="N51" i="3"/>
  <c r="N51" i="2" s="1"/>
  <c r="N52"/>
  <c r="T54"/>
  <c r="R56"/>
  <c r="P58"/>
  <c r="CJ60"/>
  <c r="CJ59" i="3"/>
  <c r="CJ59" i="2" s="1"/>
  <c r="CH62"/>
  <c r="BX64"/>
  <c r="J67" i="3"/>
  <c r="J67" i="2" s="1"/>
  <c r="J68"/>
  <c r="H70"/>
  <c r="CE71"/>
  <c r="CC73"/>
  <c r="BX75" i="3"/>
  <c r="BX75" i="2" s="1"/>
  <c r="BX76"/>
  <c r="CD78"/>
  <c r="BT80"/>
  <c r="BZ82"/>
  <c r="AV111"/>
  <c r="M114"/>
  <c r="BQ117"/>
  <c r="AE122"/>
  <c r="AD126" i="3"/>
  <c r="AD126" i="2" s="1"/>
  <c r="AD127"/>
  <c r="AP131"/>
  <c r="BB135" i="3"/>
  <c r="BB135" i="2" s="1"/>
  <c r="BB136"/>
  <c r="AU140"/>
  <c r="N146"/>
  <c r="O150"/>
  <c r="R155"/>
  <c r="CG160"/>
  <c r="AD168"/>
  <c r="T180"/>
  <c r="J190"/>
  <c r="M201"/>
  <c r="BE216"/>
  <c r="BR48"/>
  <c r="CF50"/>
  <c r="BS53"/>
  <c r="BY55"/>
  <c r="BG57"/>
  <c r="BR59" i="3"/>
  <c r="BR59" i="2" s="1"/>
  <c r="BR60"/>
  <c r="CF62"/>
  <c r="BF64"/>
  <c r="BT66"/>
  <c r="AQ69"/>
  <c r="BE71"/>
  <c r="BC73"/>
  <c r="AX75" i="3"/>
  <c r="AX75" i="2" s="1"/>
  <c r="AX76"/>
  <c r="AV78"/>
  <c r="AT80"/>
  <c r="AJ82"/>
  <c r="BQ109" i="3"/>
  <c r="BQ109" i="2" s="1"/>
  <c r="BQ110"/>
  <c r="I114"/>
  <c r="W117"/>
  <c r="BR121"/>
  <c r="AO125"/>
  <c r="CK130"/>
  <c r="AW135" i="3"/>
  <c r="AW135" i="2" s="1"/>
  <c r="AW136"/>
  <c r="AQ140"/>
  <c r="BH146"/>
  <c r="CA150"/>
  <c r="N157"/>
  <c r="BK165"/>
  <c r="AB176"/>
  <c r="AG187" i="3"/>
  <c r="AG187" i="2" s="1"/>
  <c r="AG188"/>
  <c r="AR200"/>
  <c r="AB223"/>
  <c r="CC124"/>
  <c r="CD128"/>
  <c r="BT131"/>
  <c r="AY134"/>
  <c r="BV138"/>
  <c r="N143" i="3"/>
  <c r="N143" i="2" s="1"/>
  <c r="N144"/>
  <c r="CI147"/>
  <c r="R152" i="3"/>
  <c r="R152" i="2" s="1"/>
  <c r="R153"/>
  <c r="I158"/>
  <c r="AL167"/>
  <c r="BA181"/>
  <c r="M192"/>
  <c r="CI204" i="3"/>
  <c r="CI204" i="2" s="1"/>
  <c r="CI205"/>
  <c r="I229" i="3"/>
  <c r="I229" i="2" s="1"/>
  <c r="I230"/>
  <c r="AE114"/>
  <c r="AU120"/>
  <c r="BP124"/>
  <c r="P131"/>
  <c r="AM137"/>
  <c r="AF145"/>
  <c r="AU154"/>
  <c r="AZ167"/>
  <c r="BP186"/>
  <c r="J211"/>
  <c r="BX118" i="3"/>
  <c r="BX118" i="2" s="1"/>
  <c r="BX119"/>
  <c r="CI129"/>
  <c r="Z139"/>
  <c r="BH148"/>
  <c r="AI158"/>
  <c r="BC174"/>
  <c r="AG196" i="3"/>
  <c r="AG196" i="2" s="1"/>
  <c r="AG197"/>
  <c r="AW111"/>
  <c r="AI118" i="3"/>
  <c r="AI118" i="2" s="1"/>
  <c r="AI119"/>
  <c r="AC125"/>
  <c r="BP132"/>
  <c r="BG139"/>
  <c r="U147"/>
  <c r="O155"/>
  <c r="BQ164"/>
  <c r="BP177"/>
  <c r="H192"/>
  <c r="Z211"/>
  <c r="X114"/>
  <c r="AE121"/>
  <c r="AW129"/>
  <c r="BD135" i="3"/>
  <c r="BD135" i="2" s="1"/>
  <c r="BD136"/>
  <c r="BN142"/>
  <c r="CK149"/>
  <c r="AJ157"/>
  <c r="BQ169"/>
  <c r="L183"/>
  <c r="AV200"/>
  <c r="AO231"/>
  <c r="AW172"/>
  <c r="S193"/>
  <c r="BV217"/>
  <c r="AN168"/>
  <c r="BF185"/>
  <c r="BM211"/>
  <c r="AG172"/>
  <c r="O201"/>
  <c r="CK180"/>
  <c r="AO203"/>
  <c r="BQ185"/>
  <c r="AW210"/>
  <c r="BA235"/>
  <c r="Q231"/>
  <c r="AV223"/>
  <c r="BX78"/>
  <c r="CD80"/>
  <c r="M111"/>
  <c r="BD115"/>
  <c r="BL120"/>
  <c r="CI125"/>
  <c r="AB131"/>
  <c r="P139"/>
  <c r="CK145"/>
  <c r="BJ154"/>
  <c r="AA166"/>
  <c r="BR187" i="3"/>
  <c r="BR187" i="2" s="1"/>
  <c r="BR188"/>
  <c r="BF217"/>
  <c r="H5"/>
  <c r="AA6"/>
  <c r="AT7"/>
  <c r="BM8"/>
  <c r="G10"/>
  <c r="O11" i="3"/>
  <c r="O11" i="2" s="1"/>
  <c r="O12"/>
  <c r="AH13"/>
  <c r="BA14"/>
  <c r="BT15"/>
  <c r="V17"/>
  <c r="AG18"/>
  <c r="AW19" i="3"/>
  <c r="AW19" i="2" s="1"/>
  <c r="AW20"/>
  <c r="BH21"/>
  <c r="CA22"/>
  <c r="AC24"/>
  <c r="AN25"/>
  <c r="BG26"/>
  <c r="BW27" i="3"/>
  <c r="BW27" i="2" s="1"/>
  <c r="BW28"/>
  <c r="Q30"/>
  <c r="AR31"/>
  <c r="BC32"/>
  <c r="BV33"/>
  <c r="M35" i="3"/>
  <c r="M35" i="2" s="1"/>
  <c r="M36"/>
  <c r="AF37"/>
  <c r="BG38"/>
  <c r="BZ39"/>
  <c r="L41"/>
  <c r="W42"/>
  <c r="AM43" i="3"/>
  <c r="AM43" i="2" s="1"/>
  <c r="AM44"/>
  <c r="BY45"/>
  <c r="P47"/>
  <c r="BH48"/>
  <c r="R50"/>
  <c r="BV51" i="3"/>
  <c r="BV51" i="2" s="1"/>
  <c r="BV52"/>
  <c r="BB54"/>
  <c r="U56"/>
  <c r="I58"/>
  <c r="R61"/>
  <c r="Z63"/>
  <c r="BH65"/>
  <c r="BG67" i="3"/>
  <c r="BG67" i="2" s="1"/>
  <c r="BG68"/>
  <c r="BO70"/>
  <c r="BL72"/>
  <c r="Q75" i="3"/>
  <c r="Q75" i="2" s="1"/>
  <c r="Q76"/>
  <c r="BG78"/>
  <c r="L81"/>
  <c r="AJ114"/>
  <c r="BI120"/>
  <c r="BN126" i="3"/>
  <c r="BN126" i="2" s="1"/>
  <c r="BN127"/>
  <c r="I133"/>
  <c r="CI139"/>
  <c r="CK147"/>
  <c r="BN155"/>
  <c r="U169"/>
  <c r="AS191"/>
  <c r="AU223"/>
  <c r="BE56"/>
  <c r="M58"/>
  <c r="P61"/>
  <c r="R63"/>
  <c r="AB65"/>
  <c r="AS67" i="3"/>
  <c r="AS67" i="2" s="1"/>
  <c r="AS68"/>
  <c r="S70"/>
  <c r="S72"/>
  <c r="AT74"/>
  <c r="BY78"/>
  <c r="AX113"/>
  <c r="AX121"/>
  <c r="BM128"/>
  <c r="AK138"/>
  <c r="AF147"/>
  <c r="BL158"/>
  <c r="BZ176"/>
  <c r="CB198"/>
  <c r="BG164"/>
  <c r="BR186"/>
  <c r="BW211"/>
  <c r="AA111"/>
  <c r="X117"/>
  <c r="AR125"/>
  <c r="AF133"/>
  <c r="O142"/>
  <c r="AK151"/>
  <c r="CA165"/>
  <c r="AW187" i="3"/>
  <c r="AW187" i="2" s="1"/>
  <c r="AW188"/>
  <c r="AD209"/>
  <c r="BQ149"/>
  <c r="CE155"/>
  <c r="I166"/>
  <c r="AU181"/>
  <c r="BQ192"/>
  <c r="BB209"/>
  <c r="BG58"/>
  <c r="AO62"/>
  <c r="I65"/>
  <c r="BB67" i="3"/>
  <c r="BB67" i="2" s="1"/>
  <c r="BB68"/>
  <c r="L71"/>
  <c r="BB73"/>
  <c r="N77"/>
  <c r="CJ79"/>
  <c r="AU82"/>
  <c r="BZ111"/>
  <c r="BX116"/>
  <c r="V122"/>
  <c r="N129"/>
  <c r="AZ134"/>
  <c r="AJ141"/>
  <c r="BE148"/>
  <c r="I155"/>
  <c r="AC164"/>
  <c r="BO173"/>
  <c r="CF187" i="3"/>
  <c r="CF187" i="2" s="1"/>
  <c r="CF188"/>
  <c r="BO204" i="3"/>
  <c r="BO204" i="2" s="1"/>
  <c r="BO205"/>
  <c r="AZ77"/>
  <c r="J80"/>
  <c r="BA82"/>
  <c r="AD113"/>
  <c r="BZ117"/>
  <c r="S123"/>
  <c r="G130"/>
  <c r="BY135" i="3"/>
  <c r="BY135" i="2" s="1"/>
  <c r="BY136"/>
  <c r="N142"/>
  <c r="AF149"/>
  <c r="AR155"/>
  <c r="AZ164"/>
  <c r="BX177"/>
  <c r="T189"/>
  <c r="AK204" i="3"/>
  <c r="AK204" i="2" s="1"/>
  <c r="AK205"/>
  <c r="BX43" i="3"/>
  <c r="BX43" i="2" s="1"/>
  <c r="BX44"/>
  <c r="CD46"/>
  <c r="CJ48"/>
  <c r="CH50"/>
  <c r="CC53"/>
  <c r="BS55"/>
  <c r="BQ57"/>
  <c r="CB59" i="3"/>
  <c r="CB59" i="2" s="1"/>
  <c r="CB60"/>
  <c r="BZ62"/>
  <c r="BP64"/>
  <c r="BF66"/>
  <c r="BI69"/>
  <c r="BO71"/>
  <c r="BE73"/>
  <c r="BH75" i="3"/>
  <c r="BH75" i="2" s="1"/>
  <c r="BH76"/>
  <c r="AP78"/>
  <c r="AV80"/>
  <c r="BR82"/>
  <c r="L111"/>
  <c r="CE113"/>
  <c r="Z117"/>
  <c r="BH121"/>
  <c r="AU125"/>
  <c r="V131"/>
  <c r="AJ135" i="3"/>
  <c r="AJ135" i="2" s="1"/>
  <c r="AJ136"/>
  <c r="AE140"/>
  <c r="AD145"/>
  <c r="AD149"/>
  <c r="BR154"/>
  <c r="BJ159"/>
  <c r="BI167"/>
  <c r="BU176"/>
  <c r="BY187" i="3"/>
  <c r="BY187" i="2" s="1"/>
  <c r="BY188"/>
  <c r="AZ200"/>
  <c r="CB215"/>
  <c r="BJ48"/>
  <c r="AR50"/>
  <c r="AU53"/>
  <c r="BQ55"/>
  <c r="AQ57"/>
  <c r="BJ59" i="3"/>
  <c r="BJ59" i="2" s="1"/>
  <c r="BJ60"/>
  <c r="AJ62"/>
  <c r="AP64"/>
  <c r="AV66"/>
  <c r="AI69"/>
  <c r="AG71"/>
  <c r="W73"/>
  <c r="R75" i="3"/>
  <c r="R75" i="2" s="1"/>
  <c r="R76"/>
  <c r="AN78"/>
  <c r="AL80"/>
  <c r="AB82"/>
  <c r="BE109" i="3"/>
  <c r="BE109" i="2" s="1"/>
  <c r="BE110"/>
  <c r="AG113"/>
  <c r="BN116"/>
  <c r="BD121"/>
  <c r="H125"/>
  <c r="BU130"/>
  <c r="AE134"/>
  <c r="I140"/>
  <c r="I146"/>
  <c r="BG150"/>
  <c r="AD156"/>
  <c r="AM164"/>
  <c r="AB174"/>
  <c r="BB186"/>
  <c r="BD199"/>
  <c r="L219"/>
  <c r="AB124"/>
  <c r="AB128"/>
  <c r="AN131"/>
  <c r="S134"/>
  <c r="T138"/>
  <c r="K142"/>
  <c r="W147"/>
  <c r="CJ151"/>
  <c r="CB157"/>
  <c r="V167"/>
  <c r="AB177"/>
  <c r="W190"/>
  <c r="BR203"/>
  <c r="BL226"/>
  <c r="K114"/>
  <c r="N118" i="3"/>
  <c r="N118" i="2" s="1"/>
  <c r="N119"/>
  <c r="AT124"/>
  <c r="AV130"/>
  <c r="AB137"/>
  <c r="BB143" i="3"/>
  <c r="BB143" i="2" s="1"/>
  <c r="BB144"/>
  <c r="BA151"/>
  <c r="BU164"/>
  <c r="AO185"/>
  <c r="Q209"/>
  <c r="V118" i="3"/>
  <c r="V118" i="2" s="1"/>
  <c r="V119"/>
  <c r="W128"/>
  <c r="AJ137"/>
  <c r="AB148"/>
  <c r="BG156"/>
  <c r="BU173"/>
  <c r="O191"/>
  <c r="AL233"/>
  <c r="BZ109" i="3"/>
  <c r="BZ109" i="2" s="1"/>
  <c r="BZ110"/>
  <c r="BT116"/>
  <c r="R124"/>
  <c r="AR132"/>
  <c r="AA139"/>
  <c r="BV146"/>
  <c r="BE152" i="3"/>
  <c r="BE152" i="2" s="1"/>
  <c r="BE153"/>
  <c r="N163"/>
  <c r="CK175"/>
  <c r="BF190"/>
  <c r="AY208"/>
  <c r="BY113"/>
  <c r="CF120"/>
  <c r="V128"/>
  <c r="AF134"/>
  <c r="Z142"/>
  <c r="I149"/>
  <c r="BJ156"/>
  <c r="BI166"/>
  <c r="BK181"/>
  <c r="CK198"/>
  <c r="BN228"/>
  <c r="BF169"/>
  <c r="CG187" i="3"/>
  <c r="CG187" i="2" s="1"/>
  <c r="CG188"/>
  <c r="AT212" i="3"/>
  <c r="AT212" i="2" s="1"/>
  <c r="AT213"/>
  <c r="AG167"/>
  <c r="Z185"/>
  <c r="H209"/>
  <c r="CC165"/>
  <c r="J195"/>
  <c r="AD177"/>
  <c r="CF200"/>
  <c r="BR180"/>
  <c r="G202"/>
  <c r="U219"/>
  <c r="BN227"/>
  <c r="P223"/>
  <c r="CG34"/>
  <c r="X37"/>
  <c r="AI38"/>
  <c r="BJ39"/>
  <c r="CK40"/>
  <c r="O42"/>
  <c r="AE43" i="3"/>
  <c r="AE43" i="2" s="1"/>
  <c r="AE44"/>
  <c r="AX45"/>
  <c r="CF46"/>
  <c r="AX48"/>
  <c r="H50"/>
  <c r="BL51" i="3"/>
  <c r="BL51" i="2" s="1"/>
  <c r="BL52"/>
  <c r="V54"/>
  <c r="CD55"/>
  <c r="CC57"/>
  <c r="BX59" i="3"/>
  <c r="BX59" i="2" s="1"/>
  <c r="BX60"/>
  <c r="L63"/>
  <c r="T65"/>
  <c r="AC67" i="3"/>
  <c r="AC67" i="2" s="1"/>
  <c r="AC68"/>
  <c r="AZ70"/>
  <c r="AX72"/>
  <c r="CK74"/>
  <c r="I78"/>
  <c r="BM80"/>
  <c r="AB113"/>
  <c r="BY118" i="3"/>
  <c r="BY118" i="2" s="1"/>
  <c r="BY119"/>
  <c r="V126" i="3"/>
  <c r="V126" i="2" s="1"/>
  <c r="V127"/>
  <c r="BI132"/>
  <c r="AZ139"/>
  <c r="AJ146"/>
  <c r="BG154"/>
  <c r="R168"/>
  <c r="CA189"/>
  <c r="CE219"/>
  <c r="Y56"/>
  <c r="BZ57"/>
  <c r="BY59" i="3"/>
  <c r="BY59" i="2" s="1"/>
  <c r="BY60"/>
  <c r="CA62"/>
  <c r="Q65"/>
  <c r="G67" i="3"/>
  <c r="G67" i="2" s="1"/>
  <c r="G68"/>
  <c r="CB69"/>
  <c r="H72"/>
  <c r="AF74"/>
  <c r="BJ78"/>
  <c r="AH82"/>
  <c r="BU112"/>
  <c r="BF120"/>
  <c r="AI128"/>
  <c r="AF137"/>
  <c r="BP145"/>
  <c r="BU155"/>
  <c r="G176"/>
  <c r="CI196" i="3"/>
  <c r="CI196" i="2" s="1"/>
  <c r="CI197"/>
  <c r="AL163"/>
  <c r="BI182"/>
  <c r="AC207"/>
  <c r="AU109" i="3"/>
  <c r="AU109" i="2" s="1"/>
  <c r="AU110"/>
  <c r="BG116"/>
  <c r="BJ123"/>
  <c r="I132"/>
  <c r="BP141"/>
  <c r="CK150"/>
  <c r="W165"/>
  <c r="X183"/>
  <c r="CF204" i="3"/>
  <c r="CF204" i="2" s="1"/>
  <c r="CF205"/>
  <c r="AT149"/>
  <c r="AN155"/>
  <c r="BJ165"/>
  <c r="AX176"/>
  <c r="BQ191"/>
  <c r="AP207"/>
  <c r="AW58"/>
  <c r="I62"/>
  <c r="BA64"/>
  <c r="L67" i="3"/>
  <c r="L67" i="2" s="1"/>
  <c r="L68"/>
  <c r="CG70"/>
  <c r="AR73"/>
  <c r="CK75" i="3"/>
  <c r="CK75" i="2" s="1"/>
  <c r="CK76"/>
  <c r="AT79"/>
  <c r="CJ81"/>
  <c r="BJ111"/>
  <c r="BN115"/>
  <c r="AI121"/>
  <c r="BY128"/>
  <c r="BR133"/>
  <c r="N141"/>
  <c r="BQ146"/>
  <c r="AY154"/>
  <c r="L163"/>
  <c r="U173"/>
  <c r="L186"/>
  <c r="BL200"/>
  <c r="Q233"/>
  <c r="CF79"/>
  <c r="AP82"/>
  <c r="BQ112"/>
  <c r="BH117"/>
  <c r="CG122"/>
  <c r="BT129"/>
  <c r="BK134"/>
  <c r="AD141"/>
  <c r="BQ148"/>
  <c r="CJ154"/>
  <c r="M164"/>
  <c r="BH174"/>
  <c r="N187" i="3"/>
  <c r="N187" i="2" s="1"/>
  <c r="N188"/>
  <c r="AQ202"/>
  <c r="AK235"/>
  <c r="BF46"/>
  <c r="BD48"/>
  <c r="BB50"/>
  <c r="BU53"/>
  <c r="BK55"/>
  <c r="BI57"/>
  <c r="AV59" i="3"/>
  <c r="AV59" i="2" s="1"/>
  <c r="AV60"/>
  <c r="AT62"/>
  <c r="AZ64"/>
  <c r="AH66"/>
  <c r="AS69"/>
  <c r="AA71"/>
  <c r="AG73"/>
  <c r="AZ75" i="3"/>
  <c r="AZ75" i="2" s="1"/>
  <c r="AZ76"/>
  <c r="AH78"/>
  <c r="AN80"/>
  <c r="AD82"/>
  <c r="AV109" i="3"/>
  <c r="AV109" i="2" s="1"/>
  <c r="AV110"/>
  <c r="AI113"/>
  <c r="M117"/>
  <c r="AS121"/>
  <c r="AD125"/>
  <c r="Y130"/>
  <c r="BA134"/>
  <c r="CF139"/>
  <c r="BM143" i="3"/>
  <c r="BM143" i="2" s="1"/>
  <c r="BM144"/>
  <c r="CC148"/>
  <c r="BT152" i="3"/>
  <c r="BT152" i="2" s="1"/>
  <c r="BT153"/>
  <c r="BO158"/>
  <c r="AH167"/>
  <c r="AG176"/>
  <c r="AR188"/>
  <c r="AR187" i="3"/>
  <c r="AR187" i="2" s="1"/>
  <c r="Y198"/>
  <c r="AX211"/>
  <c r="BB48"/>
  <c r="AB50"/>
  <c r="AM53"/>
  <c r="U55"/>
  <c r="AA57"/>
  <c r="AL59" i="3"/>
  <c r="AL59" i="2" s="1"/>
  <c r="AL60"/>
  <c r="AB62"/>
  <c r="R64"/>
  <c r="P66"/>
  <c r="CJ67" i="3"/>
  <c r="CJ67" i="2" s="1"/>
  <c r="CJ68"/>
  <c r="Y71"/>
  <c r="O73"/>
  <c r="J75" i="3"/>
  <c r="J75" i="2" s="1"/>
  <c r="J76"/>
  <c r="H78"/>
  <c r="CE79"/>
  <c r="L82"/>
  <c r="AS109" i="3"/>
  <c r="AS109" i="2" s="1"/>
  <c r="AS110"/>
  <c r="H113"/>
  <c r="AY116"/>
  <c r="BD120"/>
  <c r="BI124"/>
  <c r="U130"/>
  <c r="N134"/>
  <c r="AS139"/>
  <c r="I145"/>
  <c r="BH149"/>
  <c r="M156"/>
  <c r="BX163"/>
  <c r="BY173"/>
  <c r="T184"/>
  <c r="AA196" i="3"/>
  <c r="AA196" i="2" s="1"/>
  <c r="AA197"/>
  <c r="R217"/>
  <c r="BR123"/>
  <c r="G128"/>
  <c r="BT130"/>
  <c r="BT133"/>
  <c r="J138"/>
  <c r="CG141"/>
  <c r="L147"/>
  <c r="CJ150"/>
  <c r="L157"/>
  <c r="BW166"/>
  <c r="BS176"/>
  <c r="CI189"/>
  <c r="AQ200"/>
  <c r="BB220" i="3"/>
  <c r="BB220" i="2" s="1"/>
  <c r="BB221"/>
  <c r="AF113"/>
  <c r="BK117"/>
  <c r="BE123"/>
  <c r="AK129"/>
  <c r="BG134"/>
  <c r="AQ143" i="3"/>
  <c r="AQ143" i="2" s="1"/>
  <c r="AQ144"/>
  <c r="AF151"/>
  <c r="AK164"/>
  <c r="BA182"/>
  <c r="BM203"/>
  <c r="CD117"/>
  <c r="L126" i="3"/>
  <c r="L126" i="2" s="1"/>
  <c r="L127"/>
  <c r="O137"/>
  <c r="BT145"/>
  <c r="BM155"/>
  <c r="CE170" i="3"/>
  <c r="CE170" i="2" s="1"/>
  <c r="CE171"/>
  <c r="BX189"/>
  <c r="J222"/>
  <c r="BJ110"/>
  <c r="BJ109" i="3"/>
  <c r="BJ109" i="2" s="1"/>
  <c r="AV116"/>
  <c r="CI123"/>
  <c r="CH130"/>
  <c r="AN138"/>
  <c r="BS145"/>
  <c r="CK151"/>
  <c r="AY160"/>
  <c r="H173"/>
  <c r="BZ186"/>
  <c r="BG207"/>
  <c r="BF112"/>
  <c r="BP120"/>
  <c r="AA126" i="3"/>
  <c r="AA126" i="2" s="1"/>
  <c r="AA127"/>
  <c r="P134"/>
  <c r="AZ140"/>
  <c r="AT148"/>
  <c r="P156"/>
  <c r="J166"/>
  <c r="BK180"/>
  <c r="AI194"/>
  <c r="BP218"/>
  <c r="V169"/>
  <c r="AX186"/>
  <c r="BO211"/>
  <c r="X164"/>
  <c r="BG182"/>
  <c r="AT204" i="3"/>
  <c r="AT204" i="2" s="1"/>
  <c r="AT205"/>
  <c r="BO163"/>
  <c r="CB190"/>
  <c r="CA172"/>
  <c r="K195"/>
  <c r="X176"/>
  <c r="BW198"/>
  <c r="AL215"/>
  <c r="AU215"/>
  <c r="P229" i="3"/>
  <c r="P229" i="2" s="1"/>
  <c r="P230"/>
  <c r="AR168"/>
  <c r="W181"/>
  <c r="AP196" i="3"/>
  <c r="AP196" i="2" s="1"/>
  <c r="AP197"/>
  <c r="N224"/>
  <c r="AW5"/>
  <c r="AB6"/>
  <c r="G7"/>
  <c r="BS7"/>
  <c r="AX8"/>
  <c r="AK9"/>
  <c r="P10"/>
  <c r="CB10"/>
  <c r="BD11" i="3"/>
  <c r="BD11" i="2" s="1"/>
  <c r="BD12"/>
  <c r="AI13"/>
  <c r="V14"/>
  <c r="CH14"/>
  <c r="BM15"/>
  <c r="AR16"/>
  <c r="W17"/>
  <c r="CI17"/>
  <c r="BN18"/>
  <c r="AX19" i="3"/>
  <c r="AX19" i="2" s="1"/>
  <c r="AX20"/>
  <c r="AK21"/>
  <c r="P22"/>
  <c r="CB22"/>
  <c r="BG23"/>
  <c r="AT24"/>
  <c r="Y25"/>
  <c r="CK25"/>
  <c r="BP26"/>
  <c r="AZ28"/>
  <c r="AZ27" i="3"/>
  <c r="AZ27" i="2" s="1"/>
  <c r="AE29"/>
  <c r="J30"/>
  <c r="BV30"/>
  <c r="BI31"/>
  <c r="AN32"/>
  <c r="S33"/>
  <c r="CE33"/>
  <c r="BR34"/>
  <c r="BB35" i="3"/>
  <c r="BB35" i="2" s="1"/>
  <c r="BB36"/>
  <c r="AG37"/>
  <c r="L38"/>
  <c r="BX38"/>
  <c r="BC39"/>
  <c r="AH40"/>
  <c r="U41"/>
  <c r="CG41"/>
  <c r="BL42"/>
  <c r="AN44"/>
  <c r="AN43" i="3"/>
  <c r="AN43" i="2" s="1"/>
  <c r="AG45"/>
  <c r="U46"/>
  <c r="H47"/>
  <c r="CD47"/>
  <c r="CE48"/>
  <c r="CF49"/>
  <c r="CE50"/>
  <c r="CI51" i="3"/>
  <c r="CI51" i="2" s="1"/>
  <c r="CI52"/>
  <c r="CH53"/>
  <c r="CI54"/>
  <c r="K56"/>
  <c r="V57"/>
  <c r="AJ58"/>
  <c r="BM59" i="3"/>
  <c r="BM59" i="2" s="1"/>
  <c r="BM60"/>
  <c r="P62"/>
  <c r="AN63"/>
  <c r="BQ64"/>
  <c r="S66"/>
  <c r="AT67" i="3"/>
  <c r="AT67" i="2" s="1"/>
  <c r="AT68"/>
  <c r="BS69"/>
  <c r="M71"/>
  <c r="AM72"/>
  <c r="BL73"/>
  <c r="S75" i="3"/>
  <c r="S75" i="2" s="1"/>
  <c r="S76"/>
  <c r="AV77"/>
  <c r="G79"/>
  <c r="AX80"/>
  <c r="I82"/>
  <c r="AI112"/>
  <c r="CJ115"/>
  <c r="CA118" i="3"/>
  <c r="CA118" i="2" s="1"/>
  <c r="CA119"/>
  <c r="P123"/>
  <c r="T128"/>
  <c r="BV131"/>
  <c r="BZ135" i="3"/>
  <c r="BZ135" i="2" s="1"/>
  <c r="BZ136"/>
  <c r="CJ140"/>
  <c r="AW145"/>
  <c r="BS150"/>
  <c r="BV155"/>
  <c r="AA164"/>
  <c r="BP174"/>
  <c r="AU191"/>
  <c r="AI204" i="3"/>
  <c r="AI204" i="2" s="1"/>
  <c r="AI205"/>
  <c r="U3" i="3"/>
  <c r="U3" i="2" s="1"/>
  <c r="U4"/>
  <c r="CG3" i="3"/>
  <c r="CG3" i="2" s="1"/>
  <c r="CG4"/>
  <c r="BL5"/>
  <c r="AQ6"/>
  <c r="AD7"/>
  <c r="I8"/>
  <c r="BU8"/>
  <c r="AZ9"/>
  <c r="AE10"/>
  <c r="G11" i="3"/>
  <c r="G11" i="2" s="1"/>
  <c r="G12"/>
  <c r="BS11" i="3"/>
  <c r="BS11" i="2" s="1"/>
  <c r="BS12"/>
  <c r="AX13"/>
  <c r="AK14"/>
  <c r="P15"/>
  <c r="CB15"/>
  <c r="BG16"/>
  <c r="AT17"/>
  <c r="Y18"/>
  <c r="CK18"/>
  <c r="BM19" i="3"/>
  <c r="BM19" i="2" s="1"/>
  <c r="BM20"/>
  <c r="AR21"/>
  <c r="W22"/>
  <c r="CI22"/>
  <c r="BN23"/>
  <c r="BA24"/>
  <c r="AF25"/>
  <c r="K26"/>
  <c r="BW26"/>
  <c r="BG27" i="3"/>
  <c r="BG27" i="2" s="1"/>
  <c r="BG28"/>
  <c r="AT29"/>
  <c r="Y30"/>
  <c r="CK30"/>
  <c r="BP31"/>
  <c r="AU32"/>
  <c r="Z33"/>
  <c r="M34"/>
  <c r="BY34"/>
  <c r="BI35" i="3"/>
  <c r="BI35" i="2" s="1"/>
  <c r="BI36"/>
  <c r="AN37"/>
  <c r="S38"/>
  <c r="CE38"/>
  <c r="BR39"/>
  <c r="AW40"/>
  <c r="AB41"/>
  <c r="G42"/>
  <c r="BS42"/>
  <c r="AU43" i="3"/>
  <c r="AU43" i="2" s="1"/>
  <c r="AU44"/>
  <c r="AF45"/>
  <c r="T46"/>
  <c r="G47"/>
  <c r="CC47"/>
  <c r="CD48"/>
  <c r="CD49"/>
  <c r="CD50"/>
  <c r="CG51" i="3"/>
  <c r="CG51" i="2" s="1"/>
  <c r="CG52"/>
  <c r="CG53"/>
  <c r="CH54"/>
  <c r="I56"/>
  <c r="T57"/>
  <c r="AI58"/>
  <c r="BK59" i="3"/>
  <c r="BK59" i="2" s="1"/>
  <c r="BK60"/>
  <c r="O62"/>
  <c r="AL63"/>
  <c r="BM64"/>
  <c r="O66"/>
  <c r="AQ67" i="3"/>
  <c r="AQ67" i="2" s="1"/>
  <c r="AQ68"/>
  <c r="BR69"/>
  <c r="J71"/>
  <c r="AK72"/>
  <c r="BY73"/>
  <c r="AE75" i="3"/>
  <c r="AE75" i="2" s="1"/>
  <c r="AE76"/>
  <c r="BH77"/>
  <c r="AL79"/>
  <c r="CC80"/>
  <c r="AN82"/>
  <c r="BJ112"/>
  <c r="BB115"/>
  <c r="U120"/>
  <c r="CF123"/>
  <c r="BI128"/>
  <c r="V132"/>
  <c r="BX135" i="3"/>
  <c r="BX135" i="2" s="1"/>
  <c r="BX136"/>
  <c r="AO140"/>
  <c r="AT145"/>
  <c r="BD149"/>
  <c r="S155"/>
  <c r="Y163"/>
  <c r="AY174"/>
  <c r="AJ187" i="3"/>
  <c r="AJ187" i="2" s="1"/>
  <c r="AJ188"/>
  <c r="V203"/>
  <c r="BY226"/>
  <c r="CK55"/>
  <c r="CK56"/>
  <c r="CJ57"/>
  <c r="Q59" i="3"/>
  <c r="Q59" i="2" s="1"/>
  <c r="Q60"/>
  <c r="AP61"/>
  <c r="BN62"/>
  <c r="Q64"/>
  <c r="AP65"/>
  <c r="BO66"/>
  <c r="CC67" i="3"/>
  <c r="CC67" i="2" s="1"/>
  <c r="CC68"/>
  <c r="G70"/>
  <c r="AE71"/>
  <c r="BE72"/>
  <c r="H74"/>
  <c r="I77"/>
  <c r="AG79"/>
  <c r="BY81"/>
  <c r="AA113"/>
  <c r="AF117"/>
  <c r="I122"/>
  <c r="CJ126" i="3"/>
  <c r="CJ126" i="2" s="1"/>
  <c r="CJ127"/>
  <c r="BY132"/>
  <c r="BQ138"/>
  <c r="CG142"/>
  <c r="CA149"/>
  <c r="AF157"/>
  <c r="BS168"/>
  <c r="J181"/>
  <c r="CE193"/>
  <c r="AX208"/>
  <c r="BA166"/>
  <c r="AP178" i="3"/>
  <c r="AP178" i="2" s="1"/>
  <c r="AP179"/>
  <c r="CJ192"/>
  <c r="AD208"/>
  <c r="Y109" i="3"/>
  <c r="Y109" i="2" s="1"/>
  <c r="Y110"/>
  <c r="BN113"/>
  <c r="AV117"/>
  <c r="AF122"/>
  <c r="BE128"/>
  <c r="BM132"/>
  <c r="BG138"/>
  <c r="W143" i="3"/>
  <c r="W143" i="2" s="1"/>
  <c r="W144"/>
  <c r="Q150"/>
  <c r="CD157"/>
  <c r="P167"/>
  <c r="W180"/>
  <c r="CI191"/>
  <c r="H207"/>
  <c r="AH147"/>
  <c r="BU150"/>
  <c r="P155"/>
  <c r="AB159"/>
  <c r="AS166"/>
  <c r="AU174"/>
  <c r="L184"/>
  <c r="R192"/>
  <c r="BY200"/>
  <c r="N211"/>
  <c r="AK58"/>
  <c r="CE59" i="3"/>
  <c r="CE59" i="2" s="1"/>
  <c r="CE60"/>
  <c r="AY62"/>
  <c r="I64"/>
  <c r="BJ65"/>
  <c r="AR67" i="3"/>
  <c r="AR67" i="2" s="1"/>
  <c r="AR68"/>
  <c r="CH69"/>
  <c r="BB71"/>
  <c r="L73"/>
  <c r="BM74"/>
  <c r="AT77"/>
  <c r="CK78"/>
  <c r="BE80"/>
  <c r="O82"/>
  <c r="AA112"/>
  <c r="J115"/>
  <c r="BP117"/>
  <c r="AZ121"/>
  <c r="BJ125"/>
  <c r="CF129"/>
  <c r="AT133"/>
  <c r="CJ137"/>
  <c r="BH141"/>
  <c r="V146"/>
  <c r="BJ149"/>
  <c r="BU154"/>
  <c r="BW158"/>
  <c r="P165"/>
  <c r="BQ172"/>
  <c r="AE180"/>
  <c r="AJ189"/>
  <c r="BH196" i="3"/>
  <c r="BH196" i="2" s="1"/>
  <c r="BH197"/>
  <c r="L210"/>
  <c r="AP77"/>
  <c r="CG78"/>
  <c r="AZ80"/>
  <c r="J82"/>
  <c r="AQ109" i="3"/>
  <c r="AQ109" i="2" s="1"/>
  <c r="AQ110"/>
  <c r="P113"/>
  <c r="BZ115"/>
  <c r="AU118" i="3"/>
  <c r="AU118" i="2" s="1"/>
  <c r="AU119"/>
  <c r="AL122"/>
  <c r="R126" i="3"/>
  <c r="R126" i="2" s="1"/>
  <c r="R127"/>
  <c r="AY130"/>
  <c r="CE133"/>
  <c r="BZ137"/>
  <c r="AZ141"/>
  <c r="BG146"/>
  <c r="P150"/>
  <c r="BK154"/>
  <c r="BG158"/>
  <c r="CI164"/>
  <c r="AZ173"/>
  <c r="M181"/>
  <c r="BH187" i="3"/>
  <c r="BH187" i="2" s="1"/>
  <c r="BH188"/>
  <c r="AU196" i="3"/>
  <c r="AU196" i="2" s="1"/>
  <c r="AU197"/>
  <c r="CD206"/>
  <c r="AI232"/>
  <c r="BS45"/>
  <c r="M47"/>
  <c r="X48"/>
  <c r="AQ49"/>
  <c r="BZ50"/>
  <c r="I53"/>
  <c r="AB54"/>
  <c r="AM55"/>
  <c r="BF56"/>
  <c r="H58"/>
  <c r="P59" i="3"/>
  <c r="P59" i="2" s="1"/>
  <c r="P60"/>
  <c r="AI61"/>
  <c r="BB62"/>
  <c r="BU63"/>
  <c r="O65"/>
  <c r="Z66"/>
  <c r="AX67" i="3"/>
  <c r="AX67" i="2" s="1"/>
  <c r="AX68"/>
  <c r="BQ69"/>
  <c r="CJ70"/>
  <c r="AL72"/>
  <c r="AW73"/>
  <c r="BP74"/>
  <c r="CF75" i="3"/>
  <c r="CF75" i="2" s="1"/>
  <c r="CF76"/>
  <c r="R78"/>
  <c r="BA79"/>
  <c r="BL80"/>
  <c r="CE81"/>
  <c r="BT111"/>
  <c r="BT113"/>
  <c r="BP115"/>
  <c r="CF117"/>
  <c r="CJ120"/>
  <c r="AD123"/>
  <c r="J126" i="3"/>
  <c r="J126" i="2" s="1"/>
  <c r="J127"/>
  <c r="AR129"/>
  <c r="W132"/>
  <c r="BR134"/>
  <c r="AH138"/>
  <c r="L141"/>
  <c r="AV143" i="3"/>
  <c r="AV143" i="2" s="1"/>
  <c r="AV144"/>
  <c r="N147"/>
  <c r="AU149"/>
  <c r="T152" i="3"/>
  <c r="T152" i="2" s="1"/>
  <c r="T153"/>
  <c r="CF155"/>
  <c r="AI159"/>
  <c r="BW164"/>
  <c r="BJ168"/>
  <c r="R175"/>
  <c r="AQ183"/>
  <c r="BK189"/>
  <c r="BZ195"/>
  <c r="BN202"/>
  <c r="AW212" i="3"/>
  <c r="AW212" i="2" s="1"/>
  <c r="AW213"/>
  <c r="BA236"/>
  <c r="CH48"/>
  <c r="T50"/>
  <c r="AJ51" i="3"/>
  <c r="AJ51" i="2" s="1"/>
  <c r="AJ52"/>
  <c r="BC53"/>
  <c r="CD54"/>
  <c r="P56"/>
  <c r="AI57"/>
  <c r="BB58"/>
  <c r="BZ59" i="3"/>
  <c r="BZ59" i="2" s="1"/>
  <c r="BZ60"/>
  <c r="T62"/>
  <c r="AE63"/>
  <c r="AX64"/>
  <c r="BQ65"/>
  <c r="CJ66"/>
  <c r="AA69"/>
  <c r="AT70"/>
  <c r="BM71"/>
  <c r="BX72"/>
  <c r="J74"/>
  <c r="AP75" i="3"/>
  <c r="AP75" i="2" s="1"/>
  <c r="AP76"/>
  <c r="BI77"/>
  <c r="CB78"/>
  <c r="N80"/>
  <c r="AG81"/>
  <c r="BH82"/>
  <c r="H111"/>
  <c r="CC112"/>
  <c r="BO114"/>
  <c r="CA116"/>
  <c r="AA120"/>
  <c r="AA122"/>
  <c r="BY124"/>
  <c r="Y128"/>
  <c r="T131"/>
  <c r="CF133"/>
  <c r="AD137"/>
  <c r="Y140"/>
  <c r="AA143" i="3"/>
  <c r="AA143" i="2" s="1"/>
  <c r="AA144"/>
  <c r="Y147"/>
  <c r="AQ150"/>
  <c r="N154"/>
  <c r="AN157"/>
  <c r="CC161" i="3"/>
  <c r="CC161" i="2" s="1"/>
  <c r="CC162"/>
  <c r="CB167"/>
  <c r="CC175"/>
  <c r="AV182"/>
  <c r="CJ189"/>
  <c r="BQ196" i="3"/>
  <c r="BQ196" i="2" s="1"/>
  <c r="BQ197"/>
  <c r="BL209"/>
  <c r="CB227"/>
  <c r="BG123"/>
  <c r="BR125"/>
  <c r="AM128"/>
  <c r="AC130"/>
  <c r="AD132"/>
  <c r="G134"/>
  <c r="CG135" i="3"/>
  <c r="CG135" i="2" s="1"/>
  <c r="CG136"/>
  <c r="CF138"/>
  <c r="BA141"/>
  <c r="X145"/>
  <c r="BX147"/>
  <c r="X150"/>
  <c r="CD152" i="3"/>
  <c r="CD152" i="2" s="1"/>
  <c r="CD153"/>
  <c r="AS157"/>
  <c r="CB163"/>
  <c r="CG168"/>
  <c r="BM175"/>
  <c r="BY182"/>
  <c r="AS190"/>
  <c r="AZ199"/>
  <c r="AM208"/>
  <c r="AJ223"/>
  <c r="AQ111"/>
  <c r="AQ114"/>
  <c r="BA117"/>
  <c r="AT121"/>
  <c r="BE124"/>
  <c r="Z128"/>
  <c r="BG131"/>
  <c r="G137"/>
  <c r="AX140"/>
  <c r="K146"/>
  <c r="J150"/>
  <c r="BZ156"/>
  <c r="BC166"/>
  <c r="AR177"/>
  <c r="AM190"/>
  <c r="AZ204" i="3"/>
  <c r="AZ204" i="2" s="1"/>
  <c r="AZ205"/>
  <c r="BS114"/>
  <c r="CI120"/>
  <c r="BV125"/>
  <c r="CJ131"/>
  <c r="CK137"/>
  <c r="CE143" i="3"/>
  <c r="CE143" i="2" s="1"/>
  <c r="CE144"/>
  <c r="AC150"/>
  <c r="CH155"/>
  <c r="O165"/>
  <c r="I175"/>
  <c r="AE189"/>
  <c r="BB202"/>
  <c r="CC111"/>
  <c r="CG115"/>
  <c r="BJ120"/>
  <c r="BV124"/>
  <c r="BW129"/>
  <c r="BC133"/>
  <c r="BD138"/>
  <c r="AJ142"/>
  <c r="BY147"/>
  <c r="BU151"/>
  <c r="AQ156"/>
  <c r="AZ163"/>
  <c r="CJ169"/>
  <c r="AX180"/>
  <c r="G190"/>
  <c r="AS199"/>
  <c r="AO212" i="3"/>
  <c r="AO212" i="2" s="1"/>
  <c r="AO213"/>
  <c r="CD112"/>
  <c r="AG117"/>
  <c r="Z122"/>
  <c r="CE125"/>
  <c r="G131"/>
  <c r="BL134"/>
  <c r="CC139"/>
  <c r="BV143" i="3"/>
  <c r="BV143" i="2" s="1"/>
  <c r="BV144"/>
  <c r="BJ148"/>
  <c r="AU152" i="3"/>
  <c r="AU152" i="2" s="1"/>
  <c r="AU153"/>
  <c r="BI157"/>
  <c r="BR165"/>
  <c r="CJ173"/>
  <c r="BL182"/>
  <c r="AK192"/>
  <c r="AZ202"/>
  <c r="BP223"/>
  <c r="CI163"/>
  <c r="CC172"/>
  <c r="AM185"/>
  <c r="AD196" i="3"/>
  <c r="AD196" i="2" s="1"/>
  <c r="AD197"/>
  <c r="CK216"/>
  <c r="AX161" i="3"/>
  <c r="AX161" i="2" s="1"/>
  <c r="AX162"/>
  <c r="AT170" i="3"/>
  <c r="AT170" i="2" s="1"/>
  <c r="AT171"/>
  <c r="AB183"/>
  <c r="BJ194"/>
  <c r="CC215"/>
  <c r="K163"/>
  <c r="AP177"/>
  <c r="AV198"/>
  <c r="Q168"/>
  <c r="BV183"/>
  <c r="K199"/>
  <c r="CJ220" i="3"/>
  <c r="CJ220" i="2" s="1"/>
  <c r="CJ221"/>
  <c r="CJ186"/>
  <c r="CI192"/>
  <c r="P204" i="3"/>
  <c r="P204" i="2" s="1"/>
  <c r="P205"/>
  <c r="AG233"/>
  <c r="AU224"/>
  <c r="AL227"/>
  <c r="BO234"/>
  <c r="W232"/>
  <c r="AZ133"/>
  <c r="BN138"/>
  <c r="BS142"/>
  <c r="BF148"/>
  <c r="BG152" i="3"/>
  <c r="BG152" i="2" s="1"/>
  <c r="BG153"/>
  <c r="BL159"/>
  <c r="AB168"/>
  <c r="R182"/>
  <c r="AS198"/>
  <c r="AQ215"/>
  <c r="BA3" i="3"/>
  <c r="BA3" i="2" s="1"/>
  <c r="BA4"/>
  <c r="AF5"/>
  <c r="K6"/>
  <c r="BW6"/>
  <c r="BJ7"/>
  <c r="AO8"/>
  <c r="T9"/>
  <c r="CF9"/>
  <c r="BK10"/>
  <c r="AM11" i="3"/>
  <c r="AM11" i="2" s="1"/>
  <c r="AM12"/>
  <c r="R13"/>
  <c r="CD13"/>
  <c r="BQ14"/>
  <c r="AV15"/>
  <c r="AA16"/>
  <c r="N17"/>
  <c r="BZ17"/>
  <c r="BE18"/>
  <c r="AG19" i="3"/>
  <c r="AG19" i="2" s="1"/>
  <c r="AG20"/>
  <c r="L21"/>
  <c r="BX21"/>
  <c r="BC22"/>
  <c r="AH23"/>
  <c r="U24"/>
  <c r="CG24"/>
  <c r="BL25"/>
  <c r="AQ26"/>
  <c r="AA27" i="3"/>
  <c r="AA27" i="2" s="1"/>
  <c r="AA28"/>
  <c r="N29"/>
  <c r="BZ29"/>
  <c r="BE30"/>
  <c r="AJ31"/>
  <c r="O32"/>
  <c r="CA32"/>
  <c r="BF33"/>
  <c r="AS34"/>
  <c r="AC35" i="3"/>
  <c r="AC35" i="2" s="1"/>
  <c r="AC36"/>
  <c r="H37"/>
  <c r="BT37"/>
  <c r="AY38"/>
  <c r="AL39"/>
  <c r="Q40"/>
  <c r="CC40"/>
  <c r="BH41"/>
  <c r="AM42"/>
  <c r="O43" i="3"/>
  <c r="O43" i="2" s="1"/>
  <c r="O44"/>
  <c r="CB44"/>
  <c r="CB43" i="3"/>
  <c r="CB43" i="2" s="1"/>
  <c r="BP45"/>
  <c r="BD46"/>
  <c r="AQ47"/>
  <c r="AM48"/>
  <c r="AM49"/>
  <c r="AN50"/>
  <c r="AP51" i="3"/>
  <c r="AP51" i="2" s="1"/>
  <c r="AP52"/>
  <c r="AQ53"/>
  <c r="AQ54"/>
  <c r="AR55"/>
  <c r="BG56"/>
  <c r="BR57"/>
  <c r="G59" i="3"/>
  <c r="G59" i="2" s="1"/>
  <c r="G60"/>
  <c r="AT61"/>
  <c r="BS62"/>
  <c r="K64"/>
  <c r="AV65"/>
  <c r="BS66"/>
  <c r="N69"/>
  <c r="AM70"/>
  <c r="BN71"/>
  <c r="U73"/>
  <c r="BJ74"/>
  <c r="CI75" i="3"/>
  <c r="CI75" i="2" s="1"/>
  <c r="CI76"/>
  <c r="AO78"/>
  <c r="O80"/>
  <c r="BH81"/>
  <c r="BK109" i="3"/>
  <c r="BK109" i="2" s="1"/>
  <c r="BK110"/>
  <c r="CH113"/>
  <c r="AL117"/>
  <c r="U122"/>
  <c r="CA125"/>
  <c r="AF130"/>
  <c r="CH133"/>
  <c r="BE138"/>
  <c r="AE142"/>
  <c r="AT147"/>
  <c r="BQ151"/>
  <c r="BT158"/>
  <c r="L167"/>
  <c r="H182"/>
  <c r="BD193"/>
  <c r="W210"/>
  <c r="AT55"/>
  <c r="AT56"/>
  <c r="AT57"/>
  <c r="AY58"/>
  <c r="BN59" i="3"/>
  <c r="BN59" i="2" s="1"/>
  <c r="BN60"/>
  <c r="Q62"/>
  <c r="AQ63"/>
  <c r="BO64"/>
  <c r="Q66"/>
  <c r="AE67" i="3"/>
  <c r="AE67" i="2" s="1"/>
  <c r="AE68"/>
  <c r="AR69"/>
  <c r="BE70"/>
  <c r="CB71"/>
  <c r="T73"/>
  <c r="I75" i="3"/>
  <c r="I75" i="2" s="1"/>
  <c r="I76"/>
  <c r="BX77"/>
  <c r="AW80"/>
  <c r="AD111"/>
  <c r="AV115"/>
  <c r="AF120"/>
  <c r="AS124"/>
  <c r="AG130"/>
  <c r="BX134"/>
  <c r="R141"/>
  <c r="CH146"/>
  <c r="K154"/>
  <c r="BU161" i="3"/>
  <c r="BU161" i="2" s="1"/>
  <c r="BU162"/>
  <c r="AW174"/>
  <c r="BN187" i="3"/>
  <c r="BN187" i="2" s="1"/>
  <c r="BN188"/>
  <c r="CC201"/>
  <c r="AT228"/>
  <c r="R170" i="3"/>
  <c r="R170" i="2" s="1"/>
  <c r="R171"/>
  <c r="W184"/>
  <c r="BF200"/>
  <c r="BD218"/>
  <c r="BP111"/>
  <c r="BR115"/>
  <c r="AX120"/>
  <c r="O125"/>
  <c r="AA130"/>
  <c r="W135" i="3"/>
  <c r="W135" i="2" s="1"/>
  <c r="W136"/>
  <c r="AL141"/>
  <c r="V147"/>
  <c r="AN154"/>
  <c r="BC161" i="3"/>
  <c r="BC161" i="2" s="1"/>
  <c r="BC162"/>
  <c r="BJ172"/>
  <c r="BA186"/>
  <c r="BF199"/>
  <c r="X218"/>
  <c r="BI148"/>
  <c r="AC152" i="3"/>
  <c r="AC152" i="2" s="1"/>
  <c r="AC153"/>
  <c r="AB157"/>
  <c r="BF163"/>
  <c r="BC169"/>
  <c r="AM178" i="3"/>
  <c r="AM178" i="2" s="1"/>
  <c r="AM179"/>
  <c r="AT187" i="3"/>
  <c r="AT187" i="2" s="1"/>
  <c r="AT188"/>
  <c r="CD196" i="3"/>
  <c r="CD196" i="2" s="1"/>
  <c r="CD197"/>
  <c r="AX206"/>
  <c r="AJ220" i="3"/>
  <c r="AJ220" i="2" s="1"/>
  <c r="AJ221"/>
  <c r="I59" i="3"/>
  <c r="I59" i="2" s="1"/>
  <c r="I60"/>
  <c r="BJ61"/>
  <c r="AP63"/>
  <c r="CG64"/>
  <c r="AZ66"/>
  <c r="J69"/>
  <c r="BM70"/>
  <c r="AQ72"/>
  <c r="CH73"/>
  <c r="BE75" i="3"/>
  <c r="BE75" i="2" s="1"/>
  <c r="BE76"/>
  <c r="N78"/>
  <c r="BN79"/>
  <c r="AT81"/>
  <c r="CK82"/>
  <c r="CD109" i="3"/>
  <c r="CD109" i="2" s="1"/>
  <c r="CD110"/>
  <c r="BB113"/>
  <c r="BF116"/>
  <c r="X120"/>
  <c r="BU123"/>
  <c r="J128"/>
  <c r="AQ131"/>
  <c r="BJ135" i="3"/>
  <c r="BJ135" i="2" s="1"/>
  <c r="BJ136"/>
  <c r="K140"/>
  <c r="AK144"/>
  <c r="AK143" i="3"/>
  <c r="AK143" i="2" s="1"/>
  <c r="BT147"/>
  <c r="AZ151"/>
  <c r="BQ156"/>
  <c r="BM161" i="3"/>
  <c r="BM161" i="2" s="1"/>
  <c r="BM162"/>
  <c r="H168"/>
  <c r="AI175"/>
  <c r="AR183"/>
  <c r="U193"/>
  <c r="AL203"/>
  <c r="BO222"/>
  <c r="K78"/>
  <c r="BK79"/>
  <c r="AP81"/>
  <c r="CG82"/>
  <c r="BD111"/>
  <c r="AG114"/>
  <c r="AR117"/>
  <c r="H121"/>
  <c r="W124"/>
  <c r="AW128"/>
  <c r="O132"/>
  <c r="BC135" i="3"/>
  <c r="BC135" i="2" s="1"/>
  <c r="BC136"/>
  <c r="BP139"/>
  <c r="AW143" i="3"/>
  <c r="AW143" i="2" s="1"/>
  <c r="AW144"/>
  <c r="CJ147"/>
  <c r="BP151"/>
  <c r="BF156"/>
  <c r="AU161" i="3"/>
  <c r="AU161" i="2" s="1"/>
  <c r="AU162"/>
  <c r="BY167"/>
  <c r="Q176"/>
  <c r="AJ184"/>
  <c r="AI192"/>
  <c r="BW201"/>
  <c r="R212" i="3"/>
  <c r="R212" i="2" s="1"/>
  <c r="R213"/>
  <c r="O45"/>
  <c r="AH46"/>
  <c r="BQ47"/>
  <c r="CB48"/>
  <c r="V50"/>
  <c r="AL52"/>
  <c r="AL51" i="3"/>
  <c r="AL51" i="2" s="1"/>
  <c r="BE53"/>
  <c r="CF54"/>
  <c r="J56"/>
  <c r="AK57"/>
  <c r="AV58"/>
  <c r="BL59" i="3"/>
  <c r="BL59" i="2" s="1"/>
  <c r="BL60"/>
  <c r="N62"/>
  <c r="Y63"/>
  <c r="AR64"/>
  <c r="BC65"/>
  <c r="BV66"/>
  <c r="AC69"/>
  <c r="AN70"/>
  <c r="BG71"/>
  <c r="BZ72"/>
  <c r="L74"/>
  <c r="AR75" i="3"/>
  <c r="AR75" i="2" s="1"/>
  <c r="AR76"/>
  <c r="BC77"/>
  <c r="BV78"/>
  <c r="H80"/>
  <c r="AA81"/>
  <c r="BJ82"/>
  <c r="CE109" i="3"/>
  <c r="CE109" i="2" s="1"/>
  <c r="CE110"/>
  <c r="BT112"/>
  <c r="BC114"/>
  <c r="BP116"/>
  <c r="Q120"/>
  <c r="P122"/>
  <c r="BK124"/>
  <c r="K128"/>
  <c r="BG130"/>
  <c r="BU133"/>
  <c r="P137"/>
  <c r="BN139"/>
  <c r="M142"/>
  <c r="BM145"/>
  <c r="AU148"/>
  <c r="CC150"/>
  <c r="BA154"/>
  <c r="R157"/>
  <c r="BI161" i="3"/>
  <c r="BI161" i="2" s="1"/>
  <c r="BI162"/>
  <c r="H167"/>
  <c r="BL172"/>
  <c r="BS178" i="3"/>
  <c r="BS178" i="2" s="1"/>
  <c r="BS179"/>
  <c r="AY185"/>
  <c r="N192"/>
  <c r="L200"/>
  <c r="BB208"/>
  <c r="V222"/>
  <c r="AD48"/>
  <c r="AW49"/>
  <c r="BX50"/>
  <c r="G53"/>
  <c r="Z54"/>
  <c r="AS55"/>
  <c r="BL56"/>
  <c r="N58"/>
  <c r="AD59" i="3"/>
  <c r="AD59" i="2" s="1"/>
  <c r="AD60"/>
  <c r="AW61"/>
  <c r="BH62"/>
  <c r="CA63"/>
  <c r="AC65"/>
  <c r="AN66"/>
  <c r="BD68"/>
  <c r="BD67" i="3"/>
  <c r="BD67" i="2" s="1"/>
  <c r="BO69"/>
  <c r="I71"/>
  <c r="AJ72"/>
  <c r="AU73"/>
  <c r="BN74"/>
  <c r="CD75" i="3"/>
  <c r="CD75" i="2" s="1"/>
  <c r="CD76"/>
  <c r="X78"/>
  <c r="AY79"/>
  <c r="BR80"/>
  <c r="CK81"/>
  <c r="H109" i="3"/>
  <c r="H109" i="2" s="1"/>
  <c r="H110"/>
  <c r="CD111"/>
  <c r="CC113"/>
  <c r="CA115"/>
  <c r="M118" i="3"/>
  <c r="M118" i="2" s="1"/>
  <c r="M119"/>
  <c r="M121"/>
  <c r="AP123"/>
  <c r="X126" i="3"/>
  <c r="X126" i="2" s="1"/>
  <c r="X127"/>
  <c r="BV129"/>
  <c r="BB132"/>
  <c r="CF134"/>
  <c r="BM138"/>
  <c r="G142"/>
  <c r="BZ145"/>
  <c r="BY148"/>
  <c r="AR151"/>
  <c r="AV155"/>
  <c r="CB159"/>
  <c r="AJ165"/>
  <c r="R172"/>
  <c r="W178" i="3"/>
  <c r="W178" i="2" s="1"/>
  <c r="W179"/>
  <c r="AL185"/>
  <c r="CB193"/>
  <c r="AX202"/>
  <c r="AK216"/>
  <c r="AW122"/>
  <c r="BH124"/>
  <c r="BS126" i="3"/>
  <c r="BS126" i="2" s="1"/>
  <c r="BS127"/>
  <c r="AM129"/>
  <c r="AC131"/>
  <c r="H133"/>
  <c r="CE134"/>
  <c r="CF137"/>
  <c r="U140"/>
  <c r="CH142"/>
  <c r="W146"/>
  <c r="CI148"/>
  <c r="BY151"/>
  <c r="AL155"/>
  <c r="BW159"/>
  <c r="BF165"/>
  <c r="AF172"/>
  <c r="U180"/>
  <c r="BU186"/>
  <c r="BK194"/>
  <c r="BO202"/>
  <c r="U215"/>
  <c r="AP109" i="3"/>
  <c r="AP109" i="2" s="1"/>
  <c r="AP110"/>
  <c r="J113"/>
  <c r="J116"/>
  <c r="BP118" i="3"/>
  <c r="BP118" i="2" s="1"/>
  <c r="BP119"/>
  <c r="CA122"/>
  <c r="Y126" i="3"/>
  <c r="Y126" i="2" s="1"/>
  <c r="Y127"/>
  <c r="CA129"/>
  <c r="AJ133"/>
  <c r="AX138"/>
  <c r="AN142"/>
  <c r="J148"/>
  <c r="BP152" i="3"/>
  <c r="BP152" i="2" s="1"/>
  <c r="BP153"/>
  <c r="CI160"/>
  <c r="U170" i="3"/>
  <c r="U170" i="2" s="1"/>
  <c r="U171"/>
  <c r="CH184"/>
  <c r="CC198"/>
  <c r="BL216"/>
  <c r="G117"/>
  <c r="CI122"/>
  <c r="BC129"/>
  <c r="BY134"/>
  <c r="P141"/>
  <c r="AW147"/>
  <c r="AH152" i="3"/>
  <c r="AH152" i="2" s="1"/>
  <c r="AH153"/>
  <c r="O160"/>
  <c r="AV169"/>
  <c r="CH181"/>
  <c r="X194"/>
  <c r="Q210"/>
  <c r="CA113"/>
  <c r="K118" i="3"/>
  <c r="K118" i="2" s="1"/>
  <c r="K119"/>
  <c r="BH122"/>
  <c r="BY126" i="3"/>
  <c r="BY126" i="2" s="1"/>
  <c r="BY127"/>
  <c r="AO131"/>
  <c r="BV135" i="3"/>
  <c r="BV135" i="2" s="1"/>
  <c r="BV136"/>
  <c r="BZ140"/>
  <c r="BC145"/>
  <c r="AY149"/>
  <c r="AB154"/>
  <c r="BT159"/>
  <c r="AD167"/>
  <c r="AL175"/>
  <c r="BM184"/>
  <c r="AG193"/>
  <c r="M206"/>
  <c r="AF227"/>
  <c r="AM111"/>
  <c r="S115"/>
  <c r="L120"/>
  <c r="BY123"/>
  <c r="I129"/>
  <c r="U133"/>
  <c r="BG137"/>
  <c r="BS141"/>
  <c r="AN146"/>
  <c r="BX150"/>
  <c r="BQ155"/>
  <c r="U161" i="3"/>
  <c r="U161" i="2" s="1"/>
  <c r="U162"/>
  <c r="AY168"/>
  <c r="L177"/>
  <c r="AO187" i="3"/>
  <c r="AO187" i="2" s="1"/>
  <c r="AO188"/>
  <c r="AW198"/>
  <c r="CA210"/>
  <c r="BR158"/>
  <c r="K167"/>
  <c r="AN180"/>
  <c r="BB191"/>
  <c r="AM206"/>
  <c r="I157"/>
  <c r="BG165"/>
  <c r="X177"/>
  <c r="AN190"/>
  <c r="BE203"/>
  <c r="G157"/>
  <c r="CA167"/>
  <c r="BC186"/>
  <c r="BX211"/>
  <c r="AN175"/>
  <c r="L191"/>
  <c r="K206"/>
  <c r="AS175"/>
  <c r="BD206"/>
  <c r="AQ209"/>
  <c r="CC220" i="3"/>
  <c r="CC220" i="2" s="1"/>
  <c r="CC221"/>
  <c r="CD215"/>
  <c r="H225"/>
  <c r="I235"/>
  <c r="AJ232"/>
  <c r="BN163"/>
  <c r="AN172"/>
  <c r="N186"/>
  <c r="N202"/>
  <c r="I5"/>
  <c r="BU5"/>
  <c r="AZ6"/>
  <c r="AE7"/>
  <c r="J8"/>
  <c r="BV8"/>
  <c r="BI9"/>
  <c r="AN10"/>
  <c r="P11" i="3"/>
  <c r="P11" i="2" s="1"/>
  <c r="P12"/>
  <c r="CB11" i="3"/>
  <c r="CB11" i="2" s="1"/>
  <c r="CB12"/>
  <c r="BG13"/>
  <c r="AT14"/>
  <c r="Y15"/>
  <c r="CK15"/>
  <c r="BP16"/>
  <c r="AU17"/>
  <c r="Z18"/>
  <c r="J19" i="3"/>
  <c r="J19" i="2" s="1"/>
  <c r="J20"/>
  <c r="BV19" i="3"/>
  <c r="BV19" i="2" s="1"/>
  <c r="BV20"/>
  <c r="BI21"/>
  <c r="AN22"/>
  <c r="S23"/>
  <c r="CE23"/>
  <c r="BR24"/>
  <c r="AW25"/>
  <c r="AB26"/>
  <c r="L27" i="3"/>
  <c r="L27" i="2" s="1"/>
  <c r="L28"/>
  <c r="BX27" i="3"/>
  <c r="BX27" i="2" s="1"/>
  <c r="BX28"/>
  <c r="BC29"/>
  <c r="AH30"/>
  <c r="U31"/>
  <c r="CG31"/>
  <c r="BL32"/>
  <c r="AQ33"/>
  <c r="AD34"/>
  <c r="N35" i="3"/>
  <c r="N35" i="2" s="1"/>
  <c r="N36"/>
  <c r="BZ35" i="3"/>
  <c r="BZ35" i="2" s="1"/>
  <c r="BZ36"/>
  <c r="BE37"/>
  <c r="AJ38"/>
  <c r="O39"/>
  <c r="CA39"/>
  <c r="BF40"/>
  <c r="AS41"/>
  <c r="X42"/>
  <c r="CJ42"/>
  <c r="BL43" i="3"/>
  <c r="BL43" i="2" s="1"/>
  <c r="BL44"/>
  <c r="BH45"/>
  <c r="AV46"/>
  <c r="AI47"/>
  <c r="AC48"/>
  <c r="AD49"/>
  <c r="AE50"/>
  <c r="AG51" i="3"/>
  <c r="AG51" i="2" s="1"/>
  <c r="AG52"/>
  <c r="AH53"/>
  <c r="AG54"/>
  <c r="AH55"/>
  <c r="AU56"/>
  <c r="BF57"/>
  <c r="CA58"/>
  <c r="AH61"/>
  <c r="BF62"/>
  <c r="CE63"/>
  <c r="V65"/>
  <c r="BH66"/>
  <c r="CI67" i="3"/>
  <c r="CI67" i="2" s="1"/>
  <c r="CI68"/>
  <c r="AA70"/>
  <c r="BA71"/>
  <c r="CB72"/>
  <c r="V74"/>
  <c r="BJ75" i="3"/>
  <c r="BJ75" i="2" s="1"/>
  <c r="BJ76"/>
  <c r="L78"/>
  <c r="BC79"/>
  <c r="M81"/>
  <c r="BF82"/>
  <c r="AM109" i="3"/>
  <c r="AM109" i="2" s="1"/>
  <c r="AM110"/>
  <c r="BH113"/>
  <c r="N117"/>
  <c r="J121"/>
  <c r="CI124"/>
  <c r="AV129"/>
  <c r="K133"/>
  <c r="W138"/>
  <c r="AG142"/>
  <c r="AV147"/>
  <c r="J152" i="3"/>
  <c r="J152" i="2" s="1"/>
  <c r="J153"/>
  <c r="CB158"/>
  <c r="AP167"/>
  <c r="BX178" i="3"/>
  <c r="BX178" i="2" s="1"/>
  <c r="BX179"/>
  <c r="N197"/>
  <c r="N196" i="3"/>
  <c r="N196" i="2" s="1"/>
  <c r="AR210"/>
  <c r="AS3" i="3"/>
  <c r="AS3" i="2" s="1"/>
  <c r="AS4"/>
  <c r="X5"/>
  <c r="CJ5"/>
  <c r="BO6"/>
  <c r="BB7"/>
  <c r="AG8"/>
  <c r="L9"/>
  <c r="BX9"/>
  <c r="BC10"/>
  <c r="AE11" i="3"/>
  <c r="AE11" i="2" s="1"/>
  <c r="AE12"/>
  <c r="J13"/>
  <c r="BV13"/>
  <c r="BI14"/>
  <c r="AN15"/>
  <c r="S16"/>
  <c r="CE16"/>
  <c r="BR17"/>
  <c r="AW18"/>
  <c r="Y19" i="3"/>
  <c r="Y19" i="2" s="1"/>
  <c r="Y20"/>
  <c r="CK19" i="3"/>
  <c r="CK19" i="2" s="1"/>
  <c r="CK20"/>
  <c r="BP21"/>
  <c r="AU22"/>
  <c r="Z23"/>
  <c r="M24"/>
  <c r="BY24"/>
  <c r="BD25"/>
  <c r="AI26"/>
  <c r="S27" i="3"/>
  <c r="S27" i="2" s="1"/>
  <c r="S28"/>
  <c r="CE27" i="3"/>
  <c r="CE27" i="2" s="1"/>
  <c r="CE28"/>
  <c r="BR29"/>
  <c r="AW30"/>
  <c r="AB31"/>
  <c r="G32"/>
  <c r="BS32"/>
  <c r="AX33"/>
  <c r="AK34"/>
  <c r="U35" i="3"/>
  <c r="U35" i="2" s="1"/>
  <c r="U36"/>
  <c r="CG35" i="3"/>
  <c r="CG35" i="2" s="1"/>
  <c r="CG36"/>
  <c r="BL37"/>
  <c r="AQ38"/>
  <c r="AD39"/>
  <c r="I40"/>
  <c r="BU40"/>
  <c r="AZ41"/>
  <c r="AE42"/>
  <c r="G43" i="3"/>
  <c r="G43" i="2" s="1"/>
  <c r="G44"/>
  <c r="BS43" i="3"/>
  <c r="BS43" i="2" s="1"/>
  <c r="BS44"/>
  <c r="BG45"/>
  <c r="AU46"/>
  <c r="AH47"/>
  <c r="AB48"/>
  <c r="AC49"/>
  <c r="AC50"/>
  <c r="AF51" i="3"/>
  <c r="AF51" i="2" s="1"/>
  <c r="AF52"/>
  <c r="AF53"/>
  <c r="AF54"/>
  <c r="AG55"/>
  <c r="AS56"/>
  <c r="BE57"/>
  <c r="BY58"/>
  <c r="AF61"/>
  <c r="BE62"/>
  <c r="CD63"/>
  <c r="AH65"/>
  <c r="BG66"/>
  <c r="CG67" i="3"/>
  <c r="CG67" i="2" s="1"/>
  <c r="CG68"/>
  <c r="Z70"/>
  <c r="AZ71"/>
  <c r="CA72"/>
  <c r="AV74"/>
  <c r="BU75" i="3"/>
  <c r="BU75" i="2" s="1"/>
  <c r="BU76"/>
  <c r="AA78"/>
  <c r="CH79"/>
  <c r="AR81"/>
  <c r="CJ82"/>
  <c r="AK110"/>
  <c r="AK109" i="3"/>
  <c r="AK109" i="2" s="1"/>
  <c r="BF113"/>
  <c r="BI116"/>
  <c r="BY121"/>
  <c r="AJ125"/>
  <c r="CG129"/>
  <c r="AW133"/>
  <c r="U138"/>
  <c r="BR141"/>
  <c r="CK146"/>
  <c r="V151"/>
  <c r="CF157"/>
  <c r="R166"/>
  <c r="CI180"/>
  <c r="AS192"/>
  <c r="BK208"/>
  <c r="AI55"/>
  <c r="AJ56"/>
  <c r="AH57"/>
  <c r="AM58"/>
  <c r="BA59" i="3"/>
  <c r="BA59" i="2" s="1"/>
  <c r="BA60"/>
  <c r="BZ61"/>
  <c r="AC63"/>
  <c r="BC64"/>
  <c r="BZ65"/>
  <c r="T67" i="3"/>
  <c r="T67" i="2" s="1"/>
  <c r="T68"/>
  <c r="AE69"/>
  <c r="AR70"/>
  <c r="BQ71"/>
  <c r="H73"/>
  <c r="CC74"/>
  <c r="BJ77"/>
  <c r="AH80"/>
  <c r="AW82"/>
  <c r="J111"/>
  <c r="BH114"/>
  <c r="BN118" i="3"/>
  <c r="BN118" i="2" s="1"/>
  <c r="BN119"/>
  <c r="S124"/>
  <c r="BL129"/>
  <c r="AR134"/>
  <c r="Q140"/>
  <c r="L146"/>
  <c r="BJ152" i="3"/>
  <c r="BJ152" i="2" s="1"/>
  <c r="BJ153"/>
  <c r="O161" i="3"/>
  <c r="O161" i="2" s="1"/>
  <c r="O162"/>
  <c r="BI173"/>
  <c r="AE184"/>
  <c r="CD199"/>
  <c r="BY225"/>
  <c r="AH169"/>
  <c r="AK183"/>
  <c r="BU196" i="3"/>
  <c r="BU196" i="2" s="1"/>
  <c r="BU197"/>
  <c r="P215"/>
  <c r="AX111"/>
  <c r="BZ114"/>
  <c r="CG118" i="3"/>
  <c r="CG118" i="2" s="1"/>
  <c r="CG119"/>
  <c r="BQ124"/>
  <c r="CH129"/>
  <c r="BP134"/>
  <c r="AM140"/>
  <c r="AL146"/>
  <c r="BD152" i="3"/>
  <c r="BD152" i="2" s="1"/>
  <c r="BD153"/>
  <c r="AS160"/>
  <c r="CG170" i="3"/>
  <c r="CG170" i="2" s="1"/>
  <c r="CG171"/>
  <c r="G184"/>
  <c r="BB197"/>
  <c r="BB196" i="3"/>
  <c r="BB196" i="2" s="1"/>
  <c r="AO216"/>
  <c r="AK148"/>
  <c r="H152" i="3"/>
  <c r="H152" i="2" s="1"/>
  <c r="H153"/>
  <c r="U156"/>
  <c r="BQ161" i="3"/>
  <c r="BQ161" i="2" s="1"/>
  <c r="BQ162"/>
  <c r="P169"/>
  <c r="BH177"/>
  <c r="BX186"/>
  <c r="S195"/>
  <c r="O204" i="3"/>
  <c r="O204" i="2" s="1"/>
  <c r="O205"/>
  <c r="AT219"/>
  <c r="CC58"/>
  <c r="AZ61"/>
  <c r="J63"/>
  <c r="BK64"/>
  <c r="AO66"/>
  <c r="CH67" i="3"/>
  <c r="CH67" i="2" s="1"/>
  <c r="CH68"/>
  <c r="BA70"/>
  <c r="K72"/>
  <c r="BN73"/>
  <c r="AU75" i="3"/>
  <c r="AU75" i="2" s="1"/>
  <c r="AU76"/>
  <c r="CK77"/>
  <c r="BD79"/>
  <c r="N81"/>
  <c r="BO82"/>
  <c r="BN109" i="3"/>
  <c r="BN109" i="2" s="1"/>
  <c r="BN110"/>
  <c r="AL113"/>
  <c r="CI115"/>
  <c r="BS118" i="3"/>
  <c r="BS118" i="2" s="1"/>
  <c r="BS119"/>
  <c r="AY123"/>
  <c r="BT126" i="3"/>
  <c r="BT126" i="2" s="1"/>
  <c r="BT127"/>
  <c r="R131"/>
  <c r="BW134"/>
  <c r="BB139"/>
  <c r="M143" i="3"/>
  <c r="M143" i="2" s="1"/>
  <c r="M144"/>
  <c r="AX147"/>
  <c r="AB151"/>
  <c r="BX155"/>
  <c r="BZ160"/>
  <c r="BH167"/>
  <c r="CC174"/>
  <c r="CJ182"/>
  <c r="BA191"/>
  <c r="AI201"/>
  <c r="BX217"/>
  <c r="CF77"/>
  <c r="AZ79"/>
  <c r="J81"/>
  <c r="BL82"/>
  <c r="AN111"/>
  <c r="N114"/>
  <c r="BQ116"/>
  <c r="BA120"/>
  <c r="CJ123"/>
  <c r="U128"/>
  <c r="BZ131"/>
  <c r="CK134"/>
  <c r="V139"/>
  <c r="Y143" i="3"/>
  <c r="Y143" i="2" s="1"/>
  <c r="Y144"/>
  <c r="BN147"/>
  <c r="AP151"/>
  <c r="BT155"/>
  <c r="BM160"/>
  <c r="AS167"/>
  <c r="BR175"/>
  <c r="BT183"/>
  <c r="BY190"/>
  <c r="AM200"/>
  <c r="AN211"/>
  <c r="G45"/>
  <c r="Z46"/>
  <c r="AS47"/>
  <c r="BL48"/>
  <c r="N50"/>
  <c r="AD51" i="3"/>
  <c r="AD51" i="2" s="1"/>
  <c r="AD52"/>
  <c r="AW53"/>
  <c r="BH54"/>
  <c r="CA55"/>
  <c r="AC57"/>
  <c r="AN58"/>
  <c r="BD59" i="3"/>
  <c r="BD59" i="2" s="1"/>
  <c r="BD60"/>
  <c r="BO61"/>
  <c r="I63"/>
  <c r="AJ64"/>
  <c r="AU65"/>
  <c r="BN66"/>
  <c r="CD67" i="3"/>
  <c r="CD67" i="2" s="1"/>
  <c r="CD68"/>
  <c r="X70"/>
  <c r="AY71"/>
  <c r="BR72"/>
  <c r="CK73"/>
  <c r="T75" i="3"/>
  <c r="T75" i="2" s="1"/>
  <c r="T76"/>
  <c r="AM77"/>
  <c r="BN78"/>
  <c r="CG79"/>
  <c r="S81"/>
  <c r="AL82"/>
  <c r="BG109" i="3"/>
  <c r="BG109" i="2" s="1"/>
  <c r="BG110"/>
  <c r="BI112"/>
  <c r="AO114"/>
  <c r="BC116"/>
  <c r="BH118" i="3"/>
  <c r="BH118" i="2" s="1"/>
  <c r="BH119"/>
  <c r="BV121"/>
  <c r="AU124"/>
  <c r="CB126" i="3"/>
  <c r="CB126" i="2" s="1"/>
  <c r="CB127"/>
  <c r="AP130"/>
  <c r="T133"/>
  <c r="BR135" i="3"/>
  <c r="BR135" i="2" s="1"/>
  <c r="BR136"/>
  <c r="AV139"/>
  <c r="BZ141"/>
  <c r="AV145"/>
  <c r="CB147"/>
  <c r="AV150"/>
  <c r="AI154"/>
  <c r="CA156"/>
  <c r="AE161" i="3"/>
  <c r="AE161" i="2" s="1"/>
  <c r="AE162"/>
  <c r="K166"/>
  <c r="CD170" i="3"/>
  <c r="CD170" i="2" s="1"/>
  <c r="CD171"/>
  <c r="AF178" i="3"/>
  <c r="AF178" i="2" s="1"/>
  <c r="AF179"/>
  <c r="J185"/>
  <c r="BN191"/>
  <c r="BP198"/>
  <c r="BW206"/>
  <c r="AJ219"/>
  <c r="V48"/>
  <c r="AO49"/>
  <c r="AZ50"/>
  <c r="BX51" i="3"/>
  <c r="BX51" i="2" s="1"/>
  <c r="BX52"/>
  <c r="R54"/>
  <c r="AK55"/>
  <c r="BD56"/>
  <c r="BO57"/>
  <c r="N59" i="3"/>
  <c r="N59" i="2" s="1"/>
  <c r="N60"/>
  <c r="AO61"/>
  <c r="AZ62"/>
  <c r="BS63"/>
  <c r="CD64"/>
  <c r="X66"/>
  <c r="AV67" i="3"/>
  <c r="AV67" i="2" s="1"/>
  <c r="AV68"/>
  <c r="BG69"/>
  <c r="CH70"/>
  <c r="L72"/>
  <c r="AE73"/>
  <c r="BF74"/>
  <c r="BV75" i="3"/>
  <c r="BV75" i="2" s="1"/>
  <c r="BV76"/>
  <c r="P78"/>
  <c r="AA79"/>
  <c r="BB80"/>
  <c r="CC81"/>
  <c r="BQ111"/>
  <c r="AR113"/>
  <c r="AX115"/>
  <c r="CA117"/>
  <c r="CE120"/>
  <c r="Z123"/>
  <c r="BH125"/>
  <c r="AN129"/>
  <c r="AK132"/>
  <c r="BM134"/>
  <c r="AS138"/>
  <c r="AP141"/>
  <c r="AQ145"/>
  <c r="BG148"/>
  <c r="AA151"/>
  <c r="AD155"/>
  <c r="CJ158"/>
  <c r="BM164"/>
  <c r="BY170" i="3"/>
  <c r="BY170" i="2" s="1"/>
  <c r="BY171"/>
  <c r="AW177"/>
  <c r="BB184"/>
  <c r="AN192"/>
  <c r="CG200"/>
  <c r="BH215"/>
  <c r="AM122"/>
  <c r="AL124"/>
  <c r="AB126" i="3"/>
  <c r="AB126" i="2" s="1"/>
  <c r="AB127"/>
  <c r="R129"/>
  <c r="S131"/>
  <c r="CE132"/>
  <c r="BS134"/>
  <c r="AO137"/>
  <c r="CG139"/>
  <c r="BW142"/>
  <c r="M146"/>
  <c r="BX148"/>
  <c r="M151"/>
  <c r="Q155"/>
  <c r="BF159"/>
  <c r="X165"/>
  <c r="J172"/>
  <c r="T178" i="3"/>
  <c r="T178" i="2" s="1"/>
  <c r="T179"/>
  <c r="BR185"/>
  <c r="AG194"/>
  <c r="J202"/>
  <c r="CJ211"/>
  <c r="S231"/>
  <c r="BB112"/>
  <c r="BK115"/>
  <c r="BD118" i="3"/>
  <c r="BD118" i="2" s="1"/>
  <c r="BD119"/>
  <c r="BQ122"/>
  <c r="AT125"/>
  <c r="BF129"/>
  <c r="Z133"/>
  <c r="BH137"/>
  <c r="AD142"/>
  <c r="BK146"/>
  <c r="AT152" i="3"/>
  <c r="AT152" i="2" s="1"/>
  <c r="AT153"/>
  <c r="S160"/>
  <c r="AY169"/>
  <c r="K183"/>
  <c r="CC194"/>
  <c r="L215"/>
  <c r="BS116"/>
  <c r="BC122"/>
  <c r="BX128"/>
  <c r="BD133"/>
  <c r="AV140"/>
  <c r="CE146"/>
  <c r="BT151"/>
  <c r="BS158"/>
  <c r="AV167"/>
  <c r="AM181"/>
  <c r="BJ193"/>
  <c r="AP209"/>
  <c r="AM113"/>
  <c r="CJ116"/>
  <c r="AR122"/>
  <c r="AS126" i="3"/>
  <c r="AS126" i="2" s="1"/>
  <c r="AS127"/>
  <c r="Y131"/>
  <c r="R135" i="3"/>
  <c r="R135" i="2" s="1"/>
  <c r="R136"/>
  <c r="CE139"/>
  <c r="AE145"/>
  <c r="AI149"/>
  <c r="CK152" i="3"/>
  <c r="CK152" i="2" s="1"/>
  <c r="CK153"/>
  <c r="CC158"/>
  <c r="BH165"/>
  <c r="AN174"/>
  <c r="BO183"/>
  <c r="AP192"/>
  <c r="AJ203"/>
  <c r="AF219"/>
  <c r="AZ109" i="3"/>
  <c r="AZ109" i="2" s="1"/>
  <c r="AZ110"/>
  <c r="BL114"/>
  <c r="BU118" i="3"/>
  <c r="BU118" i="2" s="1"/>
  <c r="BU119"/>
  <c r="AK123"/>
  <c r="BB128"/>
  <c r="J132"/>
  <c r="AQ137"/>
  <c r="AM141"/>
  <c r="X146"/>
  <c r="T150"/>
  <c r="BV154"/>
  <c r="BU160"/>
  <c r="U168"/>
  <c r="AW176"/>
  <c r="BW185"/>
  <c r="AD195"/>
  <c r="N209"/>
  <c r="BG157"/>
  <c r="AF166"/>
  <c r="AV177"/>
  <c r="AP189"/>
  <c r="BK204" i="3"/>
  <c r="BK204" i="2" s="1"/>
  <c r="BK205"/>
  <c r="BP234"/>
  <c r="AA165"/>
  <c r="AR175"/>
  <c r="R187" i="3"/>
  <c r="R187" i="2" s="1"/>
  <c r="R188"/>
  <c r="BJ201"/>
  <c r="AF236"/>
  <c r="AB166"/>
  <c r="CJ184"/>
  <c r="BB203"/>
  <c r="P175"/>
  <c r="BR189"/>
  <c r="BM204" i="3"/>
  <c r="BM204" i="2" s="1"/>
  <c r="BM205"/>
  <c r="CF172"/>
  <c r="BV198"/>
  <c r="AV207"/>
  <c r="BF218"/>
  <c r="K214"/>
  <c r="AZ219"/>
  <c r="BR226"/>
  <c r="O228"/>
  <c r="U74"/>
  <c r="AG75" i="3"/>
  <c r="AG75" i="2" s="1"/>
  <c r="AG76"/>
  <c r="AW77"/>
  <c r="R79"/>
  <c r="BI80"/>
  <c r="S82"/>
  <c r="AZ111"/>
  <c r="BU113"/>
  <c r="AQ116"/>
  <c r="H120"/>
  <c r="AN122"/>
  <c r="T125"/>
  <c r="AF129"/>
  <c r="AS132"/>
  <c r="AB135" i="3"/>
  <c r="AB135" i="2" s="1"/>
  <c r="AB136"/>
  <c r="AN139"/>
  <c r="W142"/>
  <c r="AW146"/>
  <c r="Y150"/>
  <c r="CG154"/>
  <c r="BJ160"/>
  <c r="AK167"/>
  <c r="AA175"/>
  <c r="BM182"/>
  <c r="AH191"/>
  <c r="BR200"/>
  <c r="BN209"/>
  <c r="BO161" i="3"/>
  <c r="BO161" i="2" s="1"/>
  <c r="BO162"/>
  <c r="BO168"/>
  <c r="BM177"/>
  <c r="BZ185"/>
  <c r="BE194"/>
  <c r="BW203"/>
  <c r="BX216"/>
  <c r="Y112"/>
  <c r="AB114"/>
  <c r="CG116"/>
  <c r="Z120"/>
  <c r="BK122"/>
  <c r="BT125"/>
  <c r="BB129"/>
  <c r="AG132"/>
  <c r="AZ135" i="3"/>
  <c r="AZ135" i="2" s="1"/>
  <c r="AZ136"/>
  <c r="BL139"/>
  <c r="AU142"/>
  <c r="BX146"/>
  <c r="BC150"/>
  <c r="Z155"/>
  <c r="BX159"/>
  <c r="AU166"/>
  <c r="AI173"/>
  <c r="AP182"/>
  <c r="Z190"/>
  <c r="BA198"/>
  <c r="Q208"/>
  <c r="BO227"/>
  <c r="Q148"/>
  <c r="AY150"/>
  <c r="AZ152" i="3"/>
  <c r="AZ152" i="2" s="1"/>
  <c r="AZ153"/>
  <c r="BH155"/>
  <c r="AV158"/>
  <c r="Q163"/>
  <c r="CC166"/>
  <c r="BQ170" i="3"/>
  <c r="BQ170" i="2" s="1"/>
  <c r="BQ171"/>
  <c r="H177"/>
  <c r="BB183"/>
  <c r="CK187" i="3"/>
  <c r="CK187" i="2" s="1"/>
  <c r="CK188"/>
  <c r="AE193"/>
  <c r="BQ199"/>
  <c r="CA204" i="3"/>
  <c r="CA204" i="2" s="1"/>
  <c r="CA205"/>
  <c r="CI211"/>
  <c r="S227"/>
  <c r="BQ58"/>
  <c r="BU59" i="3"/>
  <c r="BU59" i="2" s="1"/>
  <c r="BU60"/>
  <c r="BT61"/>
  <c r="BU62"/>
  <c r="BV63"/>
  <c r="BU64"/>
  <c r="BU65"/>
  <c r="BU66"/>
  <c r="BX67" i="3"/>
  <c r="BX67" i="2" s="1"/>
  <c r="BX68"/>
  <c r="BV69"/>
  <c r="BW70"/>
  <c r="BX71"/>
  <c r="BW72"/>
  <c r="BX73"/>
  <c r="BY74"/>
  <c r="CA75" i="3"/>
  <c r="CA75" i="2" s="1"/>
  <c r="CA76"/>
  <c r="BZ77"/>
  <c r="BZ78"/>
  <c r="BZ79"/>
  <c r="BY80"/>
  <c r="BZ81"/>
  <c r="CA82"/>
  <c r="AX109" i="3"/>
  <c r="AX109" i="2" s="1"/>
  <c r="AX110"/>
  <c r="I112"/>
  <c r="BR113"/>
  <c r="AU115"/>
  <c r="AD117"/>
  <c r="G120"/>
  <c r="BT121"/>
  <c r="AI124"/>
  <c r="AX126" i="3"/>
  <c r="AX126" i="2" s="1"/>
  <c r="AX127"/>
  <c r="BH129"/>
  <c r="BL131"/>
  <c r="AB134"/>
  <c r="AP137"/>
  <c r="BX139"/>
  <c r="CF141"/>
  <c r="CB143" i="3"/>
  <c r="CB143" i="2" s="1"/>
  <c r="CB144"/>
  <c r="Z147"/>
  <c r="AL149"/>
  <c r="BV151"/>
  <c r="AF155"/>
  <c r="CG157"/>
  <c r="V161" i="3"/>
  <c r="V161" i="2" s="1"/>
  <c r="V162"/>
  <c r="AZ165"/>
  <c r="AT169"/>
  <c r="AD174"/>
  <c r="BU178" i="3"/>
  <c r="BU178" i="2" s="1"/>
  <c r="BU179"/>
  <c r="AZ184"/>
  <c r="AX190"/>
  <c r="BH195"/>
  <c r="BT202"/>
  <c r="BN211"/>
  <c r="CF226"/>
  <c r="BV77"/>
  <c r="BW78"/>
  <c r="BU79"/>
  <c r="BV80"/>
  <c r="BV81"/>
  <c r="BV82"/>
  <c r="Z111"/>
  <c r="CI112"/>
  <c r="AW114"/>
  <c r="AG116"/>
  <c r="G118" i="3"/>
  <c r="G118" i="2" s="1"/>
  <c r="G119"/>
  <c r="BV120"/>
  <c r="BG122"/>
  <c r="BS124"/>
  <c r="CH127"/>
  <c r="CH126" i="3"/>
  <c r="CH126" i="2" s="1"/>
  <c r="AE130"/>
  <c r="AM132"/>
  <c r="AQ134"/>
  <c r="AH137"/>
  <c r="AR139"/>
  <c r="BV141"/>
  <c r="AG145"/>
  <c r="AN147"/>
  <c r="BX149"/>
  <c r="M152" i="3"/>
  <c r="M152" i="2" s="1"/>
  <c r="M153"/>
  <c r="X155"/>
  <c r="BZ157"/>
  <c r="N161" i="3"/>
  <c r="N161" i="2" s="1"/>
  <c r="N162"/>
  <c r="AM165"/>
  <c r="BT168"/>
  <c r="Y175"/>
  <c r="BL180"/>
  <c r="CC184"/>
  <c r="BP189"/>
  <c r="BR194"/>
  <c r="N201"/>
  <c r="BN207"/>
  <c r="AB215"/>
  <c r="CF43" i="3"/>
  <c r="CF43" i="2" s="1"/>
  <c r="CF44"/>
  <c r="BK45"/>
  <c r="AP46"/>
  <c r="AC47"/>
  <c r="H48"/>
  <c r="BT48"/>
  <c r="AY49"/>
  <c r="AL50"/>
  <c r="V51" i="3"/>
  <c r="V51" i="2" s="1"/>
  <c r="V52"/>
  <c r="CH51" i="3"/>
  <c r="CH51" i="2" s="1"/>
  <c r="CH52"/>
  <c r="BM53"/>
  <c r="AR54"/>
  <c r="W55"/>
  <c r="CI55"/>
  <c r="BN56"/>
  <c r="BA57"/>
  <c r="AF58"/>
  <c r="H59" i="3"/>
  <c r="H59" i="2" s="1"/>
  <c r="H60"/>
  <c r="BT59" i="3"/>
  <c r="BT59" i="2" s="1"/>
  <c r="BT60"/>
  <c r="AY61"/>
  <c r="AL62"/>
  <c r="Q63"/>
  <c r="CC63"/>
  <c r="BH64"/>
  <c r="AM65"/>
  <c r="R66"/>
  <c r="CD66"/>
  <c r="BN67" i="3"/>
  <c r="BN67" i="2" s="1"/>
  <c r="BN68"/>
  <c r="BA69"/>
  <c r="AF70"/>
  <c r="K71"/>
  <c r="BW71"/>
  <c r="BJ72"/>
  <c r="AO73"/>
  <c r="T74"/>
  <c r="CF74"/>
  <c r="BP75" i="3"/>
  <c r="BP75" i="2" s="1"/>
  <c r="BP76"/>
  <c r="AU77"/>
  <c r="Z78"/>
  <c r="M79"/>
  <c r="BY79"/>
  <c r="BD80"/>
  <c r="AI81"/>
  <c r="V82"/>
  <c r="CH82"/>
  <c r="BT109" i="3"/>
  <c r="BT109" i="2" s="1"/>
  <c r="BT110"/>
  <c r="CF111"/>
  <c r="K113"/>
  <c r="AA114"/>
  <c r="BC115"/>
  <c r="CE116"/>
  <c r="AD118" i="3"/>
  <c r="AD118" i="2" s="1"/>
  <c r="AD119"/>
  <c r="BG120"/>
  <c r="CJ121"/>
  <c r="AV123"/>
  <c r="L125"/>
  <c r="BK126" i="3"/>
  <c r="BK126" i="2" s="1"/>
  <c r="BK127"/>
  <c r="AB129"/>
  <c r="BW130"/>
  <c r="BE132"/>
  <c r="AJ134"/>
  <c r="CI135" i="3"/>
  <c r="CI135" i="2" s="1"/>
  <c r="CI136"/>
  <c r="AY138"/>
  <c r="M140"/>
  <c r="BJ141"/>
  <c r="AE143" i="3"/>
  <c r="AE143" i="2" s="1"/>
  <c r="AE144"/>
  <c r="CC145"/>
  <c r="AU147"/>
  <c r="N149"/>
  <c r="BM150"/>
  <c r="AK152" i="3"/>
  <c r="AK152" i="2" s="1"/>
  <c r="AK153"/>
  <c r="CH154"/>
  <c r="BE156"/>
  <c r="J159"/>
  <c r="CH161" i="3"/>
  <c r="CH161" i="2" s="1"/>
  <c r="CH162"/>
  <c r="AP165"/>
  <c r="CJ167"/>
  <c r="AD172"/>
  <c r="AY175"/>
  <c r="BA180"/>
  <c r="BL184"/>
  <c r="X189"/>
  <c r="AW192"/>
  <c r="BW196" i="3"/>
  <c r="BW196" i="2" s="1"/>
  <c r="BW197"/>
  <c r="BD201"/>
  <c r="AL207"/>
  <c r="AE214"/>
  <c r="Y225"/>
  <c r="N48"/>
  <c r="BZ48"/>
  <c r="BE49"/>
  <c r="AJ50"/>
  <c r="T51" i="3"/>
  <c r="T51" i="2" s="1"/>
  <c r="T52"/>
  <c r="CF51" i="3"/>
  <c r="CF51" i="2" s="1"/>
  <c r="CF52"/>
  <c r="BK53"/>
  <c r="AP54"/>
  <c r="AC55"/>
  <c r="H56"/>
  <c r="BT56"/>
  <c r="AY57"/>
  <c r="AL58"/>
  <c r="V59" i="3"/>
  <c r="V59" i="2" s="1"/>
  <c r="V60"/>
  <c r="CH59" i="3"/>
  <c r="CH59" i="2" s="1"/>
  <c r="CH60"/>
  <c r="BM61"/>
  <c r="AR62"/>
  <c r="W63"/>
  <c r="CI63"/>
  <c r="BN64"/>
  <c r="BA65"/>
  <c r="AF66"/>
  <c r="H67" i="3"/>
  <c r="H67" i="2" s="1"/>
  <c r="H68"/>
  <c r="BT67" i="3"/>
  <c r="BT67" i="2" s="1"/>
  <c r="BT68"/>
  <c r="AY69"/>
  <c r="AL70"/>
  <c r="Q71"/>
  <c r="CC71"/>
  <c r="BH72"/>
  <c r="AM73"/>
  <c r="R74"/>
  <c r="CD74"/>
  <c r="BN75" i="3"/>
  <c r="BN75" i="2" s="1"/>
  <c r="BN76"/>
  <c r="BA77"/>
  <c r="AF78"/>
  <c r="K79"/>
  <c r="BW79"/>
  <c r="BJ80"/>
  <c r="AO81"/>
  <c r="T82"/>
  <c r="CF82"/>
  <c r="CC109" i="3"/>
  <c r="CC109" i="2" s="1"/>
  <c r="CC110"/>
  <c r="H112"/>
  <c r="S113"/>
  <c r="AK114"/>
  <c r="BM115"/>
  <c r="H117"/>
  <c r="AN118" i="3"/>
  <c r="AN118" i="2" s="1"/>
  <c r="AN119"/>
  <c r="BS120"/>
  <c r="K122"/>
  <c r="BH123"/>
  <c r="Y125"/>
  <c r="BV126" i="3"/>
  <c r="BV126" i="2" s="1"/>
  <c r="BV127"/>
  <c r="BD129"/>
  <c r="AJ131"/>
  <c r="CI132"/>
  <c r="AW134"/>
  <c r="L137"/>
  <c r="CC138"/>
  <c r="BG140"/>
  <c r="BY142"/>
  <c r="BG145"/>
  <c r="AP147"/>
  <c r="Z149"/>
  <c r="J151"/>
  <c r="CF152" i="3"/>
  <c r="CF152" i="2" s="1"/>
  <c r="CF153"/>
  <c r="BL155"/>
  <c r="AG158"/>
  <c r="AA161" i="3"/>
  <c r="AA161" i="2" s="1"/>
  <c r="AA162"/>
  <c r="J165"/>
  <c r="W168"/>
  <c r="AQ173"/>
  <c r="I177"/>
  <c r="BL181"/>
  <c r="T186"/>
  <c r="R191"/>
  <c r="BK195"/>
  <c r="AQ201"/>
  <c r="O210"/>
  <c r="K218"/>
  <c r="CC235"/>
  <c r="AW123"/>
  <c r="BR124"/>
  <c r="G126" i="3"/>
  <c r="G126" i="2" s="1"/>
  <c r="G127"/>
  <c r="R128"/>
  <c r="AC129"/>
  <c r="AN130"/>
  <c r="AY131"/>
  <c r="BT132"/>
  <c r="CD133"/>
  <c r="K136"/>
  <c r="K135" i="3"/>
  <c r="K135" i="2" s="1"/>
  <c r="T137"/>
  <c r="AZ138"/>
  <c r="J140"/>
  <c r="BW141"/>
  <c r="X143" i="3"/>
  <c r="X143" i="2" s="1"/>
  <c r="X144"/>
  <c r="CJ145"/>
  <c r="BC147"/>
  <c r="M149"/>
  <c r="BY150"/>
  <c r="AB152" i="3"/>
  <c r="AB152" i="2" s="1"/>
  <c r="AB153"/>
  <c r="AA155"/>
  <c r="BJ157"/>
  <c r="M161" i="3"/>
  <c r="M161" i="2" s="1"/>
  <c r="M162"/>
  <c r="BX164"/>
  <c r="BF167"/>
  <c r="CB172"/>
  <c r="G177"/>
  <c r="AH182"/>
  <c r="AZ186"/>
  <c r="AX191"/>
  <c r="AA195"/>
  <c r="BO200"/>
  <c r="BB207"/>
  <c r="BQ215"/>
  <c r="BG228"/>
  <c r="K111"/>
  <c r="BL112"/>
  <c r="BA114"/>
  <c r="AP116"/>
  <c r="AT118" i="3"/>
  <c r="AT118" i="2" s="1"/>
  <c r="AT119"/>
  <c r="AJ121"/>
  <c r="Y123"/>
  <c r="BZ124"/>
  <c r="BP126" i="3"/>
  <c r="BP126" i="2" s="1"/>
  <c r="BP127"/>
  <c r="BQ129"/>
  <c r="CB131"/>
  <c r="AK134"/>
  <c r="AW137"/>
  <c r="AN140"/>
  <c r="AY142"/>
  <c r="AQ146"/>
  <c r="AP149"/>
  <c r="BF152" i="3"/>
  <c r="BF152" i="2" s="1"/>
  <c r="BF153"/>
  <c r="X157"/>
  <c r="BU163"/>
  <c r="AG169"/>
  <c r="W177"/>
  <c r="S185"/>
  <c r="BZ192"/>
  <c r="BM202"/>
  <c r="N216"/>
  <c r="CE114"/>
  <c r="L118" i="3"/>
  <c r="L118" i="2" s="1"/>
  <c r="L119"/>
  <c r="W122"/>
  <c r="BB125"/>
  <c r="BY129"/>
  <c r="CJ132"/>
  <c r="Y137"/>
  <c r="BF140"/>
  <c r="AB145"/>
  <c r="AX148"/>
  <c r="BI151"/>
  <c r="BW155"/>
  <c r="AE160"/>
  <c r="BO166"/>
  <c r="AE174"/>
  <c r="BI181"/>
  <c r="AZ189"/>
  <c r="BE196" i="3"/>
  <c r="BE196" i="2" s="1"/>
  <c r="BE197"/>
  <c r="V208"/>
  <c r="R236"/>
  <c r="BE111"/>
  <c r="R114"/>
  <c r="BL116"/>
  <c r="V120"/>
  <c r="AZ122"/>
  <c r="CD124"/>
  <c r="BD128"/>
  <c r="Q131"/>
  <c r="AU133"/>
  <c r="CD135" i="3"/>
  <c r="CD135" i="2" s="1"/>
  <c r="CD136"/>
  <c r="AI139"/>
  <c r="CK141"/>
  <c r="AU145"/>
  <c r="CG147"/>
  <c r="AL150"/>
  <c r="BM152" i="3"/>
  <c r="BM152" i="2" s="1"/>
  <c r="BM153"/>
  <c r="Z156"/>
  <c r="M160"/>
  <c r="CE164"/>
  <c r="CE168"/>
  <c r="BE174"/>
  <c r="O181"/>
  <c r="AB186"/>
  <c r="Y192"/>
  <c r="Y199"/>
  <c r="AO206"/>
  <c r="AN217"/>
  <c r="AH112"/>
  <c r="CJ114"/>
  <c r="AW117"/>
  <c r="BX120"/>
  <c r="AC123"/>
  <c r="BG125"/>
  <c r="AG129"/>
  <c r="BS131"/>
  <c r="X134"/>
  <c r="AY137"/>
  <c r="CK139"/>
  <c r="AX142"/>
  <c r="P146"/>
  <c r="BB148"/>
  <c r="CF150"/>
  <c r="Z154"/>
  <c r="J157"/>
  <c r="G161" i="3"/>
  <c r="G161" i="2" s="1"/>
  <c r="G162"/>
  <c r="CD165"/>
  <c r="CE169"/>
  <c r="CE175"/>
  <c r="AC182"/>
  <c r="BX187" i="3"/>
  <c r="BX187" i="2" s="1"/>
  <c r="BX188"/>
  <c r="Q194"/>
  <c r="BP200"/>
  <c r="AL209"/>
  <c r="AC226"/>
  <c r="AB160"/>
  <c r="P166"/>
  <c r="BR172"/>
  <c r="AY180"/>
  <c r="AP187" i="3"/>
  <c r="AP187" i="2" s="1"/>
  <c r="AP188"/>
  <c r="AZ195"/>
  <c r="G206"/>
  <c r="AU217"/>
  <c r="AZ158"/>
  <c r="CB164"/>
  <c r="X170" i="3"/>
  <c r="X170" i="2" s="1"/>
  <c r="X171"/>
  <c r="AS177"/>
  <c r="AU185"/>
  <c r="BY192"/>
  <c r="CJ202"/>
  <c r="CE216"/>
  <c r="BN158"/>
  <c r="T166"/>
  <c r="U176"/>
  <c r="AK189"/>
  <c r="AA202"/>
  <c r="BZ224"/>
  <c r="AF175"/>
  <c r="CD183"/>
  <c r="BB193"/>
  <c r="L204" i="3"/>
  <c r="L204" i="2" s="1"/>
  <c r="L205"/>
  <c r="BA219"/>
  <c r="CG175"/>
  <c r="BT192"/>
  <c r="AR223"/>
  <c r="BL208"/>
  <c r="CB204" i="3"/>
  <c r="CB204" i="2" s="1"/>
  <c r="CB205"/>
  <c r="BZ214"/>
  <c r="Z210"/>
  <c r="L222"/>
  <c r="AA227"/>
  <c r="BI223"/>
  <c r="H229" i="3"/>
  <c r="H229" i="2" s="1"/>
  <c r="H230"/>
  <c r="BS228"/>
  <c r="BA234"/>
  <c r="BF73"/>
  <c r="BR74"/>
  <c r="CE75" i="3"/>
  <c r="CE75" i="2" s="1"/>
  <c r="CE76"/>
  <c r="AI78"/>
  <c r="BX79"/>
  <c r="AV81"/>
  <c r="BY82"/>
  <c r="AY109" i="3"/>
  <c r="AY109" i="2" s="1"/>
  <c r="AY110"/>
  <c r="AY112"/>
  <c r="X115"/>
  <c r="CB117"/>
  <c r="U121"/>
  <c r="BT123"/>
  <c r="BD126" i="3"/>
  <c r="BD126" i="2" s="1"/>
  <c r="BD127"/>
  <c r="J131"/>
  <c r="BV133"/>
  <c r="I138"/>
  <c r="BW140"/>
  <c r="BK143" i="3"/>
  <c r="BK143" i="2" s="1"/>
  <c r="BK144"/>
  <c r="S148"/>
  <c r="AA152" i="3"/>
  <c r="AA152" i="2" s="1"/>
  <c r="AA153"/>
  <c r="BN156"/>
  <c r="G164"/>
  <c r="I172"/>
  <c r="AR178" i="3"/>
  <c r="AR178" i="2" s="1"/>
  <c r="AR179"/>
  <c r="CC186"/>
  <c r="BQ195"/>
  <c r="K204" i="3"/>
  <c r="K204" i="2" s="1"/>
  <c r="K205"/>
  <c r="BY218"/>
  <c r="CB165"/>
  <c r="AS173"/>
  <c r="BY181"/>
  <c r="AE190"/>
  <c r="BV199"/>
  <c r="BO210"/>
  <c r="AH231"/>
  <c r="CK109" i="3"/>
  <c r="CK109" i="2" s="1"/>
  <c r="CK110"/>
  <c r="Y113"/>
  <c r="AR115"/>
  <c r="H118" i="3"/>
  <c r="H118" i="2" s="1"/>
  <c r="H119"/>
  <c r="AN121"/>
  <c r="AM124"/>
  <c r="AA128"/>
  <c r="CI130"/>
  <c r="I134"/>
  <c r="CI137"/>
  <c r="J141"/>
  <c r="CI143" i="3"/>
  <c r="CI143" i="2" s="1"/>
  <c r="CI144"/>
  <c r="CE148"/>
  <c r="S152" i="3"/>
  <c r="S152" i="2" s="1"/>
  <c r="S153"/>
  <c r="U157"/>
  <c r="CK163"/>
  <c r="W169"/>
  <c r="BC177"/>
  <c r="BU185"/>
  <c r="BG193"/>
  <c r="AT202"/>
  <c r="AA212" i="3"/>
  <c r="AA212" i="2" s="1"/>
  <c r="AA213"/>
  <c r="J147"/>
  <c r="V149"/>
  <c r="BF151"/>
  <c r="BD154"/>
  <c r="BY156"/>
  <c r="N160"/>
  <c r="Z165"/>
  <c r="BF168"/>
  <c r="CE173"/>
  <c r="AP180"/>
  <c r="BO185"/>
  <c r="N191"/>
  <c r="U196" i="3"/>
  <c r="U196" i="2" s="1"/>
  <c r="U197"/>
  <c r="V202"/>
  <c r="CG208"/>
  <c r="CG216"/>
  <c r="AA58"/>
  <c r="AC59" i="3"/>
  <c r="AC59" i="2" s="1"/>
  <c r="AC60"/>
  <c r="AD61"/>
  <c r="AE62"/>
  <c r="AD63"/>
  <c r="AE64"/>
  <c r="AD65"/>
  <c r="AD66"/>
  <c r="AG67" i="3"/>
  <c r="AG67" i="2" s="1"/>
  <c r="AG68"/>
  <c r="AF69"/>
  <c r="AG70"/>
  <c r="AF71"/>
  <c r="AG72"/>
  <c r="AH73"/>
  <c r="AG74"/>
  <c r="AK75" i="3"/>
  <c r="AK75" i="2" s="1"/>
  <c r="AK76"/>
  <c r="AI77"/>
  <c r="AJ78"/>
  <c r="AH79"/>
  <c r="AI80"/>
  <c r="AJ81"/>
  <c r="AI82"/>
  <c r="AC111"/>
  <c r="BY112"/>
  <c r="BG114"/>
  <c r="AK116"/>
  <c r="O119"/>
  <c r="O118" i="3"/>
  <c r="O118" i="2" s="1"/>
  <c r="CC120"/>
  <c r="AB123"/>
  <c r="AM125"/>
  <c r="BA128"/>
  <c r="BK130"/>
  <c r="BQ132"/>
  <c r="AO136"/>
  <c r="AO135" i="3"/>
  <c r="AO135" i="2" s="1"/>
  <c r="AW138"/>
  <c r="CA140"/>
  <c r="CJ142"/>
  <c r="CH145"/>
  <c r="AI148"/>
  <c r="AU150"/>
  <c r="AA154"/>
  <c r="AM156"/>
  <c r="BH159"/>
  <c r="CF163"/>
  <c r="U167"/>
  <c r="P172"/>
  <c r="AM176"/>
  <c r="CD181"/>
  <c r="Y187" i="3"/>
  <c r="Y187" i="2" s="1"/>
  <c r="Y188"/>
  <c r="BL192"/>
  <c r="CD198"/>
  <c r="P207"/>
  <c r="BP216"/>
  <c r="AF77"/>
  <c r="AE78"/>
  <c r="AE79"/>
  <c r="AE80"/>
  <c r="AE81"/>
  <c r="AF82"/>
  <c r="AA109" i="3"/>
  <c r="AA109" i="2" s="1"/>
  <c r="AA110"/>
  <c r="S112"/>
  <c r="BM113"/>
  <c r="AP115"/>
  <c r="V117"/>
  <c r="CD119"/>
  <c r="CD118" i="3"/>
  <c r="CD118" i="2" s="1"/>
  <c r="BL121"/>
  <c r="BN123"/>
  <c r="BU125"/>
  <c r="AD129"/>
  <c r="AF131"/>
  <c r="AO133"/>
  <c r="AD135" i="3"/>
  <c r="AD135" i="2" s="1"/>
  <c r="AD136"/>
  <c r="AO138"/>
  <c r="AW140"/>
  <c r="CC142"/>
  <c r="AK146"/>
  <c r="AW148"/>
  <c r="CE150"/>
  <c r="U154"/>
  <c r="AC156"/>
  <c r="AR159"/>
  <c r="BP163"/>
  <c r="J167"/>
  <c r="AV172"/>
  <c r="AE177"/>
  <c r="BT182"/>
  <c r="CH186"/>
  <c r="CD191"/>
  <c r="BL198"/>
  <c r="BZ203"/>
  <c r="BH210"/>
  <c r="AF229" i="3"/>
  <c r="AF229" i="2" s="1"/>
  <c r="AF230"/>
  <c r="AE45"/>
  <c r="J46"/>
  <c r="BV46"/>
  <c r="BI47"/>
  <c r="AN48"/>
  <c r="S49"/>
  <c r="CE49"/>
  <c r="BR50"/>
  <c r="BB51" i="3"/>
  <c r="BB51" i="2" s="1"/>
  <c r="BB52"/>
  <c r="AG53"/>
  <c r="L54"/>
  <c r="BX54"/>
  <c r="BC55"/>
  <c r="AH56"/>
  <c r="U57"/>
  <c r="CG57"/>
  <c r="BL58"/>
  <c r="AN59" i="3"/>
  <c r="AN59" i="2" s="1"/>
  <c r="AN60"/>
  <c r="S61"/>
  <c r="CE61"/>
  <c r="BR62"/>
  <c r="AW63"/>
  <c r="AB64"/>
  <c r="G65"/>
  <c r="BS65"/>
  <c r="AX66"/>
  <c r="AH67" i="3"/>
  <c r="AH67" i="2" s="1"/>
  <c r="AH68"/>
  <c r="U69"/>
  <c r="CG69"/>
  <c r="BL70"/>
  <c r="AQ71"/>
  <c r="AD72"/>
  <c r="I73"/>
  <c r="BU73"/>
  <c r="AZ74"/>
  <c r="AJ75" i="3"/>
  <c r="AJ75" i="2" s="1"/>
  <c r="AJ76"/>
  <c r="O77"/>
  <c r="CA77"/>
  <c r="BF78"/>
  <c r="AS79"/>
  <c r="X80"/>
  <c r="CJ80"/>
  <c r="BO81"/>
  <c r="BB82"/>
  <c r="X109" i="3"/>
  <c r="X109" i="2" s="1"/>
  <c r="X110"/>
  <c r="AJ111"/>
  <c r="AV112"/>
  <c r="BG113"/>
  <c r="CF114"/>
  <c r="Z116"/>
  <c r="BC117"/>
  <c r="CI118" i="3"/>
  <c r="CI118" i="2" s="1"/>
  <c r="CI119"/>
  <c r="AD121"/>
  <c r="BL122"/>
  <c r="AD124"/>
  <c r="CC125"/>
  <c r="AS128"/>
  <c r="I130"/>
  <c r="BW131"/>
  <c r="BB133"/>
  <c r="T135" i="3"/>
  <c r="T135" i="2" s="1"/>
  <c r="T136"/>
  <c r="BN137"/>
  <c r="AF139"/>
  <c r="CC140"/>
  <c r="AT142"/>
  <c r="N145"/>
  <c r="BM146"/>
  <c r="AC148"/>
  <c r="CB149"/>
  <c r="AV151"/>
  <c r="S154"/>
  <c r="BP155"/>
  <c r="BT157"/>
  <c r="BG160"/>
  <c r="T164"/>
  <c r="BN166"/>
  <c r="BR169"/>
  <c r="CG173"/>
  <c r="BE177"/>
  <c r="BF182"/>
  <c r="AE186"/>
  <c r="CD190"/>
  <c r="CA194"/>
  <c r="BI199"/>
  <c r="BO203"/>
  <c r="AD210"/>
  <c r="AV218"/>
  <c r="Z234"/>
  <c r="AT48"/>
  <c r="Y49"/>
  <c r="CK49"/>
  <c r="BP50"/>
  <c r="AZ51" i="3"/>
  <c r="AZ51" i="2" s="1"/>
  <c r="AZ52"/>
  <c r="AE53"/>
  <c r="J54"/>
  <c r="BV54"/>
  <c r="BI55"/>
  <c r="AN56"/>
  <c r="S57"/>
  <c r="CE57"/>
  <c r="BR58"/>
  <c r="BB59" i="3"/>
  <c r="BB59" i="2" s="1"/>
  <c r="BB60"/>
  <c r="AG61"/>
  <c r="L62"/>
  <c r="BX62"/>
  <c r="BC63"/>
  <c r="AH64"/>
  <c r="U65"/>
  <c r="CG65"/>
  <c r="BL66"/>
  <c r="AN67" i="3"/>
  <c r="AN67" i="2" s="1"/>
  <c r="AN68"/>
  <c r="S69"/>
  <c r="CE69"/>
  <c r="BR70"/>
  <c r="AW71"/>
  <c r="AB72"/>
  <c r="G73"/>
  <c r="BS73"/>
  <c r="AX74"/>
  <c r="AH75" i="3"/>
  <c r="AH75" i="2" s="1"/>
  <c r="AH76"/>
  <c r="U77"/>
  <c r="CG77"/>
  <c r="BL78"/>
  <c r="AQ79"/>
  <c r="AD80"/>
  <c r="I81"/>
  <c r="BU81"/>
  <c r="AZ82"/>
  <c r="AG109" i="3"/>
  <c r="AG109" i="2" s="1"/>
  <c r="AG110"/>
  <c r="AS111"/>
  <c r="BE112"/>
  <c r="BP113"/>
  <c r="H115"/>
  <c r="AJ116"/>
  <c r="BN117"/>
  <c r="M120"/>
  <c r="AP121"/>
  <c r="BZ122"/>
  <c r="AQ124"/>
  <c r="H126" i="3"/>
  <c r="H126" i="2" s="1"/>
  <c r="H127"/>
  <c r="BG128"/>
  <c r="BC130"/>
  <c r="U132"/>
  <c r="BO133"/>
  <c r="AG135" i="3"/>
  <c r="AG135" i="2" s="1"/>
  <c r="AG136"/>
  <c r="L138"/>
  <c r="BZ139"/>
  <c r="BX141"/>
  <c r="BI143" i="3"/>
  <c r="BI143" i="2" s="1"/>
  <c r="BI144"/>
  <c r="AR146"/>
  <c r="Z148"/>
  <c r="Z150"/>
  <c r="P152" i="3"/>
  <c r="P152" i="2" s="1"/>
  <c r="P153"/>
  <c r="CE154"/>
  <c r="BS156"/>
  <c r="BB159"/>
  <c r="AV163"/>
  <c r="BG166"/>
  <c r="AH170" i="3"/>
  <c r="AH170" i="2" s="1"/>
  <c r="AH171"/>
  <c r="AT175"/>
  <c r="G180"/>
  <c r="BQ183"/>
  <c r="O189"/>
  <c r="AI193"/>
  <c r="BF198"/>
  <c r="W207"/>
  <c r="CE214"/>
  <c r="AQ226"/>
  <c r="BS122"/>
  <c r="Q124"/>
  <c r="AL125"/>
  <c r="AW126" i="3"/>
  <c r="AW126" i="2" s="1"/>
  <c r="AW127"/>
  <c r="BS128"/>
  <c r="CD129"/>
  <c r="H131"/>
  <c r="S132"/>
  <c r="AB133"/>
  <c r="AM134"/>
  <c r="BA135" i="3"/>
  <c r="BA135" i="2" s="1"/>
  <c r="BA136"/>
  <c r="BU137"/>
  <c r="U139"/>
  <c r="CG140"/>
  <c r="BB142"/>
  <c r="L145"/>
  <c r="BY146"/>
  <c r="W148"/>
  <c r="CI149"/>
  <c r="BD151"/>
  <c r="Q154"/>
  <c r="AB156"/>
  <c r="AN159"/>
  <c r="BH163"/>
  <c r="AP166"/>
  <c r="BG169"/>
  <c r="BM174"/>
  <c r="CI178" i="3"/>
  <c r="CI178" i="2" s="1"/>
  <c r="CI179"/>
  <c r="V184"/>
  <c r="BM189"/>
  <c r="BY193"/>
  <c r="BJ198"/>
  <c r="AQ203"/>
  <c r="Q211"/>
  <c r="CK219"/>
  <c r="J109" i="3"/>
  <c r="J109" i="2" s="1"/>
  <c r="J110"/>
  <c r="K112"/>
  <c r="BL113"/>
  <c r="AZ115"/>
  <c r="AP117"/>
  <c r="AI120"/>
  <c r="Y122"/>
  <c r="BZ123"/>
  <c r="BZ125"/>
  <c r="BP128"/>
  <c r="CB130"/>
  <c r="P133"/>
  <c r="AC135" i="3"/>
  <c r="AC135" i="2" s="1"/>
  <c r="AC136"/>
  <c r="G139"/>
  <c r="BI141"/>
  <c r="J145"/>
  <c r="BK147"/>
  <c r="K151"/>
  <c r="AT155"/>
  <c r="CJ159"/>
  <c r="AK166"/>
  <c r="BD173"/>
  <c r="BQ181"/>
  <c r="BE189"/>
  <c r="BE198"/>
  <c r="BN208"/>
  <c r="AA226"/>
  <c r="AX116"/>
  <c r="BW120"/>
  <c r="CH123"/>
  <c r="L128"/>
  <c r="X131"/>
  <c r="BC134"/>
  <c r="O139"/>
  <c r="BG142"/>
  <c r="BS146"/>
  <c r="CD149"/>
  <c r="AG154"/>
  <c r="S158"/>
  <c r="Q164"/>
  <c r="AD169"/>
  <c r="R177"/>
  <c r="AI185"/>
  <c r="AL193"/>
  <c r="X202"/>
  <c r="AY216"/>
  <c r="BB109" i="3"/>
  <c r="BB109" i="2" s="1"/>
  <c r="BB110"/>
  <c r="CF112"/>
  <c r="AK115"/>
  <c r="BO117"/>
  <c r="AO121"/>
  <c r="CA123"/>
  <c r="AK126" i="3"/>
  <c r="AK126" i="2" s="1"/>
  <c r="AK127"/>
  <c r="BO129"/>
  <c r="T132"/>
  <c r="BN134"/>
  <c r="AF138"/>
  <c r="BR140"/>
  <c r="T143" i="3"/>
  <c r="T143" i="2" s="1"/>
  <c r="T144"/>
  <c r="AX146"/>
  <c r="S149"/>
  <c r="BM151"/>
  <c r="G155"/>
  <c r="BY157"/>
  <c r="BJ161" i="3"/>
  <c r="BJ161" i="2" s="1"/>
  <c r="BJ162"/>
  <c r="BY166"/>
  <c r="AO172"/>
  <c r="AX177"/>
  <c r="AY183"/>
  <c r="AR189"/>
  <c r="AG195"/>
  <c r="BE202"/>
  <c r="CJ210"/>
  <c r="AS226"/>
  <c r="AE111"/>
  <c r="BQ113"/>
  <c r="V116"/>
  <c r="AW118" i="3"/>
  <c r="AW118" i="2" s="1"/>
  <c r="AW119"/>
  <c r="J122"/>
  <c r="BD124"/>
  <c r="N128"/>
  <c r="AR130"/>
  <c r="BV132"/>
  <c r="AN135" i="3"/>
  <c r="AN135" i="2" s="1"/>
  <c r="AN136"/>
  <c r="CH138"/>
  <c r="AE141"/>
  <c r="BN143" i="3"/>
  <c r="BN143" i="2" s="1"/>
  <c r="BN144"/>
  <c r="S147"/>
  <c r="BU149"/>
  <c r="W152" i="3"/>
  <c r="W152" i="2" s="1"/>
  <c r="W153"/>
  <c r="BI155"/>
  <c r="CA158"/>
  <c r="BJ163"/>
  <c r="BZ167"/>
  <c r="BT173"/>
  <c r="BL178" i="3"/>
  <c r="BL178" i="2" s="1"/>
  <c r="BL179"/>
  <c r="BK184"/>
  <c r="U191"/>
  <c r="I198"/>
  <c r="BQ204" i="3"/>
  <c r="BQ204" i="2" s="1"/>
  <c r="BQ205"/>
  <c r="I216"/>
  <c r="AY157"/>
  <c r="AE163"/>
  <c r="BR168"/>
  <c r="BQ176"/>
  <c r="S184"/>
  <c r="AQ191"/>
  <c r="CA199"/>
  <c r="CK210"/>
  <c r="AA233"/>
  <c r="AH161" i="3"/>
  <c r="AH161" i="2" s="1"/>
  <c r="AH162"/>
  <c r="Y167"/>
  <c r="BZ173"/>
  <c r="Q182"/>
  <c r="S190"/>
  <c r="Z198"/>
  <c r="BY208"/>
  <c r="AX229" i="3"/>
  <c r="AX229" i="2" s="1"/>
  <c r="AX230"/>
  <c r="BD161" i="3"/>
  <c r="BD161" i="2" s="1"/>
  <c r="BD162"/>
  <c r="CH170" i="3"/>
  <c r="CH170" i="2" s="1"/>
  <c r="CH171"/>
  <c r="CK182"/>
  <c r="BS194"/>
  <c r="AJ209"/>
  <c r="AZ170" i="3"/>
  <c r="AZ170" i="2" s="1"/>
  <c r="AZ171"/>
  <c r="BU180"/>
  <c r="BB189"/>
  <c r="CI198"/>
  <c r="CG209"/>
  <c r="BE170" i="3"/>
  <c r="BE170" i="2" s="1"/>
  <c r="BE171"/>
  <c r="AS185"/>
  <c r="S206"/>
  <c r="BG198"/>
  <c r="BZ218"/>
  <c r="BS216"/>
  <c r="AA231"/>
  <c r="AI223"/>
  <c r="AM215"/>
  <c r="AT220" i="3"/>
  <c r="AT220" i="2" s="1"/>
  <c r="AT221"/>
  <c r="T233"/>
  <c r="CD220" i="3"/>
  <c r="CD220" i="2" s="1"/>
  <c r="CD221"/>
  <c r="CD232"/>
  <c r="T71"/>
  <c r="AF72"/>
  <c r="AS73"/>
  <c r="BE74"/>
  <c r="BS75" i="3"/>
  <c r="BS75" i="2" s="1"/>
  <c r="BS76"/>
  <c r="T78"/>
  <c r="BJ79"/>
  <c r="AH81"/>
  <c r="BK82"/>
  <c r="AC109" i="3"/>
  <c r="AC109" i="2" s="1"/>
  <c r="AC110"/>
  <c r="AD112"/>
  <c r="CH114"/>
  <c r="BD117"/>
  <c r="CD120"/>
  <c r="AN123"/>
  <c r="AE126" i="3"/>
  <c r="AE126" i="2" s="1"/>
  <c r="AE127"/>
  <c r="BM130"/>
  <c r="AP133"/>
  <c r="BJ137"/>
  <c r="AS140"/>
  <c r="AG143" i="3"/>
  <c r="AG143" i="2" s="1"/>
  <c r="AG144"/>
  <c r="BP147"/>
  <c r="CF151"/>
  <c r="W156"/>
  <c r="AP163"/>
  <c r="AD170" i="3"/>
  <c r="AD170" i="2" s="1"/>
  <c r="AD171"/>
  <c r="BT177"/>
  <c r="Q185"/>
  <c r="BN194"/>
  <c r="CG203"/>
  <c r="AF215"/>
  <c r="AB165"/>
  <c r="BY172"/>
  <c r="G181"/>
  <c r="AS189"/>
  <c r="BS198"/>
  <c r="AV209"/>
  <c r="BU225"/>
  <c r="BO109" i="3"/>
  <c r="BO109" i="2" s="1"/>
  <c r="BO110"/>
  <c r="CK112"/>
  <c r="P115"/>
  <c r="BX117"/>
  <c r="S121"/>
  <c r="G124"/>
  <c r="CD126" i="3"/>
  <c r="CD126" i="2" s="1"/>
  <c r="CD127"/>
  <c r="BE130"/>
  <c r="BL133"/>
  <c r="BC137"/>
  <c r="BO140"/>
  <c r="BC143" i="3"/>
  <c r="BC143" i="2" s="1"/>
  <c r="BC144"/>
  <c r="AS148"/>
  <c r="BR151"/>
  <c r="BC156"/>
  <c r="AF163"/>
  <c r="AV168"/>
  <c r="BE176"/>
  <c r="CI184"/>
  <c r="BU192"/>
  <c r="BL201"/>
  <c r="BK211"/>
  <c r="BU146"/>
  <c r="CG148"/>
  <c r="AJ151"/>
  <c r="AF154"/>
  <c r="AS156"/>
  <c r="BO159"/>
  <c r="BY164"/>
  <c r="N168"/>
  <c r="AD173"/>
  <c r="CF178" i="3"/>
  <c r="CF178" i="2" s="1"/>
  <c r="CF179"/>
  <c r="T185"/>
  <c r="BH190"/>
  <c r="CD195"/>
  <c r="AT201"/>
  <c r="N208"/>
  <c r="CJ215"/>
  <c r="Q58"/>
  <c r="S59" i="3"/>
  <c r="S59" i="2" s="1"/>
  <c r="S60"/>
  <c r="T61"/>
  <c r="S62"/>
  <c r="T63"/>
  <c r="U64"/>
  <c r="S65"/>
  <c r="T66"/>
  <c r="V67" i="3"/>
  <c r="V67" i="2" s="1"/>
  <c r="V68"/>
  <c r="V69"/>
  <c r="U70"/>
  <c r="V71"/>
  <c r="W72"/>
  <c r="V73"/>
  <c r="W74"/>
  <c r="Y75" i="3"/>
  <c r="Y75" i="2" s="1"/>
  <c r="Y76"/>
  <c r="Y77"/>
  <c r="Y78"/>
  <c r="X79"/>
  <c r="Y80"/>
  <c r="X81"/>
  <c r="Y82"/>
  <c r="N111"/>
  <c r="BG112"/>
  <c r="AL114"/>
  <c r="S116"/>
  <c r="CI117"/>
  <c r="BK120"/>
  <c r="BR122"/>
  <c r="Q125"/>
  <c r="AG128"/>
  <c r="AI130"/>
  <c r="AU132"/>
  <c r="Q135" i="3"/>
  <c r="Q135" i="2" s="1"/>
  <c r="Q136"/>
  <c r="Y138"/>
  <c r="BD140"/>
  <c r="BO142"/>
  <c r="BJ145"/>
  <c r="K148"/>
  <c r="W150"/>
  <c r="BQ152" i="3"/>
  <c r="BQ152" i="2" s="1"/>
  <c r="BQ153"/>
  <c r="O156"/>
  <c r="V159"/>
  <c r="AT163"/>
  <c r="BU166"/>
  <c r="BI170" i="3"/>
  <c r="BI170" i="2" s="1"/>
  <c r="BI171"/>
  <c r="CH175"/>
  <c r="AH181"/>
  <c r="BH186"/>
  <c r="J192"/>
  <c r="AG198"/>
  <c r="AQ206"/>
  <c r="AY215"/>
  <c r="BT236"/>
  <c r="U78"/>
  <c r="T79"/>
  <c r="T80"/>
  <c r="U81"/>
  <c r="U82"/>
  <c r="M109" i="3"/>
  <c r="M109" i="2" s="1"/>
  <c r="M110"/>
  <c r="BV111"/>
  <c r="AW113"/>
  <c r="V115"/>
  <c r="CK116"/>
  <c r="BK118" i="3"/>
  <c r="BK118" i="2" s="1"/>
  <c r="BK119"/>
  <c r="AV121"/>
  <c r="AO123"/>
  <c r="AZ125"/>
  <c r="BQ128"/>
  <c r="K131"/>
  <c r="N133"/>
  <c r="I135" i="3"/>
  <c r="I135" i="2" s="1"/>
  <c r="I136"/>
  <c r="S138"/>
  <c r="X140"/>
  <c r="BD142"/>
  <c r="O146"/>
  <c r="Y148"/>
  <c r="BF150"/>
  <c r="CE152" i="3"/>
  <c r="CE152" i="2" s="1"/>
  <c r="CE153"/>
  <c r="G156"/>
  <c r="K159"/>
  <c r="AG163"/>
  <c r="BE166"/>
  <c r="AP170" i="3"/>
  <c r="AP170" i="2" s="1"/>
  <c r="AP171"/>
  <c r="BP176"/>
  <c r="X182"/>
  <c r="AP186"/>
  <c r="AI191"/>
  <c r="G198"/>
  <c r="Q203"/>
  <c r="CJ209"/>
  <c r="BH218"/>
  <c r="W45"/>
  <c r="CI45"/>
  <c r="BN46"/>
  <c r="BA47"/>
  <c r="AF48"/>
  <c r="K49"/>
  <c r="BW49"/>
  <c r="BJ50"/>
  <c r="AT51" i="3"/>
  <c r="AT51" i="2" s="1"/>
  <c r="AT52"/>
  <c r="Y53"/>
  <c r="CK53"/>
  <c r="BP54"/>
  <c r="AU55"/>
  <c r="Z56"/>
  <c r="M57"/>
  <c r="BY57"/>
  <c r="BD58"/>
  <c r="AF60"/>
  <c r="AF59" i="3"/>
  <c r="AF59" i="2" s="1"/>
  <c r="K61"/>
  <c r="BW61"/>
  <c r="BJ62"/>
  <c r="AO63"/>
  <c r="T64"/>
  <c r="CF64"/>
  <c r="BK65"/>
  <c r="AP66"/>
  <c r="Z67" i="3"/>
  <c r="Z67" i="2" s="1"/>
  <c r="Z68"/>
  <c r="M69"/>
  <c r="BY69"/>
  <c r="BD70"/>
  <c r="AI71"/>
  <c r="V72"/>
  <c r="CH72"/>
  <c r="BM73"/>
  <c r="AR74"/>
  <c r="AB75" i="3"/>
  <c r="AB75" i="2" s="1"/>
  <c r="AB76"/>
  <c r="G77"/>
  <c r="BS77"/>
  <c r="AX78"/>
  <c r="AK79"/>
  <c r="P80"/>
  <c r="CB80"/>
  <c r="BG81"/>
  <c r="AT82"/>
  <c r="K109" i="3"/>
  <c r="K109" i="2" s="1"/>
  <c r="K110"/>
  <c r="X111"/>
  <c r="AK112"/>
  <c r="AV113"/>
  <c r="BQ114"/>
  <c r="L116"/>
  <c r="AN117"/>
  <c r="BT118" i="3"/>
  <c r="BT118" i="2" s="1"/>
  <c r="BT119"/>
  <c r="R121"/>
  <c r="AV122"/>
  <c r="M124"/>
  <c r="BK125"/>
  <c r="AC128"/>
  <c r="BZ129"/>
  <c r="BF131"/>
  <c r="AL133"/>
  <c r="CH134"/>
  <c r="AX137"/>
  <c r="N139"/>
  <c r="BM140"/>
  <c r="AC142"/>
  <c r="CC143" i="3"/>
  <c r="CC143" i="2" s="1"/>
  <c r="CC144"/>
  <c r="AU146"/>
  <c r="M148"/>
  <c r="BL149"/>
  <c r="AD151"/>
  <c r="CJ152" i="3"/>
  <c r="CJ152" i="2" s="1"/>
  <c r="CJ153"/>
  <c r="AY155"/>
  <c r="AT157"/>
  <c r="AD160"/>
  <c r="CD163"/>
  <c r="AO166"/>
  <c r="AO169"/>
  <c r="AV173"/>
  <c r="T177"/>
  <c r="U182"/>
  <c r="CF185"/>
  <c r="AU190"/>
  <c r="AM194"/>
  <c r="W199"/>
  <c r="U203"/>
  <c r="BW209"/>
  <c r="AQ217"/>
  <c r="AA229" i="3"/>
  <c r="AA229" i="2" s="1"/>
  <c r="AA230"/>
  <c r="AL48"/>
  <c r="Q49"/>
  <c r="CC49"/>
  <c r="BH50"/>
  <c r="AR51" i="3"/>
  <c r="AR51" i="2" s="1"/>
  <c r="AR52"/>
  <c r="W53"/>
  <c r="CI53"/>
  <c r="BN54"/>
  <c r="BA55"/>
  <c r="AF56"/>
  <c r="K57"/>
  <c r="BW57"/>
  <c r="BJ58"/>
  <c r="AT59" i="3"/>
  <c r="AT59" i="2" s="1"/>
  <c r="AT60"/>
  <c r="Y61"/>
  <c r="CK61"/>
  <c r="BP62"/>
  <c r="AU63"/>
  <c r="Z64"/>
  <c r="M65"/>
  <c r="BY65"/>
  <c r="BD66"/>
  <c r="AF67" i="3"/>
  <c r="AF67" i="2" s="1"/>
  <c r="AF68"/>
  <c r="K69"/>
  <c r="BW69"/>
  <c r="BJ70"/>
  <c r="AO71"/>
  <c r="T72"/>
  <c r="CF72"/>
  <c r="BK73"/>
  <c r="AP74"/>
  <c r="Z75" i="3"/>
  <c r="Z75" i="2" s="1"/>
  <c r="Z76"/>
  <c r="M77"/>
  <c r="BY77"/>
  <c r="BD78"/>
  <c r="AI79"/>
  <c r="V80"/>
  <c r="CH80"/>
  <c r="BM81"/>
  <c r="AR82"/>
  <c r="S109" i="3"/>
  <c r="S109" i="2" s="1"/>
  <c r="S110"/>
  <c r="AH111"/>
  <c r="AT112"/>
  <c r="BE113"/>
  <c r="CA114"/>
  <c r="W116"/>
  <c r="AZ117"/>
  <c r="CF118" i="3"/>
  <c r="CF118" i="2" s="1"/>
  <c r="CF119"/>
  <c r="AB121"/>
  <c r="BJ122"/>
  <c r="AA124"/>
  <c r="BX125"/>
  <c r="AP128"/>
  <c r="AM130"/>
  <c r="CH131"/>
  <c r="AY133"/>
  <c r="N135" i="3"/>
  <c r="N135" i="2" s="1"/>
  <c r="N136"/>
  <c r="CB137"/>
  <c r="BJ139"/>
  <c r="BF141"/>
  <c r="AS143" i="3"/>
  <c r="AS143" i="2" s="1"/>
  <c r="AS144"/>
  <c r="AA146"/>
  <c r="I148"/>
  <c r="BZ149"/>
  <c r="BZ151"/>
  <c r="BL154"/>
  <c r="AX156"/>
  <c r="AA159"/>
  <c r="T163"/>
  <c r="AE166"/>
  <c r="AF169"/>
  <c r="G175"/>
  <c r="BH178" i="3"/>
  <c r="BH178" i="2" s="1"/>
  <c r="BH179"/>
  <c r="AF183"/>
  <c r="BP187" i="3"/>
  <c r="BP187" i="2" s="1"/>
  <c r="BP188"/>
  <c r="CE192"/>
  <c r="R198"/>
  <c r="AL204" i="3"/>
  <c r="AL204" i="2" s="1"/>
  <c r="AL205"/>
  <c r="P214"/>
  <c r="BI224"/>
  <c r="BI122"/>
  <c r="CC123"/>
  <c r="Z125"/>
  <c r="AM126" i="3"/>
  <c r="AM126" i="2" s="1"/>
  <c r="AM127"/>
  <c r="AX128"/>
  <c r="BS129"/>
  <c r="CD130"/>
  <c r="H132"/>
  <c r="R133"/>
  <c r="AC134"/>
  <c r="AQ135" i="3"/>
  <c r="AQ135" i="2" s="1"/>
  <c r="AQ136"/>
  <c r="AZ137"/>
  <c r="J139"/>
  <c r="BV140"/>
  <c r="V142"/>
  <c r="CJ143" i="3"/>
  <c r="CJ143" i="2" s="1"/>
  <c r="CJ144"/>
  <c r="BC146"/>
  <c r="L148"/>
  <c r="BY149"/>
  <c r="X151"/>
  <c r="G154"/>
  <c r="Q156"/>
  <c r="BI158"/>
  <c r="AB163"/>
  <c r="BX165"/>
  <c r="AK169"/>
  <c r="AR174"/>
  <c r="BK178" i="3"/>
  <c r="BK178" i="2" s="1"/>
  <c r="BK179"/>
  <c r="BI183"/>
  <c r="AL187" i="3"/>
  <c r="AL187" i="2" s="1"/>
  <c r="AL188"/>
  <c r="CG192"/>
  <c r="AK198"/>
  <c r="K203"/>
  <c r="BS210"/>
  <c r="AX218"/>
  <c r="BJ232"/>
  <c r="BA111"/>
  <c r="AZ113"/>
  <c r="AO115"/>
  <c r="AE117"/>
  <c r="O120"/>
  <c r="BP121"/>
  <c r="BO123"/>
  <c r="BD125"/>
  <c r="BF128"/>
  <c r="BQ130"/>
  <c r="BR132"/>
  <c r="G135" i="3"/>
  <c r="G135" i="2" s="1"/>
  <c r="G136"/>
  <c r="BH138"/>
  <c r="H141"/>
  <c r="BL143" i="3"/>
  <c r="BL143" i="2" s="1"/>
  <c r="BL144"/>
  <c r="AZ147"/>
  <c r="BL150"/>
  <c r="Y155"/>
  <c r="BR159"/>
  <c r="S166"/>
  <c r="AF173"/>
  <c r="CG180"/>
  <c r="M189"/>
  <c r="AB198"/>
  <c r="AG208"/>
  <c r="U225"/>
  <c r="R116"/>
  <c r="BC120"/>
  <c r="BW123"/>
  <c r="CI126" i="3"/>
  <c r="CI126" i="2" s="1"/>
  <c r="CI127"/>
  <c r="M131"/>
  <c r="W134"/>
  <c r="BP138"/>
  <c r="AV142"/>
  <c r="BI146"/>
  <c r="BS149"/>
  <c r="CH152" i="3"/>
  <c r="CH152" i="2" s="1"/>
  <c r="CH153"/>
  <c r="BR157"/>
  <c r="CH163"/>
  <c r="G169"/>
  <c r="CC176"/>
  <c r="BC184"/>
  <c r="BR192"/>
  <c r="CE201"/>
  <c r="AW215"/>
  <c r="AL109" i="3"/>
  <c r="AL109" i="2" s="1"/>
  <c r="AL110"/>
  <c r="BX112"/>
  <c r="AC115"/>
  <c r="BG117"/>
  <c r="Q121"/>
  <c r="BK123"/>
  <c r="AC126" i="3"/>
  <c r="AC126" i="2" s="1"/>
  <c r="AC127"/>
  <c r="BG129"/>
  <c r="L132"/>
  <c r="AP134"/>
  <c r="P138"/>
  <c r="BJ140"/>
  <c r="L143" i="3"/>
  <c r="L143" i="2" s="1"/>
  <c r="L144"/>
  <c r="AP146"/>
  <c r="CB148"/>
  <c r="AW151"/>
  <c r="CF154"/>
  <c r="BL157"/>
  <c r="AW161" i="3"/>
  <c r="AW161" i="2" s="1"/>
  <c r="AW162"/>
  <c r="AM166"/>
  <c r="H172"/>
  <c r="AG177"/>
  <c r="AG183"/>
  <c r="Y189"/>
  <c r="BH194"/>
  <c r="K202"/>
  <c r="BI210"/>
  <c r="BL225"/>
  <c r="O111"/>
  <c r="BI113"/>
  <c r="N116"/>
  <c r="AO118" i="3"/>
  <c r="AO118" i="2" s="1"/>
  <c r="AO119"/>
  <c r="BS121"/>
  <c r="AN124"/>
  <c r="CE126" i="3"/>
  <c r="CE126" i="2" s="1"/>
  <c r="CE127"/>
  <c r="AJ130"/>
  <c r="BN132"/>
  <c r="P135" i="3"/>
  <c r="P135" i="2" s="1"/>
  <c r="P136"/>
  <c r="BR138"/>
  <c r="W141"/>
  <c r="BF143" i="3"/>
  <c r="BF143" i="2" s="1"/>
  <c r="BF144"/>
  <c r="K147"/>
  <c r="AW149"/>
  <c r="G152" i="3"/>
  <c r="G152" i="2" s="1"/>
  <c r="G153"/>
  <c r="BA155"/>
  <c r="BM158"/>
  <c r="AW163"/>
  <c r="AN167"/>
  <c r="AK173"/>
  <c r="AU178" i="3"/>
  <c r="AU178" i="2" s="1"/>
  <c r="AU179"/>
  <c r="AR184"/>
  <c r="CJ190"/>
  <c r="AL196" i="3"/>
  <c r="AL196" i="2" s="1"/>
  <c r="AL197"/>
  <c r="Y204" i="3"/>
  <c r="Y204" i="2" s="1"/>
  <c r="Y205"/>
  <c r="BM215"/>
  <c r="AI157"/>
  <c r="W163"/>
  <c r="CE167"/>
  <c r="Z176"/>
  <c r="CF183"/>
  <c r="V191"/>
  <c r="BO199"/>
  <c r="BH209"/>
  <c r="BN229" i="3"/>
  <c r="BN229" i="2" s="1"/>
  <c r="BN230"/>
  <c r="R162"/>
  <c r="R161" i="3"/>
  <c r="R161" i="2" s="1"/>
  <c r="I167"/>
  <c r="BP173"/>
  <c r="P181"/>
  <c r="BI189"/>
  <c r="CK196" i="3"/>
  <c r="CK196" i="2" s="1"/>
  <c r="CK197"/>
  <c r="AP208"/>
  <c r="BJ228"/>
  <c r="CB160"/>
  <c r="V170" i="3"/>
  <c r="V170" i="2" s="1"/>
  <c r="V171"/>
  <c r="AT182"/>
  <c r="V194"/>
  <c r="S209"/>
  <c r="AZ169"/>
  <c r="Q180"/>
  <c r="N189"/>
  <c r="AO198"/>
  <c r="AW209"/>
  <c r="AE234"/>
  <c r="J184"/>
  <c r="AM204" i="3"/>
  <c r="AM204" i="2" s="1"/>
  <c r="AM205"/>
  <c r="K198"/>
  <c r="CC217"/>
  <c r="CK211"/>
  <c r="W226"/>
  <c r="CA222"/>
  <c r="O215"/>
  <c r="AK220" i="3"/>
  <c r="AK220" i="2" s="1"/>
  <c r="AK221"/>
  <c r="AP229" i="3"/>
  <c r="AP229" i="2" s="1"/>
  <c r="AP230"/>
  <c r="J220" i="3"/>
  <c r="J220" i="2" s="1"/>
  <c r="J221"/>
  <c r="BF232"/>
  <c r="AM135" i="3"/>
  <c r="AM135" i="2" s="1"/>
  <c r="AM136"/>
  <c r="G138"/>
  <c r="AX139"/>
  <c r="AC141"/>
  <c r="BJ142"/>
  <c r="AP145"/>
  <c r="I147"/>
  <c r="AZ148"/>
  <c r="AF150"/>
  <c r="BL151"/>
  <c r="BE154"/>
  <c r="Y156"/>
  <c r="BE158"/>
  <c r="AO161" i="3"/>
  <c r="AO161" i="2" s="1"/>
  <c r="AO162"/>
  <c r="CK164"/>
  <c r="BR167"/>
  <c r="AC172"/>
  <c r="AM175"/>
  <c r="R180"/>
  <c r="AI183"/>
  <c r="CK186"/>
  <c r="W191"/>
  <c r="U195"/>
  <c r="BI200"/>
  <c r="CC204" i="3"/>
  <c r="CC204" i="2" s="1"/>
  <c r="CC205"/>
  <c r="AO211"/>
  <c r="AS220" i="3"/>
  <c r="AS220" i="2" s="1"/>
  <c r="AS221"/>
  <c r="G114"/>
  <c r="BS115"/>
  <c r="R117"/>
  <c r="CH118" i="3"/>
  <c r="CH118" i="2" s="1"/>
  <c r="CH119"/>
  <c r="BB121"/>
  <c r="K123"/>
  <c r="BX124"/>
  <c r="W126" i="3"/>
  <c r="W126" i="2" s="1"/>
  <c r="W127"/>
  <c r="CI128"/>
  <c r="BD130"/>
  <c r="N132"/>
  <c r="BX133"/>
  <c r="AA135" i="3"/>
  <c r="AA135" i="2" s="1"/>
  <c r="AA136"/>
  <c r="O138"/>
  <c r="CA139"/>
  <c r="BG141"/>
  <c r="AY143" i="3"/>
  <c r="AY143" i="2" s="1"/>
  <c r="AY144"/>
  <c r="CD145"/>
  <c r="BH147"/>
  <c r="AC149"/>
  <c r="BT150"/>
  <c r="BB152" i="3"/>
  <c r="BB152" i="2" s="1"/>
  <c r="BB153"/>
  <c r="CI154"/>
  <c r="BV156"/>
  <c r="AF159"/>
  <c r="BR161" i="3"/>
  <c r="BR161" i="2" s="1"/>
  <c r="BR162"/>
  <c r="AX165"/>
  <c r="BL167"/>
  <c r="U172"/>
  <c r="BZ175"/>
  <c r="BV178" i="3"/>
  <c r="BV178" i="2" s="1"/>
  <c r="BV179"/>
  <c r="BW183"/>
  <c r="BK186"/>
  <c r="AM191"/>
  <c r="R195"/>
  <c r="BP199"/>
  <c r="AO204" i="3"/>
  <c r="AO204" i="2" s="1"/>
  <c r="AO205"/>
  <c r="AZ210"/>
  <c r="CI222"/>
  <c r="Q111"/>
  <c r="AB112"/>
  <c r="BC113"/>
  <c r="BF114"/>
  <c r="H116"/>
  <c r="AA117"/>
  <c r="AQ118" i="3"/>
  <c r="AQ118" i="2" s="1"/>
  <c r="AQ119"/>
  <c r="BZ120"/>
  <c r="CC121"/>
  <c r="W123"/>
  <c r="AP124"/>
  <c r="BI125"/>
  <c r="H128"/>
  <c r="K129"/>
  <c r="AT130"/>
  <c r="BM131"/>
  <c r="BX132"/>
  <c r="R134"/>
  <c r="Z135" i="3"/>
  <c r="Z135" i="2" s="1"/>
  <c r="Z136"/>
  <c r="BI137"/>
  <c r="CB138"/>
  <c r="N140"/>
  <c r="AO141"/>
  <c r="AR142"/>
  <c r="BX143" i="3"/>
  <c r="BX143" i="2" s="1"/>
  <c r="BX144"/>
  <c r="J146"/>
  <c r="AC147"/>
  <c r="BD148"/>
  <c r="BG149"/>
  <c r="I151"/>
  <c r="Y152" i="3"/>
  <c r="Y152" i="2" s="1"/>
  <c r="Y153"/>
  <c r="AJ154"/>
  <c r="BK155"/>
  <c r="BW156"/>
  <c r="H159"/>
  <c r="CK160"/>
  <c r="BM163"/>
  <c r="CH165"/>
  <c r="BQ167"/>
  <c r="G170" i="3"/>
  <c r="G170" i="2" s="1"/>
  <c r="G171"/>
  <c r="BG173"/>
  <c r="R176"/>
  <c r="CG178" i="3"/>
  <c r="CG178" i="2" s="1"/>
  <c r="CG179"/>
  <c r="P182"/>
  <c r="CF184"/>
  <c r="AS187" i="3"/>
  <c r="AS187" i="2" s="1"/>
  <c r="AS188"/>
  <c r="BX190"/>
  <c r="BS193"/>
  <c r="BK196" i="3"/>
  <c r="BK196" i="2" s="1"/>
  <c r="BK197"/>
  <c r="BW200"/>
  <c r="I204" i="3"/>
  <c r="I204" i="2" s="1"/>
  <c r="I205"/>
  <c r="BZ208"/>
  <c r="R214"/>
  <c r="CG219"/>
  <c r="CH233"/>
  <c r="BH109" i="3"/>
  <c r="BH109" i="2" s="1"/>
  <c r="BH110"/>
  <c r="CA111"/>
  <c r="M113"/>
  <c r="AN114"/>
  <c r="AQ115"/>
  <c r="BZ116"/>
  <c r="I118" i="3"/>
  <c r="I118" i="2" s="1"/>
  <c r="I119"/>
  <c r="T120"/>
  <c r="AU121"/>
  <c r="AX122"/>
  <c r="CG123"/>
  <c r="S125"/>
  <c r="AI126" i="3"/>
  <c r="AI126" i="2" s="1"/>
  <c r="AI127"/>
  <c r="BR128"/>
  <c r="BU129"/>
  <c r="O131"/>
  <c r="AH132"/>
  <c r="BA133"/>
  <c r="CB134"/>
  <c r="CB135" i="3"/>
  <c r="CB135" i="2" s="1"/>
  <c r="CB136"/>
  <c r="AD138"/>
  <c r="AW139"/>
  <c r="BH140"/>
  <c r="CI141"/>
  <c r="J143" i="3"/>
  <c r="J143" i="2" s="1"/>
  <c r="J144"/>
  <c r="AS145"/>
  <c r="BL146"/>
  <c r="BW147"/>
  <c r="Y149"/>
  <c r="AB150"/>
  <c r="BC151"/>
  <c r="BS152" i="3"/>
  <c r="BS152" i="2" s="1"/>
  <c r="BS153"/>
  <c r="CD154"/>
  <c r="AF156"/>
  <c r="BV157"/>
  <c r="I160"/>
  <c r="CG161" i="3"/>
  <c r="CG161" i="2" s="1"/>
  <c r="CG162"/>
  <c r="BO164"/>
  <c r="CI166"/>
  <c r="BL168"/>
  <c r="AK172"/>
  <c r="CI174"/>
  <c r="AC177"/>
  <c r="K181"/>
  <c r="AC183"/>
  <c r="V186"/>
  <c r="T190"/>
  <c r="BF192"/>
  <c r="BP195"/>
  <c r="U199"/>
  <c r="BW202"/>
  <c r="BZ207"/>
  <c r="G212" i="3"/>
  <c r="G212" i="2" s="1"/>
  <c r="G213"/>
  <c r="BS219"/>
  <c r="AN232"/>
  <c r="CH158"/>
  <c r="AR161" i="3"/>
  <c r="AR161" i="2" s="1"/>
  <c r="AR162"/>
  <c r="BN164"/>
  <c r="AQ167"/>
  <c r="BO169"/>
  <c r="BR174"/>
  <c r="AN178" i="3"/>
  <c r="AN178" i="2" s="1"/>
  <c r="AN179"/>
  <c r="AO182"/>
  <c r="CD185"/>
  <c r="BA189"/>
  <c r="AQ193"/>
  <c r="AP198"/>
  <c r="AW202"/>
  <c r="BM208"/>
  <c r="BN212" i="3"/>
  <c r="BN212" i="2" s="1"/>
  <c r="BN213"/>
  <c r="J224"/>
  <c r="BM157"/>
  <c r="CI159"/>
  <c r="BQ163"/>
  <c r="BO165"/>
  <c r="BG168"/>
  <c r="BO172"/>
  <c r="BN175"/>
  <c r="AK180"/>
  <c r="AL183"/>
  <c r="AM187" i="3"/>
  <c r="AM187" i="2" s="1"/>
  <c r="AM188"/>
  <c r="BJ191"/>
  <c r="CH194"/>
  <c r="AX200"/>
  <c r="BH204" i="3"/>
  <c r="BH204" i="2" s="1"/>
  <c r="BH205"/>
  <c r="H212" i="3"/>
  <c r="H212" i="2" s="1"/>
  <c r="H213"/>
  <c r="CF223"/>
  <c r="W157"/>
  <c r="AF160"/>
  <c r="BW163"/>
  <c r="AL168"/>
  <c r="AF174"/>
  <c r="X180"/>
  <c r="BC185"/>
  <c r="AL191"/>
  <c r="BT198"/>
  <c r="BL206"/>
  <c r="BD215"/>
  <c r="BU168"/>
  <c r="CI172"/>
  <c r="BB177"/>
  <c r="AU182"/>
  <c r="AA186"/>
  <c r="BH191"/>
  <c r="AC195"/>
  <c r="AO201"/>
  <c r="CH207"/>
  <c r="BK214"/>
  <c r="K229" i="3"/>
  <c r="K229" i="2" s="1"/>
  <c r="K230"/>
  <c r="G173"/>
  <c r="I181"/>
  <c r="BO189"/>
  <c r="Q199"/>
  <c r="G214"/>
  <c r="J193"/>
  <c r="R203"/>
  <c r="M214"/>
  <c r="BS200"/>
  <c r="AC210"/>
  <c r="BE223"/>
  <c r="BB219"/>
  <c r="CC207"/>
  <c r="AG216"/>
  <c r="CC234"/>
  <c r="BL227"/>
  <c r="U220" i="3"/>
  <c r="U220" i="2" s="1"/>
  <c r="U221"/>
  <c r="CA234"/>
  <c r="AC228"/>
  <c r="BU227"/>
  <c r="AR224"/>
  <c r="BP235"/>
  <c r="Y226"/>
  <c r="BC235"/>
  <c r="BM229" i="3"/>
  <c r="BM229" i="2" s="1"/>
  <c r="BM230"/>
  <c r="CE236"/>
  <c r="AE148"/>
  <c r="BK149"/>
  <c r="AQ151"/>
  <c r="Y154"/>
  <c r="BO155"/>
  <c r="W158"/>
  <c r="AK160"/>
  <c r="BC164"/>
  <c r="T167"/>
  <c r="BU169"/>
  <c r="CE174"/>
  <c r="BS177"/>
  <c r="BV182"/>
  <c r="U186"/>
  <c r="O190"/>
  <c r="BB194"/>
  <c r="S199"/>
  <c r="T204" i="3"/>
  <c r="T204" i="2" s="1"/>
  <c r="T205"/>
  <c r="AA210"/>
  <c r="O217"/>
  <c r="U235"/>
  <c r="Q115"/>
  <c r="CD116"/>
  <c r="BB118" i="3"/>
  <c r="BB118" i="2" s="1"/>
  <c r="BB119"/>
  <c r="L121"/>
  <c r="BY122"/>
  <c r="V124"/>
  <c r="CH125"/>
  <c r="BC128"/>
  <c r="M130"/>
  <c r="BY131"/>
  <c r="X133"/>
  <c r="CI134"/>
  <c r="BP137"/>
  <c r="AK139"/>
  <c r="AK141"/>
  <c r="CB142"/>
  <c r="BH145"/>
  <c r="AB147"/>
  <c r="BS148"/>
  <c r="AX150"/>
  <c r="CE151"/>
  <c r="BM154"/>
  <c r="AG156"/>
  <c r="AY158"/>
  <c r="AL161" i="3"/>
  <c r="AL161" i="2" s="1"/>
  <c r="AL162"/>
  <c r="AY164"/>
  <c r="AF167"/>
  <c r="AM170" i="3"/>
  <c r="AM170" i="2" s="1"/>
  <c r="AM171"/>
  <c r="CA174"/>
  <c r="AB178" i="3"/>
  <c r="AB178" i="2" s="1"/>
  <c r="AB179"/>
  <c r="V182"/>
  <c r="Q186"/>
  <c r="BD190"/>
  <c r="CK193"/>
  <c r="M199"/>
  <c r="CH202"/>
  <c r="BZ209"/>
  <c r="AV219"/>
  <c r="BR109" i="3"/>
  <c r="BR109" i="2" s="1"/>
  <c r="BR110"/>
  <c r="L112"/>
  <c r="O113"/>
  <c r="AP114"/>
  <c r="BQ115"/>
  <c r="CB116"/>
  <c r="AA118" i="3"/>
  <c r="AA118" i="2" s="1"/>
  <c r="AA119"/>
  <c r="AL120"/>
  <c r="BM121"/>
  <c r="CF122"/>
  <c r="J124"/>
  <c r="AS125"/>
  <c r="BA126" i="3"/>
  <c r="BA126" i="2" s="1"/>
  <c r="BA127"/>
  <c r="CB128"/>
  <c r="V130"/>
  <c r="AG131"/>
  <c r="BH132"/>
  <c r="BK133"/>
  <c r="J135" i="3"/>
  <c r="J135" i="2" s="1"/>
  <c r="J136"/>
  <c r="AK137"/>
  <c r="AV138"/>
  <c r="BW139"/>
  <c r="CH140"/>
  <c r="AB142"/>
  <c r="AZ143" i="3"/>
  <c r="AZ143" i="2" s="1"/>
  <c r="AZ144"/>
  <c r="BK145"/>
  <c r="M147"/>
  <c r="P148"/>
  <c r="AQ149"/>
  <c r="BR150"/>
  <c r="CC151"/>
  <c r="T154"/>
  <c r="W155"/>
  <c r="BB156"/>
  <c r="BD158"/>
  <c r="AL160"/>
  <c r="AN163"/>
  <c r="V165"/>
  <c r="AR167"/>
  <c r="BE169"/>
  <c r="BV172"/>
  <c r="BS175"/>
  <c r="CF177"/>
  <c r="BN181"/>
  <c r="AF184"/>
  <c r="BJ186"/>
  <c r="AP190"/>
  <c r="BH192"/>
  <c r="W196" i="3"/>
  <c r="W196" i="2" s="1"/>
  <c r="W197"/>
  <c r="O200"/>
  <c r="M203"/>
  <c r="Z208"/>
  <c r="BB211"/>
  <c r="CC218"/>
  <c r="BW229" i="3"/>
  <c r="BW229" i="2" s="1"/>
  <c r="BW230"/>
  <c r="AJ109" i="3"/>
  <c r="AJ109" i="2" s="1"/>
  <c r="AJ110"/>
  <c r="AU111"/>
  <c r="BV112"/>
  <c r="CG113"/>
  <c r="AA115"/>
  <c r="BB116"/>
  <c r="BM117"/>
  <c r="CK118" i="3"/>
  <c r="CK118" i="2" s="1"/>
  <c r="CK119"/>
  <c r="G121"/>
  <c r="AH122"/>
  <c r="BI123"/>
  <c r="BT124"/>
  <c r="S126" i="3"/>
  <c r="S126" i="2" s="1"/>
  <c r="S127"/>
  <c r="AD128"/>
  <c r="BE129"/>
  <c r="BX130"/>
  <c r="CI131"/>
  <c r="AK133"/>
  <c r="AN134"/>
  <c r="BL135" i="3"/>
  <c r="BL135" i="2" s="1"/>
  <c r="BL136"/>
  <c r="CE137"/>
  <c r="Q139"/>
  <c r="AR140"/>
  <c r="AU141"/>
  <c r="BV142"/>
  <c r="U145"/>
  <c r="AF146"/>
  <c r="BG147"/>
  <c r="BR148"/>
  <c r="L150"/>
  <c r="AE151"/>
  <c r="AM152" i="3"/>
  <c r="AM152" i="2" s="1"/>
  <c r="AM153"/>
  <c r="BN154"/>
  <c r="BY155"/>
  <c r="AV157"/>
  <c r="BD159"/>
  <c r="AG161" i="3"/>
  <c r="AG161" i="2" s="1"/>
  <c r="AG162"/>
  <c r="AO164"/>
  <c r="W166"/>
  <c r="AJ168"/>
  <c r="BS170" i="3"/>
  <c r="BS170" i="2" s="1"/>
  <c r="BS171"/>
  <c r="S174"/>
  <c r="CD176"/>
  <c r="K180"/>
  <c r="CB182"/>
  <c r="AP185"/>
  <c r="AM189"/>
  <c r="U192"/>
  <c r="BC194"/>
  <c r="BR198"/>
  <c r="H202"/>
  <c r="AH206"/>
  <c r="AU211"/>
  <c r="AB217"/>
  <c r="BC229" i="3"/>
  <c r="BC229" i="2" s="1"/>
  <c r="BC230"/>
  <c r="AL158"/>
  <c r="BH160"/>
  <c r="AH164"/>
  <c r="AN166"/>
  <c r="AN169"/>
  <c r="CC173"/>
  <c r="AK177"/>
  <c r="CE181"/>
  <c r="AY184"/>
  <c r="U189"/>
  <c r="AQ192"/>
  <c r="S196" i="3"/>
  <c r="S196" i="2" s="1"/>
  <c r="S197"/>
  <c r="BM201"/>
  <c r="BC206"/>
  <c r="L212" i="3"/>
  <c r="L212" i="2" s="1"/>
  <c r="L213"/>
  <c r="AN220" i="3"/>
  <c r="AN220" i="2" s="1"/>
  <c r="AN221"/>
  <c r="AM236"/>
  <c r="BC159"/>
  <c r="BF161" i="3"/>
  <c r="BF161" i="2" s="1"/>
  <c r="BF162"/>
  <c r="AQ165"/>
  <c r="CK167"/>
  <c r="BO170" i="3"/>
  <c r="BO170" i="2" s="1"/>
  <c r="BO171"/>
  <c r="W175"/>
  <c r="BY177"/>
  <c r="CC182"/>
  <c r="BF186"/>
  <c r="BI190"/>
  <c r="AJ194"/>
  <c r="BX198"/>
  <c r="Q204" i="3"/>
  <c r="Q204" i="2" s="1"/>
  <c r="Q205"/>
  <c r="BQ210"/>
  <c r="BN218"/>
  <c r="BX156"/>
  <c r="U159"/>
  <c r="AA163"/>
  <c r="AM167"/>
  <c r="BB172"/>
  <c r="AH178" i="3"/>
  <c r="AH178" i="2" s="1"/>
  <c r="AH179"/>
  <c r="AT183"/>
  <c r="BG190"/>
  <c r="AW196" i="3"/>
  <c r="AW196" i="2" s="1"/>
  <c r="AW197"/>
  <c r="AM203"/>
  <c r="AG214"/>
  <c r="BA228"/>
  <c r="BC172"/>
  <c r="BG176"/>
  <c r="AJ181"/>
  <c r="BD185"/>
  <c r="BZ189"/>
  <c r="BG194"/>
  <c r="R200"/>
  <c r="CH204" i="3"/>
  <c r="CH204" i="2" s="1"/>
  <c r="CH205"/>
  <c r="BB212" i="3"/>
  <c r="BB212" i="2" s="1"/>
  <c r="BB213"/>
  <c r="AA222"/>
  <c r="BP172"/>
  <c r="AA178" i="3"/>
  <c r="AA178" i="2" s="1"/>
  <c r="AA179"/>
  <c r="CB186"/>
  <c r="AX196" i="3"/>
  <c r="AX196" i="2" s="1"/>
  <c r="AX197"/>
  <c r="BD207"/>
  <c r="H233"/>
  <c r="T201"/>
  <c r="BR209"/>
  <c r="BY228"/>
  <c r="BO206"/>
  <c r="W220" i="3"/>
  <c r="W220" i="2" s="1"/>
  <c r="W221"/>
  <c r="AX217"/>
  <c r="CF234"/>
  <c r="AA215"/>
  <c r="BQ225"/>
  <c r="O226"/>
  <c r="AA218"/>
  <c r="R229" i="3"/>
  <c r="R229" i="2" s="1"/>
  <c r="R230"/>
  <c r="U226"/>
  <c r="H224"/>
  <c r="AO235"/>
  <c r="BQ232"/>
  <c r="AN223"/>
  <c r="W234"/>
  <c r="X234"/>
  <c r="AY236"/>
  <c r="AA134"/>
  <c r="BI135" i="3"/>
  <c r="BI135" i="2" s="1"/>
  <c r="BI136"/>
  <c r="AM138"/>
  <c r="H140"/>
  <c r="AY141"/>
  <c r="AF143" i="3"/>
  <c r="AF143" i="2" s="1"/>
  <c r="AF144"/>
  <c r="BL145"/>
  <c r="AO147"/>
  <c r="J149"/>
  <c r="BA150"/>
  <c r="AJ152" i="3"/>
  <c r="AJ152" i="2" s="1"/>
  <c r="AJ153"/>
  <c r="CA154"/>
  <c r="BK156"/>
  <c r="AJ159"/>
  <c r="BY161" i="3"/>
  <c r="BY161" i="2" s="1"/>
  <c r="BY162"/>
  <c r="CJ165"/>
  <c r="S168"/>
  <c r="K173"/>
  <c r="AO176"/>
  <c r="BH180"/>
  <c r="BH184"/>
  <c r="AH187" i="3"/>
  <c r="AH187" i="2" s="1"/>
  <c r="AH188"/>
  <c r="AC192"/>
  <c r="AJ196" i="3"/>
  <c r="AJ196" i="2" s="1"/>
  <c r="AJ197"/>
  <c r="AC201"/>
  <c r="CD207"/>
  <c r="Q212" i="3"/>
  <c r="Q212" i="2" s="1"/>
  <c r="Q213"/>
  <c r="M224"/>
  <c r="AY114"/>
  <c r="G116"/>
  <c r="BS117"/>
  <c r="W120"/>
  <c r="CH121"/>
  <c r="BB123"/>
  <c r="J125"/>
  <c r="BX126" i="3"/>
  <c r="BX126" i="2" s="1"/>
  <c r="BX127"/>
  <c r="W129"/>
  <c r="CJ130"/>
  <c r="BD132"/>
  <c r="M134"/>
  <c r="CA135" i="3"/>
  <c r="CA135" i="2" s="1"/>
  <c r="CA136"/>
  <c r="AJ138"/>
  <c r="AK140"/>
  <c r="AA142"/>
  <c r="BT143" i="3"/>
  <c r="BT143" i="2" s="1"/>
  <c r="BT144"/>
  <c r="AY146"/>
  <c r="CC147"/>
  <c r="BI149"/>
  <c r="AC151"/>
  <c r="BX152" i="3"/>
  <c r="BX152" i="2" s="1"/>
  <c r="BX153"/>
  <c r="BB155"/>
  <c r="T157"/>
  <c r="CE159"/>
  <c r="BB163"/>
  <c r="CF165"/>
  <c r="BV168"/>
  <c r="BN172"/>
  <c r="BH176"/>
  <c r="BX180"/>
  <c r="AG184"/>
  <c r="G189"/>
  <c r="CG191"/>
  <c r="I196" i="3"/>
  <c r="I196" i="2" s="1"/>
  <c r="I197"/>
  <c r="V201"/>
  <c r="T206"/>
  <c r="AP214"/>
  <c r="CC224"/>
  <c r="N109" i="3"/>
  <c r="N109" i="2" s="1"/>
  <c r="N110"/>
  <c r="AO111"/>
  <c r="BH112"/>
  <c r="BS113"/>
  <c r="U115"/>
  <c r="X116"/>
  <c r="AY117"/>
  <c r="BW118" i="3"/>
  <c r="BW118" i="2" s="1"/>
  <c r="BW119"/>
  <c r="I121"/>
  <c r="AJ122"/>
  <c r="AM123"/>
  <c r="BN124"/>
  <c r="M126" i="3"/>
  <c r="M126" i="2" s="1"/>
  <c r="M127"/>
  <c r="X128"/>
  <c r="AY129"/>
  <c r="BJ130"/>
  <c r="CK131"/>
  <c r="W133"/>
  <c r="AH134"/>
  <c r="BN135" i="3"/>
  <c r="BN135" i="2" s="1"/>
  <c r="BN136"/>
  <c r="BY137"/>
  <c r="S139"/>
  <c r="AT140"/>
  <c r="BE141"/>
  <c r="CF142"/>
  <c r="G145"/>
  <c r="AH146"/>
  <c r="BI147"/>
  <c r="BT148"/>
  <c r="V150"/>
  <c r="Y151"/>
  <c r="AW152" i="3"/>
  <c r="AW152" i="2" s="1"/>
  <c r="AW153"/>
  <c r="BP154"/>
  <c r="CA155"/>
  <c r="AZ157"/>
  <c r="AH159"/>
  <c r="AK161" i="3"/>
  <c r="AK161" i="2" s="1"/>
  <c r="AK162"/>
  <c r="AR164"/>
  <c r="Z166"/>
  <c r="BB168"/>
  <c r="AN170" i="3"/>
  <c r="AN170" i="2" s="1"/>
  <c r="AN171"/>
  <c r="W174"/>
  <c r="CH176"/>
  <c r="AF180"/>
  <c r="P183"/>
  <c r="AD185"/>
  <c r="I189"/>
  <c r="BF191"/>
  <c r="AP194"/>
  <c r="BU198"/>
  <c r="AF201"/>
  <c r="BY204" i="3"/>
  <c r="BY204" i="2" s="1"/>
  <c r="BY205"/>
  <c r="I210"/>
  <c r="AN215"/>
  <c r="BS224"/>
  <c r="BX109" i="3"/>
  <c r="BX109" i="2" s="1"/>
  <c r="BX110"/>
  <c r="R112"/>
  <c r="AS113"/>
  <c r="BD114"/>
  <c r="CE115"/>
  <c r="I117"/>
  <c r="AG118" i="3"/>
  <c r="AG118" i="2" s="1"/>
  <c r="AG119"/>
  <c r="AZ120"/>
  <c r="BK121"/>
  <c r="M123"/>
  <c r="P124"/>
  <c r="AQ125"/>
  <c r="BO126" i="3"/>
  <c r="BO126" i="2" s="1"/>
  <c r="BO127"/>
  <c r="CH128"/>
  <c r="AB130"/>
  <c r="AE131"/>
  <c r="BF132"/>
  <c r="CG133"/>
  <c r="H135" i="3"/>
  <c r="H135" i="2" s="1"/>
  <c r="H136"/>
  <c r="AI137"/>
  <c r="AT138"/>
  <c r="BU139"/>
  <c r="G141"/>
  <c r="R142"/>
  <c r="AX143" i="3"/>
  <c r="AX143" i="2" s="1"/>
  <c r="AX144"/>
  <c r="BI145"/>
  <c r="CJ146"/>
  <c r="AD148"/>
  <c r="AO149"/>
  <c r="BP150"/>
  <c r="BS151"/>
  <c r="J154"/>
  <c r="AK155"/>
  <c r="AY156"/>
  <c r="BA158"/>
  <c r="AI160"/>
  <c r="AJ163"/>
  <c r="AR165"/>
  <c r="AB167"/>
  <c r="BA169"/>
  <c r="BT172"/>
  <c r="AX175"/>
  <c r="L178" i="3"/>
  <c r="L178" i="2" s="1"/>
  <c r="L179"/>
  <c r="AS181"/>
  <c r="AB184"/>
  <c r="BE186"/>
  <c r="BS190"/>
  <c r="AU193"/>
  <c r="T196" i="3"/>
  <c r="T196" i="2" s="1"/>
  <c r="T197"/>
  <c r="AD200"/>
  <c r="AE203"/>
  <c r="BR208"/>
  <c r="CB214"/>
  <c r="AF222"/>
  <c r="S157"/>
  <c r="Y159"/>
  <c r="G163"/>
  <c r="BA165"/>
  <c r="BW167"/>
  <c r="AA172"/>
  <c r="Z175"/>
  <c r="S180"/>
  <c r="AO183"/>
  <c r="AM186"/>
  <c r="CG190"/>
  <c r="CA193"/>
  <c r="AP199"/>
  <c r="CK203"/>
  <c r="AR209"/>
  <c r="AR216"/>
  <c r="BH225"/>
  <c r="AB158"/>
  <c r="BN160"/>
  <c r="P164"/>
  <c r="BZ166"/>
  <c r="CH168"/>
  <c r="AT173"/>
  <c r="BN176"/>
  <c r="CB180"/>
  <c r="CB184"/>
  <c r="BS187" i="3"/>
  <c r="BS187" i="2" s="1"/>
  <c r="BS188"/>
  <c r="AO192"/>
  <c r="AB196" i="3"/>
  <c r="AB196" i="2" s="1"/>
  <c r="AB197"/>
  <c r="AU201"/>
  <c r="K208"/>
  <c r="CD212" i="3"/>
  <c r="CD212" i="2" s="1"/>
  <c r="CD213"/>
  <c r="BJ227"/>
  <c r="R158"/>
  <c r="BT160"/>
  <c r="AW165"/>
  <c r="BN168"/>
  <c r="AP175"/>
  <c r="BD181"/>
  <c r="AS186"/>
  <c r="CG193"/>
  <c r="BH199"/>
  <c r="BT208"/>
  <c r="BE219"/>
  <c r="AR169"/>
  <c r="BI174"/>
  <c r="N178" i="3"/>
  <c r="N178" i="2" s="1"/>
  <c r="N179"/>
  <c r="AH183"/>
  <c r="AY187" i="3"/>
  <c r="AY187" i="2" s="1"/>
  <c r="AY188"/>
  <c r="O192"/>
  <c r="W198"/>
  <c r="CG201"/>
  <c r="Z209"/>
  <c r="P217"/>
  <c r="BS233"/>
  <c r="U175"/>
  <c r="AB182"/>
  <c r="CK191"/>
  <c r="CB202"/>
  <c r="P216"/>
  <c r="AF196" i="3"/>
  <c r="AF196" i="2" s="1"/>
  <c r="AF197"/>
  <c r="AX203"/>
  <c r="BJ216"/>
  <c r="BQ202"/>
  <c r="CB211"/>
  <c r="BC212" i="3"/>
  <c r="BC212" i="2" s="1"/>
  <c r="BC213"/>
  <c r="AQ222"/>
  <c r="CA209"/>
  <c r="BK219"/>
  <c r="AB218"/>
  <c r="CK212" i="3"/>
  <c r="CK212" i="2" s="1"/>
  <c r="CK213"/>
  <c r="Z222"/>
  <c r="Z236"/>
  <c r="AM234"/>
  <c r="BH228"/>
  <c r="BI227"/>
  <c r="BP236"/>
  <c r="BX227"/>
  <c r="AE231"/>
  <c r="G232"/>
  <c r="BI154"/>
  <c r="AL156"/>
  <c r="X159"/>
  <c r="BK161" i="3"/>
  <c r="BK161" i="2" s="1"/>
  <c r="BK162"/>
  <c r="AN165"/>
  <c r="AS168"/>
  <c r="BD172"/>
  <c r="AT176"/>
  <c r="AQ180"/>
  <c r="AQ184"/>
  <c r="Q189"/>
  <c r="BG192"/>
  <c r="BR196" i="3"/>
  <c r="BR196" i="2" s="1"/>
  <c r="BR197"/>
  <c r="G201"/>
  <c r="V207"/>
  <c r="Z214"/>
  <c r="BE222"/>
  <c r="AF109" i="3"/>
  <c r="AF109" i="2" s="1"/>
  <c r="AF110"/>
  <c r="BL111"/>
  <c r="AP113"/>
  <c r="I115"/>
  <c r="AZ116"/>
  <c r="AJ118" i="3"/>
  <c r="AJ118" i="2" s="1"/>
  <c r="AJ119"/>
  <c r="BO120"/>
  <c r="BE122"/>
  <c r="Y124"/>
  <c r="BN125"/>
  <c r="AU128"/>
  <c r="P130"/>
  <c r="P132"/>
  <c r="CB133"/>
  <c r="AY135" i="3"/>
  <c r="AY135" i="2" s="1"/>
  <c r="AY136"/>
  <c r="AB138"/>
  <c r="BI139"/>
  <c r="AN141"/>
  <c r="K143" i="3"/>
  <c r="K143" i="2" s="1"/>
  <c r="K144"/>
  <c r="AZ145"/>
  <c r="AE147"/>
  <c r="BK148"/>
  <c r="AP150"/>
  <c r="N152" i="3"/>
  <c r="N152" i="2" s="1"/>
  <c r="N153"/>
  <c r="BQ154"/>
  <c r="AW156"/>
  <c r="BU158"/>
  <c r="BE161" i="3"/>
  <c r="BE161" i="2" s="1"/>
  <c r="BE162"/>
  <c r="BB165"/>
  <c r="CH167"/>
  <c r="BU172"/>
  <c r="BH175"/>
  <c r="AM180"/>
  <c r="Q184"/>
  <c r="M187" i="3"/>
  <c r="M187" i="2" s="1"/>
  <c r="M188"/>
  <c r="BO191"/>
  <c r="AS195"/>
  <c r="CJ200"/>
  <c r="N207"/>
  <c r="CE211"/>
  <c r="T223"/>
  <c r="S114"/>
  <c r="CC115"/>
  <c r="AX117"/>
  <c r="K120"/>
  <c r="BX121"/>
  <c r="V123"/>
  <c r="CH124"/>
  <c r="BC126" i="3"/>
  <c r="BC126" i="2" s="1"/>
  <c r="BC127"/>
  <c r="M129"/>
  <c r="BY130"/>
  <c r="X132"/>
  <c r="CJ133"/>
  <c r="BG135" i="3"/>
  <c r="BG135" i="2" s="1"/>
  <c r="BG136"/>
  <c r="Z138"/>
  <c r="Z140"/>
  <c r="BQ141"/>
  <c r="BJ143" i="3"/>
  <c r="BJ143" i="2" s="1"/>
  <c r="BJ144"/>
  <c r="AC146"/>
  <c r="BS147"/>
  <c r="AX149"/>
  <c r="CD150"/>
  <c r="BN152" i="3"/>
  <c r="BN152" i="2" s="1"/>
  <c r="BN153"/>
  <c r="AG155"/>
  <c r="CK156"/>
  <c r="BN159"/>
  <c r="CK161" i="3"/>
  <c r="CK161" i="2" s="1"/>
  <c r="CK162"/>
  <c r="BN165"/>
  <c r="AI168"/>
  <c r="AS172"/>
  <c r="AL176"/>
  <c r="J180"/>
  <c r="I184"/>
  <c r="AZ187" i="3"/>
  <c r="AZ187" i="2" s="1"/>
  <c r="AZ188"/>
  <c r="BK191"/>
  <c r="BO195"/>
  <c r="AB200"/>
  <c r="BU205"/>
  <c r="BU204" i="3"/>
  <c r="BU204" i="2" s="1"/>
  <c r="AR212" i="3"/>
  <c r="AR212" i="2" s="1"/>
  <c r="AR213"/>
  <c r="BX223"/>
  <c r="AG111"/>
  <c r="AJ112"/>
  <c r="BK113"/>
  <c r="CD114"/>
  <c r="P116"/>
  <c r="AQ117"/>
  <c r="AY118" i="3"/>
  <c r="AY118" i="2" s="1"/>
  <c r="AY119"/>
  <c r="CH120"/>
  <c r="T122"/>
  <c r="AE123"/>
  <c r="BF124"/>
  <c r="BQ125"/>
  <c r="P128"/>
  <c r="AI129"/>
  <c r="BB130"/>
  <c r="CC131"/>
  <c r="CF132"/>
  <c r="Z134"/>
  <c r="AX135" i="3"/>
  <c r="AX135" i="2" s="1"/>
  <c r="AX136"/>
  <c r="BQ137"/>
  <c r="K139"/>
  <c r="V140"/>
  <c r="AW141"/>
  <c r="BP142"/>
  <c r="CF143" i="3"/>
  <c r="CF143" i="2" s="1"/>
  <c r="CF144"/>
  <c r="Z146"/>
  <c r="AK147"/>
  <c r="BL148"/>
  <c r="CE149"/>
  <c r="Q151"/>
  <c r="AO152" i="3"/>
  <c r="AO152" i="2" s="1"/>
  <c r="AO153"/>
  <c r="AR154"/>
  <c r="BS155"/>
  <c r="Z157"/>
  <c r="T159"/>
  <c r="W161" i="3"/>
  <c r="W161" i="2" s="1"/>
  <c r="W162"/>
  <c r="BZ163"/>
  <c r="M166"/>
  <c r="Z168"/>
  <c r="W170" i="3"/>
  <c r="W170" i="2" s="1"/>
  <c r="W171"/>
  <c r="G174"/>
  <c r="AJ176"/>
  <c r="O180"/>
  <c r="BN182"/>
  <c r="K185"/>
  <c r="BZ187" i="3"/>
  <c r="BZ187" i="2" s="1"/>
  <c r="BZ188"/>
  <c r="G191"/>
  <c r="T194"/>
  <c r="AH198"/>
  <c r="K201"/>
  <c r="BA204" i="3"/>
  <c r="BA204" i="2" s="1"/>
  <c r="BA205"/>
  <c r="R209"/>
  <c r="BA214"/>
  <c r="AU222"/>
  <c r="AG236"/>
  <c r="BP109" i="3"/>
  <c r="BP109" i="2" s="1"/>
  <c r="BP110"/>
  <c r="J112"/>
  <c r="U113"/>
  <c r="AV114"/>
  <c r="BO115"/>
  <c r="CH116"/>
  <c r="Y118" i="3"/>
  <c r="Y118" i="2" s="1"/>
  <c r="Y119"/>
  <c r="AB120"/>
  <c r="BC121"/>
  <c r="BV122"/>
  <c r="H124"/>
  <c r="AI125"/>
  <c r="AQ127"/>
  <c r="AQ126" i="3"/>
  <c r="AQ126" i="2" s="1"/>
  <c r="BZ128"/>
  <c r="L130"/>
  <c r="W131"/>
  <c r="AX132"/>
  <c r="BI133"/>
  <c r="CJ134"/>
  <c r="S137"/>
  <c r="AL138"/>
  <c r="BM139"/>
  <c r="BP140"/>
  <c r="J142"/>
  <c r="AH143" i="3"/>
  <c r="AH143" i="2" s="1"/>
  <c r="AH144"/>
  <c r="BA145"/>
  <c r="CB146"/>
  <c r="CE147"/>
  <c r="AG149"/>
  <c r="AZ150"/>
  <c r="BK151"/>
  <c r="CI152" i="3"/>
  <c r="CI152" i="2" s="1"/>
  <c r="CI153"/>
  <c r="M155"/>
  <c r="AO156"/>
  <c r="AA158"/>
  <c r="V160"/>
  <c r="X163"/>
  <c r="CA164"/>
  <c r="N167"/>
  <c r="X169"/>
  <c r="BA172"/>
  <c r="AG175"/>
  <c r="AU177"/>
  <c r="AC181"/>
  <c r="CB183"/>
  <c r="AO186"/>
  <c r="BC190"/>
  <c r="BX192"/>
  <c r="CI195"/>
  <c r="CB199"/>
  <c r="G203"/>
  <c r="AU208"/>
  <c r="BM212" i="3"/>
  <c r="BM212" i="2" s="1"/>
  <c r="BM213"/>
  <c r="BK220" i="3"/>
  <c r="BK220" i="2" s="1"/>
  <c r="BK221"/>
  <c r="BT156"/>
  <c r="Q159"/>
  <c r="BX161" i="3"/>
  <c r="BX161" i="2" s="1"/>
  <c r="BX162"/>
  <c r="BV164"/>
  <c r="BG167"/>
  <c r="BG170" i="3"/>
  <c r="BG170" i="2" s="1"/>
  <c r="BG171"/>
  <c r="O175"/>
  <c r="CD178" i="3"/>
  <c r="CD178" i="2" s="1"/>
  <c r="CD179"/>
  <c r="AY182"/>
  <c r="R186"/>
  <c r="AQ190"/>
  <c r="BO193"/>
  <c r="R199"/>
  <c r="BL202"/>
  <c r="K209"/>
  <c r="AR215"/>
  <c r="J225"/>
  <c r="L158"/>
  <c r="J160"/>
  <c r="CG163"/>
  <c r="AT166"/>
  <c r="BY168"/>
  <c r="Y173"/>
  <c r="BX175"/>
  <c r="BG180"/>
  <c r="AL184"/>
  <c r="BI187" i="3"/>
  <c r="BI187" i="2" s="1"/>
  <c r="BI188"/>
  <c r="S192"/>
  <c r="M195"/>
  <c r="BX200"/>
  <c r="O207"/>
  <c r="BG212" i="3"/>
  <c r="BG212" i="2" s="1"/>
  <c r="BG213"/>
  <c r="AZ226"/>
  <c r="AM157"/>
  <c r="BD160"/>
  <c r="BZ164"/>
  <c r="BD168"/>
  <c r="T175"/>
  <c r="AI180"/>
  <c r="W186"/>
  <c r="CH192"/>
  <c r="AW199"/>
  <c r="BH207"/>
  <c r="AF216"/>
  <c r="CK168"/>
  <c r="U174"/>
  <c r="BR177"/>
  <c r="R183"/>
  <c r="AI186"/>
  <c r="CF191"/>
  <c r="AI196" i="3"/>
  <c r="AI196" i="2" s="1"/>
  <c r="AI197"/>
  <c r="BU201"/>
  <c r="BV208"/>
  <c r="H215"/>
  <c r="V232"/>
  <c r="AP174"/>
  <c r="BU181"/>
  <c r="Y191"/>
  <c r="Z199"/>
  <c r="BC214"/>
  <c r="CG194"/>
  <c r="AP203"/>
  <c r="Y216"/>
  <c r="CA200"/>
  <c r="AZ211"/>
  <c r="BM231"/>
  <c r="AE222"/>
  <c r="BP208"/>
  <c r="K217"/>
  <c r="BS235"/>
  <c r="BS234"/>
  <c r="AV220" i="3"/>
  <c r="AV220" i="2" s="1"/>
  <c r="AV221"/>
  <c r="BH235"/>
  <c r="BB228"/>
  <c r="AJ228"/>
  <c r="Z226"/>
  <c r="AU236"/>
  <c r="AB227"/>
  <c r="X236"/>
  <c r="AR231"/>
  <c r="BL137"/>
  <c r="AB139"/>
  <c r="BY140"/>
  <c r="BE142"/>
  <c r="Z145"/>
  <c r="BZ146"/>
  <c r="AQ148"/>
  <c r="I150"/>
  <c r="BH151"/>
  <c r="AE154"/>
  <c r="CD155"/>
  <c r="H158"/>
  <c r="BA160"/>
  <c r="L164"/>
  <c r="CG166"/>
  <c r="BJ169"/>
  <c r="BK174"/>
  <c r="CD177"/>
  <c r="M182"/>
  <c r="BV185"/>
  <c r="AI190"/>
  <c r="Z194"/>
  <c r="J199"/>
  <c r="BE206"/>
  <c r="AE212" i="3"/>
  <c r="AE212" i="2" s="1"/>
  <c r="AE213"/>
  <c r="CF220" i="3"/>
  <c r="CF220" i="2" s="1"/>
  <c r="CF221"/>
  <c r="AC122"/>
  <c r="AL123"/>
  <c r="AW124"/>
  <c r="BF125"/>
  <c r="BH126" i="3"/>
  <c r="BH126" i="2" s="1"/>
  <c r="BH127"/>
  <c r="BH128"/>
  <c r="BI129"/>
  <c r="BI130"/>
  <c r="BI131"/>
  <c r="BJ132"/>
  <c r="BH133"/>
  <c r="BI134"/>
  <c r="BK135" i="3"/>
  <c r="BK135" i="2" s="1"/>
  <c r="BK136"/>
  <c r="BK137"/>
  <c r="BK138"/>
  <c r="BK139"/>
  <c r="BL140"/>
  <c r="BL141"/>
  <c r="BL142"/>
  <c r="BO143" i="3"/>
  <c r="BO143" i="2" s="1"/>
  <c r="BO144"/>
  <c r="BN145"/>
  <c r="BO146"/>
  <c r="BM147"/>
  <c r="BN148"/>
  <c r="BN149"/>
  <c r="BN150"/>
  <c r="BO151"/>
  <c r="BR152" i="3"/>
  <c r="BR152" i="2" s="1"/>
  <c r="BR153"/>
  <c r="BS154"/>
  <c r="CC155"/>
  <c r="AC157"/>
  <c r="BY158"/>
  <c r="BW160"/>
  <c r="AR163"/>
  <c r="G165"/>
  <c r="BF166"/>
  <c r="BK168"/>
  <c r="BT170" i="3"/>
  <c r="BT170" i="2" s="1"/>
  <c r="BT171"/>
  <c r="CF173"/>
  <c r="Y176"/>
  <c r="AO178" i="3"/>
  <c r="AO178" i="2" s="1"/>
  <c r="AO179"/>
  <c r="BV181"/>
  <c r="CH183"/>
  <c r="AD186"/>
  <c r="AO189"/>
  <c r="BV191"/>
  <c r="H194"/>
  <c r="AT196" i="3"/>
  <c r="AT196" i="2" s="1"/>
  <c r="AT197"/>
  <c r="BY199"/>
  <c r="AN202"/>
  <c r="AK206"/>
  <c r="AM210"/>
  <c r="BO214"/>
  <c r="N219"/>
  <c r="BG227"/>
  <c r="U109" i="3"/>
  <c r="U109" i="2" s="1"/>
  <c r="U110"/>
  <c r="U111"/>
  <c r="V112"/>
  <c r="T113"/>
  <c r="U114"/>
  <c r="T115"/>
  <c r="T116"/>
  <c r="U117"/>
  <c r="X118" i="3"/>
  <c r="X118" i="2" s="1"/>
  <c r="X119"/>
  <c r="Y120"/>
  <c r="Z121"/>
  <c r="AK122"/>
  <c r="AI123"/>
  <c r="AJ124"/>
  <c r="AH125"/>
  <c r="AJ126" i="3"/>
  <c r="AJ126" i="2" s="1"/>
  <c r="AJ127"/>
  <c r="AJ128"/>
  <c r="AU129"/>
  <c r="BF130"/>
  <c r="BQ131"/>
  <c r="CB132"/>
  <c r="O134"/>
  <c r="S135" i="3"/>
  <c r="S135" i="2" s="1"/>
  <c r="S136"/>
  <c r="Q137"/>
  <c r="R138"/>
  <c r="R139"/>
  <c r="R140"/>
  <c r="S141"/>
  <c r="S142"/>
  <c r="V143" i="3"/>
  <c r="V143" i="2" s="1"/>
  <c r="V144"/>
  <c r="T145"/>
  <c r="U146"/>
  <c r="T147"/>
  <c r="T148"/>
  <c r="U149"/>
  <c r="U150"/>
  <c r="U151"/>
  <c r="Z153"/>
  <c r="Z152" i="3"/>
  <c r="Z152" i="2" s="1"/>
  <c r="AK154"/>
  <c r="AI155"/>
  <c r="AJ156"/>
  <c r="G158"/>
  <c r="AZ159"/>
  <c r="Y161" i="3"/>
  <c r="Y161" i="2" s="1"/>
  <c r="Y162"/>
  <c r="U164"/>
  <c r="BS165"/>
  <c r="AJ167"/>
  <c r="O169"/>
  <c r="AX172"/>
  <c r="BJ174"/>
  <c r="BJ176"/>
  <c r="CA178" i="3"/>
  <c r="CA178" i="2" s="1"/>
  <c r="CA179"/>
  <c r="Z182"/>
  <c r="AM184"/>
  <c r="AT186"/>
  <c r="AH189"/>
  <c r="AT191"/>
  <c r="AD194"/>
  <c r="BN196" i="3"/>
  <c r="BN196" i="2" s="1"/>
  <c r="BN197"/>
  <c r="AK200"/>
  <c r="AI203"/>
  <c r="AS207"/>
  <c r="BK210"/>
  <c r="BA215"/>
  <c r="AD222"/>
  <c r="BL233"/>
  <c r="BI114"/>
  <c r="BH115"/>
  <c r="BH116"/>
  <c r="BI117"/>
  <c r="BL118" i="3"/>
  <c r="BL118" i="2" s="1"/>
  <c r="BL119"/>
  <c r="BM120"/>
  <c r="BN121"/>
  <c r="BM122"/>
  <c r="BM123"/>
  <c r="BM124"/>
  <c r="BL125"/>
  <c r="BM126" i="3"/>
  <c r="BM126" i="2" s="1"/>
  <c r="BM127"/>
  <c r="BN128"/>
  <c r="BN129"/>
  <c r="BN130"/>
  <c r="BO131"/>
  <c r="BO132"/>
  <c r="BN133"/>
  <c r="BO134"/>
  <c r="BQ135" i="3"/>
  <c r="BQ135" i="2" s="1"/>
  <c r="BQ136"/>
  <c r="CA137"/>
  <c r="CA138"/>
  <c r="P140"/>
  <c r="AA141"/>
  <c r="AL142"/>
  <c r="AN143" i="3"/>
  <c r="AN143" i="2" s="1"/>
  <c r="AN144"/>
  <c r="AN145"/>
  <c r="AM146"/>
  <c r="AM147"/>
  <c r="AM148"/>
  <c r="AM149"/>
  <c r="AN150"/>
  <c r="AN151"/>
  <c r="AR152" i="3"/>
  <c r="AR152" i="2" s="1"/>
  <c r="AR153"/>
  <c r="AS154"/>
  <c r="AQ155"/>
  <c r="AT156"/>
  <c r="CJ157"/>
  <c r="AX159"/>
  <c r="S161" i="3"/>
  <c r="S161" i="2" s="1"/>
  <c r="S162"/>
  <c r="BR163"/>
  <c r="AF165"/>
  <c r="CE166"/>
  <c r="BC168"/>
  <c r="BJ170" i="3"/>
  <c r="BJ170" i="2" s="1"/>
  <c r="BJ171"/>
  <c r="I174"/>
  <c r="L176"/>
  <c r="G178" i="3"/>
  <c r="G178" i="2" s="1"/>
  <c r="G179"/>
  <c r="R181"/>
  <c r="BA183"/>
  <c r="BE185"/>
  <c r="BU187" i="3"/>
  <c r="BU187" i="2" s="1"/>
  <c r="BU188"/>
  <c r="CA190"/>
  <c r="K193"/>
  <c r="AP195"/>
  <c r="BY198"/>
  <c r="BB201"/>
  <c r="M204" i="3"/>
  <c r="M204" i="2" s="1"/>
  <c r="M205"/>
  <c r="BF208"/>
  <c r="CG212" i="3"/>
  <c r="CG212" i="2" s="1"/>
  <c r="CG213"/>
  <c r="AE220" i="3"/>
  <c r="AE220" i="2" s="1"/>
  <c r="AE221"/>
  <c r="CD234"/>
  <c r="AT110"/>
  <c r="AT109" i="3"/>
  <c r="AT109" i="2" s="1"/>
  <c r="Y111"/>
  <c r="CK111"/>
  <c r="BP112"/>
  <c r="AU113"/>
  <c r="Z114"/>
  <c r="M115"/>
  <c r="BY115"/>
  <c r="BD116"/>
  <c r="AI117"/>
  <c r="S118" i="3"/>
  <c r="S118" i="2" s="1"/>
  <c r="S119"/>
  <c r="CE118" i="3"/>
  <c r="CE118" i="2" s="1"/>
  <c r="CE119"/>
  <c r="BR120"/>
  <c r="AW121"/>
  <c r="AB122"/>
  <c r="G123"/>
  <c r="BS123"/>
  <c r="AX124"/>
  <c r="AK125"/>
  <c r="U126" i="3"/>
  <c r="U126" i="2" s="1"/>
  <c r="U127"/>
  <c r="CG126" i="3"/>
  <c r="CG126" i="2" s="1"/>
  <c r="CG127"/>
  <c r="BL128"/>
  <c r="AQ129"/>
  <c r="AD130"/>
  <c r="I131"/>
  <c r="BU131"/>
  <c r="AZ132"/>
  <c r="AE133"/>
  <c r="J134"/>
  <c r="BV134"/>
  <c r="BF135" i="3"/>
  <c r="BF135" i="2" s="1"/>
  <c r="BF136"/>
  <c r="AS137"/>
  <c r="X138"/>
  <c r="CJ138"/>
  <c r="BO139"/>
  <c r="BB140"/>
  <c r="AG141"/>
  <c r="L142"/>
  <c r="BX142"/>
  <c r="BH143" i="3"/>
  <c r="BH143" i="2" s="1"/>
  <c r="BH144"/>
  <c r="AM145"/>
  <c r="R146"/>
  <c r="CD146"/>
  <c r="BQ147"/>
  <c r="AV148"/>
  <c r="AA149"/>
  <c r="N150"/>
  <c r="BZ150"/>
  <c r="BE151"/>
  <c r="AG152" i="3"/>
  <c r="AG152" i="2" s="1"/>
  <c r="AG153"/>
  <c r="L154"/>
  <c r="BX154"/>
  <c r="BC155"/>
  <c r="AH156"/>
  <c r="AL157"/>
  <c r="BQ158"/>
  <c r="CF159"/>
  <c r="K161" i="3"/>
  <c r="K161" i="2" s="1"/>
  <c r="K162"/>
  <c r="Z163"/>
  <c r="BE164"/>
  <c r="BT165"/>
  <c r="R167"/>
  <c r="AM168"/>
  <c r="BS169"/>
  <c r="X172"/>
  <c r="BW173"/>
  <c r="BB175"/>
  <c r="Q177"/>
  <c r="BP178" i="3"/>
  <c r="BP178" i="2" s="1"/>
  <c r="BP179"/>
  <c r="AF181"/>
  <c r="CG182"/>
  <c r="AW184"/>
  <c r="J186"/>
  <c r="BJ187" i="3"/>
  <c r="BJ187" i="2" s="1"/>
  <c r="BJ188"/>
  <c r="X190"/>
  <c r="BY191"/>
  <c r="BA193"/>
  <c r="BB195"/>
  <c r="BC198"/>
  <c r="AH200"/>
  <c r="AI202"/>
  <c r="AD204" i="3"/>
  <c r="AD204" i="2" s="1"/>
  <c r="AD205"/>
  <c r="CI207"/>
  <c r="AI210"/>
  <c r="BR212" i="3"/>
  <c r="BR212" i="2" s="1"/>
  <c r="BR213"/>
  <c r="CB217"/>
  <c r="W223"/>
  <c r="BT231"/>
  <c r="AR109" i="3"/>
  <c r="AR109" i="2" s="1"/>
  <c r="AR110"/>
  <c r="W111"/>
  <c r="CI111"/>
  <c r="BN112"/>
  <c r="BA113"/>
  <c r="AF114"/>
  <c r="K115"/>
  <c r="BW115"/>
  <c r="BJ116"/>
  <c r="AO117"/>
  <c r="Q118" i="3"/>
  <c r="Q118" i="2" s="1"/>
  <c r="Q119"/>
  <c r="CC118" i="3"/>
  <c r="CC118" i="2" s="1"/>
  <c r="CC119"/>
  <c r="BH120"/>
  <c r="AM121"/>
  <c r="R122"/>
  <c r="CD122"/>
  <c r="BQ123"/>
  <c r="AV124"/>
  <c r="AA125"/>
  <c r="K126" i="3"/>
  <c r="K126" i="2" s="1"/>
  <c r="K127"/>
  <c r="BW126" i="3"/>
  <c r="BW126" i="2" s="1"/>
  <c r="BW127"/>
  <c r="BJ128"/>
  <c r="AO129"/>
  <c r="T130"/>
  <c r="CF130"/>
  <c r="BK131"/>
  <c r="AP132"/>
  <c r="AC133"/>
  <c r="H134"/>
  <c r="BT134"/>
  <c r="AV135" i="3"/>
  <c r="AV135" i="2" s="1"/>
  <c r="AV136"/>
  <c r="AA137"/>
  <c r="N138"/>
  <c r="BZ138"/>
  <c r="BE139"/>
  <c r="AJ140"/>
  <c r="O141"/>
  <c r="CA141"/>
  <c r="BF142"/>
  <c r="AP143" i="3"/>
  <c r="AP143" i="2" s="1"/>
  <c r="AP144"/>
  <c r="AC145"/>
  <c r="H146"/>
  <c r="BT146"/>
  <c r="AY147"/>
  <c r="AL148"/>
  <c r="Q149"/>
  <c r="CC149"/>
  <c r="BH150"/>
  <c r="AM151"/>
  <c r="O152" i="3"/>
  <c r="O152" i="2" s="1"/>
  <c r="O153"/>
  <c r="CA152" i="3"/>
  <c r="CA152" i="2" s="1"/>
  <c r="CA153"/>
  <c r="BF154"/>
  <c r="AS155"/>
  <c r="X156"/>
  <c r="V157"/>
  <c r="AN158"/>
  <c r="BP159"/>
  <c r="CH160"/>
  <c r="J163"/>
  <c r="AB164"/>
  <c r="BD165"/>
  <c r="BV166"/>
  <c r="G168"/>
  <c r="AM169"/>
  <c r="CI170" i="3"/>
  <c r="CI170" i="2" s="1"/>
  <c r="CI171"/>
  <c r="BA173"/>
  <c r="Q175"/>
  <c r="BM176"/>
  <c r="AE178" i="3"/>
  <c r="AE178" i="2" s="1"/>
  <c r="AE179"/>
  <c r="CA180"/>
  <c r="AS182"/>
  <c r="K184"/>
  <c r="BG185"/>
  <c r="BE187" i="3"/>
  <c r="BE187" i="2" s="1"/>
  <c r="BE188"/>
  <c r="AJ190"/>
  <c r="CJ191"/>
  <c r="BP193"/>
  <c r="AW195"/>
  <c r="AE198"/>
  <c r="J200"/>
  <c r="AB202"/>
  <c r="AU204" i="3"/>
  <c r="AU204" i="2" s="1"/>
  <c r="AU205"/>
  <c r="S208"/>
  <c r="V211"/>
  <c r="AD215"/>
  <c r="Q219"/>
  <c r="H227"/>
  <c r="CB156"/>
  <c r="AT158"/>
  <c r="CK159"/>
  <c r="AZ161" i="3"/>
  <c r="AZ161" i="2" s="1"/>
  <c r="AZ162"/>
  <c r="J164"/>
  <c r="BI165"/>
  <c r="S167"/>
  <c r="CA168"/>
  <c r="BR170" i="3"/>
  <c r="BR170" i="2" s="1"/>
  <c r="BR171"/>
  <c r="P174"/>
  <c r="AK176"/>
  <c r="AX178" i="3"/>
  <c r="AX178" i="2" s="1"/>
  <c r="AX179"/>
  <c r="AY181"/>
  <c r="AZ183"/>
  <c r="AX185"/>
  <c r="BA187" i="3"/>
  <c r="BA187" i="2" s="1"/>
  <c r="BA188"/>
  <c r="BA190"/>
  <c r="BD192"/>
  <c r="O195"/>
  <c r="BB198"/>
  <c r="W201"/>
  <c r="U204" i="3"/>
  <c r="U204" i="2" s="1"/>
  <c r="U205"/>
  <c r="O208"/>
  <c r="S211"/>
  <c r="BO215"/>
  <c r="BT220" i="3"/>
  <c r="BT220" i="2" s="1"/>
  <c r="BT221"/>
  <c r="X231"/>
  <c r="BU157"/>
  <c r="AE159"/>
  <c r="BV160"/>
  <c r="AS163"/>
  <c r="CJ164"/>
  <c r="BB166"/>
  <c r="M168"/>
  <c r="BV169"/>
  <c r="BZ172"/>
  <c r="BZ174"/>
  <c r="BY176"/>
  <c r="CB178" i="3"/>
  <c r="CB178" i="2" s="1"/>
  <c r="CB179"/>
  <c r="AA182"/>
  <c r="AV184"/>
  <c r="BQ186"/>
  <c r="BT189"/>
  <c r="BT191"/>
  <c r="CJ193"/>
  <c r="AM196" i="3"/>
  <c r="AM196" i="2" s="1"/>
  <c r="AM197"/>
  <c r="M200"/>
  <c r="N203"/>
  <c r="AE207"/>
  <c r="O211"/>
  <c r="S216"/>
  <c r="AK224"/>
  <c r="AR156"/>
  <c r="Z158"/>
  <c r="H160"/>
  <c r="BL161" i="3"/>
  <c r="BL161" i="2" s="1"/>
  <c r="BL162"/>
  <c r="Q165"/>
  <c r="BC167"/>
  <c r="AF170" i="3"/>
  <c r="AF170" i="2" s="1"/>
  <c r="AF171"/>
  <c r="AQ174"/>
  <c r="BA177"/>
  <c r="CJ181"/>
  <c r="W185"/>
  <c r="AV189"/>
  <c r="L193"/>
  <c r="BI196" i="3"/>
  <c r="BI196" i="2" s="1"/>
  <c r="BI197"/>
  <c r="BE201"/>
  <c r="K207"/>
  <c r="S212" i="3"/>
  <c r="S212" i="2" s="1"/>
  <c r="S213"/>
  <c r="V220" i="3"/>
  <c r="V220" i="2" s="1"/>
  <c r="V221"/>
  <c r="Y168"/>
  <c r="BX170" i="3"/>
  <c r="BX170" i="2" s="1"/>
  <c r="BX171"/>
  <c r="AK174"/>
  <c r="BO176"/>
  <c r="Y180"/>
  <c r="BC182"/>
  <c r="X185"/>
  <c r="BO187" i="3"/>
  <c r="BO187" i="2" s="1"/>
  <c r="BO188"/>
  <c r="T191"/>
  <c r="BK193"/>
  <c r="AR196" i="3"/>
  <c r="AR196" i="2" s="1"/>
  <c r="AR197"/>
  <c r="AS200"/>
  <c r="BJ203"/>
  <c r="M208"/>
  <c r="BH211"/>
  <c r="AG217"/>
  <c r="P227"/>
  <c r="CC170" i="3"/>
  <c r="CC170" i="2" s="1"/>
  <c r="CC171"/>
  <c r="AX174"/>
  <c r="AQ178" i="3"/>
  <c r="AQ178" i="2" s="1"/>
  <c r="AQ179"/>
  <c r="R184"/>
  <c r="AT190"/>
  <c r="M196" i="3"/>
  <c r="M196" i="2" s="1"/>
  <c r="M197"/>
  <c r="O203"/>
  <c r="H211"/>
  <c r="BV223"/>
  <c r="BD195"/>
  <c r="BH201"/>
  <c r="BF207"/>
  <c r="AK214"/>
  <c r="AT224"/>
  <c r="AN203"/>
  <c r="BY209"/>
  <c r="CF216"/>
  <c r="AS232"/>
  <c r="BG217"/>
  <c r="BT227"/>
  <c r="AJ208"/>
  <c r="U214"/>
  <c r="CI219"/>
  <c r="CI229" i="3"/>
  <c r="CI229" i="2" s="1"/>
  <c r="CI230"/>
  <c r="R223"/>
  <c r="AK236"/>
  <c r="AJ218"/>
  <c r="AG225"/>
  <c r="J235"/>
  <c r="CK224"/>
  <c r="BF235"/>
  <c r="BZ226"/>
  <c r="AO233"/>
  <c r="AH226"/>
  <c r="BP233"/>
  <c r="AX220" i="3"/>
  <c r="AX220" i="2" s="1"/>
  <c r="AX221"/>
  <c r="AG226"/>
  <c r="BE232"/>
  <c r="AM231"/>
  <c r="BR236"/>
  <c r="H235"/>
  <c r="AP138"/>
  <c r="AP139"/>
  <c r="AP140"/>
  <c r="AQ141"/>
  <c r="AQ142"/>
  <c r="AT143" i="3"/>
  <c r="AT143" i="2" s="1"/>
  <c r="AT144"/>
  <c r="AR145"/>
  <c r="AS146"/>
  <c r="AR147"/>
  <c r="AR148"/>
  <c r="AS149"/>
  <c r="AS150"/>
  <c r="AS151"/>
  <c r="AX152" i="3"/>
  <c r="AX152" i="2" s="1"/>
  <c r="AX153"/>
  <c r="AW154"/>
  <c r="BG155"/>
  <c r="CC156"/>
  <c r="AS158"/>
  <c r="AO160"/>
  <c r="I163"/>
  <c r="BH164"/>
  <c r="Y166"/>
  <c r="AA168"/>
  <c r="AC170" i="3"/>
  <c r="AC170" i="2" s="1"/>
  <c r="AC171"/>
  <c r="AN173"/>
  <c r="AQ175"/>
  <c r="BU177"/>
  <c r="Z181"/>
  <c r="AN183"/>
  <c r="AW185"/>
  <c r="CH187" i="3"/>
  <c r="CH187" i="2" s="1"/>
  <c r="CH188"/>
  <c r="AC191"/>
  <c r="AW193"/>
  <c r="CA195"/>
  <c r="AB199"/>
  <c r="BO201"/>
  <c r="BG204" i="3"/>
  <c r="BG204" i="2" s="1"/>
  <c r="BG205"/>
  <c r="AA209"/>
  <c r="BF212" i="3"/>
  <c r="BF212" i="2" s="1"/>
  <c r="BF213"/>
  <c r="CE217"/>
  <c r="Z225"/>
  <c r="BM235"/>
  <c r="CG109" i="3"/>
  <c r="CG109" i="2" s="1"/>
  <c r="CG110"/>
  <c r="CG111"/>
  <c r="CH112"/>
  <c r="CF113"/>
  <c r="CG114"/>
  <c r="CF115"/>
  <c r="CF116"/>
  <c r="CG117"/>
  <c r="CJ118" i="3"/>
  <c r="CJ118" i="2" s="1"/>
  <c r="CJ119"/>
  <c r="CK120"/>
  <c r="O122"/>
  <c r="N123"/>
  <c r="N124"/>
  <c r="N125"/>
  <c r="O126" i="3"/>
  <c r="O126" i="2" s="1"/>
  <c r="O127"/>
  <c r="O128"/>
  <c r="Z129"/>
  <c r="AK130"/>
  <c r="AV131"/>
  <c r="BG132"/>
  <c r="BP133"/>
  <c r="CA134"/>
  <c r="CE135" i="3"/>
  <c r="CE135" i="2" s="1"/>
  <c r="CE136"/>
  <c r="CC137"/>
  <c r="CD138"/>
  <c r="CD139"/>
  <c r="CD140"/>
  <c r="CE141"/>
  <c r="CE142"/>
  <c r="CH143" i="3"/>
  <c r="CH143" i="2" s="1"/>
  <c r="CH144"/>
  <c r="CF145"/>
  <c r="CG146"/>
  <c r="CF147"/>
  <c r="CF148"/>
  <c r="CG149"/>
  <c r="CG150"/>
  <c r="CG151"/>
  <c r="O154"/>
  <c r="N155"/>
  <c r="N156"/>
  <c r="BF157"/>
  <c r="S159"/>
  <c r="BR160"/>
  <c r="BE163"/>
  <c r="AL165"/>
  <c r="CK166"/>
  <c r="BH168"/>
  <c r="BN170" i="3"/>
  <c r="BN170" i="2" s="1"/>
  <c r="BN171"/>
  <c r="O174"/>
  <c r="T176"/>
  <c r="AJ178" i="3"/>
  <c r="AJ178" i="2" s="1"/>
  <c r="AJ179"/>
  <c r="AQ181"/>
  <c r="BY183"/>
  <c r="CH185"/>
  <c r="CC187" i="3"/>
  <c r="CC187" i="2" s="1"/>
  <c r="CC188"/>
  <c r="CF190"/>
  <c r="AR193"/>
  <c r="K196" i="3"/>
  <c r="K196" i="2" s="1"/>
  <c r="K197"/>
  <c r="BS199"/>
  <c r="AG202"/>
  <c r="BK206"/>
  <c r="CE209"/>
  <c r="BD214"/>
  <c r="BL219"/>
  <c r="AO228"/>
  <c r="AM114"/>
  <c r="AM115"/>
  <c r="AM116"/>
  <c r="AM117"/>
  <c r="AR118" i="3"/>
  <c r="AR118" i="2" s="1"/>
  <c r="AR119"/>
  <c r="AQ120"/>
  <c r="AR121"/>
  <c r="AS122"/>
  <c r="AQ123"/>
  <c r="AR124"/>
  <c r="AP125"/>
  <c r="AR126" i="3"/>
  <c r="AR126" i="2" s="1"/>
  <c r="AR127"/>
  <c r="AR128"/>
  <c r="AS129"/>
  <c r="AS130"/>
  <c r="AS131"/>
  <c r="AT132"/>
  <c r="AR133"/>
  <c r="AS134"/>
  <c r="AU135" i="3"/>
  <c r="AU135" i="2" s="1"/>
  <c r="AU136"/>
  <c r="BE137"/>
  <c r="BF138"/>
  <c r="BQ139"/>
  <c r="CB140"/>
  <c r="P142"/>
  <c r="S143" i="3"/>
  <c r="S143" i="2" s="1"/>
  <c r="S144"/>
  <c r="R145"/>
  <c r="S146"/>
  <c r="Q147"/>
  <c r="R148"/>
  <c r="R149"/>
  <c r="R150"/>
  <c r="S151"/>
  <c r="V152" i="3"/>
  <c r="V152" i="2" s="1"/>
  <c r="V153"/>
  <c r="W154"/>
  <c r="V155"/>
  <c r="V156"/>
  <c r="BB157"/>
  <c r="N159"/>
  <c r="BO160"/>
  <c r="AH163"/>
  <c r="CG164"/>
  <c r="AX166"/>
  <c r="P168"/>
  <c r="O170" i="3"/>
  <c r="O170" i="2" s="1"/>
  <c r="O171"/>
  <c r="AY173"/>
  <c r="BE175"/>
  <c r="BI177"/>
  <c r="BC180"/>
  <c r="BQ182"/>
  <c r="N185"/>
  <c r="AD187" i="3"/>
  <c r="AD187" i="2" s="1"/>
  <c r="AD188"/>
  <c r="AH190"/>
  <c r="AT192"/>
  <c r="BT194"/>
  <c r="V198"/>
  <c r="CE200"/>
  <c r="BC203"/>
  <c r="BS207"/>
  <c r="BR211"/>
  <c r="CF218"/>
  <c r="BT229" i="3"/>
  <c r="BT229" i="2" s="1"/>
  <c r="BT230"/>
  <c r="AD109" i="3"/>
  <c r="AD109" i="2" s="1"/>
  <c r="AD110"/>
  <c r="I111"/>
  <c r="BU111"/>
  <c r="AZ112"/>
  <c r="AE113"/>
  <c r="J114"/>
  <c r="BV114"/>
  <c r="BI115"/>
  <c r="AN116"/>
  <c r="S117"/>
  <c r="CE117"/>
  <c r="BO118" i="3"/>
  <c r="BO118" i="2" s="1"/>
  <c r="BO119"/>
  <c r="BB120"/>
  <c r="AG121"/>
  <c r="L122"/>
  <c r="BX122"/>
  <c r="BC123"/>
  <c r="AH124"/>
  <c r="U125"/>
  <c r="CG125"/>
  <c r="BQ126" i="3"/>
  <c r="BQ126" i="2" s="1"/>
  <c r="BQ127"/>
  <c r="AV128"/>
  <c r="AA129"/>
  <c r="N130"/>
  <c r="BZ130"/>
  <c r="BE131"/>
  <c r="AJ132"/>
  <c r="O133"/>
  <c r="CA133"/>
  <c r="BF134"/>
  <c r="AP135" i="3"/>
  <c r="AP135" i="2" s="1"/>
  <c r="AP136"/>
  <c r="AC137"/>
  <c r="H138"/>
  <c r="BT138"/>
  <c r="AY139"/>
  <c r="AL140"/>
  <c r="Q141"/>
  <c r="CC141"/>
  <c r="BH142"/>
  <c r="AR143" i="3"/>
  <c r="AR143" i="2" s="1"/>
  <c r="AR144"/>
  <c r="W145"/>
  <c r="CI145"/>
  <c r="BN146"/>
  <c r="BA147"/>
  <c r="AF148"/>
  <c r="K149"/>
  <c r="BW149"/>
  <c r="BJ150"/>
  <c r="AO151"/>
  <c r="Q152" i="3"/>
  <c r="Q152" i="2" s="1"/>
  <c r="Q153"/>
  <c r="CC152" i="3"/>
  <c r="CC152" i="2" s="1"/>
  <c r="CC153"/>
  <c r="BH154"/>
  <c r="AM155"/>
  <c r="R156"/>
  <c r="M157"/>
  <c r="AQ158"/>
  <c r="BG159"/>
  <c r="BY160"/>
  <c r="CI161" i="3"/>
  <c r="CI161" i="2" s="1"/>
  <c r="CI162"/>
  <c r="AE164"/>
  <c r="AU165"/>
  <c r="BM166"/>
  <c r="J168"/>
  <c r="AP169"/>
  <c r="BV170" i="3"/>
  <c r="BV170" i="2" s="1"/>
  <c r="BV171"/>
  <c r="AO173"/>
  <c r="S175"/>
  <c r="BR176"/>
  <c r="AG178" i="3"/>
  <c r="AG178" i="2" s="1"/>
  <c r="AG179"/>
  <c r="CF180"/>
  <c r="AX182"/>
  <c r="O184"/>
  <c r="BK185"/>
  <c r="AB187" i="3"/>
  <c r="AB187" i="2" s="1"/>
  <c r="AB188"/>
  <c r="BY189"/>
  <c r="AP191"/>
  <c r="M193"/>
  <c r="N195"/>
  <c r="P198"/>
  <c r="CE199"/>
  <c r="BZ201"/>
  <c r="CC203"/>
  <c r="AH207"/>
  <c r="BT209"/>
  <c r="P212" i="3"/>
  <c r="P212" i="2" s="1"/>
  <c r="P213"/>
  <c r="BA216"/>
  <c r="CA220" i="3"/>
  <c r="CA220" i="2" s="1"/>
  <c r="CA221"/>
  <c r="CK228"/>
  <c r="AB109" i="3"/>
  <c r="AB109" i="2" s="1"/>
  <c r="AB110"/>
  <c r="G111"/>
  <c r="BS111"/>
  <c r="AX112"/>
  <c r="AK113"/>
  <c r="P114"/>
  <c r="CB114"/>
  <c r="BG115"/>
  <c r="AT116"/>
  <c r="Y117"/>
  <c r="CK117"/>
  <c r="BM118" i="3"/>
  <c r="BM118" i="2" s="1"/>
  <c r="BM119"/>
  <c r="AR120"/>
  <c r="W121"/>
  <c r="CI121"/>
  <c r="BN122"/>
  <c r="BA123"/>
  <c r="AF124"/>
  <c r="K125"/>
  <c r="BW125"/>
  <c r="BG126" i="3"/>
  <c r="BG126" i="2" s="1"/>
  <c r="BG127"/>
  <c r="AT128"/>
  <c r="Y129"/>
  <c r="CK129"/>
  <c r="BP130"/>
  <c r="AU131"/>
  <c r="Z132"/>
  <c r="M133"/>
  <c r="BY133"/>
  <c r="BD134"/>
  <c r="AF135" i="3"/>
  <c r="AF135" i="2" s="1"/>
  <c r="AF136"/>
  <c r="K137"/>
  <c r="BW137"/>
  <c r="BJ138"/>
  <c r="AO139"/>
  <c r="T140"/>
  <c r="CF140"/>
  <c r="BK141"/>
  <c r="AP142"/>
  <c r="Z143" i="3"/>
  <c r="Z143" i="2" s="1"/>
  <c r="Z144"/>
  <c r="M145"/>
  <c r="BY145"/>
  <c r="BD146"/>
  <c r="AI147"/>
  <c r="V148"/>
  <c r="CH148"/>
  <c r="BM149"/>
  <c r="AR150"/>
  <c r="W151"/>
  <c r="CI151"/>
  <c r="BK152" i="3"/>
  <c r="BK152" i="2" s="1"/>
  <c r="BK153"/>
  <c r="AP154"/>
  <c r="AC155"/>
  <c r="H156"/>
  <c r="CE156"/>
  <c r="O158"/>
  <c r="AQ159"/>
  <c r="BI160"/>
  <c r="BS161" i="3"/>
  <c r="BS161" i="2" s="1"/>
  <c r="BS162"/>
  <c r="CJ163"/>
  <c r="AE165"/>
  <c r="AW166"/>
  <c r="BN167"/>
  <c r="I169"/>
  <c r="BA170" i="3"/>
  <c r="BA170" i="2" s="1"/>
  <c r="BA171"/>
  <c r="T173"/>
  <c r="BS174"/>
  <c r="AD176"/>
  <c r="CC177"/>
  <c r="AR180"/>
  <c r="K182"/>
  <c r="BL183"/>
  <c r="Y185"/>
  <c r="W187" i="3"/>
  <c r="W187" i="2" s="1"/>
  <c r="W188"/>
  <c r="CK189"/>
  <c r="BC191"/>
  <c r="AC193"/>
  <c r="I195"/>
  <c r="BZ196" i="3"/>
  <c r="BZ196" i="2" s="1"/>
  <c r="BZ197"/>
  <c r="BG199"/>
  <c r="BS201"/>
  <c r="BY203"/>
  <c r="BA207"/>
  <c r="BB210"/>
  <c r="AU214"/>
  <c r="S218"/>
  <c r="AR225"/>
  <c r="BD156"/>
  <c r="V158"/>
  <c r="BM159"/>
  <c r="AB161" i="3"/>
  <c r="AB161" i="2" s="1"/>
  <c r="AB162"/>
  <c r="BS163"/>
  <c r="AK165"/>
  <c r="CB166"/>
  <c r="AZ168"/>
  <c r="AL170" i="3"/>
  <c r="AL170" i="2" s="1"/>
  <c r="AL171"/>
  <c r="BH173"/>
  <c r="CA175"/>
  <c r="R178" i="3"/>
  <c r="R178" i="2" s="1"/>
  <c r="R179"/>
  <c r="S181"/>
  <c r="T183"/>
  <c r="R185"/>
  <c r="U187" i="3"/>
  <c r="U187" i="2" s="1"/>
  <c r="U188"/>
  <c r="U190"/>
  <c r="V192"/>
  <c r="BL194"/>
  <c r="Q198"/>
  <c r="BN200"/>
  <c r="BI203"/>
  <c r="AZ207"/>
  <c r="BC210"/>
  <c r="CJ214"/>
  <c r="AN219"/>
  <c r="AA228"/>
  <c r="AW157"/>
  <c r="G159"/>
  <c r="AX160"/>
  <c r="U163"/>
  <c r="BL164"/>
  <c r="AD166"/>
  <c r="BU167"/>
  <c r="AU169"/>
  <c r="AT172"/>
  <c r="AT174"/>
  <c r="AS176"/>
  <c r="AV178" i="3"/>
  <c r="AV178" i="2" s="1"/>
  <c r="AV179"/>
  <c r="BR181"/>
  <c r="P184"/>
  <c r="AK186"/>
  <c r="AN189"/>
  <c r="AN191"/>
  <c r="AZ193"/>
  <c r="CH195"/>
  <c r="AY199"/>
  <c r="BG202"/>
  <c r="BN206"/>
  <c r="AJ210"/>
  <c r="Q215"/>
  <c r="CJ222"/>
  <c r="AU234"/>
  <c r="CA157"/>
  <c r="BQ159"/>
  <c r="AN161" i="3"/>
  <c r="AN161" i="2" s="1"/>
  <c r="AN162"/>
  <c r="BJ164"/>
  <c r="G167"/>
  <c r="BB169"/>
  <c r="CH173"/>
  <c r="U177"/>
  <c r="AI181"/>
  <c r="AT184"/>
  <c r="BF187" i="3"/>
  <c r="BF187" i="2" s="1"/>
  <c r="BF188"/>
  <c r="AX192"/>
  <c r="Y196" i="3"/>
  <c r="Y196" i="2" s="1"/>
  <c r="Y197"/>
  <c r="BT200"/>
  <c r="CG204" i="3"/>
  <c r="CG204" i="2" s="1"/>
  <c r="CG205"/>
  <c r="CB210"/>
  <c r="BE218"/>
  <c r="CG236"/>
  <c r="AJ170" i="3"/>
  <c r="AJ170" i="2" s="1"/>
  <c r="AJ171"/>
  <c r="BN173"/>
  <c r="S176"/>
  <c r="BZ179"/>
  <c r="BZ178" i="3"/>
  <c r="BZ178" i="2" s="1"/>
  <c r="AE182"/>
  <c r="BQ184"/>
  <c r="S187" i="3"/>
  <c r="S187" i="2" s="1"/>
  <c r="S188"/>
  <c r="BE190"/>
  <c r="AA193"/>
  <c r="Q196" i="3"/>
  <c r="Q196" i="2" s="1"/>
  <c r="Q197"/>
  <c r="CF199"/>
  <c r="CE202"/>
  <c r="X207"/>
  <c r="L211"/>
  <c r="BQ216"/>
  <c r="P225"/>
  <c r="Y170" i="3"/>
  <c r="Y170" i="2" s="1"/>
  <c r="Y171"/>
  <c r="CA173"/>
  <c r="BG177"/>
  <c r="BS183"/>
  <c r="AQ189"/>
  <c r="BD194"/>
  <c r="AA201"/>
  <c r="CD209"/>
  <c r="AT222"/>
  <c r="BI194"/>
  <c r="AO200"/>
  <c r="X206"/>
  <c r="AF212" i="3"/>
  <c r="AF212" i="2" s="1"/>
  <c r="AF213"/>
  <c r="AP223"/>
  <c r="AS202"/>
  <c r="AQ208"/>
  <c r="J215"/>
  <c r="AQ228"/>
  <c r="W217"/>
  <c r="AN225"/>
  <c r="Q207"/>
  <c r="BY211"/>
  <c r="CE218"/>
  <c r="CH228"/>
  <c r="BJ220" i="3"/>
  <c r="BJ220" i="2" s="1"/>
  <c r="BJ221"/>
  <c r="AO232"/>
  <c r="M217"/>
  <c r="T224"/>
  <c r="AA234"/>
  <c r="AW223"/>
  <c r="BI232"/>
  <c r="AY225"/>
  <c r="AQ232"/>
  <c r="CI225"/>
  <c r="AK232"/>
  <c r="Z219"/>
  <c r="N225"/>
  <c r="BE231"/>
  <c r="G231"/>
  <c r="BO235"/>
  <c r="BN233"/>
  <c r="AE138"/>
  <c r="AE139"/>
  <c r="AF140"/>
  <c r="AF141"/>
  <c r="AF142"/>
  <c r="AI143" i="3"/>
  <c r="AI143" i="2" s="1"/>
  <c r="AI144"/>
  <c r="AH145"/>
  <c r="AI146"/>
  <c r="AG147"/>
  <c r="AH148"/>
  <c r="AH149"/>
  <c r="AH150"/>
  <c r="AI151"/>
  <c r="AL152" i="3"/>
  <c r="AL152" i="2" s="1"/>
  <c r="AL153"/>
  <c r="AM154"/>
  <c r="AW155"/>
  <c r="BO156"/>
  <c r="Y158"/>
  <c r="W160"/>
  <c r="CA161" i="3"/>
  <c r="CA161" i="2" s="1"/>
  <c r="CA162"/>
  <c r="AQ164"/>
  <c r="G166"/>
  <c r="BV167"/>
  <c r="BZ169"/>
  <c r="P173"/>
  <c r="V175"/>
  <c r="AZ177"/>
  <c r="BP180"/>
  <c r="S183"/>
  <c r="V185"/>
  <c r="BM187" i="3"/>
  <c r="BM187" i="2" s="1"/>
  <c r="BM188"/>
  <c r="BO190"/>
  <c r="V193"/>
  <c r="BC195"/>
  <c r="CH198"/>
  <c r="AM201"/>
  <c r="AA204" i="3"/>
  <c r="AA204" i="2" s="1"/>
  <c r="AA205"/>
  <c r="BW208"/>
  <c r="X212" i="3"/>
  <c r="X212" i="2" s="1"/>
  <c r="X213"/>
  <c r="Y217"/>
  <c r="Z224"/>
  <c r="R234"/>
  <c r="BV109" i="3"/>
  <c r="BV109" i="2" s="1"/>
  <c r="BV110"/>
  <c r="BW111"/>
  <c r="BW112"/>
  <c r="BV113"/>
  <c r="BW114"/>
  <c r="BU115"/>
  <c r="BV116"/>
  <c r="BV117"/>
  <c r="BZ118" i="3"/>
  <c r="BZ118" i="2" s="1"/>
  <c r="BZ119"/>
  <c r="CA120"/>
  <c r="BZ121"/>
  <c r="CK122"/>
  <c r="CK123"/>
  <c r="CK124"/>
  <c r="CJ125"/>
  <c r="CK126" i="3"/>
  <c r="CK126" i="2" s="1"/>
  <c r="CK127"/>
  <c r="O129"/>
  <c r="Z130"/>
  <c r="AK131"/>
  <c r="AV132"/>
  <c r="BF133"/>
  <c r="BQ134"/>
  <c r="BS135" i="3"/>
  <c r="BS135" i="2" s="1"/>
  <c r="BS136"/>
  <c r="BS137"/>
  <c r="BS138"/>
  <c r="BS139"/>
  <c r="BT140"/>
  <c r="BT141"/>
  <c r="BT142"/>
  <c r="BW143" i="3"/>
  <c r="BW143" i="2" s="1"/>
  <c r="BW144"/>
  <c r="BV145"/>
  <c r="BW146"/>
  <c r="BU147"/>
  <c r="BV148"/>
  <c r="BV149"/>
  <c r="BV150"/>
  <c r="BW151"/>
  <c r="BZ152" i="3"/>
  <c r="BZ152" i="2" s="1"/>
  <c r="BZ153"/>
  <c r="CK154"/>
  <c r="CK155"/>
  <c r="AP157"/>
  <c r="CK158"/>
  <c r="BB160"/>
  <c r="AO163"/>
  <c r="T165"/>
  <c r="BS166"/>
  <c r="AP168"/>
  <c r="AS170" i="3"/>
  <c r="AS170" i="2" s="1"/>
  <c r="AS171"/>
  <c r="CB173"/>
  <c r="CD175"/>
  <c r="J178" i="3"/>
  <c r="J178" i="2" s="1"/>
  <c r="J179"/>
  <c r="V181"/>
  <c r="BD183"/>
  <c r="BM185"/>
  <c r="BC187" i="3"/>
  <c r="BC187" i="2" s="1"/>
  <c r="BC188"/>
  <c r="BK190"/>
  <c r="T193"/>
  <c r="BX195"/>
  <c r="AU199"/>
  <c r="CJ201"/>
  <c r="AA206"/>
  <c r="AY209"/>
  <c r="AY212" i="3"/>
  <c r="AY212" i="2" s="1"/>
  <c r="AY213"/>
  <c r="AK218"/>
  <c r="AI227"/>
  <c r="AC114"/>
  <c r="AB115"/>
  <c r="AB116"/>
  <c r="AC117"/>
  <c r="AF118" i="3"/>
  <c r="AF118" i="2" s="1"/>
  <c r="AF119"/>
  <c r="AG120"/>
  <c r="AH121"/>
  <c r="AG122"/>
  <c r="AG123"/>
  <c r="AG124"/>
  <c r="AF125"/>
  <c r="AG126" i="3"/>
  <c r="AG126" i="2" s="1"/>
  <c r="AG127"/>
  <c r="AH128"/>
  <c r="AH129"/>
  <c r="AH130"/>
  <c r="AI131"/>
  <c r="AI132"/>
  <c r="AH133"/>
  <c r="AI134"/>
  <c r="AK135" i="3"/>
  <c r="AK135" i="2" s="1"/>
  <c r="AK136"/>
  <c r="AU137"/>
  <c r="AU138"/>
  <c r="BF139"/>
  <c r="BQ140"/>
  <c r="CB141"/>
  <c r="H143" i="3"/>
  <c r="H143" i="2" s="1"/>
  <c r="H144"/>
  <c r="H145"/>
  <c r="G146"/>
  <c r="G147"/>
  <c r="G148"/>
  <c r="G149"/>
  <c r="H150"/>
  <c r="H151"/>
  <c r="L152" i="3"/>
  <c r="L152" i="2" s="1"/>
  <c r="L153"/>
  <c r="M154"/>
  <c r="K155"/>
  <c r="L156"/>
  <c r="AK157"/>
  <c r="CI158"/>
  <c r="AW160"/>
  <c r="R163"/>
  <c r="BP164"/>
  <c r="AG166"/>
  <c r="CF167"/>
  <c r="BN169"/>
  <c r="AC173"/>
  <c r="AD175"/>
  <c r="AN177"/>
  <c r="AH180"/>
  <c r="AQ182"/>
  <c r="BX184"/>
  <c r="CG186"/>
  <c r="L190"/>
  <c r="X192"/>
  <c r="AV194"/>
  <c r="CF196" i="3"/>
  <c r="CF196" i="2" s="1"/>
  <c r="CF197"/>
  <c r="BD200"/>
  <c r="W203"/>
  <c r="AN207"/>
  <c r="AM211"/>
  <c r="P218"/>
  <c r="U228"/>
  <c r="V110"/>
  <c r="V109" i="3"/>
  <c r="V109" i="2" s="1"/>
  <c r="CH110"/>
  <c r="CH109" i="3"/>
  <c r="CH109" i="2" s="1"/>
  <c r="BM111"/>
  <c r="AR112"/>
  <c r="W113"/>
  <c r="CI113"/>
  <c r="BN114"/>
  <c r="BA115"/>
  <c r="AF116"/>
  <c r="K117"/>
  <c r="BW117"/>
  <c r="BG118" i="3"/>
  <c r="BG118" i="2" s="1"/>
  <c r="BG119"/>
  <c r="AT120"/>
  <c r="Y121"/>
  <c r="CK121"/>
  <c r="BP122"/>
  <c r="AU123"/>
  <c r="Z124"/>
  <c r="M125"/>
  <c r="BY125"/>
  <c r="BI126" i="3"/>
  <c r="BI126" i="2" s="1"/>
  <c r="BI127"/>
  <c r="AN128"/>
  <c r="S129"/>
  <c r="CE129"/>
  <c r="BR130"/>
  <c r="AW131"/>
  <c r="AB132"/>
  <c r="G133"/>
  <c r="BS133"/>
  <c r="AX134"/>
  <c r="AH135" i="3"/>
  <c r="AH135" i="2" s="1"/>
  <c r="AH136"/>
  <c r="U137"/>
  <c r="CG137"/>
  <c r="BL138"/>
  <c r="AQ139"/>
  <c r="AD140"/>
  <c r="I141"/>
  <c r="BU141"/>
  <c r="AZ142"/>
  <c r="AJ143" i="3"/>
  <c r="AJ143" i="2" s="1"/>
  <c r="AJ144"/>
  <c r="O145"/>
  <c r="CA145"/>
  <c r="BF146"/>
  <c r="AS147"/>
  <c r="X148"/>
  <c r="CJ148"/>
  <c r="BO149"/>
  <c r="BB150"/>
  <c r="AG151"/>
  <c r="I152" i="3"/>
  <c r="I152" i="2" s="1"/>
  <c r="I153"/>
  <c r="BU152" i="3"/>
  <c r="BU152" i="2" s="1"/>
  <c r="BU153"/>
  <c r="AZ154"/>
  <c r="AE155"/>
  <c r="J156"/>
  <c r="CH156"/>
  <c r="AE158"/>
  <c r="AT159"/>
  <c r="BK160"/>
  <c r="BW161" i="3"/>
  <c r="BW161" i="2" s="1"/>
  <c r="BW162"/>
  <c r="S164"/>
  <c r="AH165"/>
  <c r="AY166"/>
  <c r="CD167"/>
  <c r="AA169"/>
  <c r="BF170" i="3"/>
  <c r="BF170" i="2" s="1"/>
  <c r="BF171"/>
  <c r="X173"/>
  <c r="BU174"/>
  <c r="AZ176"/>
  <c r="Q178" i="3"/>
  <c r="Q178" i="2" s="1"/>
  <c r="Q179"/>
  <c r="BN180"/>
  <c r="AG182"/>
  <c r="CG183"/>
  <c r="AT185"/>
  <c r="L187" i="3"/>
  <c r="L187" i="2" s="1"/>
  <c r="L188"/>
  <c r="BH189"/>
  <c r="X191"/>
  <c r="CD192"/>
  <c r="CB194"/>
  <c r="CE196" i="3"/>
  <c r="CE196" i="2" s="1"/>
  <c r="CE197"/>
  <c r="BM199"/>
  <c r="BC201"/>
  <c r="BH203"/>
  <c r="BM206"/>
  <c r="AT209"/>
  <c r="BZ211"/>
  <c r="T216"/>
  <c r="Q220" i="3"/>
  <c r="Q220" i="2" s="1"/>
  <c r="Q221"/>
  <c r="J228"/>
  <c r="T109" i="3"/>
  <c r="T109" i="2" s="1"/>
  <c r="T110"/>
  <c r="CF110"/>
  <c r="CF109" i="3"/>
  <c r="CF109" i="2" s="1"/>
  <c r="BK111"/>
  <c r="AP112"/>
  <c r="AC113"/>
  <c r="H114"/>
  <c r="BT114"/>
  <c r="AY115"/>
  <c r="AL116"/>
  <c r="Q117"/>
  <c r="CC117"/>
  <c r="BE118" i="3"/>
  <c r="BE118" i="2" s="1"/>
  <c r="BE119"/>
  <c r="AJ120"/>
  <c r="O121"/>
  <c r="CA121"/>
  <c r="BF122"/>
  <c r="AS123"/>
  <c r="X124"/>
  <c r="CJ124"/>
  <c r="BO125"/>
  <c r="AY126" i="3"/>
  <c r="AY126" i="2" s="1"/>
  <c r="AY127"/>
  <c r="AL128"/>
  <c r="Q129"/>
  <c r="CC129"/>
  <c r="BH130"/>
  <c r="AM131"/>
  <c r="R132"/>
  <c r="CD132"/>
  <c r="BQ133"/>
  <c r="AV134"/>
  <c r="X136"/>
  <c r="X135" i="3"/>
  <c r="X135" i="2" s="1"/>
  <c r="CJ135" i="3"/>
  <c r="CJ135" i="2" s="1"/>
  <c r="CJ136"/>
  <c r="BO137"/>
  <c r="BB138"/>
  <c r="AG139"/>
  <c r="L140"/>
  <c r="BX140"/>
  <c r="BC141"/>
  <c r="AH142"/>
  <c r="R143" i="3"/>
  <c r="R143" i="2" s="1"/>
  <c r="R144"/>
  <c r="CD143" i="3"/>
  <c r="CD143" i="2" s="1"/>
  <c r="CD144"/>
  <c r="BQ145"/>
  <c r="AV146"/>
  <c r="AA147"/>
  <c r="N148"/>
  <c r="BZ148"/>
  <c r="BE149"/>
  <c r="AJ150"/>
  <c r="O151"/>
  <c r="CA151"/>
  <c r="BC152" i="3"/>
  <c r="BC152" i="2" s="1"/>
  <c r="BC153"/>
  <c r="AH154"/>
  <c r="U155"/>
  <c r="CG155"/>
  <c r="BU156"/>
  <c r="CH157"/>
  <c r="AD159"/>
  <c r="AU160"/>
  <c r="BG161" i="3"/>
  <c r="BG161" i="2" s="1"/>
  <c r="BG162"/>
  <c r="BV163"/>
  <c r="R165"/>
  <c r="AI166"/>
  <c r="BA167"/>
  <c r="CB168"/>
  <c r="AK170" i="3"/>
  <c r="AK170" i="2" s="1"/>
  <c r="AK171"/>
  <c r="CJ172"/>
  <c r="AZ174"/>
  <c r="N176"/>
  <c r="BK177"/>
  <c r="AB180"/>
  <c r="CA181"/>
  <c r="AS183"/>
  <c r="I185"/>
  <c r="BV186"/>
  <c r="BU189"/>
  <c r="AK191"/>
  <c r="I193"/>
  <c r="BW194"/>
  <c r="BF196" i="3"/>
  <c r="BF196" i="2" s="1"/>
  <c r="BF197"/>
  <c r="AO199"/>
  <c r="AW201"/>
  <c r="BA203"/>
  <c r="CI206"/>
  <c r="AB210"/>
  <c r="H214"/>
  <c r="BS217"/>
  <c r="BF224"/>
  <c r="AN156"/>
  <c r="CE157"/>
  <c r="AW159"/>
  <c r="L161" i="3"/>
  <c r="L161" i="2" s="1"/>
  <c r="L162"/>
  <c r="BC163"/>
  <c r="U165"/>
  <c r="BL166"/>
  <c r="AH168"/>
  <c r="P170" i="3"/>
  <c r="P170" i="2" s="1"/>
  <c r="P171"/>
  <c r="AL173"/>
  <c r="BF175"/>
  <c r="CB177"/>
  <c r="CE180"/>
  <c r="CE182"/>
  <c r="CE184"/>
  <c r="CD186"/>
  <c r="CG189"/>
  <c r="CH191"/>
  <c r="AN194"/>
  <c r="BO196" i="3"/>
  <c r="BO196" i="2" s="1"/>
  <c r="BO197"/>
  <c r="AN200"/>
  <c r="AG203"/>
  <c r="R207"/>
  <c r="X210"/>
  <c r="AQ214"/>
  <c r="BR218"/>
  <c r="Z227"/>
  <c r="AG157"/>
  <c r="BX158"/>
  <c r="AH160"/>
  <c r="CD161" i="3"/>
  <c r="CD161" i="2" s="1"/>
  <c r="CD162"/>
  <c r="AV164"/>
  <c r="N166"/>
  <c r="BE167"/>
  <c r="AC169"/>
  <c r="Y172"/>
  <c r="X174"/>
  <c r="W176"/>
  <c r="Z178" i="3"/>
  <c r="Z178" i="2" s="1"/>
  <c r="Z179"/>
  <c r="AV181"/>
  <c r="BR183"/>
  <c r="O186"/>
  <c r="R189"/>
  <c r="S191"/>
  <c r="AB193"/>
  <c r="BI195"/>
  <c r="AA199"/>
  <c r="Q202"/>
  <c r="AI206"/>
  <c r="BU209"/>
  <c r="BI214"/>
  <c r="BR220" i="3"/>
  <c r="BR220" i="2" s="1"/>
  <c r="BR221"/>
  <c r="P233"/>
  <c r="BK157"/>
  <c r="AS159"/>
  <c r="X161" i="3"/>
  <c r="X161" i="2" s="1"/>
  <c r="X162"/>
  <c r="AL164"/>
  <c r="BX166"/>
  <c r="AI169"/>
  <c r="AR173"/>
  <c r="BA176"/>
  <c r="CJ180"/>
  <c r="X184"/>
  <c r="AK187" i="3"/>
  <c r="AK187" i="2" s="1"/>
  <c r="AK188"/>
  <c r="CB191"/>
  <c r="AT195"/>
  <c r="AI200"/>
  <c r="BE204" i="3"/>
  <c r="BE204" i="2" s="1"/>
  <c r="BE205"/>
  <c r="AV210"/>
  <c r="AI217"/>
  <c r="AC232"/>
  <c r="L170" i="3"/>
  <c r="L170" i="2" s="1"/>
  <c r="L171"/>
  <c r="AX173"/>
  <c r="CJ175"/>
  <c r="AT178" i="3"/>
  <c r="AT178" i="2" s="1"/>
  <c r="AT179"/>
  <c r="BX181"/>
  <c r="AS184"/>
  <c r="CE186"/>
  <c r="AO190"/>
  <c r="BW192"/>
  <c r="BE195"/>
  <c r="BE199"/>
  <c r="BJ202"/>
  <c r="CF206"/>
  <c r="AY210"/>
  <c r="BF215"/>
  <c r="CI223"/>
  <c r="I170" i="3"/>
  <c r="I170" i="2" s="1"/>
  <c r="I171"/>
  <c r="BK173"/>
  <c r="CB176"/>
  <c r="BH182"/>
  <c r="CB187" i="3"/>
  <c r="CB187" i="2" s="1"/>
  <c r="CB188"/>
  <c r="AB194"/>
  <c r="BQ200"/>
  <c r="BQ208"/>
  <c r="CH217"/>
  <c r="M194"/>
  <c r="Q200"/>
  <c r="BV204" i="3"/>
  <c r="BV204" i="2" s="1"/>
  <c r="BV205"/>
  <c r="AJ211"/>
  <c r="BJ219"/>
  <c r="BV201"/>
  <c r="P208"/>
  <c r="BF214"/>
  <c r="CK225"/>
  <c r="BW215"/>
  <c r="L224"/>
  <c r="BZ206"/>
  <c r="BA211"/>
  <c r="CF217"/>
  <c r="BA226"/>
  <c r="BT219"/>
  <c r="BI231"/>
  <c r="BN216"/>
  <c r="S223"/>
  <c r="CE231"/>
  <c r="BH222"/>
  <c r="I232"/>
  <c r="AA225"/>
  <c r="AP231"/>
  <c r="BX224"/>
  <c r="AV231"/>
  <c r="CI218"/>
  <c r="BO224"/>
  <c r="BD229" i="3"/>
  <c r="BD229" i="2" s="1"/>
  <c r="BD230"/>
  <c r="BN236"/>
  <c r="S235"/>
  <c r="AP233"/>
  <c r="BL156"/>
  <c r="AQ157"/>
  <c r="AD158"/>
  <c r="I159"/>
  <c r="BU159"/>
  <c r="AZ160"/>
  <c r="AJ161" i="3"/>
  <c r="AJ161" i="2" s="1"/>
  <c r="AJ162"/>
  <c r="O163"/>
  <c r="CA163"/>
  <c r="BF164"/>
  <c r="AS165"/>
  <c r="X166"/>
  <c r="CJ166"/>
  <c r="BO167"/>
  <c r="BI168"/>
  <c r="AW169"/>
  <c r="AV170" i="3"/>
  <c r="AV170" i="2" s="1"/>
  <c r="AV171"/>
  <c r="BG172"/>
  <c r="BR173"/>
  <c r="CB174"/>
  <c r="O176"/>
  <c r="Z177"/>
  <c r="AC178" i="3"/>
  <c r="AC178" i="2" s="1"/>
  <c r="AC179"/>
  <c r="AC180"/>
  <c r="AD181"/>
  <c r="AD182"/>
  <c r="AD183"/>
  <c r="AD184"/>
  <c r="AB185"/>
  <c r="AC186"/>
  <c r="AE187" i="3"/>
  <c r="AE187" i="2" s="1"/>
  <c r="AE188"/>
  <c r="AF189"/>
  <c r="AF190"/>
  <c r="AF191"/>
  <c r="AG192"/>
  <c r="BC193"/>
  <c r="BX194"/>
  <c r="CK195"/>
  <c r="AD198"/>
  <c r="BC199"/>
  <c r="BZ200"/>
  <c r="AH202"/>
  <c r="BX203"/>
  <c r="W206"/>
  <c r="BP207"/>
  <c r="AB209"/>
  <c r="BT210"/>
  <c r="AB212" i="3"/>
  <c r="AB212" i="2" s="1"/>
  <c r="AB213"/>
  <c r="X215"/>
  <c r="V217"/>
  <c r="BU219"/>
  <c r="AW224"/>
  <c r="BZ228"/>
  <c r="BK235"/>
  <c r="BE157"/>
  <c r="AJ158"/>
  <c r="O159"/>
  <c r="CA159"/>
  <c r="BF160"/>
  <c r="AP161" i="3"/>
  <c r="AP161" i="2" s="1"/>
  <c r="AP162"/>
  <c r="AC163"/>
  <c r="H164"/>
  <c r="BT164"/>
  <c r="AY165"/>
  <c r="AL166"/>
  <c r="Q167"/>
  <c r="CC167"/>
  <c r="BP168"/>
  <c r="BD169"/>
  <c r="BD170" i="3"/>
  <c r="BD170" i="2" s="1"/>
  <c r="BD171"/>
  <c r="BE172"/>
  <c r="BE173"/>
  <c r="BD174"/>
  <c r="BC175"/>
  <c r="BC176"/>
  <c r="BD177"/>
  <c r="BF178" i="3"/>
  <c r="BF178" i="2" s="1"/>
  <c r="BF179"/>
  <c r="BQ180"/>
  <c r="CB181"/>
  <c r="Q183"/>
  <c r="AA184"/>
  <c r="AJ185"/>
  <c r="AU186"/>
  <c r="AX187" i="3"/>
  <c r="AX187" i="2" s="1"/>
  <c r="AX188"/>
  <c r="AX189"/>
  <c r="AY190"/>
  <c r="AY191"/>
  <c r="AZ192"/>
  <c r="BL193"/>
  <c r="BU194"/>
  <c r="O196" i="3"/>
  <c r="O196" i="2" s="1"/>
  <c r="O197"/>
  <c r="AM198"/>
  <c r="BL199"/>
  <c r="AG201"/>
  <c r="BV202"/>
  <c r="AE204" i="3"/>
  <c r="AE204" i="2" s="1"/>
  <c r="AE205"/>
  <c r="CE206"/>
  <c r="BG208"/>
  <c r="BA210"/>
  <c r="Y212" i="3"/>
  <c r="Y212" i="2" s="1"/>
  <c r="Y213"/>
  <c r="BJ215"/>
  <c r="AI218"/>
  <c r="AQ223"/>
  <c r="K228"/>
  <c r="AG235"/>
  <c r="O157"/>
  <c r="CI157"/>
  <c r="CD158"/>
  <c r="BY159"/>
  <c r="BL160"/>
  <c r="AV161" i="3"/>
  <c r="AV161" i="2" s="1"/>
  <c r="AV162"/>
  <c r="AY163"/>
  <c r="BR164"/>
  <c r="L166"/>
  <c r="O167"/>
  <c r="AU168"/>
  <c r="CD169"/>
  <c r="AQ172"/>
  <c r="V174"/>
  <c r="AZ175"/>
  <c r="AF177"/>
  <c r="CJ178" i="3"/>
  <c r="CJ178" i="2" s="1"/>
  <c r="CJ179"/>
  <c r="AT181"/>
  <c r="Y183"/>
  <c r="BD184"/>
  <c r="AH186"/>
  <c r="P189"/>
  <c r="BQ190"/>
  <c r="BV192"/>
  <c r="AH194"/>
  <c r="AK196" i="3"/>
  <c r="AK196" i="2" s="1"/>
  <c r="AK197"/>
  <c r="X199"/>
  <c r="CH200"/>
  <c r="Y203"/>
  <c r="P206"/>
  <c r="CJ208"/>
  <c r="AP211"/>
  <c r="AG215"/>
  <c r="AB219"/>
  <c r="AB225"/>
  <c r="I168"/>
  <c r="AB169"/>
  <c r="AR170" i="3"/>
  <c r="AR170" i="2" s="1"/>
  <c r="AR171"/>
  <c r="BS172"/>
  <c r="BV173"/>
  <c r="X175"/>
  <c r="AQ176"/>
  <c r="BJ177"/>
  <c r="I180"/>
  <c r="L181"/>
  <c r="AM182"/>
  <c r="BF183"/>
  <c r="BY184"/>
  <c r="S186"/>
  <c r="AA187" i="3"/>
  <c r="AA187" i="2" s="1"/>
  <c r="AA188"/>
  <c r="BJ189"/>
  <c r="CC190"/>
  <c r="G192"/>
  <c r="AS193"/>
  <c r="BP194"/>
  <c r="Z196" i="3"/>
  <c r="Z196" i="2" s="1"/>
  <c r="Z197"/>
  <c r="BQ198"/>
  <c r="H200"/>
  <c r="BK201"/>
  <c r="I203"/>
  <c r="BX204" i="3"/>
  <c r="BX204" i="2" s="1"/>
  <c r="BX205"/>
  <c r="BI207"/>
  <c r="AK209"/>
  <c r="AL211"/>
  <c r="O214"/>
  <c r="CI216"/>
  <c r="AI220" i="3"/>
  <c r="AI220" i="2" s="1"/>
  <c r="AI221"/>
  <c r="AX225"/>
  <c r="S233"/>
  <c r="AG170" i="3"/>
  <c r="AG170" i="2" s="1"/>
  <c r="AG171"/>
  <c r="BX172"/>
  <c r="Z174"/>
  <c r="BY175"/>
  <c r="S178" i="3"/>
  <c r="S178" i="2" s="1"/>
  <c r="S179"/>
  <c r="Q181"/>
  <c r="CA183"/>
  <c r="AN186"/>
  <c r="BG189"/>
  <c r="AR192"/>
  <c r="BM194"/>
  <c r="CF198"/>
  <c r="Z202"/>
  <c r="AR206"/>
  <c r="BE210"/>
  <c r="BT214"/>
  <c r="BR222"/>
  <c r="AU192"/>
  <c r="BY194"/>
  <c r="AY198"/>
  <c r="AW200"/>
  <c r="Z203"/>
  <c r="CJ206"/>
  <c r="BI209"/>
  <c r="CH212" i="3"/>
  <c r="CH212" i="2" s="1"/>
  <c r="CH213"/>
  <c r="BW216"/>
  <c r="BK223"/>
  <c r="BG234"/>
  <c r="BI202"/>
  <c r="AN206"/>
  <c r="BA208"/>
  <c r="BJ211"/>
  <c r="K216"/>
  <c r="BI220" i="3"/>
  <c r="BI220" i="2" s="1"/>
  <c r="BI221"/>
  <c r="AD231"/>
  <c r="N214"/>
  <c r="AF217"/>
  <c r="BD220" i="3"/>
  <c r="BD220" i="2" s="1"/>
  <c r="BD221"/>
  <c r="BV225"/>
  <c r="BK234"/>
  <c r="Y207"/>
  <c r="CI209"/>
  <c r="BA212" i="3"/>
  <c r="BA212" i="2" s="1"/>
  <c r="BA213"/>
  <c r="X216"/>
  <c r="AY219"/>
  <c r="AX223"/>
  <c r="S229" i="3"/>
  <c r="S229" i="2" s="1"/>
  <c r="S230"/>
  <c r="BC217"/>
  <c r="CI220" i="3"/>
  <c r="CI220" i="2" s="1"/>
  <c r="CI221"/>
  <c r="N227"/>
  <c r="BO232"/>
  <c r="W215"/>
  <c r="BQ217"/>
  <c r="AM220" i="3"/>
  <c r="AM220" i="2" s="1"/>
  <c r="AM221"/>
  <c r="CA224"/>
  <c r="CA227"/>
  <c r="AQ234"/>
  <c r="BY219"/>
  <c r="BR223"/>
  <c r="Q228"/>
  <c r="BY232"/>
  <c r="BQ223"/>
  <c r="AD226"/>
  <c r="AZ228"/>
  <c r="I233"/>
  <c r="AZ235"/>
  <c r="J226"/>
  <c r="BD228"/>
  <c r="BG232"/>
  <c r="AJ236"/>
  <c r="AH219"/>
  <c r="X223"/>
  <c r="BR225"/>
  <c r="G228"/>
  <c r="Y232"/>
  <c r="BN234"/>
  <c r="O231"/>
  <c r="BI233"/>
  <c r="CE235"/>
  <c r="CF231"/>
  <c r="BV233"/>
  <c r="BG236"/>
  <c r="Z207"/>
  <c r="BM209"/>
  <c r="AG212" i="3"/>
  <c r="AG212" i="2" s="1"/>
  <c r="AG213"/>
  <c r="AT216"/>
  <c r="M220" i="3"/>
  <c r="M220" i="2" s="1"/>
  <c r="M221"/>
  <c r="CI227"/>
  <c r="AV156"/>
  <c r="AA157"/>
  <c r="N158"/>
  <c r="BZ158"/>
  <c r="BE159"/>
  <c r="AJ160"/>
  <c r="T161" i="3"/>
  <c r="T161" i="2" s="1"/>
  <c r="T162"/>
  <c r="CF161" i="3"/>
  <c r="CF161" i="2" s="1"/>
  <c r="CF162"/>
  <c r="BK163"/>
  <c r="AP164"/>
  <c r="AC165"/>
  <c r="H166"/>
  <c r="BT166"/>
  <c r="AY167"/>
  <c r="AQ168"/>
  <c r="AE169"/>
  <c r="AA170" i="3"/>
  <c r="AA170" i="2" s="1"/>
  <c r="AA171"/>
  <c r="AL172"/>
  <c r="AW173"/>
  <c r="BG174"/>
  <c r="BP175"/>
  <c r="CA176"/>
  <c r="H178" i="3"/>
  <c r="H178" i="2" s="1"/>
  <c r="H179"/>
  <c r="H180"/>
  <c r="H181"/>
  <c r="I182"/>
  <c r="I183"/>
  <c r="H184"/>
  <c r="G185"/>
  <c r="G186"/>
  <c r="J187" i="3"/>
  <c r="J187" i="2" s="1"/>
  <c r="J188"/>
  <c r="J189"/>
  <c r="K190"/>
  <c r="K191"/>
  <c r="K192"/>
  <c r="AD193"/>
  <c r="AZ194"/>
  <c r="BM195"/>
  <c r="CA196" i="3"/>
  <c r="CA196" i="2" s="1"/>
  <c r="CA197"/>
  <c r="AE199"/>
  <c r="BA200"/>
  <c r="CA201"/>
  <c r="AT203"/>
  <c r="BZ204" i="3"/>
  <c r="BZ204" i="2" s="1"/>
  <c r="BZ205"/>
  <c r="AI207"/>
  <c r="CA208"/>
  <c r="AO210"/>
  <c r="CF211"/>
  <c r="BM214"/>
  <c r="BO216"/>
  <c r="M219"/>
  <c r="AZ223"/>
  <c r="BS227"/>
  <c r="CI233"/>
  <c r="AO157"/>
  <c r="T158"/>
  <c r="CF158"/>
  <c r="BK159"/>
  <c r="AP160"/>
  <c r="Z161" i="3"/>
  <c r="Z161" i="2" s="1"/>
  <c r="Z162"/>
  <c r="M163"/>
  <c r="BY163"/>
  <c r="BD164"/>
  <c r="AI165"/>
  <c r="V166"/>
  <c r="CH166"/>
  <c r="BM167"/>
  <c r="AX168"/>
  <c r="AL169"/>
  <c r="AI170" i="3"/>
  <c r="AI170" i="2" s="1"/>
  <c r="AI171"/>
  <c r="AI172"/>
  <c r="AJ173"/>
  <c r="AI174"/>
  <c r="AH175"/>
  <c r="AH176"/>
  <c r="AH177"/>
  <c r="AK178" i="3"/>
  <c r="AK178" i="2" s="1"/>
  <c r="AK179"/>
  <c r="AV180"/>
  <c r="BG181"/>
  <c r="BR182"/>
  <c r="CC183"/>
  <c r="O185"/>
  <c r="Z186"/>
  <c r="AC187" i="3"/>
  <c r="AC187" i="2" s="1"/>
  <c r="AC188"/>
  <c r="AC189"/>
  <c r="AC190"/>
  <c r="AD191"/>
  <c r="AD192"/>
  <c r="AM193"/>
  <c r="AW194"/>
  <c r="BV195"/>
  <c r="O198"/>
  <c r="AN199"/>
  <c r="BJ200"/>
  <c r="AF202"/>
  <c r="CH203"/>
  <c r="AZ206"/>
  <c r="AC208"/>
  <c r="S210"/>
  <c r="CA211"/>
  <c r="CC214"/>
  <c r="Q217"/>
  <c r="AV222"/>
  <c r="J227"/>
  <c r="CE233"/>
  <c r="CF156"/>
  <c r="BS157"/>
  <c r="BF158"/>
  <c r="BA159"/>
  <c r="AV160"/>
  <c r="AF161" i="3"/>
  <c r="AF161" i="2" s="1"/>
  <c r="AF162"/>
  <c r="S163"/>
  <c r="BB164"/>
  <c r="BE165"/>
  <c r="CF166"/>
  <c r="T168"/>
  <c r="AS169"/>
  <c r="V172"/>
  <c r="BB173"/>
  <c r="AE175"/>
  <c r="CG176"/>
  <c r="AS178" i="3"/>
  <c r="AS178" i="2" s="1"/>
  <c r="AS179"/>
  <c r="X181"/>
  <c r="BE182"/>
  <c r="AI184"/>
  <c r="CI185"/>
  <c r="AU187" i="3"/>
  <c r="AU187" i="2" s="1"/>
  <c r="AU188"/>
  <c r="AV190"/>
  <c r="Q192"/>
  <c r="I194"/>
  <c r="CE195"/>
  <c r="BI198"/>
  <c r="BG200"/>
  <c r="AP202"/>
  <c r="BR204" i="3"/>
  <c r="BR204" i="2" s="1"/>
  <c r="BR205"/>
  <c r="AN208"/>
  <c r="BL210"/>
  <c r="BY214"/>
  <c r="BH217"/>
  <c r="AC224"/>
  <c r="AJ234"/>
  <c r="CC168"/>
  <c r="AB170" i="3"/>
  <c r="AB170" i="2" s="1"/>
  <c r="AB171"/>
  <c r="AE172"/>
  <c r="BF173"/>
  <c r="CG174"/>
  <c r="K176"/>
  <c r="AT177"/>
  <c r="BB178" i="3"/>
  <c r="BB178" i="2" s="1"/>
  <c r="BB179"/>
  <c r="CC180"/>
  <c r="O182"/>
  <c r="Z183"/>
  <c r="BI184"/>
  <c r="BL185"/>
  <c r="K187" i="3"/>
  <c r="K187" i="2" s="1"/>
  <c r="K188"/>
  <c r="AL189"/>
  <c r="AW190"/>
  <c r="BX191"/>
  <c r="CF192"/>
  <c r="AX194"/>
  <c r="CF195"/>
  <c r="AF198"/>
  <c r="BW199"/>
  <c r="I201"/>
  <c r="BU202"/>
  <c r="AR204" i="3"/>
  <c r="AR204" i="2" s="1"/>
  <c r="AR205"/>
  <c r="M207"/>
  <c r="L209"/>
  <c r="BJ210"/>
  <c r="BO212" i="3"/>
  <c r="BO212" i="2" s="1"/>
  <c r="BO213"/>
  <c r="AM216"/>
  <c r="AD219"/>
  <c r="BJ224"/>
  <c r="BI229" i="3"/>
  <c r="BI229" i="2" s="1"/>
  <c r="BI230"/>
  <c r="Q170" i="3"/>
  <c r="Q170" i="2" s="1"/>
  <c r="Q171"/>
  <c r="AZ172"/>
  <c r="BS173"/>
  <c r="AK175"/>
  <c r="CJ176"/>
  <c r="BZ180"/>
  <c r="AE183"/>
  <c r="BI185"/>
  <c r="AI189"/>
  <c r="AG191"/>
  <c r="AL194"/>
  <c r="AC198"/>
  <c r="P201"/>
  <c r="H206"/>
  <c r="CC208"/>
  <c r="X214"/>
  <c r="BQ219"/>
  <c r="AZ232"/>
  <c r="BA194"/>
  <c r="AN196" i="3"/>
  <c r="AN196" i="2" s="1"/>
  <c r="AN197"/>
  <c r="Y200"/>
  <c r="BK202"/>
  <c r="O206"/>
  <c r="AH209"/>
  <c r="AT211"/>
  <c r="AL216"/>
  <c r="T222"/>
  <c r="BB229" i="3"/>
  <c r="BB229" i="2" s="1"/>
  <c r="BB230"/>
  <c r="AK202"/>
  <c r="X204" i="3"/>
  <c r="X204" i="2" s="1"/>
  <c r="X205"/>
  <c r="Y208"/>
  <c r="G211"/>
  <c r="CD214"/>
  <c r="BX219"/>
  <c r="AB226"/>
  <c r="BK212" i="3"/>
  <c r="BK212" i="2" s="1"/>
  <c r="BK213"/>
  <c r="BB216"/>
  <c r="AO219"/>
  <c r="X225"/>
  <c r="AY231"/>
  <c r="CH206"/>
  <c r="AM209"/>
  <c r="BQ211"/>
  <c r="BU215"/>
  <c r="J218"/>
  <c r="G223"/>
  <c r="CH227"/>
  <c r="AW235"/>
  <c r="AY220" i="3"/>
  <c r="AY220" i="2" s="1"/>
  <c r="AY221"/>
  <c r="BM224"/>
  <c r="CH231"/>
  <c r="BH214"/>
  <c r="CD216"/>
  <c r="L220" i="3"/>
  <c r="L220" i="2" s="1"/>
  <c r="L221"/>
  <c r="AD223"/>
  <c r="AN227"/>
  <c r="AB233"/>
  <c r="H236"/>
  <c r="AL223"/>
  <c r="AI226"/>
  <c r="AB232"/>
  <c r="U223"/>
  <c r="AQ225"/>
  <c r="AB228"/>
  <c r="BA231"/>
  <c r="T235"/>
  <c r="AU225"/>
  <c r="BY227"/>
  <c r="AA232"/>
  <c r="BZ234"/>
  <c r="J219"/>
  <c r="BI222"/>
  <c r="CE224"/>
  <c r="BP227"/>
  <c r="BO229" i="3"/>
  <c r="BO229" i="2" s="1"/>
  <c r="BO230"/>
  <c r="AH234"/>
  <c r="AZ229" i="3"/>
  <c r="AZ229" i="2" s="1"/>
  <c r="AZ230"/>
  <c r="BV232"/>
  <c r="BG235"/>
  <c r="BU229" i="3"/>
  <c r="BU229" i="2" s="1"/>
  <c r="BU230"/>
  <c r="AX233"/>
  <c r="K236"/>
  <c r="BR234"/>
  <c r="K157"/>
  <c r="BW157"/>
  <c r="BJ158"/>
  <c r="AO159"/>
  <c r="T160"/>
  <c r="CF160"/>
  <c r="BP161" i="3"/>
  <c r="BP161" i="2" s="1"/>
  <c r="BP162"/>
  <c r="AU163"/>
  <c r="Z164"/>
  <c r="M165"/>
  <c r="BY165"/>
  <c r="BD166"/>
  <c r="AI167"/>
  <c r="X168"/>
  <c r="M169"/>
  <c r="CI169"/>
  <c r="Q172"/>
  <c r="AB173"/>
  <c r="AL174"/>
  <c r="AU175"/>
  <c r="BF176"/>
  <c r="BQ177"/>
  <c r="BT178" i="3"/>
  <c r="BT178" i="2" s="1"/>
  <c r="BT179"/>
  <c r="BT180"/>
  <c r="BT181"/>
  <c r="BU182"/>
  <c r="BU183"/>
  <c r="BT184"/>
  <c r="BS185"/>
  <c r="BS186"/>
  <c r="BV187" i="3"/>
  <c r="BV187" i="2" s="1"/>
  <c r="BV188"/>
  <c r="BV189"/>
  <c r="BW190"/>
  <c r="BW191"/>
  <c r="CB192"/>
  <c r="AA194"/>
  <c r="AO195"/>
  <c r="BC196" i="3"/>
  <c r="BC196" i="2" s="1"/>
  <c r="BC197"/>
  <c r="CA198"/>
  <c r="AC200"/>
  <c r="AY201"/>
  <c r="S203"/>
  <c r="AW204" i="3"/>
  <c r="AW204" i="2" s="1"/>
  <c r="AW205"/>
  <c r="CK206"/>
  <c r="AV208"/>
  <c r="G210"/>
  <c r="AY211"/>
  <c r="S214"/>
  <c r="W216"/>
  <c r="AN218"/>
  <c r="BG222"/>
  <c r="BP226"/>
  <c r="BH232"/>
  <c r="Y157"/>
  <c r="CK157"/>
  <c r="BP158"/>
  <c r="AU159"/>
  <c r="Z160"/>
  <c r="J161" i="3"/>
  <c r="J161" i="2" s="1"/>
  <c r="J162"/>
  <c r="BV162"/>
  <c r="BV161" i="3"/>
  <c r="BV161" i="2" s="1"/>
  <c r="BI163"/>
  <c r="AN164"/>
  <c r="S165"/>
  <c r="CE165"/>
  <c r="BR166"/>
  <c r="AW167"/>
  <c r="AE168"/>
  <c r="S169"/>
  <c r="N170" i="3"/>
  <c r="N170" i="2" s="1"/>
  <c r="N171"/>
  <c r="N172"/>
  <c r="N173"/>
  <c r="N174"/>
  <c r="L175"/>
  <c r="M176"/>
  <c r="M177"/>
  <c r="P178" i="3"/>
  <c r="P178" i="2" s="1"/>
  <c r="P179"/>
  <c r="AA180"/>
  <c r="AL181"/>
  <c r="AW182"/>
  <c r="BH183"/>
  <c r="BR184"/>
  <c r="CA185"/>
  <c r="G187" i="3"/>
  <c r="G187" i="2" s="1"/>
  <c r="G188"/>
  <c r="H189"/>
  <c r="H190"/>
  <c r="H191"/>
  <c r="I192"/>
  <c r="O193"/>
  <c r="Y194"/>
  <c r="AX195"/>
  <c r="BX196" i="3"/>
  <c r="BX196" i="2" s="1"/>
  <c r="BX197"/>
  <c r="O199"/>
  <c r="AL200"/>
  <c r="CK201"/>
  <c r="AR203"/>
  <c r="CK204" i="3"/>
  <c r="CK204" i="2" s="1"/>
  <c r="CK205"/>
  <c r="CA207"/>
  <c r="BD209"/>
  <c r="AV211"/>
  <c r="AL214"/>
  <c r="BH216"/>
  <c r="AG220" i="3"/>
  <c r="AG220" i="2" s="1"/>
  <c r="AG221"/>
  <c r="AV225"/>
  <c r="AL232"/>
  <c r="BP156"/>
  <c r="BC157"/>
  <c r="AP158"/>
  <c r="AK159"/>
  <c r="X160"/>
  <c r="H161" i="3"/>
  <c r="H161" i="2" s="1"/>
  <c r="H162"/>
  <c r="CJ161" i="3"/>
  <c r="CJ161" i="2" s="1"/>
  <c r="CJ162"/>
  <c r="N164"/>
  <c r="AO165"/>
  <c r="BH166"/>
  <c r="BS167"/>
  <c r="Z169"/>
  <c r="BB170" i="3"/>
  <c r="BB170" i="2" s="1"/>
  <c r="BB171"/>
  <c r="AG173"/>
  <c r="CH174"/>
  <c r="AP176"/>
  <c r="X178" i="3"/>
  <c r="X178" i="2" s="1"/>
  <c r="X179"/>
  <c r="BD180"/>
  <c r="AI182"/>
  <c r="CK183"/>
  <c r="AR185"/>
  <c r="Z187" i="3"/>
  <c r="Z187" i="2" s="1"/>
  <c r="Z188"/>
  <c r="BQ189"/>
  <c r="BR191"/>
  <c r="BI193"/>
  <c r="AH195"/>
  <c r="AJ198"/>
  <c r="CG199"/>
  <c r="L202"/>
  <c r="AB204" i="3"/>
  <c r="AB204" i="2" s="1"/>
  <c r="AB205"/>
  <c r="AQ207"/>
  <c r="AF210"/>
  <c r="BE212" i="3"/>
  <c r="BE212" i="2" s="1"/>
  <c r="BE213"/>
  <c r="L217"/>
  <c r="BZ222"/>
  <c r="BD231"/>
  <c r="BM168"/>
  <c r="BP169"/>
  <c r="O172"/>
  <c r="AH173"/>
  <c r="BA174"/>
  <c r="CB175"/>
  <c r="CE176"/>
  <c r="AL178" i="3"/>
  <c r="AL178" i="2" s="1"/>
  <c r="AL179"/>
  <c r="BE180"/>
  <c r="BP181"/>
  <c r="J183"/>
  <c r="U184"/>
  <c r="AV185"/>
  <c r="BO186"/>
  <c r="CE187" i="3"/>
  <c r="CE187" i="2" s="1"/>
  <c r="CE188"/>
  <c r="AG190"/>
  <c r="AJ191"/>
  <c r="BN192"/>
  <c r="W194"/>
  <c r="AU195"/>
  <c r="N198"/>
  <c r="AC199"/>
  <c r="BV200"/>
  <c r="AO202"/>
  <c r="CF203"/>
  <c r="BU206"/>
  <c r="AL208"/>
  <c r="AK210"/>
  <c r="Z212" i="3"/>
  <c r="Z212" i="2" s="1"/>
  <c r="Z213"/>
  <c r="AP215"/>
  <c r="BV218"/>
  <c r="CH222"/>
  <c r="BW228"/>
  <c r="CD236"/>
  <c r="L172"/>
  <c r="BC173"/>
  <c r="BV174"/>
  <c r="BT176"/>
  <c r="AD180"/>
  <c r="AZ182"/>
  <c r="AK185"/>
  <c r="X187" i="3"/>
  <c r="X187" i="2" s="1"/>
  <c r="X188"/>
  <c r="I191"/>
  <c r="BQ193"/>
  <c r="AO196" i="3"/>
  <c r="AO196" i="2" s="1"/>
  <c r="AO197"/>
  <c r="BH200"/>
  <c r="AU203"/>
  <c r="AS208"/>
  <c r="V212" i="3"/>
  <c r="V212" i="2" s="1"/>
  <c r="V213"/>
  <c r="BM217"/>
  <c r="BI228"/>
  <c r="AH193"/>
  <c r="P196" i="3"/>
  <c r="P196" i="2" s="1"/>
  <c r="P197"/>
  <c r="BJ199"/>
  <c r="CF201"/>
  <c r="BN204" i="3"/>
  <c r="BN204" i="2" s="1"/>
  <c r="BN205"/>
  <c r="CG207"/>
  <c r="R211"/>
  <c r="AX215"/>
  <c r="AR219"/>
  <c r="AX228"/>
  <c r="R201"/>
  <c r="CJ203"/>
  <c r="BC207"/>
  <c r="T210"/>
  <c r="AT214"/>
  <c r="AH217"/>
  <c r="AH225"/>
  <c r="CH235"/>
  <c r="BN215"/>
  <c r="K219"/>
  <c r="CE222"/>
  <c r="AS229" i="3"/>
  <c r="AS229" i="2" s="1"/>
  <c r="AS230"/>
  <c r="AL206"/>
  <c r="BH208"/>
  <c r="AS211"/>
  <c r="AV214"/>
  <c r="BN217"/>
  <c r="P222"/>
  <c r="AJ226"/>
  <c r="BB234"/>
  <c r="BQ218"/>
  <c r="R224"/>
  <c r="AL229" i="3"/>
  <c r="AL229" i="2" s="1"/>
  <c r="AL230"/>
  <c r="CC212" i="3"/>
  <c r="CC212" i="2" s="1"/>
  <c r="CC213"/>
  <c r="BF216"/>
  <c r="BL218"/>
  <c r="CF222"/>
  <c r="AY226"/>
  <c r="BN231"/>
  <c r="AP235"/>
  <c r="BU220" i="3"/>
  <c r="BU220" i="2" s="1"/>
  <c r="BU221"/>
  <c r="CC225"/>
  <c r="K231"/>
  <c r="W236"/>
  <c r="S225"/>
  <c r="Q227"/>
  <c r="U231"/>
  <c r="AO234"/>
  <c r="BP224"/>
  <c r="BA227"/>
  <c r="AU229" i="3"/>
  <c r="AU229" i="2" s="1"/>
  <c r="AU230"/>
  <c r="AT234"/>
  <c r="AU218"/>
  <c r="BV220" i="3"/>
  <c r="BV220" i="2" s="1"/>
  <c r="BV221"/>
  <c r="BG224"/>
  <c r="BE226"/>
  <c r="AI229" i="3"/>
  <c r="AI229" i="2" s="1"/>
  <c r="AI230"/>
  <c r="BD233"/>
  <c r="BD236"/>
  <c r="AX232"/>
  <c r="AV234"/>
  <c r="AW229" i="3"/>
  <c r="AW229" i="2" s="1"/>
  <c r="AW230"/>
  <c r="CI232"/>
  <c r="AF235"/>
  <c r="AW233"/>
  <c r="CJ156"/>
  <c r="BO157"/>
  <c r="BB158"/>
  <c r="AG159"/>
  <c r="L160"/>
  <c r="BX160"/>
  <c r="BH161" i="3"/>
  <c r="BH161" i="2" s="1"/>
  <c r="BH162"/>
  <c r="AM163"/>
  <c r="R164"/>
  <c r="CD164"/>
  <c r="BQ165"/>
  <c r="AV166"/>
  <c r="AA167"/>
  <c r="O168"/>
  <c r="CJ168"/>
  <c r="BY169"/>
  <c r="CB170" i="3"/>
  <c r="CB170" i="2" s="1"/>
  <c r="CB171"/>
  <c r="Q173"/>
  <c r="AA174"/>
  <c r="AJ175"/>
  <c r="AU176"/>
  <c r="BF177"/>
  <c r="BI178" i="3"/>
  <c r="BI178" i="2" s="1"/>
  <c r="BI179"/>
  <c r="BI180"/>
  <c r="BJ181"/>
  <c r="BJ182"/>
  <c r="BJ183"/>
  <c r="BJ184"/>
  <c r="BH185"/>
  <c r="BI186"/>
  <c r="BK187" i="3"/>
  <c r="BK187" i="2" s="1"/>
  <c r="BK188"/>
  <c r="BL189"/>
  <c r="BL190"/>
  <c r="BL191"/>
  <c r="BP192"/>
  <c r="P194"/>
  <c r="AB195"/>
  <c r="AQ196" i="3"/>
  <c r="AQ196" i="2" s="1"/>
  <c r="AQ197"/>
  <c r="BN198"/>
  <c r="P200"/>
  <c r="AK201"/>
  <c r="BX202"/>
  <c r="AJ204" i="3"/>
  <c r="AJ204" i="2" s="1"/>
  <c r="AJ205"/>
  <c r="BT206"/>
  <c r="AE208"/>
  <c r="BX209"/>
  <c r="AI211"/>
  <c r="CJ212" i="3"/>
  <c r="CJ212" i="2" s="1"/>
  <c r="CJ213"/>
  <c r="CK215"/>
  <c r="N218"/>
  <c r="W222"/>
  <c r="P226"/>
  <c r="CJ231"/>
  <c r="Q157"/>
  <c r="CC157"/>
  <c r="BH158"/>
  <c r="AM159"/>
  <c r="R160"/>
  <c r="CD160"/>
  <c r="BN161" i="3"/>
  <c r="BN161" i="2" s="1"/>
  <c r="BN162"/>
  <c r="BA163"/>
  <c r="AF164"/>
  <c r="K165"/>
  <c r="BW165"/>
  <c r="BJ166"/>
  <c r="AO167"/>
  <c r="V168"/>
  <c r="J169"/>
  <c r="CG169"/>
  <c r="CJ170" i="3"/>
  <c r="CJ170" i="2" s="1"/>
  <c r="CJ171"/>
  <c r="CK172"/>
  <c r="CK173"/>
  <c r="CJ174"/>
  <c r="CI175"/>
  <c r="CI176"/>
  <c r="CJ177"/>
  <c r="P180"/>
  <c r="AA181"/>
  <c r="AL182"/>
  <c r="AW183"/>
  <c r="BG184"/>
  <c r="BP185"/>
  <c r="CA186"/>
  <c r="CD187" i="3"/>
  <c r="CD187" i="2" s="1"/>
  <c r="CD188"/>
  <c r="CD189"/>
  <c r="CE190"/>
  <c r="CE191"/>
  <c r="CK192"/>
  <c r="L194"/>
  <c r="Y195"/>
  <c r="BM196" i="3"/>
  <c r="BM196" i="2" s="1"/>
  <c r="BM197"/>
  <c r="CJ198"/>
  <c r="Z200"/>
  <c r="BY201"/>
  <c r="AC203"/>
  <c r="BW204" i="3"/>
  <c r="BW204" i="2" s="1"/>
  <c r="BW205"/>
  <c r="AU207"/>
  <c r="AN209"/>
  <c r="AE211"/>
  <c r="Q214"/>
  <c r="AN216"/>
  <c r="BO219"/>
  <c r="CG224"/>
  <c r="I231"/>
  <c r="BH156"/>
  <c r="AU157"/>
  <c r="AH158"/>
  <c r="AC159"/>
  <c r="P160"/>
  <c r="CJ160"/>
  <c r="BT161" i="3"/>
  <c r="BT161" i="2" s="1"/>
  <c r="BT162"/>
  <c r="CE163"/>
  <c r="AG165"/>
  <c r="AJ166"/>
  <c r="BK167"/>
  <c r="H169"/>
  <c r="AQ170" i="3"/>
  <c r="AQ170" i="2" s="1"/>
  <c r="AQ171"/>
  <c r="V173"/>
  <c r="BB174"/>
  <c r="AE176"/>
  <c r="CG177"/>
  <c r="AS180"/>
  <c r="Y182"/>
  <c r="BE183"/>
  <c r="AH185"/>
  <c r="CI186"/>
  <c r="BF189"/>
  <c r="BG191"/>
  <c r="X193"/>
  <c r="V195"/>
  <c r="L198"/>
  <c r="BU199"/>
  <c r="CI201"/>
  <c r="BP203"/>
  <c r="AA207"/>
  <c r="CF209"/>
  <c r="AJ212" i="3"/>
  <c r="AJ212" i="2" s="1"/>
  <c r="AJ213"/>
  <c r="BY216"/>
  <c r="BG220" i="3"/>
  <c r="BG220" i="2" s="1"/>
  <c r="BG221"/>
  <c r="AC229" i="3"/>
  <c r="AC229" i="2" s="1"/>
  <c r="AC230"/>
  <c r="AW168"/>
  <c r="BH169"/>
  <c r="G172"/>
  <c r="J173"/>
  <c r="AS174"/>
  <c r="BL175"/>
  <c r="BW176"/>
  <c r="AD178" i="3"/>
  <c r="AD178" i="2" s="1"/>
  <c r="AD179"/>
  <c r="AG180"/>
  <c r="BH181"/>
  <c r="CA182"/>
  <c r="M184"/>
  <c r="AN185"/>
  <c r="AQ186"/>
  <c r="BW187" i="3"/>
  <c r="BW187" i="2" s="1"/>
  <c r="BW188"/>
  <c r="Q190"/>
  <c r="AB191"/>
  <c r="BE192"/>
  <c r="BT193"/>
  <c r="AL195"/>
  <c r="BS196" i="3"/>
  <c r="BS196" i="2" s="1"/>
  <c r="BS197"/>
  <c r="T199"/>
  <c r="BK200"/>
  <c r="I202"/>
  <c r="BU203"/>
  <c r="AV206"/>
  <c r="X208"/>
  <c r="Y210"/>
  <c r="BV211"/>
  <c r="Z215"/>
  <c r="AF218"/>
  <c r="AX222"/>
  <c r="AK228"/>
  <c r="BW234"/>
  <c r="CK170" i="3"/>
  <c r="CK170" i="2" s="1"/>
  <c r="CK171"/>
  <c r="AM173"/>
  <c r="BF174"/>
  <c r="BL176"/>
  <c r="AY178" i="3"/>
  <c r="AY178" i="2" s="1"/>
  <c r="AY179"/>
  <c r="AJ182"/>
  <c r="BV184"/>
  <c r="P187" i="3"/>
  <c r="P187" i="2" s="1"/>
  <c r="P188"/>
  <c r="CH190"/>
  <c r="CC192"/>
  <c r="V196" i="3"/>
  <c r="V196" i="2" s="1"/>
  <c r="V197"/>
  <c r="N200"/>
  <c r="AK203"/>
  <c r="AF208"/>
  <c r="T211"/>
  <c r="Z217"/>
  <c r="BG226"/>
  <c r="Z193"/>
  <c r="H196" i="3"/>
  <c r="H196" i="2" s="1"/>
  <c r="H197"/>
  <c r="CE198"/>
  <c r="BP201"/>
  <c r="Z204" i="3"/>
  <c r="Z204" i="2" s="1"/>
  <c r="Z205"/>
  <c r="BX207"/>
  <c r="I211"/>
  <c r="AW214"/>
  <c r="I219"/>
  <c r="BI226"/>
  <c r="J201"/>
  <c r="CB203"/>
  <c r="BX206"/>
  <c r="CH209"/>
  <c r="BT212" i="3"/>
  <c r="BT212" i="2" s="1"/>
  <c r="BT213"/>
  <c r="S217"/>
  <c r="I225"/>
  <c r="CF232"/>
  <c r="AV215"/>
  <c r="AQ218"/>
  <c r="BP222"/>
  <c r="W229" i="3"/>
  <c r="W229" i="2" s="1"/>
  <c r="W230"/>
  <c r="CD235"/>
  <c r="AR208"/>
  <c r="CD210"/>
  <c r="AM214"/>
  <c r="BE217"/>
  <c r="P220" i="3"/>
  <c r="P220" i="2" s="1"/>
  <c r="P221"/>
  <c r="CJ225"/>
  <c r="AD233"/>
  <c r="BG218"/>
  <c r="CK223"/>
  <c r="CD227"/>
  <c r="BM236"/>
  <c r="R216"/>
  <c r="BB218"/>
  <c r="BU222"/>
  <c r="AS225"/>
  <c r="AG231"/>
  <c r="AR236"/>
  <c r="BL220" i="3"/>
  <c r="BL220" i="2" s="1"/>
  <c r="BL221"/>
  <c r="BP225"/>
  <c r="BO228"/>
  <c r="BV235"/>
  <c r="BL224"/>
  <c r="I227"/>
  <c r="J231"/>
  <c r="AZ233"/>
  <c r="AZ224"/>
  <c r="M227"/>
  <c r="AK229" i="3"/>
  <c r="AK229" i="2" s="1"/>
  <c r="AK230"/>
  <c r="AI234"/>
  <c r="CA236"/>
  <c r="BF220" i="3"/>
  <c r="BF220" i="2" s="1"/>
  <c r="BF221"/>
  <c r="S224"/>
  <c r="AW226"/>
  <c r="X229" i="3"/>
  <c r="X229" i="2" s="1"/>
  <c r="X230"/>
  <c r="BP232"/>
  <c r="AH236"/>
  <c r="J232"/>
  <c r="AN234"/>
  <c r="AO229" i="3"/>
  <c r="AO229" i="2" s="1"/>
  <c r="AO230"/>
  <c r="AE232"/>
  <c r="P235"/>
  <c r="AK195"/>
  <c r="AZ196" i="3"/>
  <c r="AZ196" i="2" s="1"/>
  <c r="AZ197"/>
  <c r="BK198"/>
  <c r="BX199"/>
  <c r="S201"/>
  <c r="AR202"/>
  <c r="BS203"/>
  <c r="R206"/>
  <c r="BK207"/>
  <c r="X209"/>
  <c r="CG210"/>
  <c r="AQ212" i="3"/>
  <c r="AQ212" i="2" s="1"/>
  <c r="AQ213"/>
  <c r="AO215"/>
  <c r="AP217"/>
  <c r="K222"/>
  <c r="K226"/>
  <c r="BY231"/>
  <c r="AZ156"/>
  <c r="AE157"/>
  <c r="J158"/>
  <c r="BV158"/>
  <c r="BI159"/>
  <c r="AN160"/>
  <c r="P161" i="3"/>
  <c r="P161" i="2" s="1"/>
  <c r="P162"/>
  <c r="CB161" i="3"/>
  <c r="CB161" i="2" s="1"/>
  <c r="CB162"/>
  <c r="BG163"/>
  <c r="AT164"/>
  <c r="Y165"/>
  <c r="CK165"/>
  <c r="BP166"/>
  <c r="AU167"/>
  <c r="AC168"/>
  <c r="Q169"/>
  <c r="K170" i="3"/>
  <c r="K170" i="2" s="1"/>
  <c r="K171"/>
  <c r="K172"/>
  <c r="L173"/>
  <c r="K174"/>
  <c r="J175"/>
  <c r="J176"/>
  <c r="J177"/>
  <c r="M178" i="3"/>
  <c r="M178" i="2" s="1"/>
  <c r="M179"/>
  <c r="M180"/>
  <c r="N181"/>
  <c r="N182"/>
  <c r="N183"/>
  <c r="N184"/>
  <c r="L185"/>
  <c r="M186"/>
  <c r="O187" i="3"/>
  <c r="O187" i="2" s="1"/>
  <c r="O188"/>
  <c r="Z189"/>
  <c r="AK190"/>
  <c r="AV191"/>
  <c r="BI192"/>
  <c r="BU193"/>
  <c r="CD194"/>
  <c r="L196" i="3"/>
  <c r="L196" i="2" s="1"/>
  <c r="L197"/>
  <c r="X198"/>
  <c r="AJ199"/>
  <c r="AU200"/>
  <c r="BT201"/>
  <c r="L203"/>
  <c r="AQ204" i="3"/>
  <c r="AQ204" i="2" s="1"/>
  <c r="AQ205"/>
  <c r="CB206"/>
  <c r="BD208"/>
  <c r="P210"/>
  <c r="BG211"/>
  <c r="BB214"/>
  <c r="BD216"/>
  <c r="CH218"/>
  <c r="AE223"/>
  <c r="I228"/>
  <c r="Q235"/>
  <c r="BE168"/>
  <c r="AJ169"/>
  <c r="T170" i="3"/>
  <c r="T170" i="2" s="1"/>
  <c r="T171"/>
  <c r="CF170" i="3"/>
  <c r="CF170" i="2" s="1"/>
  <c r="CF171"/>
  <c r="BK172"/>
  <c r="AP173"/>
  <c r="AC174"/>
  <c r="H175"/>
  <c r="BT175"/>
  <c r="AY176"/>
  <c r="AL177"/>
  <c r="V178" i="3"/>
  <c r="V178" i="2" s="1"/>
  <c r="V179"/>
  <c r="CH178" i="3"/>
  <c r="CH178" i="2" s="1"/>
  <c r="CH179"/>
  <c r="BM180"/>
  <c r="AR181"/>
  <c r="W182"/>
  <c r="CI182"/>
  <c r="BN183"/>
  <c r="BA184"/>
  <c r="AF185"/>
  <c r="K186"/>
  <c r="BW186"/>
  <c r="BG187" i="3"/>
  <c r="BG187" i="2" s="1"/>
  <c r="BG188"/>
  <c r="AT189"/>
  <c r="Y190"/>
  <c r="CK190"/>
  <c r="BP191"/>
  <c r="AV192"/>
  <c r="AJ193"/>
  <c r="AF194"/>
  <c r="T195"/>
  <c r="G196" i="3"/>
  <c r="G196" i="2" s="1"/>
  <c r="G197"/>
  <c r="CC196" i="3"/>
  <c r="CC196" i="2" s="1"/>
  <c r="CC197"/>
  <c r="BZ198"/>
  <c r="BN199"/>
  <c r="BB200"/>
  <c r="BA201"/>
  <c r="AY202"/>
  <c r="AZ203"/>
  <c r="BB204" i="3"/>
  <c r="BB204" i="2" s="1"/>
  <c r="BB205"/>
  <c r="BI206"/>
  <c r="BT207"/>
  <c r="CH208"/>
  <c r="N210"/>
  <c r="X211"/>
  <c r="AL212" i="3"/>
  <c r="AL212" i="2" s="1"/>
  <c r="AL213"/>
  <c r="CA214"/>
  <c r="BC216"/>
  <c r="AZ218"/>
  <c r="BH220" i="3"/>
  <c r="BH220" i="2" s="1"/>
  <c r="BH221"/>
  <c r="AE224"/>
  <c r="BC227"/>
  <c r="BR232"/>
  <c r="CC169"/>
  <c r="BU170" i="3"/>
  <c r="BU170" i="2" s="1"/>
  <c r="BU171"/>
  <c r="BH172"/>
  <c r="AU173"/>
  <c r="AH174"/>
  <c r="AC175"/>
  <c r="BD176"/>
  <c r="BO177"/>
  <c r="AL180"/>
  <c r="CC181"/>
  <c r="AM183"/>
  <c r="CD184"/>
  <c r="AV186"/>
  <c r="CJ187" i="3"/>
  <c r="CJ187" i="2" s="1"/>
  <c r="CJ188"/>
  <c r="BB190"/>
  <c r="L192"/>
  <c r="BZ193"/>
  <c r="BA195"/>
  <c r="AL198"/>
  <c r="W200"/>
  <c r="AJ202"/>
  <c r="AY204" i="3"/>
  <c r="AY204" i="2" s="1"/>
  <c r="AY205"/>
  <c r="BQ207"/>
  <c r="H210"/>
  <c r="AH212" i="3"/>
  <c r="AH212" i="2" s="1"/>
  <c r="AH213"/>
  <c r="AE216"/>
  <c r="X220" i="3"/>
  <c r="X220" i="2" s="1"/>
  <c r="X221"/>
  <c r="G227"/>
  <c r="BC192"/>
  <c r="U194"/>
  <c r="BL195"/>
  <c r="S198"/>
  <c r="BR199"/>
  <c r="AB201"/>
  <c r="BS202"/>
  <c r="AH204" i="3"/>
  <c r="AH204" i="2" s="1"/>
  <c r="AH205"/>
  <c r="L207"/>
  <c r="BU208"/>
  <c r="BG210"/>
  <c r="AP212" i="3"/>
  <c r="AP212" i="2" s="1"/>
  <c r="AP213"/>
  <c r="BI215"/>
  <c r="M218"/>
  <c r="AM222"/>
  <c r="AD227"/>
  <c r="L235"/>
  <c r="CD201"/>
  <c r="AV203"/>
  <c r="CJ204" i="3"/>
  <c r="CJ204" i="2" s="1"/>
  <c r="CJ205"/>
  <c r="BL207"/>
  <c r="AO209"/>
  <c r="P211"/>
  <c r="CF212" i="3"/>
  <c r="CF212" i="2" s="1"/>
  <c r="CF213"/>
  <c r="V216"/>
  <c r="BX218"/>
  <c r="CA223"/>
  <c r="BU228"/>
  <c r="AW236"/>
  <c r="CI214"/>
  <c r="BK216"/>
  <c r="BA218"/>
  <c r="BQ220" i="3"/>
  <c r="BQ220" i="2" s="1"/>
  <c r="BQ221"/>
  <c r="Y224"/>
  <c r="V228"/>
  <c r="BC233"/>
  <c r="AT206"/>
  <c r="CK207"/>
  <c r="AU209"/>
  <c r="M211"/>
  <c r="BI212" i="3"/>
  <c r="BI212" i="2" s="1"/>
  <c r="BI213"/>
  <c r="AJ215"/>
  <c r="T217"/>
  <c r="H219"/>
  <c r="AB222"/>
  <c r="CH224"/>
  <c r="R228"/>
  <c r="AY233"/>
  <c r="BL217"/>
  <c r="CF219"/>
  <c r="AG223"/>
  <c r="AE226"/>
  <c r="BG229" i="3"/>
  <c r="BG229" i="2" s="1"/>
  <c r="BG230"/>
  <c r="O235"/>
  <c r="BP214"/>
  <c r="Z216"/>
  <c r="BY217"/>
  <c r="BI219"/>
  <c r="AI222"/>
  <c r="AD224"/>
  <c r="BK226"/>
  <c r="AH229" i="3"/>
  <c r="AH229" i="2" s="1"/>
  <c r="AH230"/>
  <c r="AR233"/>
  <c r="BI236"/>
  <c r="CH219"/>
  <c r="BS222"/>
  <c r="Q225"/>
  <c r="AX227"/>
  <c r="AC231"/>
  <c r="BF234"/>
  <c r="AC223"/>
  <c r="BT224"/>
  <c r="AL226"/>
  <c r="CC227"/>
  <c r="BA229" i="3"/>
  <c r="BA229" i="2" s="1"/>
  <c r="BA230"/>
  <c r="BA232"/>
  <c r="AY234"/>
  <c r="AZ236"/>
  <c r="BC225"/>
  <c r="U227"/>
  <c r="BL228"/>
  <c r="BF231"/>
  <c r="CA233"/>
  <c r="BZ235"/>
  <c r="BC218"/>
  <c r="R220" i="3"/>
  <c r="R220" i="2" s="1"/>
  <c r="R221"/>
  <c r="BQ222"/>
  <c r="AA224"/>
  <c r="BZ225"/>
  <c r="AJ227"/>
  <c r="CA228"/>
  <c r="BO231"/>
  <c r="BO233"/>
  <c r="BN235"/>
  <c r="BH229" i="3"/>
  <c r="BH229" i="2" s="1"/>
  <c r="BH230"/>
  <c r="R232"/>
  <c r="BQ233"/>
  <c r="AA235"/>
  <c r="BZ236"/>
  <c r="AZ231"/>
  <c r="J233"/>
  <c r="BI234"/>
  <c r="S236"/>
  <c r="AQ163"/>
  <c r="AD164"/>
  <c r="I165"/>
  <c r="BU165"/>
  <c r="AZ166"/>
  <c r="AE167"/>
  <c r="K168"/>
  <c r="CF168"/>
  <c r="BT169"/>
  <c r="BW170" i="3"/>
  <c r="BW170" i="2" s="1"/>
  <c r="BW171"/>
  <c r="BW172"/>
  <c r="BX173"/>
  <c r="BW174"/>
  <c r="BV175"/>
  <c r="BV176"/>
  <c r="BV177"/>
  <c r="BY178" i="3"/>
  <c r="BY178" i="2" s="1"/>
  <c r="BY179"/>
  <c r="BY180"/>
  <c r="BZ181"/>
  <c r="BZ182"/>
  <c r="BZ183"/>
  <c r="BZ184"/>
  <c r="BX185"/>
  <c r="BY186"/>
  <c r="CA187" i="3"/>
  <c r="CA187" i="2" s="1"/>
  <c r="CA188"/>
  <c r="P190"/>
  <c r="AA191"/>
  <c r="AL192"/>
  <c r="AV193"/>
  <c r="BF194"/>
  <c r="BR195"/>
  <c r="CG196" i="3"/>
  <c r="CG196" i="2" s="1"/>
  <c r="CG197"/>
  <c r="L199"/>
  <c r="V200"/>
  <c r="AS201"/>
  <c r="BR202"/>
  <c r="N204" i="3"/>
  <c r="N204" i="2" s="1"/>
  <c r="N205"/>
  <c r="AU206"/>
  <c r="W208"/>
  <c r="BO209"/>
  <c r="AB211"/>
  <c r="J214"/>
  <c r="L216"/>
  <c r="Z218"/>
  <c r="AO222"/>
  <c r="AR226"/>
  <c r="BH233"/>
  <c r="AO168"/>
  <c r="T169"/>
  <c r="CF169"/>
  <c r="BP170" i="3"/>
  <c r="BP170" i="2" s="1"/>
  <c r="BP171"/>
  <c r="AU172"/>
  <c r="Z173"/>
  <c r="M174"/>
  <c r="BY174"/>
  <c r="BD175"/>
  <c r="AI176"/>
  <c r="V177"/>
  <c r="CH177"/>
  <c r="BR178" i="3"/>
  <c r="BR178" i="2" s="1"/>
  <c r="BR179"/>
  <c r="AW180"/>
  <c r="AB181"/>
  <c r="G182"/>
  <c r="BS182"/>
  <c r="AX183"/>
  <c r="AK184"/>
  <c r="P185"/>
  <c r="CB185"/>
  <c r="BG186"/>
  <c r="AQ187" i="3"/>
  <c r="AQ187" i="2" s="1"/>
  <c r="AQ188"/>
  <c r="AD189"/>
  <c r="I190"/>
  <c r="BU190"/>
  <c r="AZ191"/>
  <c r="AE192"/>
  <c r="Q193"/>
  <c r="N194"/>
  <c r="CI194"/>
  <c r="BW195"/>
  <c r="BJ196" i="3"/>
  <c r="BJ196" i="2" s="1"/>
  <c r="BJ197"/>
  <c r="BH198"/>
  <c r="AV199"/>
  <c r="AJ200"/>
  <c r="AE201"/>
  <c r="AD202"/>
  <c r="AD203"/>
  <c r="AG204" i="3"/>
  <c r="AG204" i="2" s="1"/>
  <c r="AG205"/>
  <c r="AJ206"/>
  <c r="AX207"/>
  <c r="BI208"/>
  <c r="BV209"/>
  <c r="CI210"/>
  <c r="O212" i="3"/>
  <c r="O212" i="2" s="1"/>
  <c r="O213"/>
  <c r="AS214"/>
  <c r="U216"/>
  <c r="BT217"/>
  <c r="K220" i="3"/>
  <c r="K220" i="2" s="1"/>
  <c r="K221"/>
  <c r="BC223"/>
  <c r="BS226"/>
  <c r="BG231"/>
  <c r="AC236"/>
  <c r="AW170" i="3"/>
  <c r="AW170" i="2" s="1"/>
  <c r="AW171"/>
  <c r="AJ172"/>
  <c r="AE173"/>
  <c r="R174"/>
  <c r="M175"/>
  <c r="P176"/>
  <c r="AQ177"/>
  <c r="N180"/>
  <c r="BE181"/>
  <c r="O183"/>
  <c r="BF184"/>
  <c r="X186"/>
  <c r="BL187" i="3"/>
  <c r="BL187" i="2" s="1"/>
  <c r="BL188"/>
  <c r="AD190"/>
  <c r="BU191"/>
  <c r="AY193"/>
  <c r="Z195"/>
  <c r="J198"/>
  <c r="BT199"/>
  <c r="CB201"/>
  <c r="S204" i="3"/>
  <c r="S204" i="2" s="1"/>
  <c r="S205"/>
  <c r="AF207"/>
  <c r="BE209"/>
  <c r="CC211"/>
  <c r="BP215"/>
  <c r="T219"/>
  <c r="BX225"/>
  <c r="CG235"/>
  <c r="BV193"/>
  <c r="AN195"/>
  <c r="CB196" i="3"/>
  <c r="CB196" i="2" s="1"/>
  <c r="CB197"/>
  <c r="AT199"/>
  <c r="CK200"/>
  <c r="AU202"/>
  <c r="J204" i="3"/>
  <c r="J204" i="2" s="1"/>
  <c r="J205"/>
  <c r="BQ206"/>
  <c r="AT208"/>
  <c r="AE210"/>
  <c r="N212" i="3"/>
  <c r="N212" i="2" s="1"/>
  <c r="N213"/>
  <c r="Y215"/>
  <c r="AZ217"/>
  <c r="BP220" i="3"/>
  <c r="BP220" i="2" s="1"/>
  <c r="BP221"/>
  <c r="G226"/>
  <c r="BX233"/>
  <c r="BF201"/>
  <c r="X203"/>
  <c r="BL204" i="3"/>
  <c r="BL204" i="2" s="1"/>
  <c r="BL205"/>
  <c r="AK207"/>
  <c r="M209"/>
  <c r="BW210"/>
  <c r="AX212" i="3"/>
  <c r="AX212" i="2" s="1"/>
  <c r="AX213"/>
  <c r="BR215"/>
  <c r="Y218"/>
  <c r="L223"/>
  <c r="BZ227"/>
  <c r="CH234"/>
  <c r="BG214"/>
  <c r="AJ216"/>
  <c r="V218"/>
  <c r="AF220" i="3"/>
  <c r="AF220" i="2" s="1"/>
  <c r="AF221"/>
  <c r="BO223"/>
  <c r="AM227"/>
  <c r="BX232"/>
  <c r="V206"/>
  <c r="BM207"/>
  <c r="W209"/>
  <c r="BN210"/>
  <c r="AK212" i="3"/>
  <c r="AK212" i="2" s="1"/>
  <c r="AK213"/>
  <c r="I215"/>
  <c r="CA216"/>
  <c r="BI218"/>
  <c r="BZ220" i="3"/>
  <c r="BZ220" i="2" s="1"/>
  <c r="BZ221"/>
  <c r="AJ224"/>
  <c r="AY227"/>
  <c r="AY232"/>
  <c r="AJ217"/>
  <c r="AU219"/>
  <c r="BX222"/>
  <c r="BM225"/>
  <c r="CD228"/>
  <c r="AB234"/>
  <c r="AR214"/>
  <c r="CI215"/>
  <c r="BA217"/>
  <c r="AG219"/>
  <c r="H222"/>
  <c r="CE223"/>
  <c r="X226"/>
  <c r="BR228"/>
  <c r="CE232"/>
  <c r="J236"/>
  <c r="BG219"/>
  <c r="AP222"/>
  <c r="BK224"/>
  <c r="K227"/>
  <c r="BL229" i="3"/>
  <c r="BL229" i="2" s="1"/>
  <c r="BL230"/>
  <c r="BW233"/>
  <c r="CD222"/>
  <c r="AV224"/>
  <c r="N226"/>
  <c r="BE227"/>
  <c r="U229" i="3"/>
  <c r="U229" i="2" s="1"/>
  <c r="U230"/>
  <c r="U232"/>
  <c r="S234"/>
  <c r="T236"/>
  <c r="AE225"/>
  <c r="BV226"/>
  <c r="AN228"/>
  <c r="Z231"/>
  <c r="AU233"/>
  <c r="AT235"/>
  <c r="AE218"/>
  <c r="BV219"/>
  <c r="AS222"/>
  <c r="CJ223"/>
  <c r="BB225"/>
  <c r="L227"/>
  <c r="BC228"/>
  <c r="AI231"/>
  <c r="AI233"/>
  <c r="AH235"/>
  <c r="AJ229" i="3"/>
  <c r="AJ229" i="2" s="1"/>
  <c r="AJ230"/>
  <c r="CA231"/>
  <c r="AS233"/>
  <c r="CJ234"/>
  <c r="BB236"/>
  <c r="AB231"/>
  <c r="BS232"/>
  <c r="AK234"/>
  <c r="CB235"/>
  <c r="AI163"/>
  <c r="V164"/>
  <c r="CH164"/>
  <c r="BM165"/>
  <c r="AR166"/>
  <c r="W167"/>
  <c r="CI167"/>
  <c r="BW168"/>
  <c r="BK169"/>
  <c r="BL170" i="3"/>
  <c r="BL170" i="2" s="1"/>
  <c r="BL171"/>
  <c r="BM172"/>
  <c r="BM173"/>
  <c r="BL174"/>
  <c r="BK175"/>
  <c r="BK176"/>
  <c r="BL177"/>
  <c r="BN178" i="3"/>
  <c r="BN178" i="2" s="1"/>
  <c r="BN179"/>
  <c r="BO180"/>
  <c r="BO181"/>
  <c r="BO182"/>
  <c r="BP183"/>
  <c r="BO184"/>
  <c r="BN185"/>
  <c r="BN186"/>
  <c r="BQ187" i="3"/>
  <c r="BQ187" i="2" s="1"/>
  <c r="BQ188"/>
  <c r="CB189"/>
  <c r="P191"/>
  <c r="AA192"/>
  <c r="AK193"/>
  <c r="AT194"/>
  <c r="BG195"/>
  <c r="BV196" i="3"/>
  <c r="BV196" i="2" s="1"/>
  <c r="BV197"/>
  <c r="CG198"/>
  <c r="K200"/>
  <c r="AD201"/>
  <c r="BD202"/>
  <c r="CE203"/>
  <c r="AC206"/>
  <c r="BY207"/>
  <c r="BA209"/>
  <c r="K211"/>
  <c r="BX212" i="3"/>
  <c r="BX212" i="2" s="1"/>
  <c r="BX213"/>
  <c r="BZ215"/>
  <c r="CJ217"/>
  <c r="I222"/>
  <c r="CB225"/>
  <c r="CH232"/>
  <c r="AG168"/>
  <c r="L169"/>
  <c r="BX169"/>
  <c r="BH170" i="3"/>
  <c r="BH170" i="2" s="1"/>
  <c r="BH171"/>
  <c r="AM172"/>
  <c r="R173"/>
  <c r="CD173"/>
  <c r="BQ174"/>
  <c r="AV175"/>
  <c r="AA176"/>
  <c r="N177"/>
  <c r="BZ177"/>
  <c r="BJ178" i="3"/>
  <c r="BJ178" i="2" s="1"/>
  <c r="BJ179"/>
  <c r="AO180"/>
  <c r="T181"/>
  <c r="CF181"/>
  <c r="BK182"/>
  <c r="AP183"/>
  <c r="AC184"/>
  <c r="H185"/>
  <c r="BT185"/>
  <c r="AY186"/>
  <c r="AI187" i="3"/>
  <c r="AI187" i="2" s="1"/>
  <c r="AI188"/>
  <c r="V189"/>
  <c r="CH189"/>
  <c r="BM190"/>
  <c r="AR191"/>
  <c r="W192"/>
  <c r="H193"/>
  <c r="CC193"/>
  <c r="BZ194"/>
  <c r="BN195"/>
  <c r="BA196" i="3"/>
  <c r="BA196" i="2" s="1"/>
  <c r="BA197"/>
  <c r="AX198"/>
  <c r="AM199"/>
  <c r="AA200"/>
  <c r="U201"/>
  <c r="S202"/>
  <c r="T203"/>
  <c r="V204" i="3"/>
  <c r="V204" i="2" s="1"/>
  <c r="V205"/>
  <c r="Y206"/>
  <c r="AJ207"/>
  <c r="AW208"/>
  <c r="BJ209"/>
  <c r="BU210"/>
  <c r="CH211"/>
  <c r="AC214"/>
  <c r="BX215"/>
  <c r="BB217"/>
  <c r="CB219"/>
  <c r="Z223"/>
  <c r="AM226"/>
  <c r="M231"/>
  <c r="AX235"/>
  <c r="AO170" i="3"/>
  <c r="AO170" i="2" s="1"/>
  <c r="AO171"/>
  <c r="AB172"/>
  <c r="O173"/>
  <c r="J174"/>
  <c r="CD174"/>
  <c r="H176"/>
  <c r="AI177"/>
  <c r="CE178" i="3"/>
  <c r="CE178" i="2" s="1"/>
  <c r="CE179"/>
  <c r="AW181"/>
  <c r="G183"/>
  <c r="AX184"/>
  <c r="P186"/>
  <c r="BD187" i="3"/>
  <c r="BD187" i="2" s="1"/>
  <c r="BD188"/>
  <c r="V190"/>
  <c r="BM191"/>
  <c r="AO193"/>
  <c r="Q195"/>
  <c r="CH196" i="3"/>
  <c r="CH196" i="2" s="1"/>
  <c r="CH197"/>
  <c r="BK199"/>
  <c r="BR201"/>
  <c r="G204" i="3"/>
  <c r="G204" i="2" s="1"/>
  <c r="G205"/>
  <c r="T207"/>
  <c r="AS209"/>
  <c r="BP211"/>
  <c r="AZ215"/>
  <c r="CJ218"/>
  <c r="AK225"/>
  <c r="AE235"/>
  <c r="BN193"/>
  <c r="AF195"/>
  <c r="BT196" i="3"/>
  <c r="BT196" i="2" s="1"/>
  <c r="BT197"/>
  <c r="AL199"/>
  <c r="CC200"/>
  <c r="AM202"/>
  <c r="CD203"/>
  <c r="BH206"/>
  <c r="AK208"/>
  <c r="V210"/>
  <c r="CD211"/>
  <c r="M215"/>
  <c r="AL217"/>
  <c r="AU220" i="3"/>
  <c r="AU220" i="2" s="1"/>
  <c r="AU221"/>
  <c r="BN225"/>
  <c r="AM233"/>
  <c r="AX201"/>
  <c r="P203"/>
  <c r="BD204" i="3"/>
  <c r="BD204" i="2" s="1"/>
  <c r="BD205"/>
  <c r="AB207"/>
  <c r="CK208"/>
  <c r="BM210"/>
  <c r="AN212" i="3"/>
  <c r="AN212" i="2" s="1"/>
  <c r="AN213"/>
  <c r="BG215"/>
  <c r="H218"/>
  <c r="BW222"/>
  <c r="AV227"/>
  <c r="AW234"/>
  <c r="AX214"/>
  <c r="AA216"/>
  <c r="L218"/>
  <c r="T220" i="3"/>
  <c r="T220" i="2" s="1"/>
  <c r="T221"/>
  <c r="BB223"/>
  <c r="V227"/>
  <c r="BB232"/>
  <c r="N206"/>
  <c r="BE207"/>
  <c r="O209"/>
  <c r="BF210"/>
  <c r="AC212" i="3"/>
  <c r="AC212" i="2" s="1"/>
  <c r="AC213"/>
  <c r="CG214"/>
  <c r="BR216"/>
  <c r="AY218"/>
  <c r="BM220" i="3"/>
  <c r="BM220" i="2" s="1"/>
  <c r="BM221"/>
  <c r="V224"/>
  <c r="AH227"/>
  <c r="X232"/>
  <c r="AA217"/>
  <c r="AK219"/>
  <c r="BJ222"/>
  <c r="AW225"/>
  <c r="BM228"/>
  <c r="BR233"/>
  <c r="AJ214"/>
  <c r="CA215"/>
  <c r="AS217"/>
  <c r="X219"/>
  <c r="CG220" i="3"/>
  <c r="CG220" i="2" s="1"/>
  <c r="CG221"/>
  <c r="BU223"/>
  <c r="L226"/>
  <c r="BF228"/>
  <c r="BM232"/>
  <c r="CA235"/>
  <c r="AW219"/>
  <c r="AG222"/>
  <c r="AX224"/>
  <c r="CG226"/>
  <c r="AV229" i="3"/>
  <c r="AV229" i="2" s="1"/>
  <c r="AV230"/>
  <c r="BG233"/>
  <c r="BV222"/>
  <c r="AN224"/>
  <c r="CE225"/>
  <c r="AW227"/>
  <c r="L229" i="3"/>
  <c r="L229" i="2" s="1"/>
  <c r="L230"/>
  <c r="K232"/>
  <c r="I234"/>
  <c r="I236"/>
  <c r="W225"/>
  <c r="BN226"/>
  <c r="AF228"/>
  <c r="P231"/>
  <c r="AJ233"/>
  <c r="AJ235"/>
  <c r="W218"/>
  <c r="BN219"/>
  <c r="AK222"/>
  <c r="CB223"/>
  <c r="AT225"/>
  <c r="CK226"/>
  <c r="AU228"/>
  <c r="Y231"/>
  <c r="X233"/>
  <c r="W235"/>
  <c r="AB229" i="3"/>
  <c r="AB229" i="2" s="1"/>
  <c r="AB230"/>
  <c r="BS231"/>
  <c r="AK233"/>
  <c r="CB234"/>
  <c r="AT236"/>
  <c r="T231"/>
  <c r="BK232"/>
  <c r="AC234"/>
  <c r="BT235"/>
  <c r="AY177"/>
  <c r="AI178" i="3"/>
  <c r="AI178" i="2" s="1"/>
  <c r="AI179"/>
  <c r="V180"/>
  <c r="CH180"/>
  <c r="BM181"/>
  <c r="AR182"/>
  <c r="W183"/>
  <c r="CI183"/>
  <c r="BN184"/>
  <c r="BA185"/>
  <c r="AF186"/>
  <c r="H187" i="3"/>
  <c r="H187" i="2" s="1"/>
  <c r="H188"/>
  <c r="BT187" i="3"/>
  <c r="BT187" i="2" s="1"/>
  <c r="BT188"/>
  <c r="AY189"/>
  <c r="AL190"/>
  <c r="Q191"/>
  <c r="CC191"/>
  <c r="BJ192"/>
  <c r="BH193"/>
  <c r="AU194"/>
  <c r="AI195"/>
  <c r="AE196" i="3"/>
  <c r="AE196" i="2" s="1"/>
  <c r="AE197"/>
  <c r="T198"/>
  <c r="H199"/>
  <c r="CC199"/>
  <c r="CB200"/>
  <c r="P202"/>
  <c r="AA203"/>
  <c r="AC204" i="3"/>
  <c r="AC204" i="2" s="1"/>
  <c r="AC205"/>
  <c r="AF206"/>
  <c r="AR207"/>
  <c r="BE208"/>
  <c r="BQ209"/>
  <c r="CC210"/>
  <c r="I212" i="3"/>
  <c r="I212" i="2" s="1"/>
  <c r="I213"/>
  <c r="AN214"/>
  <c r="CG215"/>
  <c r="AR217"/>
  <c r="AS219"/>
  <c r="N223"/>
  <c r="T226"/>
  <c r="AW231"/>
  <c r="BL236"/>
  <c r="R193"/>
  <c r="CD193"/>
  <c r="BQ194"/>
  <c r="AV195"/>
  <c r="X196" i="3"/>
  <c r="X196" i="2" s="1"/>
  <c r="X197"/>
  <c r="CJ196" i="3"/>
  <c r="CJ196" i="2" s="1"/>
  <c r="CJ197"/>
  <c r="BO198"/>
  <c r="BB199"/>
  <c r="AG200"/>
  <c r="L201"/>
  <c r="BX201"/>
  <c r="BC202"/>
  <c r="AH203"/>
  <c r="R204" i="3"/>
  <c r="R204" i="2" s="1"/>
  <c r="R205"/>
  <c r="CD204" i="3"/>
  <c r="CD204" i="2" s="1"/>
  <c r="CD205"/>
  <c r="CA206"/>
  <c r="BO207"/>
  <c r="BC208"/>
  <c r="AZ209"/>
  <c r="AN210"/>
  <c r="AA211"/>
  <c r="W212" i="3"/>
  <c r="W212" i="2" s="1"/>
  <c r="W213"/>
  <c r="Y214"/>
  <c r="AK215"/>
  <c r="AW216"/>
  <c r="BO217"/>
  <c r="Y219"/>
  <c r="CH220" i="3"/>
  <c r="CH220" i="2" s="1"/>
  <c r="CH221"/>
  <c r="CH223"/>
  <c r="AF226"/>
  <c r="Q229" i="3"/>
  <c r="Q229" i="2" s="1"/>
  <c r="Q230"/>
  <c r="T234"/>
  <c r="CI200"/>
  <c r="BN201"/>
  <c r="BA202"/>
  <c r="AF203"/>
  <c r="H204" i="3"/>
  <c r="H204" i="2" s="1"/>
  <c r="H205"/>
  <c r="BT204" i="3"/>
  <c r="BT204" i="2" s="1"/>
  <c r="BT205"/>
  <c r="BF206"/>
  <c r="AT207"/>
  <c r="AH208"/>
  <c r="V209"/>
  <c r="K210"/>
  <c r="CF210"/>
  <c r="BS211"/>
  <c r="BH212" i="3"/>
  <c r="BH212" i="2" s="1"/>
  <c r="BH213"/>
  <c r="BS214"/>
  <c r="CE215"/>
  <c r="H217"/>
  <c r="AP218"/>
  <c r="AQ220" i="3"/>
  <c r="AQ220" i="2" s="1"/>
  <c r="AQ221"/>
  <c r="AH223"/>
  <c r="BI225"/>
  <c r="N228"/>
  <c r="L232"/>
  <c r="AU235"/>
  <c r="BS212" i="3"/>
  <c r="BS212" i="2" s="1"/>
  <c r="BS213"/>
  <c r="BQ214"/>
  <c r="BE215"/>
  <c r="AS216"/>
  <c r="AO217"/>
  <c r="AG218"/>
  <c r="AE219"/>
  <c r="AR220" i="3"/>
  <c r="AR220" i="2" s="1"/>
  <c r="AR221"/>
  <c r="BD222"/>
  <c r="CD223"/>
  <c r="BE225"/>
  <c r="BD227"/>
  <c r="BS229" i="3"/>
  <c r="BS229" i="2" s="1"/>
  <c r="BS230"/>
  <c r="L233"/>
  <c r="AC235"/>
  <c r="AD206"/>
  <c r="I207"/>
  <c r="BU207"/>
  <c r="AZ208"/>
  <c r="AE209"/>
  <c r="J210"/>
  <c r="BV210"/>
  <c r="BI211"/>
  <c r="AS212" i="3"/>
  <c r="AS212" i="2" s="1"/>
  <c r="AS213"/>
  <c r="AD214"/>
  <c r="R215"/>
  <c r="O216"/>
  <c r="CJ216"/>
  <c r="BW217"/>
  <c r="BT218"/>
  <c r="BW219"/>
  <c r="CK220" i="3"/>
  <c r="CK220" i="2" s="1"/>
  <c r="CK221"/>
  <c r="V223"/>
  <c r="BA224"/>
  <c r="S226"/>
  <c r="BR227"/>
  <c r="AN229" i="3"/>
  <c r="AN229" i="2" s="1"/>
  <c r="AN230"/>
  <c r="BT232"/>
  <c r="R235"/>
  <c r="AT217"/>
  <c r="AW218"/>
  <c r="BH219"/>
  <c r="BW220" i="3"/>
  <c r="BW220" i="2" s="1"/>
  <c r="BW221"/>
  <c r="CK222"/>
  <c r="AG224"/>
  <c r="CD225"/>
  <c r="AU227"/>
  <c r="M229" i="3"/>
  <c r="M229" i="2" s="1"/>
  <c r="M230"/>
  <c r="T232"/>
  <c r="AX234"/>
  <c r="BU212" i="3"/>
  <c r="BU212" i="2" s="1"/>
  <c r="BU213"/>
  <c r="AZ214"/>
  <c r="AE215"/>
  <c r="J216"/>
  <c r="BV216"/>
  <c r="BI217"/>
  <c r="AS218"/>
  <c r="AQ219"/>
  <c r="AD220" i="3"/>
  <c r="AD220" i="2" s="1"/>
  <c r="AD221"/>
  <c r="Q222"/>
  <c r="I223"/>
  <c r="I224"/>
  <c r="T225"/>
  <c r="AK226"/>
  <c r="BB227"/>
  <c r="CE228"/>
  <c r="AX231"/>
  <c r="K233"/>
  <c r="BH234"/>
  <c r="AB236"/>
  <c r="BX235"/>
  <c r="BP219"/>
  <c r="BC220" i="3"/>
  <c r="BC220" i="2" s="1"/>
  <c r="BC221"/>
  <c r="AY222"/>
  <c r="BG223"/>
  <c r="BY224"/>
  <c r="H226"/>
  <c r="X227"/>
  <c r="AP228"/>
  <c r="CD229" i="3"/>
  <c r="CD229" i="2" s="1"/>
  <c r="CD230"/>
  <c r="AR232"/>
  <c r="V234"/>
  <c r="G236"/>
  <c r="M223"/>
  <c r="BY223"/>
  <c r="BD224"/>
  <c r="AI225"/>
  <c r="V226"/>
  <c r="CH226"/>
  <c r="BM227"/>
  <c r="AR228"/>
  <c r="AE229" i="3"/>
  <c r="AE229" i="2" s="1"/>
  <c r="AE230"/>
  <c r="AF231"/>
  <c r="AF232"/>
  <c r="AE233"/>
  <c r="AD234"/>
  <c r="AD235"/>
  <c r="AE236"/>
  <c r="BH224"/>
  <c r="AM225"/>
  <c r="R226"/>
  <c r="CD226"/>
  <c r="BQ227"/>
  <c r="AV228"/>
  <c r="Z229" i="3"/>
  <c r="Z229" i="2" s="1"/>
  <c r="Z230"/>
  <c r="AK231"/>
  <c r="AV232"/>
  <c r="BE233"/>
  <c r="BE234"/>
  <c r="BE235"/>
  <c r="BE236"/>
  <c r="AM218"/>
  <c r="R219"/>
  <c r="CD219"/>
  <c r="BN220" i="3"/>
  <c r="BN220" i="2" s="1"/>
  <c r="BN221"/>
  <c r="BA222"/>
  <c r="AF223"/>
  <c r="K224"/>
  <c r="BW224"/>
  <c r="BJ225"/>
  <c r="AO226"/>
  <c r="T227"/>
  <c r="CF227"/>
  <c r="BK228"/>
  <c r="AT229" i="3"/>
  <c r="AT229" i="2" s="1"/>
  <c r="AT230"/>
  <c r="AT231"/>
  <c r="AT232"/>
  <c r="AT233"/>
  <c r="AR234"/>
  <c r="AS235"/>
  <c r="AS236"/>
  <c r="AR229" i="3"/>
  <c r="AR229" i="2" s="1"/>
  <c r="AR230"/>
  <c r="W231"/>
  <c r="CI231"/>
  <c r="BN232"/>
  <c r="BA233"/>
  <c r="AF234"/>
  <c r="K235"/>
  <c r="BW235"/>
  <c r="BJ236"/>
  <c r="BE229" i="3"/>
  <c r="BE229" i="2" s="1"/>
  <c r="BE230"/>
  <c r="AJ231"/>
  <c r="O232"/>
  <c r="CA232"/>
  <c r="BF233"/>
  <c r="AS234"/>
  <c r="X235"/>
  <c r="CJ235"/>
  <c r="BO236"/>
  <c r="BQ175"/>
  <c r="AV176"/>
  <c r="AA177"/>
  <c r="K178" i="3"/>
  <c r="K178" i="2" s="1"/>
  <c r="K179"/>
  <c r="BW178" i="3"/>
  <c r="BW178" i="2" s="1"/>
  <c r="BW179"/>
  <c r="BJ180"/>
  <c r="AO181"/>
  <c r="T182"/>
  <c r="CF182"/>
  <c r="BK183"/>
  <c r="AP184"/>
  <c r="AC185"/>
  <c r="H186"/>
  <c r="BT186"/>
  <c r="AV187" i="3"/>
  <c r="AV187" i="2" s="1"/>
  <c r="AV188"/>
  <c r="AA189"/>
  <c r="N190"/>
  <c r="BZ190"/>
  <c r="BE191"/>
  <c r="AJ192"/>
  <c r="AF193"/>
  <c r="S194"/>
  <c r="G195"/>
  <c r="CC195"/>
  <c r="BY196" i="3"/>
  <c r="BY196" i="2" s="1"/>
  <c r="BY197"/>
  <c r="BM198"/>
  <c r="BA199"/>
  <c r="AY200"/>
  <c r="BG201"/>
  <c r="BP202"/>
  <c r="CA203"/>
  <c r="CE204" i="3"/>
  <c r="CE204" i="2" s="1"/>
  <c r="CE205"/>
  <c r="G207"/>
  <c r="U208"/>
  <c r="AG209"/>
  <c r="AS210"/>
  <c r="BE211"/>
  <c r="BY212" i="3"/>
  <c r="BY212" i="2" s="1"/>
  <c r="BY213"/>
  <c r="AI215"/>
  <c r="CB216"/>
  <c r="BO218"/>
  <c r="R222"/>
  <c r="CI224"/>
  <c r="Z228"/>
  <c r="BM234"/>
  <c r="CA192"/>
  <c r="BF193"/>
  <c r="AS194"/>
  <c r="X195"/>
  <c r="CJ195"/>
  <c r="BL196" i="3"/>
  <c r="BL196" i="2" s="1"/>
  <c r="BL197"/>
  <c r="AQ198"/>
  <c r="AD199"/>
  <c r="I200"/>
  <c r="BU200"/>
  <c r="AZ201"/>
  <c r="AE202"/>
  <c r="J203"/>
  <c r="BV203"/>
  <c r="BF204" i="3"/>
  <c r="BF204" i="2" s="1"/>
  <c r="BF205"/>
  <c r="AY206"/>
  <c r="AM207"/>
  <c r="AA208"/>
  <c r="Y209"/>
  <c r="M210"/>
  <c r="CH210"/>
  <c r="BU211"/>
  <c r="BW212" i="3"/>
  <c r="BW212" i="2" s="1"/>
  <c r="BW213"/>
  <c r="CH214"/>
  <c r="M216"/>
  <c r="X217"/>
  <c r="BJ218"/>
  <c r="AA220" i="3"/>
  <c r="AA220" i="2" s="1"/>
  <c r="AA221"/>
  <c r="O223"/>
  <c r="AO225"/>
  <c r="Y228"/>
  <c r="BD232"/>
  <c r="BC236"/>
  <c r="AP201"/>
  <c r="AC202"/>
  <c r="H203"/>
  <c r="BT203"/>
  <c r="AV204" i="3"/>
  <c r="AV204" i="2" s="1"/>
  <c r="AV205"/>
  <c r="AE206"/>
  <c r="S207"/>
  <c r="G208"/>
  <c r="CB208"/>
  <c r="BP209"/>
  <c r="BD210"/>
  <c r="AQ211"/>
  <c r="AD212" i="3"/>
  <c r="AD212" i="2" s="1"/>
  <c r="AD213"/>
  <c r="AH214"/>
  <c r="AT215"/>
  <c r="BG216"/>
  <c r="CA217"/>
  <c r="BD219"/>
  <c r="BC222"/>
  <c r="BQ224"/>
  <c r="W227"/>
  <c r="BY229" i="3"/>
  <c r="BY229" i="2" s="1"/>
  <c r="BY230"/>
  <c r="O234"/>
  <c r="AU212" i="3"/>
  <c r="AU212" i="2" s="1"/>
  <c r="AU213"/>
  <c r="AO214"/>
  <c r="AC215"/>
  <c r="Q216"/>
  <c r="N217"/>
  <c r="CI217"/>
  <c r="CG218"/>
  <c r="G220" i="3"/>
  <c r="G220" i="2" s="1"/>
  <c r="G221"/>
  <c r="S222"/>
  <c r="AM223"/>
  <c r="BU224"/>
  <c r="BW226"/>
  <c r="BV228"/>
  <c r="AG232"/>
  <c r="AL234"/>
  <c r="CC236"/>
  <c r="BR206"/>
  <c r="AW207"/>
  <c r="AB208"/>
  <c r="G209"/>
  <c r="BS209"/>
  <c r="AX210"/>
  <c r="AK211"/>
  <c r="U212" i="3"/>
  <c r="U212" i="2" s="1"/>
  <c r="U213"/>
  <c r="CI212" i="3"/>
  <c r="CI212" i="2" s="1"/>
  <c r="CI213"/>
  <c r="BW214"/>
  <c r="BL215"/>
  <c r="BI216"/>
  <c r="AV217"/>
  <c r="AO218"/>
  <c r="AM219"/>
  <c r="BA220" i="3"/>
  <c r="BA220" i="2" s="1"/>
  <c r="BA221"/>
  <c r="BM222"/>
  <c r="G224"/>
  <c r="AZ225"/>
  <c r="R227"/>
  <c r="BQ228"/>
  <c r="BR231"/>
  <c r="AG234"/>
  <c r="BS236"/>
  <c r="Q218"/>
  <c r="AA219"/>
  <c r="AL220" i="3"/>
  <c r="AL220" i="2" s="1"/>
  <c r="AL221"/>
  <c r="AW222"/>
  <c r="BW223"/>
  <c r="AF225"/>
  <c r="CE226"/>
  <c r="AW228"/>
  <c r="AN231"/>
  <c r="AV233"/>
  <c r="L236"/>
  <c r="AB214"/>
  <c r="G215"/>
  <c r="BS215"/>
  <c r="AX216"/>
  <c r="AK217"/>
  <c r="R218"/>
  <c r="O219"/>
  <c r="CJ219"/>
  <c r="BX220" i="3"/>
  <c r="BX220" i="2" s="1"/>
  <c r="BX221"/>
  <c r="BK222"/>
  <c r="BJ223"/>
  <c r="BN224"/>
  <c r="CF225"/>
  <c r="O227"/>
  <c r="AS228"/>
  <c r="CH229" i="3"/>
  <c r="CH229" i="2" s="1"/>
  <c r="CH230"/>
  <c r="AW232"/>
  <c r="J234"/>
  <c r="BI235"/>
  <c r="Z235"/>
  <c r="BX236"/>
  <c r="AB220" i="3"/>
  <c r="AB220" i="2" s="1"/>
  <c r="AB221"/>
  <c r="X222"/>
  <c r="AA223"/>
  <c r="AL224"/>
  <c r="BD225"/>
  <c r="BT226"/>
  <c r="CJ227"/>
  <c r="AD229" i="3"/>
  <c r="AD229" i="2" s="1"/>
  <c r="AD230"/>
  <c r="CC231"/>
  <c r="AN233"/>
  <c r="AM235"/>
  <c r="BN222"/>
  <c r="BA223"/>
  <c r="AF224"/>
  <c r="K225"/>
  <c r="BW225"/>
  <c r="BJ226"/>
  <c r="AO227"/>
  <c r="T228"/>
  <c r="CF228"/>
  <c r="CG229" i="3"/>
  <c r="CG229" i="2" s="1"/>
  <c r="CG230"/>
  <c r="CG231"/>
  <c r="CG232"/>
  <c r="CF233"/>
  <c r="CE234"/>
  <c r="CF235"/>
  <c r="CF236"/>
  <c r="O225"/>
  <c r="CA225"/>
  <c r="BF226"/>
  <c r="AS227"/>
  <c r="X228"/>
  <c r="CJ228"/>
  <c r="CA229" i="3"/>
  <c r="CA229" i="2" s="1"/>
  <c r="CA230"/>
  <c r="P232"/>
  <c r="Y233"/>
  <c r="Y234"/>
  <c r="Y235"/>
  <c r="Y236"/>
  <c r="O218"/>
  <c r="CA218"/>
  <c r="BF219"/>
  <c r="AP220" i="3"/>
  <c r="AP220" i="2" s="1"/>
  <c r="AP221"/>
  <c r="AC222"/>
  <c r="H223"/>
  <c r="BT223"/>
  <c r="AY224"/>
  <c r="AL225"/>
  <c r="Q226"/>
  <c r="CC226"/>
  <c r="BH227"/>
  <c r="AM228"/>
  <c r="O229" i="3"/>
  <c r="O229" i="2" s="1"/>
  <c r="O230"/>
  <c r="N231"/>
  <c r="N232"/>
  <c r="N233"/>
  <c r="L234"/>
  <c r="M235"/>
  <c r="M236"/>
  <c r="T229" i="3"/>
  <c r="T229" i="2" s="1"/>
  <c r="T230"/>
  <c r="CF229" i="3"/>
  <c r="CF229" i="2" s="1"/>
  <c r="CF230"/>
  <c r="BK231"/>
  <c r="AP232"/>
  <c r="AC233"/>
  <c r="H234"/>
  <c r="BT234"/>
  <c r="AY235"/>
  <c r="AL236"/>
  <c r="AG229" i="3"/>
  <c r="AG229" i="2" s="1"/>
  <c r="AG230"/>
  <c r="L231"/>
  <c r="BX231"/>
  <c r="BC232"/>
  <c r="AH233"/>
  <c r="U234"/>
  <c r="CG234"/>
  <c r="BL235"/>
  <c r="AQ236"/>
  <c r="BI175"/>
  <c r="AN176"/>
  <c r="S177"/>
  <c r="CE177"/>
  <c r="BO178" i="3"/>
  <c r="BO178" i="2" s="1"/>
  <c r="BO179"/>
  <c r="BB180"/>
  <c r="AG181"/>
  <c r="L182"/>
  <c r="BX182"/>
  <c r="BC183"/>
  <c r="AH184"/>
  <c r="U185"/>
  <c r="CG185"/>
  <c r="BL186"/>
  <c r="AN187" i="3"/>
  <c r="AN187" i="2" s="1"/>
  <c r="AN188"/>
  <c r="S189"/>
  <c r="CE189"/>
  <c r="BR190"/>
  <c r="AW191"/>
  <c r="AB192"/>
  <c r="W193"/>
  <c r="J194"/>
  <c r="CE194"/>
  <c r="BS195"/>
  <c r="BP196" i="3"/>
  <c r="BP196" i="2" s="1"/>
  <c r="BP197"/>
  <c r="BD198"/>
  <c r="AR199"/>
  <c r="AP200"/>
  <c r="AV201"/>
  <c r="BF202"/>
  <c r="BQ203"/>
  <c r="BS204" i="3"/>
  <c r="BS204" i="2" s="1"/>
  <c r="BS205"/>
  <c r="CC206"/>
  <c r="H208"/>
  <c r="T209"/>
  <c r="AG210"/>
  <c r="AR211"/>
  <c r="BJ212" i="3"/>
  <c r="BJ212" i="2" s="1"/>
  <c r="BJ213"/>
  <c r="S215"/>
  <c r="BM216"/>
  <c r="AR218"/>
  <c r="BY220" i="3"/>
  <c r="BY220" i="2" s="1"/>
  <c r="BY221"/>
  <c r="BC224"/>
  <c r="BV227"/>
  <c r="G234"/>
  <c r="BS192"/>
  <c r="AX193"/>
  <c r="AK194"/>
  <c r="P195"/>
  <c r="CB195"/>
  <c r="BD196" i="3"/>
  <c r="BD196" i="2" s="1"/>
  <c r="BD197"/>
  <c r="AI198"/>
  <c r="V199"/>
  <c r="CH199"/>
  <c r="BM200"/>
  <c r="AR201"/>
  <c r="W202"/>
  <c r="CI202"/>
  <c r="BN203"/>
  <c r="AX204" i="3"/>
  <c r="AX204" i="2" s="1"/>
  <c r="AX205"/>
  <c r="AP206"/>
  <c r="AD207"/>
  <c r="R208"/>
  <c r="P209"/>
  <c r="CK209"/>
  <c r="BY210"/>
  <c r="BL211"/>
  <c r="BL212" i="3"/>
  <c r="BL212" i="2" s="1"/>
  <c r="BL213"/>
  <c r="BU214"/>
  <c r="CH215"/>
  <c r="J217"/>
  <c r="AT218"/>
  <c r="H220" i="3"/>
  <c r="H220" i="2" s="1"/>
  <c r="H221"/>
  <c r="CB222"/>
  <c r="L225"/>
  <c r="CE227"/>
  <c r="S232"/>
  <c r="P236"/>
  <c r="AH201"/>
  <c r="U202"/>
  <c r="CG202"/>
  <c r="BL203"/>
  <c r="AN204" i="3"/>
  <c r="AN204" i="2" s="1"/>
  <c r="AN205"/>
  <c r="U206"/>
  <c r="J207"/>
  <c r="CE207"/>
  <c r="BS208"/>
  <c r="BG209"/>
  <c r="AU210"/>
  <c r="AH211"/>
  <c r="T212" i="3"/>
  <c r="T212" i="2" s="1"/>
  <c r="T213"/>
  <c r="V214"/>
  <c r="AH215"/>
  <c r="AU216"/>
  <c r="BK217"/>
  <c r="AL219"/>
  <c r="AH222"/>
  <c r="AP224"/>
  <c r="CB226"/>
  <c r="AQ229" i="3"/>
  <c r="AQ229" i="2" s="1"/>
  <c r="AQ230"/>
  <c r="BM233"/>
  <c r="AM212" i="3"/>
  <c r="AM212" i="2" s="1"/>
  <c r="AM213"/>
  <c r="AF214"/>
  <c r="T215"/>
  <c r="H216"/>
  <c r="CC216"/>
  <c r="BZ217"/>
  <c r="BW218"/>
  <c r="BZ219"/>
  <c r="G222"/>
  <c r="Y223"/>
  <c r="BE224"/>
  <c r="BD226"/>
  <c r="BE228"/>
  <c r="H232"/>
  <c r="Q234"/>
  <c r="AX236"/>
  <c r="BJ206"/>
  <c r="AO207"/>
  <c r="T208"/>
  <c r="CF208"/>
  <c r="BK209"/>
  <c r="AP210"/>
  <c r="AC211"/>
  <c r="M212" i="3"/>
  <c r="M212" i="2" s="1"/>
  <c r="M213"/>
  <c r="BZ212" i="3"/>
  <c r="BZ212" i="2" s="1"/>
  <c r="BZ213"/>
  <c r="BN214"/>
  <c r="BB215"/>
  <c r="AZ216"/>
  <c r="AM217"/>
  <c r="AD218"/>
  <c r="AC219"/>
  <c r="AO220" i="3"/>
  <c r="AO220" i="2" s="1"/>
  <c r="AO221"/>
  <c r="AZ222"/>
  <c r="BZ223"/>
  <c r="AJ225"/>
  <c r="CI226"/>
  <c r="AY228"/>
  <c r="AQ231"/>
  <c r="K234"/>
  <c r="AV236"/>
  <c r="CD217"/>
  <c r="P219"/>
  <c r="Y220" i="3"/>
  <c r="Y220" i="2" s="1"/>
  <c r="Y221"/>
  <c r="AL222"/>
  <c r="BH223"/>
  <c r="M225"/>
  <c r="BO226"/>
  <c r="AD228"/>
  <c r="R231"/>
  <c r="V233"/>
  <c r="BQ235"/>
  <c r="T214"/>
  <c r="CF214"/>
  <c r="BK215"/>
  <c r="AP216"/>
  <c r="AC217"/>
  <c r="I218"/>
  <c r="CD218"/>
  <c r="CA219"/>
  <c r="BO220" i="3"/>
  <c r="BO220" i="2" s="1"/>
  <c r="BO221"/>
  <c r="BB222"/>
  <c r="AY223"/>
  <c r="BB224"/>
  <c r="BT225"/>
  <c r="CJ226"/>
  <c r="AG228"/>
  <c r="BR229" i="3"/>
  <c r="BR229" i="2" s="1"/>
  <c r="BR230"/>
  <c r="AD232"/>
  <c r="CB233"/>
  <c r="AR235"/>
  <c r="G235"/>
  <c r="BH236"/>
  <c r="S220" i="3"/>
  <c r="S220" i="2" s="1"/>
  <c r="S221"/>
  <c r="O222"/>
  <c r="Q223"/>
  <c r="AB224"/>
  <c r="AP225"/>
  <c r="BH226"/>
  <c r="BW227"/>
  <c r="N229" i="3"/>
  <c r="N229" i="2" s="1"/>
  <c r="N230"/>
  <c r="BJ231"/>
  <c r="W233"/>
  <c r="V235"/>
  <c r="BV236"/>
  <c r="AS223"/>
  <c r="X224"/>
  <c r="CJ224"/>
  <c r="BO225"/>
  <c r="BB226"/>
  <c r="AG227"/>
  <c r="L228"/>
  <c r="BX228"/>
  <c r="BV229" i="3"/>
  <c r="BV229" i="2" s="1"/>
  <c r="BV230"/>
  <c r="BV231"/>
  <c r="BW232"/>
  <c r="BU233"/>
  <c r="BU234"/>
  <c r="BU235"/>
  <c r="BU236"/>
  <c r="G225"/>
  <c r="BS225"/>
  <c r="AX226"/>
  <c r="AK227"/>
  <c r="P228"/>
  <c r="CB228"/>
  <c r="BQ229" i="3"/>
  <c r="BQ229" i="2" s="1"/>
  <c r="BQ230"/>
  <c r="CB231"/>
  <c r="O233"/>
  <c r="N234"/>
  <c r="N235"/>
  <c r="O236"/>
  <c r="G218"/>
  <c r="BS218"/>
  <c r="AX219"/>
  <c r="AH220" i="3"/>
  <c r="AH220" i="2" s="1"/>
  <c r="AH221"/>
  <c r="U222"/>
  <c r="CG222"/>
  <c r="BL223"/>
  <c r="AQ224"/>
  <c r="AD225"/>
  <c r="I226"/>
  <c r="BU226"/>
  <c r="AZ227"/>
  <c r="AE228"/>
  <c r="G229" i="3"/>
  <c r="G229" i="2" s="1"/>
  <c r="G230"/>
  <c r="CJ229" i="3"/>
  <c r="CJ229" i="2" s="1"/>
  <c r="CJ230"/>
  <c r="CK231"/>
  <c r="CK232"/>
  <c r="CJ233"/>
  <c r="CI234"/>
  <c r="CI235"/>
  <c r="CJ236"/>
  <c r="BX229" i="3"/>
  <c r="BX229" i="2" s="1"/>
  <c r="BX230"/>
  <c r="BC231"/>
  <c r="AH232"/>
  <c r="U233"/>
  <c r="CG233"/>
  <c r="BL234"/>
  <c r="AQ235"/>
  <c r="AD236"/>
  <c r="Y229" i="3"/>
  <c r="Y229" i="2" s="1"/>
  <c r="Y230"/>
  <c r="CK229" i="3"/>
  <c r="CK229" i="2" s="1"/>
  <c r="CK230"/>
  <c r="BP231"/>
  <c r="AU232"/>
  <c r="Z233"/>
  <c r="M234"/>
  <c r="BY234"/>
  <c r="BD235"/>
  <c r="AI236"/>
  <c r="CK169"/>
  <c r="BM170" i="3"/>
  <c r="BM170" i="2" s="1"/>
  <c r="BM171"/>
  <c r="AR172"/>
  <c r="W173"/>
  <c r="CI173"/>
  <c r="BN174"/>
  <c r="BA175"/>
  <c r="AF176"/>
  <c r="K177"/>
  <c r="BW177"/>
  <c r="BG178" i="3"/>
  <c r="BG178" i="2" s="1"/>
  <c r="BG179"/>
  <c r="AT180"/>
  <c r="Y181"/>
  <c r="CK181"/>
  <c r="BP182"/>
  <c r="AU183"/>
  <c r="Z184"/>
  <c r="M185"/>
  <c r="BY185"/>
  <c r="BD186"/>
  <c r="AF187" i="3"/>
  <c r="AF187" i="2" s="1"/>
  <c r="AF188"/>
  <c r="K189"/>
  <c r="BW189"/>
  <c r="BJ190"/>
  <c r="AO191"/>
  <c r="T192"/>
  <c r="N193"/>
  <c r="CI193"/>
  <c r="BV194"/>
  <c r="BJ195"/>
  <c r="BG196" i="3"/>
  <c r="BG196" i="2" s="1"/>
  <c r="BG197"/>
  <c r="AU198"/>
  <c r="AI199"/>
  <c r="AF200"/>
  <c r="AL201"/>
  <c r="AV202"/>
  <c r="BG203"/>
  <c r="BI204" i="3"/>
  <c r="BI204" i="2" s="1"/>
  <c r="BI205"/>
  <c r="BP206"/>
  <c r="CB207"/>
  <c r="I209"/>
  <c r="U210"/>
  <c r="AF211"/>
  <c r="AV212" i="3"/>
  <c r="AV212" i="2" s="1"/>
  <c r="AV213"/>
  <c r="CK214"/>
  <c r="AV216"/>
  <c r="U218"/>
  <c r="AZ220" i="3"/>
  <c r="AZ220" i="2" s="1"/>
  <c r="AZ221"/>
  <c r="U224"/>
  <c r="AP227"/>
  <c r="BB233"/>
  <c r="BK192"/>
  <c r="AP193"/>
  <c r="AC194"/>
  <c r="H195"/>
  <c r="BT195"/>
  <c r="AV196" i="3"/>
  <c r="AV196" i="2" s="1"/>
  <c r="AV197"/>
  <c r="AA198"/>
  <c r="N199"/>
  <c r="BZ199"/>
  <c r="BE200"/>
  <c r="AJ201"/>
  <c r="O202"/>
  <c r="CA202"/>
  <c r="BF203"/>
  <c r="AP204" i="3"/>
  <c r="AP204" i="2" s="1"/>
  <c r="AP205"/>
  <c r="AG206"/>
  <c r="U207"/>
  <c r="I208"/>
  <c r="CD208"/>
  <c r="CB209"/>
  <c r="BP210"/>
  <c r="BC211"/>
  <c r="AZ212" i="3"/>
  <c r="AZ212" i="2" s="1"/>
  <c r="AZ213"/>
  <c r="BJ214"/>
  <c r="BV215"/>
  <c r="CH216"/>
  <c r="AC218"/>
  <c r="CC219"/>
  <c r="BF222"/>
  <c r="BV224"/>
  <c r="BF227"/>
  <c r="BW231"/>
  <c r="BB235"/>
  <c r="Z201"/>
  <c r="M202"/>
  <c r="BY202"/>
  <c r="BD203"/>
  <c r="AF204" i="3"/>
  <c r="AF204" i="2" s="1"/>
  <c r="AF205"/>
  <c r="L206"/>
  <c r="CG206"/>
  <c r="BV207"/>
  <c r="BJ208"/>
  <c r="AX209"/>
  <c r="AL210"/>
  <c r="Y211"/>
  <c r="K212" i="3"/>
  <c r="K212" i="2" s="1"/>
  <c r="K213"/>
  <c r="I214"/>
  <c r="V215"/>
  <c r="AI216"/>
  <c r="AW217"/>
  <c r="V219"/>
  <c r="N222"/>
  <c r="O224"/>
  <c r="BC226"/>
  <c r="J229" i="3"/>
  <c r="J229" i="2" s="1"/>
  <c r="J230"/>
  <c r="AF233"/>
  <c r="CI236"/>
  <c r="W214"/>
  <c r="K215"/>
  <c r="CF215"/>
  <c r="BT216"/>
  <c r="BP217"/>
  <c r="BM218"/>
  <c r="BM219"/>
  <c r="CB220" i="3"/>
  <c r="CB220" i="2" s="1"/>
  <c r="CB221"/>
  <c r="K223"/>
  <c r="AM224"/>
  <c r="AN226"/>
  <c r="AL228"/>
  <c r="BU231"/>
  <c r="CC233"/>
  <c r="U236"/>
  <c r="BB206"/>
  <c r="AG207"/>
  <c r="L208"/>
  <c r="BX208"/>
  <c r="BC209"/>
  <c r="AH210"/>
  <c r="U211"/>
  <c r="CG211"/>
  <c r="BQ212" i="3"/>
  <c r="BQ212" i="2" s="1"/>
  <c r="BQ213"/>
  <c r="BE214"/>
  <c r="AS215"/>
  <c r="AQ216"/>
  <c r="AD217"/>
  <c r="T218"/>
  <c r="S219"/>
  <c r="AC220" i="3"/>
  <c r="AC220" i="2" s="1"/>
  <c r="AC221"/>
  <c r="AN222"/>
  <c r="BM223"/>
  <c r="R225"/>
  <c r="BQ226"/>
  <c r="AI228"/>
  <c r="V231"/>
  <c r="BT233"/>
  <c r="Q236"/>
  <c r="BU217"/>
  <c r="CB218"/>
  <c r="N220" i="3"/>
  <c r="N220" i="2" s="1"/>
  <c r="N221"/>
  <c r="Y222"/>
  <c r="AT223"/>
  <c r="CD224"/>
  <c r="AV226"/>
  <c r="M228"/>
  <c r="CB229" i="3"/>
  <c r="CB229" i="2" s="1"/>
  <c r="CB230"/>
  <c r="CJ232"/>
  <c r="AL235"/>
  <c r="L214"/>
  <c r="BX214"/>
  <c r="BC215"/>
  <c r="AH216"/>
  <c r="U217"/>
  <c r="CG217"/>
  <c r="BU218"/>
  <c r="BR219"/>
  <c r="BE220" i="3"/>
  <c r="BE220" i="2" s="1"/>
  <c r="BE221"/>
  <c r="AR222"/>
  <c r="AO223"/>
  <c r="AO224"/>
  <c r="BF225"/>
  <c r="BX226"/>
  <c r="S228"/>
  <c r="AY229" i="3"/>
  <c r="AY229" i="2" s="1"/>
  <c r="AY230"/>
  <c r="M232"/>
  <c r="BJ233"/>
  <c r="AB235"/>
  <c r="CB236"/>
  <c r="AP236"/>
  <c r="I220" i="3"/>
  <c r="I220" i="2" s="1"/>
  <c r="I221"/>
  <c r="CE220" i="3"/>
  <c r="CE220" i="2" s="1"/>
  <c r="CE221"/>
  <c r="CC222"/>
  <c r="Q224"/>
  <c r="AC225"/>
  <c r="AU226"/>
  <c r="BK227"/>
  <c r="CC228"/>
  <c r="AS231"/>
  <c r="G233"/>
  <c r="BV234"/>
  <c r="BF236"/>
  <c r="AK223"/>
  <c r="P224"/>
  <c r="CB224"/>
  <c r="BG225"/>
  <c r="AT226"/>
  <c r="Y227"/>
  <c r="CK227"/>
  <c r="BP228"/>
  <c r="BK229" i="3"/>
  <c r="BK229" i="2" s="1"/>
  <c r="BK230"/>
  <c r="BL231"/>
  <c r="BL232"/>
  <c r="BK233"/>
  <c r="BJ234"/>
  <c r="BJ235"/>
  <c r="BK236"/>
  <c r="CF224"/>
  <c r="BK225"/>
  <c r="AP226"/>
  <c r="AC227"/>
  <c r="H228"/>
  <c r="BT228"/>
  <c r="BF229" i="3"/>
  <c r="BF229" i="2" s="1"/>
  <c r="BF230"/>
  <c r="BQ231"/>
  <c r="CB232"/>
  <c r="CK233"/>
  <c r="CK234"/>
  <c r="CK235"/>
  <c r="CK236"/>
  <c r="BK218"/>
  <c r="AP219"/>
  <c r="Z220" i="3"/>
  <c r="Z220" i="2" s="1"/>
  <c r="Z221"/>
  <c r="M222"/>
  <c r="BY222"/>
  <c r="BD223"/>
  <c r="AI224"/>
  <c r="V225"/>
  <c r="CH225"/>
  <c r="BM226"/>
  <c r="AR227"/>
  <c r="W228"/>
  <c r="CI228"/>
  <c r="BZ229" i="3"/>
  <c r="BZ229" i="2" s="1"/>
  <c r="BZ230"/>
  <c r="BZ231"/>
  <c r="BZ232"/>
  <c r="BZ233"/>
  <c r="BX234"/>
  <c r="BY235"/>
  <c r="BY236"/>
  <c r="BP229" i="3"/>
  <c r="BP229" i="2" s="1"/>
  <c r="BP230"/>
  <c r="AU231"/>
  <c r="Z232"/>
  <c r="M233"/>
  <c r="BY233"/>
  <c r="BD234"/>
  <c r="AI235"/>
  <c r="V236"/>
  <c r="CH236"/>
  <c r="CC229" i="3"/>
  <c r="CC229" i="2" s="1"/>
  <c r="CC230"/>
  <c r="BH231"/>
  <c r="AM232"/>
  <c r="R233"/>
  <c r="CD233"/>
  <c r="BQ234"/>
  <c r="AV235"/>
  <c r="AA236"/>
  <c r="CG97" i="3"/>
  <c r="F100"/>
  <c r="BR87"/>
  <c r="CA89"/>
  <c r="CG91"/>
  <c r="BL103"/>
  <c r="W96"/>
  <c r="BA106"/>
  <c r="AH108"/>
  <c r="AV104"/>
  <c r="BN90"/>
  <c r="CB90"/>
  <c r="BP86"/>
  <c r="CJ84"/>
  <c r="AU105"/>
  <c r="BO94"/>
  <c r="CC84"/>
  <c r="BR107"/>
  <c r="S90"/>
  <c r="CF98"/>
  <c r="BZ87"/>
  <c r="AA99"/>
  <c r="BS91"/>
  <c r="AA98"/>
  <c r="AS107"/>
  <c r="CD93"/>
  <c r="BU88"/>
  <c r="BI96"/>
  <c r="U88"/>
  <c r="BL88"/>
  <c r="BJ100"/>
  <c r="W89"/>
  <c r="AK84"/>
  <c r="J102"/>
  <c r="CF86"/>
  <c r="U93"/>
  <c r="AN102"/>
  <c r="W93"/>
  <c r="BQ106"/>
  <c r="BJ90"/>
  <c r="AQ85"/>
  <c r="Z94"/>
  <c r="BH91"/>
  <c r="T86"/>
  <c r="AZ98"/>
  <c r="AE94"/>
  <c r="AV93"/>
  <c r="AJ108"/>
  <c r="AD103"/>
  <c r="V93"/>
  <c r="CK87"/>
  <c r="AX84"/>
  <c r="AO100"/>
  <c r="CK91"/>
  <c r="AA91"/>
  <c r="AT103"/>
  <c r="AP86"/>
  <c r="AQ108"/>
  <c r="BJ84"/>
  <c r="AY106"/>
  <c r="Z96"/>
  <c r="AI90"/>
  <c r="BF105"/>
  <c r="Z90"/>
  <c r="BR93"/>
  <c r="L96"/>
  <c r="AA97"/>
  <c r="BZ91"/>
  <c r="K91"/>
  <c r="AB106"/>
  <c r="AI93"/>
  <c r="BV106"/>
  <c r="N99"/>
  <c r="AM102"/>
  <c r="Q100"/>
  <c r="AD98"/>
  <c r="BD91"/>
  <c r="M84"/>
  <c r="AZ104"/>
  <c r="J90"/>
  <c r="CH99"/>
  <c r="AL86"/>
  <c r="U86"/>
  <c r="AB108"/>
  <c r="BI85"/>
  <c r="BP99"/>
  <c r="AG84"/>
  <c r="BZ103"/>
  <c r="CH103"/>
  <c r="P94"/>
  <c r="R96"/>
  <c r="AY89"/>
  <c r="S97"/>
  <c r="BP87"/>
  <c r="BG96"/>
  <c r="P98"/>
  <c r="BG84"/>
  <c r="AX94"/>
  <c r="P102"/>
  <c r="AS97"/>
  <c r="BL93"/>
  <c r="BO91"/>
  <c r="I99"/>
  <c r="K85"/>
  <c r="I108"/>
  <c r="BH102"/>
  <c r="BC90"/>
  <c r="BU91"/>
  <c r="AB94"/>
  <c r="R91"/>
  <c r="AG86"/>
  <c r="BS85"/>
  <c r="BT105"/>
  <c r="CC90"/>
  <c r="BC106"/>
  <c r="BL100"/>
  <c r="R93"/>
  <c r="AA96"/>
  <c r="AJ99"/>
  <c r="AR98"/>
  <c r="BX106"/>
  <c r="BP84"/>
  <c r="AF93"/>
  <c r="AJ87"/>
  <c r="BM88"/>
  <c r="CE104"/>
  <c r="BR108"/>
  <c r="AP85"/>
  <c r="AV96"/>
  <c r="BE99"/>
  <c r="AE97"/>
  <c r="AN100"/>
  <c r="BC100"/>
  <c r="CB106"/>
  <c r="AM98"/>
  <c r="AU102"/>
  <c r="AV99"/>
  <c r="T93"/>
  <c r="V90"/>
  <c r="AW106"/>
  <c r="AG85"/>
  <c r="CG98"/>
  <c r="BV103"/>
  <c r="CE88"/>
  <c r="BN107"/>
  <c r="CB104"/>
  <c r="CK107"/>
  <c r="T107"/>
  <c r="AH86"/>
  <c r="N108"/>
  <c r="CK84"/>
  <c r="BA87"/>
  <c r="Q85"/>
  <c r="I105"/>
  <c r="AK89"/>
  <c r="BC93"/>
  <c r="BG95"/>
  <c r="H89"/>
  <c r="AP91"/>
  <c r="M104"/>
  <c r="BD96"/>
  <c r="V107"/>
  <c r="BM99"/>
  <c r="BH96"/>
  <c r="R89"/>
  <c r="BQ90"/>
  <c r="BA85"/>
  <c r="K87"/>
  <c r="BJ106"/>
  <c r="CI87"/>
  <c r="AA84"/>
  <c r="AO88"/>
  <c r="S103"/>
  <c r="BU96"/>
  <c r="BV100"/>
  <c r="AL93"/>
  <c r="BW104"/>
  <c r="CE89"/>
  <c r="BK85"/>
  <c r="BN105"/>
  <c r="T100"/>
  <c r="O97"/>
  <c r="BF107"/>
  <c r="X108"/>
  <c r="AC85"/>
  <c r="BT86"/>
  <c r="AL88"/>
  <c r="CC98"/>
  <c r="H102"/>
  <c r="L106"/>
  <c r="AO102"/>
  <c r="BZ104"/>
  <c r="CI107"/>
  <c r="AL94"/>
  <c r="M106"/>
  <c r="AD100"/>
  <c r="BO93"/>
  <c r="AY104"/>
  <c r="BT97"/>
  <c r="AG91"/>
  <c r="O103"/>
  <c r="AB105"/>
  <c r="BH98"/>
  <c r="BX91"/>
  <c r="BS97"/>
  <c r="AK90"/>
  <c r="CB108"/>
  <c r="AH84"/>
  <c r="CG94"/>
  <c r="AQ105"/>
  <c r="I89"/>
  <c r="BV96"/>
  <c r="Y85"/>
  <c r="CD87"/>
  <c r="M108"/>
  <c r="BE93"/>
  <c r="AO104"/>
  <c r="BF106"/>
  <c r="S100"/>
  <c r="CC91"/>
  <c r="AK95"/>
  <c r="CB96"/>
  <c r="AT89"/>
  <c r="CK90"/>
  <c r="CF87"/>
  <c r="AP107"/>
  <c r="Z102"/>
  <c r="BY103"/>
  <c r="AI105"/>
  <c r="CH88"/>
  <c r="AR90"/>
  <c r="CI100"/>
  <c r="AS87"/>
  <c r="CG106"/>
  <c r="AE90"/>
  <c r="F108"/>
  <c r="F102"/>
  <c r="BR105"/>
  <c r="CA107"/>
  <c r="AH105"/>
  <c r="AS105"/>
  <c r="CG88"/>
  <c r="AE99"/>
  <c r="F84"/>
  <c r="O102"/>
  <c r="AT90"/>
  <c r="AH87"/>
  <c r="BT103"/>
  <c r="BF86"/>
  <c r="W105"/>
  <c r="CG86"/>
  <c r="BL98"/>
  <c r="BN108"/>
  <c r="BB84"/>
  <c r="J103"/>
  <c r="N96"/>
  <c r="BY98"/>
  <c r="AT91"/>
  <c r="BO103"/>
  <c r="H97"/>
  <c r="BY106"/>
  <c r="BR98"/>
  <c r="BZ96"/>
  <c r="AS89"/>
  <c r="BU106"/>
  <c r="BI105"/>
  <c r="U97"/>
  <c r="BL106"/>
  <c r="W107"/>
  <c r="CI103"/>
  <c r="BE104"/>
  <c r="AC100"/>
  <c r="AR105"/>
  <c r="BA100"/>
  <c r="BQ97"/>
  <c r="H105"/>
  <c r="M96"/>
  <c r="BS87"/>
  <c r="AF103"/>
  <c r="BH108"/>
  <c r="BX90"/>
  <c r="BE94"/>
  <c r="BK93"/>
  <c r="AE85"/>
  <c r="BB91"/>
  <c r="Z89"/>
  <c r="AD94"/>
  <c r="BT84"/>
  <c r="AK96"/>
  <c r="V102"/>
  <c r="P90"/>
  <c r="R86"/>
  <c r="BZ98"/>
  <c r="CA84"/>
  <c r="AR97"/>
  <c r="AA100"/>
  <c r="AT94"/>
  <c r="AQ91"/>
  <c r="T87"/>
  <c r="CI88"/>
  <c r="U91"/>
  <c r="Q102"/>
  <c r="BR102"/>
  <c r="L87"/>
  <c r="BA107"/>
  <c r="S104"/>
  <c r="AA106"/>
  <c r="BZ100"/>
  <c r="K100"/>
  <c r="AX97"/>
  <c r="BI84"/>
  <c r="BD93"/>
  <c r="AM84"/>
  <c r="CA99"/>
  <c r="BQ104"/>
  <c r="AZ91"/>
  <c r="BD108"/>
  <c r="X104"/>
  <c r="G108"/>
  <c r="AV85"/>
  <c r="T94"/>
  <c r="G86"/>
  <c r="AY84"/>
  <c r="AD104"/>
  <c r="AL95"/>
  <c r="AU97"/>
  <c r="BG85"/>
  <c r="AG93"/>
  <c r="AH88"/>
  <c r="P85"/>
  <c r="AY98"/>
  <c r="BU93"/>
  <c r="BV102"/>
  <c r="BE89"/>
  <c r="W103"/>
  <c r="BG93"/>
  <c r="AX85"/>
  <c r="I88"/>
  <c r="BP85"/>
  <c r="CJ88"/>
  <c r="CD90"/>
  <c r="BU103"/>
  <c r="BL87"/>
  <c r="AZ87"/>
  <c r="S96"/>
  <c r="G99"/>
  <c r="AD90"/>
  <c r="CA95"/>
  <c r="Y96"/>
  <c r="AG95"/>
  <c r="AI103"/>
  <c r="BK107"/>
  <c r="BS94"/>
  <c r="AX90"/>
  <c r="BL91"/>
  <c r="AO103"/>
  <c r="K102"/>
  <c r="BS107"/>
  <c r="BP102"/>
  <c r="BZ99"/>
  <c r="AF102"/>
  <c r="AM99"/>
  <c r="BZ102"/>
  <c r="BM106"/>
  <c r="AP103"/>
  <c r="K90"/>
  <c r="CD103"/>
  <c r="N89"/>
  <c r="BV107"/>
  <c r="CJ86"/>
  <c r="L99"/>
  <c r="CB97"/>
  <c r="AM107"/>
  <c r="BM102"/>
  <c r="AH99"/>
  <c r="CG93"/>
  <c r="L98"/>
  <c r="AX87"/>
  <c r="AK94"/>
  <c r="AT88"/>
  <c r="AU100"/>
  <c r="T98"/>
  <c r="CH84"/>
  <c r="AF98"/>
  <c r="AH104"/>
  <c r="N100"/>
  <c r="AR93"/>
  <c r="CD95"/>
  <c r="BD99"/>
  <c r="CK93"/>
  <c r="BA105"/>
  <c r="BR90"/>
  <c r="CK85"/>
  <c r="CD97"/>
  <c r="Q94"/>
  <c r="I87"/>
  <c r="AK98"/>
  <c r="CE100"/>
  <c r="AY94"/>
  <c r="BY96"/>
  <c r="BY104"/>
  <c r="AI97"/>
  <c r="CH98"/>
  <c r="BA94"/>
  <c r="K96"/>
  <c r="BJ88"/>
  <c r="T90"/>
  <c r="BK100"/>
  <c r="BC94"/>
  <c r="W90"/>
  <c r="G102"/>
  <c r="AM86"/>
  <c r="BW98"/>
  <c r="BM103"/>
  <c r="AZ88"/>
  <c r="BQ91"/>
  <c r="AL102"/>
  <c r="BW95"/>
  <c r="CE107"/>
  <c r="BK103"/>
  <c r="BN96"/>
  <c r="O99"/>
  <c r="AB93"/>
  <c r="AA104"/>
  <c r="BD97"/>
  <c r="CJ99"/>
  <c r="BN94"/>
  <c r="AF105"/>
  <c r="BW106"/>
  <c r="AO90"/>
  <c r="CF91"/>
  <c r="CA106"/>
  <c r="AC94"/>
  <c r="BT104"/>
  <c r="AL97"/>
  <c r="CC107"/>
  <c r="AM100"/>
  <c r="BY102"/>
  <c r="BV99"/>
  <c r="CB85"/>
  <c r="AH94"/>
  <c r="CB89"/>
  <c r="G85"/>
  <c r="BE87"/>
  <c r="BE100"/>
  <c r="AO93"/>
  <c r="BZ95"/>
  <c r="CI89"/>
  <c r="Y84"/>
  <c r="BH86"/>
  <c r="BO98"/>
  <c r="BB85"/>
  <c r="BB105"/>
  <c r="CJ107"/>
  <c r="S84"/>
  <c r="Q86"/>
  <c r="AP88"/>
  <c r="AS104"/>
  <c r="CJ87"/>
  <c r="BB98"/>
  <c r="L91"/>
  <c r="G88"/>
  <c r="AX89"/>
  <c r="AH102"/>
  <c r="CG103"/>
  <c r="AQ96"/>
  <c r="I107"/>
  <c r="AZ90"/>
  <c r="U87"/>
  <c r="BF103"/>
  <c r="N103"/>
  <c r="BC89"/>
  <c r="CB93"/>
  <c r="AM87"/>
  <c r="AL91"/>
  <c r="AC102"/>
  <c r="BM86"/>
  <c r="BQ98"/>
  <c r="AR103"/>
  <c r="AO87"/>
  <c r="BX107"/>
  <c r="I102"/>
  <c r="CC94"/>
  <c r="AC88"/>
  <c r="BK90"/>
  <c r="P87"/>
  <c r="BG88"/>
  <c r="CF105"/>
  <c r="AP98"/>
  <c r="H100"/>
  <c r="M94"/>
  <c r="BD95"/>
  <c r="V106"/>
  <c r="BM89"/>
  <c r="F90"/>
  <c r="AJ103"/>
  <c r="O84"/>
  <c r="CC86"/>
  <c r="BS95"/>
  <c r="H106"/>
  <c r="BG100"/>
  <c r="BI104"/>
  <c r="F98"/>
  <c r="AS96"/>
  <c r="F93"/>
  <c r="O93"/>
  <c r="AT99"/>
  <c r="AH96"/>
  <c r="BT94"/>
  <c r="BF104"/>
  <c r="BS86"/>
  <c r="CG95"/>
  <c r="BL89"/>
  <c r="BN91"/>
  <c r="P95"/>
  <c r="BB93"/>
  <c r="J85"/>
  <c r="N105"/>
  <c r="BY89"/>
  <c r="AL99"/>
  <c r="AT100"/>
  <c r="AJ84"/>
  <c r="AF99"/>
  <c r="H88"/>
  <c r="BY97"/>
  <c r="Y97"/>
  <c r="BG108"/>
  <c r="AC98"/>
  <c r="L103"/>
  <c r="AI86"/>
  <c r="CI85"/>
  <c r="BE86"/>
  <c r="BL90"/>
  <c r="AC108"/>
  <c r="AR96"/>
  <c r="BA91"/>
  <c r="AA94"/>
  <c r="H96"/>
  <c r="AN95"/>
  <c r="M87"/>
  <c r="CC96"/>
  <c r="BS96"/>
  <c r="AF94"/>
  <c r="BE103"/>
  <c r="AU94"/>
  <c r="BK102"/>
  <c r="J97"/>
  <c r="BB108"/>
  <c r="Z107"/>
  <c r="AE102"/>
  <c r="W86"/>
  <c r="BT102"/>
  <c r="AK87"/>
  <c r="P99"/>
  <c r="BV86"/>
  <c r="AT96"/>
  <c r="BT90"/>
  <c r="R95"/>
  <c r="BZ89"/>
  <c r="AG98"/>
  <c r="CA102"/>
  <c r="AR88"/>
  <c r="CJ94"/>
  <c r="AN106"/>
  <c r="T105"/>
  <c r="CI106"/>
  <c r="U108"/>
  <c r="Q93"/>
  <c r="BA89"/>
  <c r="S86"/>
  <c r="BX87"/>
  <c r="AX88"/>
  <c r="BR85"/>
  <c r="BI102"/>
  <c r="BD84"/>
  <c r="AX95"/>
  <c r="CI84"/>
  <c r="BR86"/>
  <c r="BQ86"/>
  <c r="AZ108"/>
  <c r="X86"/>
  <c r="G91"/>
  <c r="BS90"/>
  <c r="AV103"/>
  <c r="BJ96"/>
  <c r="T103"/>
  <c r="G95"/>
  <c r="AY93"/>
  <c r="AD86"/>
  <c r="AQ88"/>
  <c r="AU88"/>
  <c r="CE105"/>
  <c r="BG103"/>
  <c r="BW91"/>
  <c r="BI91"/>
  <c r="AH97"/>
  <c r="CE103"/>
  <c r="BU84"/>
  <c r="BA99"/>
  <c r="BV84"/>
  <c r="BE98"/>
  <c r="W94"/>
  <c r="CG96"/>
  <c r="BG98"/>
  <c r="I106"/>
  <c r="BP103"/>
  <c r="CJ97"/>
  <c r="BU94"/>
  <c r="BP88"/>
  <c r="BL105"/>
  <c r="AZ105"/>
  <c r="S105"/>
  <c r="K89"/>
  <c r="AE95"/>
  <c r="AE96"/>
  <c r="AD99"/>
  <c r="CA86"/>
  <c r="Y105"/>
  <c r="CH96"/>
  <c r="AI85"/>
  <c r="BK89"/>
  <c r="AC86"/>
  <c r="AL98"/>
  <c r="BQ94"/>
  <c r="BZ106"/>
  <c r="AO85"/>
  <c r="K93"/>
  <c r="BS89"/>
  <c r="BZ84"/>
  <c r="AY90"/>
  <c r="H103"/>
  <c r="X89"/>
  <c r="CD94"/>
  <c r="N107"/>
  <c r="BV89"/>
  <c r="CJ104"/>
  <c r="L90"/>
  <c r="AK106"/>
  <c r="BN97"/>
  <c r="BW85"/>
  <c r="BB95"/>
  <c r="BM93"/>
  <c r="AH90"/>
  <c r="BJ94"/>
  <c r="BM100"/>
  <c r="CG102"/>
  <c r="L107"/>
  <c r="AX96"/>
  <c r="AN87"/>
  <c r="W106"/>
  <c r="AF100"/>
  <c r="AK85"/>
  <c r="AT97"/>
  <c r="AU108"/>
  <c r="CH102"/>
  <c r="AF89"/>
  <c r="AR102"/>
  <c r="CD104"/>
  <c r="BD90"/>
  <c r="CK94"/>
  <c r="CD106"/>
  <c r="CE108"/>
  <c r="AY85"/>
  <c r="BY87"/>
  <c r="X90"/>
  <c r="BY86"/>
  <c r="AI88"/>
  <c r="CH89"/>
  <c r="AR91"/>
  <c r="AM106"/>
  <c r="CD107"/>
  <c r="BK108"/>
  <c r="R103"/>
  <c r="Z100"/>
  <c r="O86"/>
  <c r="Y108"/>
  <c r="BC85"/>
  <c r="W99"/>
  <c r="G84"/>
  <c r="AM95"/>
  <c r="BW89"/>
  <c r="BM94"/>
  <c r="AZ106"/>
  <c r="BQ100"/>
  <c r="AB84"/>
  <c r="AA95"/>
  <c r="BD106"/>
  <c r="CJ90"/>
  <c r="BN103"/>
  <c r="AF96"/>
  <c r="BW97"/>
  <c r="AO99"/>
  <c r="CF108"/>
  <c r="CA88"/>
  <c r="AS99"/>
  <c r="CJ108"/>
  <c r="AM91"/>
  <c r="BY93"/>
  <c r="BV90"/>
  <c r="CB103"/>
  <c r="CE99"/>
  <c r="AH103"/>
  <c r="CB98"/>
  <c r="G94"/>
  <c r="BE105"/>
  <c r="BE91"/>
  <c r="Y102"/>
  <c r="BH95"/>
  <c r="BO89"/>
  <c r="BB103"/>
  <c r="BB96"/>
  <c r="CJ98"/>
  <c r="S93"/>
  <c r="Q95"/>
  <c r="AP106"/>
  <c r="BW99"/>
  <c r="AS95"/>
  <c r="CJ96"/>
  <c r="BB107"/>
  <c r="L100"/>
  <c r="G106"/>
  <c r="AX107"/>
  <c r="P91"/>
  <c r="U105"/>
  <c r="BF94"/>
  <c r="BF99"/>
  <c r="N94"/>
  <c r="BC107"/>
  <c r="CB102"/>
  <c r="AM105"/>
  <c r="AL108"/>
  <c r="AC93"/>
  <c r="BM104"/>
  <c r="BQ107"/>
  <c r="N93"/>
  <c r="AT95"/>
  <c r="AV89"/>
  <c r="AR94"/>
  <c r="AO96"/>
  <c r="BX89"/>
  <c r="I84"/>
  <c r="CC103"/>
  <c r="AC97"/>
  <c r="BK99"/>
  <c r="P105"/>
  <c r="BG97"/>
  <c r="Y90"/>
  <c r="H108"/>
  <c r="M85"/>
  <c r="BD86"/>
  <c r="V97"/>
  <c r="BM98"/>
  <c r="W100"/>
  <c r="F104"/>
  <c r="F89"/>
  <c r="AW84"/>
  <c r="BS102"/>
  <c r="M89"/>
  <c r="BN86"/>
  <c r="AU95"/>
  <c r="P86"/>
  <c r="BB102"/>
  <c r="J94"/>
  <c r="AL90"/>
  <c r="AT108"/>
  <c r="AJ102"/>
  <c r="V103"/>
  <c r="AF90"/>
  <c r="O100"/>
  <c r="Y88"/>
  <c r="AC107"/>
  <c r="AR86"/>
  <c r="L85"/>
  <c r="AQ98"/>
  <c r="AI104"/>
  <c r="F86"/>
  <c r="F99"/>
  <c r="AJ85"/>
  <c r="F95"/>
  <c r="AJ94"/>
  <c r="F105"/>
  <c r="AW93"/>
  <c r="J86"/>
  <c r="BS93"/>
  <c r="F103"/>
  <c r="M98"/>
  <c r="F88"/>
  <c r="AQ90"/>
  <c r="CG90"/>
  <c r="BN104"/>
  <c r="CG100"/>
  <c r="CC104"/>
  <c r="AB86"/>
  <c r="AV95"/>
  <c r="AU86"/>
  <c r="AJ95"/>
  <c r="AU87"/>
  <c r="V94"/>
  <c r="O91"/>
  <c r="BO90"/>
  <c r="AR104"/>
  <c r="BI86"/>
  <c r="BS100"/>
  <c r="AQ107"/>
  <c r="AA89"/>
  <c r="AT84"/>
  <c r="BJ91"/>
  <c r="CA103"/>
  <c r="AK93"/>
  <c r="AS102"/>
  <c r="J105"/>
  <c r="U102"/>
  <c r="BU99"/>
  <c r="Y89"/>
  <c r="AN84"/>
  <c r="BY100"/>
  <c r="O107"/>
  <c r="U98"/>
  <c r="BH97"/>
  <c r="Z85"/>
  <c r="BI90"/>
  <c r="T104"/>
  <c r="BX95"/>
  <c r="AZ107"/>
  <c r="AJ100"/>
  <c r="AB99"/>
  <c r="CF102"/>
  <c r="BG99"/>
  <c r="AG106"/>
  <c r="AH98"/>
  <c r="Z88"/>
  <c r="CK108"/>
  <c r="P106"/>
  <c r="CH108"/>
  <c r="AW95"/>
  <c r="N106"/>
  <c r="Z105"/>
  <c r="J100"/>
  <c r="CI95"/>
  <c r="CK106"/>
  <c r="BH85"/>
  <c r="BO105"/>
  <c r="AW87"/>
  <c r="AQ95"/>
  <c r="AB88"/>
  <c r="AI84"/>
  <c r="BK86"/>
  <c r="BV97"/>
  <c r="CA96"/>
  <c r="AD107"/>
  <c r="J98"/>
  <c r="BR97"/>
  <c r="AZ95"/>
  <c r="AC105"/>
  <c r="AB98"/>
  <c r="X88"/>
  <c r="BM105"/>
  <c r="L84"/>
  <c r="AN99"/>
  <c r="AI89"/>
  <c r="BY99"/>
  <c r="BP89"/>
  <c r="AV106"/>
  <c r="BZ85"/>
  <c r="AX100"/>
  <c r="AJ98"/>
  <c r="R87"/>
  <c r="CF94"/>
  <c r="CC106"/>
  <c r="BP96"/>
  <c r="BG87"/>
  <c r="P107"/>
  <c r="AK108"/>
  <c r="BI89"/>
  <c r="P93"/>
  <c r="CK95"/>
  <c r="AS88"/>
  <c r="M99"/>
  <c r="BF102"/>
  <c r="AW107"/>
  <c r="X84"/>
  <c r="AM103"/>
  <c r="BU100"/>
  <c r="BQ84"/>
  <c r="V100"/>
  <c r="AE107"/>
  <c r="AD105"/>
  <c r="Q106"/>
  <c r="CA91"/>
  <c r="AR89"/>
  <c r="BC104"/>
  <c r="BX97"/>
  <c r="G89"/>
  <c r="L95"/>
  <c r="BO104"/>
  <c r="AJ105"/>
  <c r="BX85"/>
  <c r="CD100"/>
  <c r="BK105"/>
  <c r="AV87"/>
  <c r="AE88"/>
  <c r="AN91"/>
  <c r="AS94"/>
  <c r="BB106"/>
  <c r="BC108"/>
  <c r="I103"/>
  <c r="Z104"/>
  <c r="V87"/>
  <c r="BU95"/>
  <c r="BF108"/>
  <c r="AG103"/>
  <c r="CG107"/>
  <c r="CB86"/>
  <c r="CK89"/>
  <c r="N95"/>
  <c r="CH104"/>
  <c r="AQ93"/>
  <c r="BI97"/>
  <c r="BD103"/>
  <c r="BE106"/>
  <c r="V86"/>
  <c r="S107"/>
  <c r="BW102"/>
  <c r="AG87"/>
  <c r="AU99"/>
  <c r="AD102"/>
  <c r="I95"/>
  <c r="T106"/>
  <c r="BB99"/>
  <c r="BC102"/>
  <c r="BG86"/>
  <c r="H98"/>
  <c r="M86"/>
  <c r="BD105"/>
  <c r="V89"/>
  <c r="AV100"/>
  <c r="BN84"/>
  <c r="AF104"/>
  <c r="BW96"/>
  <c r="AO107"/>
  <c r="CF99"/>
  <c r="BQ87"/>
  <c r="S85"/>
  <c r="BU87"/>
  <c r="BV91"/>
  <c r="BA93"/>
  <c r="G87"/>
  <c r="R99"/>
  <c r="AW103"/>
  <c r="AF106"/>
  <c r="AW91"/>
  <c r="BX93"/>
  <c r="BJ86"/>
  <c r="CF106"/>
  <c r="AS91"/>
  <c r="X85"/>
  <c r="AL87"/>
  <c r="BT98"/>
  <c r="BA86"/>
  <c r="K97"/>
  <c r="BJ89"/>
  <c r="T108"/>
  <c r="O106"/>
  <c r="BF98"/>
  <c r="AP93"/>
  <c r="H104"/>
  <c r="AY96"/>
  <c r="Q107"/>
  <c r="BH99"/>
  <c r="BC87"/>
  <c r="H93"/>
  <c r="L97"/>
  <c r="AP105"/>
  <c r="Y104"/>
  <c r="BD107"/>
  <c r="AZ103"/>
  <c r="AJ88"/>
  <c r="AY108"/>
  <c r="AL103"/>
  <c r="M88"/>
  <c r="AD91"/>
  <c r="BO84"/>
  <c r="AY86"/>
  <c r="BT106"/>
  <c r="AG108"/>
  <c r="O94"/>
  <c r="AB87"/>
  <c r="BH107"/>
  <c r="X105"/>
  <c r="BO97"/>
  <c r="AG99"/>
  <c r="BX108"/>
  <c r="BS88"/>
  <c r="U103"/>
  <c r="BL104"/>
  <c r="AD106"/>
  <c r="BU107"/>
  <c r="AE100"/>
  <c r="AZ84"/>
  <c r="AP99"/>
  <c r="BV87"/>
  <c r="O105"/>
  <c r="K86"/>
  <c r="AN107"/>
  <c r="AN85"/>
  <c r="R88"/>
  <c r="AI108"/>
  <c r="BE84"/>
  <c r="AO95"/>
  <c r="BF88"/>
  <c r="S91"/>
  <c r="CE102"/>
  <c r="Q96"/>
  <c r="AU107"/>
  <c r="CC100"/>
  <c r="AK104"/>
  <c r="CB105"/>
  <c r="AT98"/>
  <c r="BP100"/>
  <c r="BK97"/>
  <c r="AC99"/>
  <c r="BT100"/>
  <c r="Z84"/>
  <c r="BY85"/>
  <c r="AI96"/>
  <c r="CH106"/>
  <c r="F96"/>
  <c r="J104"/>
  <c r="F94"/>
  <c r="F91"/>
  <c r="F106"/>
  <c r="AQ99"/>
  <c r="BR96"/>
  <c r="CG99"/>
  <c r="BT85"/>
  <c r="BL94"/>
  <c r="AH91"/>
  <c r="AR95"/>
  <c r="BL99"/>
  <c r="BU90"/>
  <c r="BY108"/>
  <c r="BH88"/>
  <c r="J106"/>
  <c r="AE103"/>
  <c r="AV84"/>
  <c r="AE93"/>
  <c r="AG97"/>
  <c r="AX102"/>
  <c r="Z97"/>
  <c r="CA93"/>
  <c r="CJ85"/>
  <c r="AT85"/>
  <c r="AP95"/>
  <c r="AN97"/>
  <c r="AI99"/>
  <c r="CI104"/>
  <c r="CK97"/>
  <c r="BA98"/>
  <c r="BH103"/>
  <c r="BX96"/>
  <c r="BI93"/>
  <c r="BV88"/>
  <c r="CI102"/>
  <c r="BS99"/>
  <c r="CH90"/>
  <c r="AD95"/>
  <c r="AI107"/>
  <c r="AQ97"/>
  <c r="CG87"/>
  <c r="BI98"/>
  <c r="P84"/>
  <c r="AS106"/>
  <c r="BP106"/>
  <c r="K103"/>
  <c r="AE87"/>
  <c r="V91"/>
  <c r="CH87"/>
  <c r="AG104"/>
  <c r="BS103"/>
  <c r="AL107"/>
  <c r="BZ88"/>
  <c r="BX88"/>
  <c r="BZ90"/>
  <c r="CD91"/>
  <c r="H85"/>
  <c r="BR100"/>
  <c r="BK96"/>
  <c r="CD85"/>
  <c r="AS103"/>
  <c r="AU93"/>
  <c r="V96"/>
  <c r="BJ103"/>
  <c r="BU86"/>
  <c r="AN105"/>
  <c r="BN98"/>
  <c r="N104"/>
  <c r="AQ84"/>
  <c r="V95"/>
  <c r="I104"/>
  <c r="AK107"/>
  <c r="AR108"/>
  <c r="R98"/>
  <c r="AV91"/>
  <c r="BN93"/>
  <c r="Z108"/>
  <c r="BQ105"/>
  <c r="BA102"/>
  <c r="AZ97"/>
  <c r="AW108"/>
  <c r="BX84"/>
  <c r="AL105"/>
  <c r="BA95"/>
  <c r="BW88"/>
  <c r="CF100"/>
  <c r="AS90"/>
  <c r="H86"/>
  <c r="AL106"/>
  <c r="CB107"/>
  <c r="Y86"/>
  <c r="BE108"/>
  <c r="BH104"/>
  <c r="AY95"/>
  <c r="AG100"/>
  <c r="AB96"/>
  <c r="X87"/>
  <c r="BB89"/>
  <c r="G97"/>
  <c r="P108"/>
  <c r="BL86"/>
  <c r="I98"/>
  <c r="AE108"/>
  <c r="AI100"/>
  <c r="AT86"/>
  <c r="M91"/>
  <c r="BE102"/>
  <c r="BF97"/>
  <c r="BK106"/>
  <c r="BN95"/>
  <c r="AB95"/>
  <c r="AJ93"/>
  <c r="CF89"/>
  <c r="AT102"/>
  <c r="AK102"/>
  <c r="AS93"/>
  <c r="CF104"/>
  <c r="Y98"/>
  <c r="BV95"/>
  <c r="N97"/>
  <c r="J108"/>
  <c r="BK95"/>
  <c r="G100"/>
  <c r="M102"/>
  <c r="AZ86"/>
  <c r="X106"/>
  <c r="BM96"/>
  <c r="AL104"/>
  <c r="BI103"/>
  <c r="BZ94"/>
  <c r="BE107"/>
  <c r="CK86"/>
  <c r="BL102"/>
  <c r="BF84"/>
  <c r="L86"/>
  <c r="X98"/>
  <c r="BE90"/>
  <c r="BB86"/>
  <c r="BM108"/>
  <c r="BF91"/>
  <c r="AW90"/>
  <c r="BD94"/>
  <c r="Q103"/>
  <c r="AM97"/>
  <c r="AO98"/>
  <c r="CI105"/>
  <c r="G96"/>
  <c r="CE98"/>
  <c r="AS100"/>
  <c r="BT107"/>
  <c r="K106"/>
  <c r="CJ100"/>
  <c r="AY105"/>
  <c r="AP87"/>
  <c r="BD98"/>
  <c r="AL85"/>
  <c r="BB94"/>
  <c r="Q104"/>
  <c r="AS86"/>
  <c r="AK99"/>
  <c r="AD97"/>
  <c r="K95"/>
  <c r="BQ89"/>
  <c r="I93"/>
  <c r="AY102"/>
  <c r="BP90"/>
  <c r="BP107"/>
  <c r="Q99"/>
  <c r="AW89"/>
  <c r="BH93"/>
  <c r="AI94"/>
  <c r="CA108"/>
  <c r="AK97"/>
  <c r="AV90"/>
  <c r="AF108"/>
  <c r="CE91"/>
  <c r="CD89"/>
  <c r="AL84"/>
  <c r="BJ104"/>
  <c r="AY100"/>
  <c r="BT88"/>
  <c r="CB91"/>
  <c r="AN98"/>
  <c r="R97"/>
  <c r="CC85"/>
  <c r="CI91"/>
  <c r="CG104"/>
  <c r="AV86"/>
  <c r="CC102"/>
  <c r="AA85"/>
  <c r="BK84"/>
  <c r="CK105"/>
  <c r="BJ93"/>
  <c r="BR104"/>
  <c r="AC96"/>
  <c r="T85"/>
  <c r="CH94"/>
  <c r="P103"/>
  <c r="BA90"/>
  <c r="K107"/>
  <c r="BU108"/>
  <c r="AE98"/>
  <c r="Q88"/>
  <c r="BX94"/>
  <c r="K99"/>
  <c r="T84"/>
  <c r="L89"/>
  <c r="AF91"/>
  <c r="AU90"/>
  <c r="CH107"/>
  <c r="CD98"/>
  <c r="BD88"/>
  <c r="BJ98"/>
  <c r="BT95"/>
  <c r="CE90"/>
  <c r="AY91"/>
  <c r="AQ87"/>
  <c r="O87"/>
  <c r="BG106"/>
  <c r="AP89"/>
  <c r="BY94"/>
  <c r="BA88"/>
  <c r="CJ102"/>
  <c r="BE95"/>
  <c r="U89"/>
  <c r="CF84"/>
  <c r="AG89"/>
  <c r="Z99"/>
  <c r="CI90"/>
  <c r="AN90"/>
  <c r="AV88"/>
  <c r="CE85"/>
  <c r="R105"/>
  <c r="S106"/>
  <c r="AM85"/>
  <c r="R108"/>
  <c r="BC88"/>
  <c r="AJ90"/>
  <c r="CE95"/>
  <c r="I85"/>
  <c r="BW94"/>
  <c r="CE106"/>
  <c r="AH95"/>
  <c r="BA96"/>
  <c r="AP108"/>
  <c r="BW87"/>
  <c r="AO97"/>
  <c r="BK94"/>
  <c r="BJ107"/>
  <c r="AZ94"/>
  <c r="M97"/>
  <c r="AP97"/>
  <c r="BU98"/>
  <c r="CD96"/>
  <c r="BT108"/>
  <c r="AH100"/>
  <c r="AA90"/>
  <c r="CA94"/>
  <c r="J96"/>
  <c r="M105"/>
  <c r="BI99"/>
  <c r="BG90"/>
  <c r="BH94"/>
  <c r="AQ86"/>
  <c r="AX86"/>
  <c r="AM93"/>
  <c r="J107"/>
  <c r="CI99"/>
  <c r="BY90"/>
  <c r="CE96"/>
  <c r="AV97"/>
  <c r="CE94"/>
  <c r="BP105"/>
  <c r="CD99"/>
  <c r="I90"/>
  <c r="S87"/>
  <c r="AM94"/>
  <c r="CA104"/>
  <c r="BK98"/>
  <c r="BC97"/>
  <c r="BQ85"/>
  <c r="BR91"/>
  <c r="AN108"/>
  <c r="BC91"/>
  <c r="AM89"/>
  <c r="BN89"/>
  <c r="CD86"/>
  <c r="BW93"/>
  <c r="I86"/>
  <c r="AP100"/>
  <c r="V98"/>
  <c r="R107"/>
  <c r="BW105"/>
  <c r="Z91"/>
  <c r="S94"/>
  <c r="BA84"/>
  <c r="AW100"/>
  <c r="CF97"/>
  <c r="AL96"/>
  <c r="Y95"/>
  <c r="CI98"/>
  <c r="AH93"/>
  <c r="BF90"/>
  <c r="N85"/>
  <c r="AI91"/>
  <c r="M100"/>
  <c r="CE93"/>
  <c r="CK99"/>
  <c r="BK88"/>
  <c r="M103"/>
  <c r="W91"/>
  <c r="F87"/>
  <c r="F107"/>
  <c r="N87"/>
  <c r="AJ104"/>
  <c r="BO85"/>
  <c r="S99"/>
  <c r="CF107"/>
  <c r="BG91"/>
  <c r="L94"/>
  <c r="BS108"/>
  <c r="AQ89"/>
  <c r="AS98"/>
  <c r="AT93"/>
  <c r="BI87"/>
  <c r="W98"/>
  <c r="CF95"/>
  <c r="BY91"/>
  <c r="CC87"/>
  <c r="BS105"/>
  <c r="BH106"/>
  <c r="BH100"/>
  <c r="AV102"/>
  <c r="Z98"/>
  <c r="AE84"/>
  <c r="W104"/>
  <c r="BT93"/>
  <c r="AG88"/>
  <c r="BZ107"/>
  <c r="AX93"/>
  <c r="Z106"/>
  <c r="CJ103"/>
  <c r="AP104"/>
  <c r="CH91"/>
  <c r="T96"/>
  <c r="AY97"/>
  <c r="N88"/>
  <c r="BR84"/>
  <c r="CK88"/>
  <c r="BX105"/>
  <c r="BZ108"/>
  <c r="BK104"/>
  <c r="M93"/>
  <c r="AV94"/>
  <c r="AB107"/>
  <c r="BM87"/>
  <c r="AQ106"/>
  <c r="AU106"/>
  <c r="BI94"/>
  <c r="AG102"/>
  <c r="BW108"/>
  <c r="CG105"/>
  <c r="AX103"/>
  <c r="BI107"/>
  <c r="CK104"/>
  <c r="BL96"/>
  <c r="M90"/>
  <c r="BF93"/>
  <c r="AE105"/>
  <c r="G90"/>
  <c r="V108"/>
  <c r="CH105"/>
  <c r="AD87"/>
  <c r="AL89"/>
  <c r="BL108"/>
  <c r="R84"/>
  <c r="BZ97"/>
  <c r="AR107"/>
  <c r="BS98"/>
  <c r="G107"/>
  <c r="AF84"/>
  <c r="CD108"/>
  <c r="H94"/>
  <c r="BV98"/>
  <c r="Z95"/>
  <c r="AU84"/>
  <c r="BB104"/>
  <c r="BJ85"/>
  <c r="CG89"/>
  <c r="AN96"/>
  <c r="AT106"/>
  <c r="N86"/>
  <c r="CH93"/>
  <c r="AQ102"/>
  <c r="N91"/>
  <c r="BD85"/>
  <c r="V104"/>
  <c r="BR99"/>
  <c r="AG105"/>
  <c r="AY103"/>
  <c r="X99"/>
  <c r="AI106"/>
  <c r="AR100"/>
  <c r="BN102"/>
  <c r="K105"/>
  <c r="AO89"/>
  <c r="O95"/>
  <c r="BQ96"/>
  <c r="G93"/>
  <c r="BW107"/>
  <c r="AW85"/>
  <c r="BX102"/>
  <c r="BN87"/>
  <c r="AS108"/>
  <c r="BH90"/>
  <c r="BY84"/>
  <c r="CB94"/>
  <c r="AO84"/>
  <c r="AJ106"/>
  <c r="AE91"/>
  <c r="AZ93"/>
  <c r="BV105"/>
  <c r="K104"/>
  <c r="AN103"/>
  <c r="AT104"/>
  <c r="Q105"/>
  <c r="CC108"/>
  <c r="P96"/>
  <c r="Y99"/>
  <c r="H91"/>
  <c r="Z93"/>
  <c r="AI87"/>
  <c r="AR99"/>
  <c r="F97"/>
  <c r="CC95"/>
  <c r="AJ86"/>
  <c r="BZ105"/>
  <c r="CI94"/>
  <c r="AC91"/>
  <c r="CC105"/>
  <c r="W95"/>
  <c r="H99"/>
  <c r="CH100"/>
  <c r="AY88"/>
  <c r="BD102"/>
  <c r="CA90"/>
  <c r="Q108"/>
  <c r="AB89"/>
  <c r="G104"/>
  <c r="L102"/>
  <c r="BW100"/>
  <c r="BI100"/>
  <c r="AJ89"/>
  <c r="P89"/>
  <c r="BP94"/>
  <c r="BU85"/>
  <c r="I100"/>
  <c r="AD96"/>
  <c r="R102"/>
  <c r="G98"/>
  <c r="AP94"/>
  <c r="BB88"/>
  <c r="Z86"/>
  <c r="BM84"/>
  <c r="CG84"/>
  <c r="W88"/>
  <c r="AG96"/>
  <c r="T97"/>
  <c r="BQ99"/>
  <c r="O104"/>
  <c r="AW94"/>
  <c r="AA86"/>
  <c r="BN85"/>
  <c r="T91"/>
  <c r="BF89"/>
  <c r="AC103"/>
  <c r="G103"/>
  <c r="AJ97"/>
  <c r="AD108"/>
  <c r="CJ89"/>
  <c r="BW90"/>
  <c r="BO106"/>
  <c r="BX100"/>
  <c r="CG85"/>
  <c r="AZ102"/>
  <c r="BC98"/>
  <c r="AL100"/>
  <c r="AN94"/>
  <c r="AV98"/>
  <c r="AO105"/>
  <c r="Q87"/>
  <c r="CF96"/>
  <c r="U95"/>
  <c r="CH85"/>
  <c r="AX108"/>
  <c r="CC97"/>
  <c r="W85"/>
  <c r="BT96"/>
  <c r="U99"/>
  <c r="BC86"/>
  <c r="BP93"/>
  <c r="AM90"/>
  <c r="CB88"/>
  <c r="T102"/>
  <c r="BV94"/>
  <c r="AF107"/>
  <c r="BE88"/>
  <c r="S89"/>
  <c r="BJ97"/>
  <c r="Y91"/>
  <c r="AF88"/>
  <c r="X103"/>
  <c r="AP102"/>
  <c r="Y93"/>
  <c r="BO102"/>
  <c r="O85"/>
  <c r="L108"/>
  <c r="U94"/>
  <c r="O96"/>
  <c r="AC84"/>
  <c r="S108"/>
  <c r="BS104"/>
  <c r="BN99"/>
  <c r="CJ93"/>
  <c r="BR89"/>
  <c r="U84"/>
  <c r="Z103"/>
  <c r="T95"/>
  <c r="AU103"/>
  <c r="AH89"/>
  <c r="AW86"/>
  <c r="BF87"/>
  <c r="CA105"/>
  <c r="AD89"/>
  <c r="BP98"/>
  <c r="CF103"/>
  <c r="AW98"/>
  <c r="AE104"/>
  <c r="R100"/>
  <c r="CJ95"/>
  <c r="BN88"/>
  <c r="AG94"/>
  <c r="AU91"/>
  <c r="BE97"/>
  <c r="AD84"/>
  <c r="BY95"/>
  <c r="BH87"/>
  <c r="CF90"/>
  <c r="R85"/>
  <c r="AA93"/>
  <c r="AM104"/>
  <c r="BM85"/>
  <c r="AF87"/>
  <c r="AP84"/>
  <c r="AH85"/>
  <c r="CB100"/>
  <c r="BU89"/>
  <c r="AP90"/>
  <c r="CD105"/>
  <c r="BP108"/>
  <c r="BS84"/>
  <c r="BN100"/>
  <c r="CC93"/>
  <c r="BO99"/>
  <c r="AA103"/>
  <c r="AN104"/>
  <c r="CK100"/>
  <c r="AW104"/>
  <c r="BR103"/>
  <c r="AX104"/>
  <c r="J89"/>
  <c r="AC87"/>
  <c r="BJ105"/>
  <c r="AB100"/>
  <c r="CE87"/>
  <c r="BU102"/>
  <c r="BG89"/>
  <c r="BC99"/>
  <c r="BQ93"/>
  <c r="AE89"/>
  <c r="Q97"/>
  <c r="AC104"/>
  <c r="BQ103"/>
  <c r="K84"/>
  <c r="BX103"/>
  <c r="AV105"/>
  <c r="BN106"/>
  <c r="CH86"/>
  <c r="BW84"/>
  <c r="BB90"/>
  <c r="R94"/>
  <c r="R90"/>
  <c r="CF88"/>
  <c r="O88"/>
  <c r="Q89"/>
  <c r="BB87"/>
  <c r="AG90"/>
  <c r="N84"/>
  <c r="BX98"/>
  <c r="F85"/>
  <c r="CG108"/>
  <c r="BF95"/>
  <c r="AB104"/>
  <c r="P104"/>
  <c r="BY107"/>
  <c r="CB99"/>
  <c r="O108"/>
  <c r="AC89"/>
  <c r="U106"/>
  <c r="AS84"/>
  <c r="Y107"/>
  <c r="BA108"/>
  <c r="W102"/>
  <c r="O98"/>
  <c r="H87"/>
  <c r="AF85"/>
  <c r="AJ91"/>
  <c r="H90"/>
  <c r="BV104"/>
  <c r="AT87"/>
  <c r="AO108"/>
  <c r="P97"/>
  <c r="AQ100"/>
  <c r="U100"/>
  <c r="J91"/>
  <c r="S95"/>
  <c r="BO87"/>
  <c r="AW105"/>
  <c r="Q91"/>
  <c r="AZ100"/>
  <c r="X97"/>
  <c r="L93"/>
  <c r="U104"/>
  <c r="BI108"/>
  <c r="AJ107"/>
  <c r="AY107"/>
  <c r="CC88"/>
  <c r="Q90"/>
  <c r="BL84"/>
  <c r="AZ96"/>
  <c r="I91"/>
  <c r="BH84"/>
  <c r="X93"/>
  <c r="Y87"/>
  <c r="AB85"/>
  <c r="AX99"/>
  <c r="BT87"/>
  <c r="U90"/>
  <c r="AA105"/>
  <c r="CA100"/>
  <c r="AO94"/>
  <c r="BC95"/>
  <c r="L104"/>
  <c r="AY99"/>
  <c r="BM97"/>
  <c r="X107"/>
  <c r="AE106"/>
  <c r="BB97"/>
  <c r="AK88"/>
  <c r="BM91"/>
  <c r="BF100"/>
  <c r="AX105"/>
  <c r="BV85"/>
  <c r="AW99"/>
  <c r="W97"/>
  <c r="CB95"/>
  <c r="BI88"/>
  <c r="CK102"/>
  <c r="S98"/>
  <c r="T88"/>
  <c r="BC84"/>
  <c r="H107"/>
  <c r="BD87"/>
  <c r="BM90"/>
  <c r="AM88"/>
  <c r="AF86"/>
  <c r="BK91"/>
  <c r="CI96"/>
  <c r="Y100"/>
  <c r="BC103"/>
  <c r="BU105"/>
  <c r="G105"/>
  <c r="BJ95"/>
  <c r="BT89"/>
  <c r="K88"/>
  <c r="CJ91"/>
  <c r="AY87"/>
  <c r="CC89"/>
  <c r="H84"/>
  <c r="AP96"/>
  <c r="BD89"/>
  <c r="BO88"/>
  <c r="AD88"/>
  <c r="AZ99"/>
  <c r="BF85"/>
  <c r="Y103"/>
  <c r="AV107"/>
  <c r="AK86"/>
  <c r="AT107"/>
  <c r="AC90"/>
  <c r="BD104"/>
  <c r="BM107"/>
  <c r="CI108"/>
  <c r="AW102"/>
  <c r="W87"/>
  <c r="BL107"/>
  <c r="BP95"/>
  <c r="BY88"/>
  <c r="CD84"/>
  <c r="J84"/>
  <c r="W84"/>
  <c r="O89"/>
  <c r="BJ99"/>
  <c r="AQ94"/>
  <c r="BX99"/>
  <c r="BX104"/>
  <c r="AU85"/>
  <c r="AZ89"/>
  <c r="AD85"/>
  <c r="AK105"/>
  <c r="V84"/>
  <c r="AT105"/>
  <c r="BT99"/>
  <c r="CK96"/>
  <c r="AO91"/>
  <c r="AR106"/>
  <c r="AA108"/>
  <c r="P88"/>
  <c r="AA88"/>
  <c r="BO96"/>
  <c r="AW96"/>
  <c r="K108"/>
  <c r="AB97"/>
  <c r="AX106"/>
  <c r="CA87"/>
  <c r="BD100"/>
  <c r="BR106"/>
  <c r="AH106"/>
  <c r="BG105"/>
  <c r="BO108"/>
  <c r="K98"/>
  <c r="X102"/>
  <c r="AB103"/>
  <c r="AA87"/>
  <c r="N98"/>
  <c r="BI106"/>
  <c r="AR84"/>
  <c r="CK103"/>
  <c r="AD93"/>
  <c r="AF95"/>
  <c r="AA102"/>
  <c r="BQ108"/>
  <c r="O90"/>
  <c r="CA97"/>
  <c r="BZ86"/>
  <c r="BO107"/>
  <c r="BH89"/>
  <c r="AX98"/>
  <c r="CB84"/>
  <c r="Y94"/>
  <c r="AO86"/>
  <c r="AU98"/>
  <c r="BP91"/>
  <c r="AU104"/>
  <c r="BP104"/>
  <c r="BI95"/>
  <c r="AA107"/>
  <c r="CD102"/>
  <c r="BL97"/>
  <c r="BJ108"/>
  <c r="J93"/>
  <c r="AN93"/>
  <c r="U107"/>
  <c r="AQ103"/>
  <c r="BX86"/>
  <c r="BB100"/>
  <c r="R104"/>
  <c r="AG107"/>
  <c r="Z87"/>
  <c r="Q84"/>
  <c r="L105"/>
  <c r="N90"/>
  <c r="BR88"/>
  <c r="BJ87"/>
  <c r="AB91"/>
  <c r="AX91"/>
  <c r="BO100"/>
  <c r="BQ102"/>
  <c r="AJ96"/>
  <c r="CE86"/>
  <c r="AW97"/>
  <c r="CE97"/>
  <c r="AK103"/>
  <c r="I96"/>
  <c r="BY105"/>
  <c r="AF97"/>
  <c r="X94"/>
  <c r="X100"/>
  <c r="Q98"/>
  <c r="BE96"/>
  <c r="CJ105"/>
  <c r="U85"/>
  <c r="AN89"/>
  <c r="R106"/>
  <c r="AU89"/>
  <c r="CH97"/>
  <c r="AU96"/>
  <c r="AI95"/>
  <c r="CA85"/>
  <c r="J87"/>
  <c r="AR87"/>
  <c r="BQ88"/>
  <c r="BE85"/>
  <c r="AB90"/>
  <c r="AH107"/>
  <c r="BJ102"/>
  <c r="CI97"/>
  <c r="BF96"/>
  <c r="AQ104"/>
  <c r="AI102"/>
  <c r="BR95"/>
  <c r="CF85"/>
  <c r="BV93"/>
  <c r="AK91"/>
  <c r="CJ106"/>
  <c r="AE86"/>
  <c r="CC99"/>
  <c r="BO86"/>
  <c r="AW88"/>
  <c r="T89"/>
  <c r="BH105"/>
  <c r="BA103"/>
  <c r="X91"/>
  <c r="BC96"/>
  <c r="S102"/>
  <c r="BS106"/>
  <c r="AR85"/>
  <c r="CE84"/>
  <c r="W108"/>
  <c r="J95"/>
  <c r="M107"/>
  <c r="CA98"/>
  <c r="BL85"/>
  <c r="BA97"/>
  <c r="V85"/>
  <c r="Y106"/>
  <c r="BU97"/>
  <c r="AN86"/>
  <c r="J88"/>
  <c r="CF93"/>
  <c r="AN88"/>
  <c r="CI86"/>
  <c r="BR94"/>
  <c r="CI93"/>
  <c r="BQ95"/>
  <c r="X95"/>
  <c r="J99"/>
  <c r="AI98"/>
  <c r="BG94"/>
  <c r="S88"/>
  <c r="BG102"/>
  <c r="AK100"/>
  <c r="BG107"/>
  <c r="I97"/>
  <c r="BP97"/>
  <c r="K94"/>
  <c r="AC95"/>
  <c r="BO95"/>
  <c r="BZ93"/>
  <c r="BK87"/>
  <c r="AS85"/>
  <c r="I94"/>
  <c r="BW103"/>
  <c r="V99"/>
  <c r="V105"/>
  <c r="BU104"/>
  <c r="CK98"/>
  <c r="CH95"/>
  <c r="CD88"/>
  <c r="BG104"/>
  <c r="M95"/>
  <c r="AV108"/>
  <c r="T99"/>
  <c r="AO106"/>
  <c r="BV108"/>
  <c r="BW86"/>
  <c r="AB102"/>
  <c r="BA104"/>
  <c r="H95"/>
  <c r="AM108"/>
  <c r="BC105"/>
  <c r="L88"/>
  <c r="AZ85"/>
  <c r="X96"/>
  <c r="P100"/>
  <c r="BL95"/>
  <c r="U96"/>
  <c r="AM96"/>
  <c r="BM95"/>
  <c r="N102"/>
  <c r="AC106"/>
  <c r="CB87"/>
  <c r="BT91"/>
  <c r="V88"/>
  <c r="V88" i="2" l="1"/>
  <c r="BT91"/>
  <c r="CB87"/>
  <c r="AC106"/>
  <c r="N101" i="3"/>
  <c r="N101" i="2" s="1"/>
  <c r="N102"/>
  <c r="BM95"/>
  <c r="AM96"/>
  <c r="U96"/>
  <c r="BL95"/>
  <c r="P100"/>
  <c r="X96"/>
  <c r="AZ85"/>
  <c r="L88"/>
  <c r="BC105"/>
  <c r="AM108"/>
  <c r="H95"/>
  <c r="BA104"/>
  <c r="AB101" i="3"/>
  <c r="AB101" i="2" s="1"/>
  <c r="AB102"/>
  <c r="BW86"/>
  <c r="BV108"/>
  <c r="AO106"/>
  <c r="T99"/>
  <c r="AV108"/>
  <c r="M95"/>
  <c r="BG104"/>
  <c r="CD88"/>
  <c r="CH95"/>
  <c r="CK98"/>
  <c r="BU104"/>
  <c r="V105"/>
  <c r="V99"/>
  <c r="BW103"/>
  <c r="I94"/>
  <c r="AS85"/>
  <c r="BK87"/>
  <c r="BZ92" i="3"/>
  <c r="BZ92" i="2" s="1"/>
  <c r="BZ93"/>
  <c r="BO95"/>
  <c r="AC95"/>
  <c r="K94"/>
  <c r="BP97"/>
  <c r="I97"/>
  <c r="BG107"/>
  <c r="AK100"/>
  <c r="BG101" i="3"/>
  <c r="BG101" i="2" s="1"/>
  <c r="BG102"/>
  <c r="S88"/>
  <c r="BG94"/>
  <c r="AI98"/>
  <c r="J99"/>
  <c r="X95"/>
  <c r="BQ95"/>
  <c r="CI92" i="3"/>
  <c r="CI92" i="2" s="1"/>
  <c r="CI93"/>
  <c r="BR94"/>
  <c r="CI86"/>
  <c r="AN88"/>
  <c r="CF92" i="3"/>
  <c r="CF92" i="2" s="1"/>
  <c r="CF93"/>
  <c r="J88"/>
  <c r="AN86"/>
  <c r="BU97"/>
  <c r="Y106"/>
  <c r="V85"/>
  <c r="BA97"/>
  <c r="BL85"/>
  <c r="CA98"/>
  <c r="M107"/>
  <c r="J95"/>
  <c r="W108"/>
  <c r="CE83" i="3"/>
  <c r="CE83" i="2" s="1"/>
  <c r="CE84"/>
  <c r="AR85"/>
  <c r="BS106"/>
  <c r="S101" i="3"/>
  <c r="S101" i="2" s="1"/>
  <c r="S102"/>
  <c r="BC96"/>
  <c r="X91"/>
  <c r="BA103"/>
  <c r="BH105"/>
  <c r="T89"/>
  <c r="AW88"/>
  <c r="BO86"/>
  <c r="CC99"/>
  <c r="AE86"/>
  <c r="CJ106"/>
  <c r="AK91"/>
  <c r="BV92" i="3"/>
  <c r="BV92" i="2" s="1"/>
  <c r="BV93"/>
  <c r="CF85"/>
  <c r="BR95"/>
  <c r="AI101" i="3"/>
  <c r="AI101" i="2" s="1"/>
  <c r="AI102"/>
  <c r="AQ104"/>
  <c r="BF96"/>
  <c r="CI97"/>
  <c r="BJ102"/>
  <c r="BJ101" i="3"/>
  <c r="BJ101" i="2" s="1"/>
  <c r="AH107"/>
  <c r="AB90"/>
  <c r="BE85"/>
  <c r="BQ88"/>
  <c r="AR87"/>
  <c r="J87"/>
  <c r="CA85"/>
  <c r="AI95"/>
  <c r="AU96"/>
  <c r="CH97"/>
  <c r="AU89"/>
  <c r="R106"/>
  <c r="AN89"/>
  <c r="U85"/>
  <c r="CJ105"/>
  <c r="BE96"/>
  <c r="Q98"/>
  <c r="X100"/>
  <c r="X94"/>
  <c r="AF97"/>
  <c r="BY105"/>
  <c r="I96"/>
  <c r="AK103"/>
  <c r="CE97"/>
  <c r="AW97"/>
  <c r="CE86"/>
  <c r="AJ96"/>
  <c r="BQ101" i="3"/>
  <c r="BQ101" i="2" s="1"/>
  <c r="BQ102"/>
  <c r="BO100"/>
  <c r="AX91"/>
  <c r="AB91"/>
  <c r="BJ87"/>
  <c r="BR88"/>
  <c r="N90"/>
  <c r="L105"/>
  <c r="Q83" i="3"/>
  <c r="Q83" i="2" s="1"/>
  <c r="Q84"/>
  <c r="Z87"/>
  <c r="AG107"/>
  <c r="R104"/>
  <c r="BB100"/>
  <c r="BX86"/>
  <c r="AQ103"/>
  <c r="U107"/>
  <c r="AN92" i="3"/>
  <c r="AN92" i="2" s="1"/>
  <c r="AN93"/>
  <c r="J92" i="3"/>
  <c r="J92" i="2" s="1"/>
  <c r="J93"/>
  <c r="BJ108"/>
  <c r="BL97"/>
  <c r="CD101" i="3"/>
  <c r="CD101" i="2" s="1"/>
  <c r="CD102"/>
  <c r="AA107"/>
  <c r="BI95"/>
  <c r="BP104"/>
  <c r="AU104"/>
  <c r="BP91"/>
  <c r="AU98"/>
  <c r="AO86"/>
  <c r="Y94"/>
  <c r="CB83" i="3"/>
  <c r="CB83" i="2" s="1"/>
  <c r="CB84"/>
  <c r="AX98"/>
  <c r="BH89"/>
  <c r="BO107"/>
  <c r="BZ86"/>
  <c r="CA97"/>
  <c r="O90"/>
  <c r="BQ108"/>
  <c r="AA101" i="3"/>
  <c r="AA101" i="2" s="1"/>
  <c r="AA102"/>
  <c r="AF95"/>
  <c r="AD92" i="3"/>
  <c r="AD92" i="2" s="1"/>
  <c r="AD93"/>
  <c r="CK103"/>
  <c r="AR83" i="3"/>
  <c r="AR83" i="2" s="1"/>
  <c r="AR84"/>
  <c r="BI106"/>
  <c r="N98"/>
  <c r="AA87"/>
  <c r="AB103"/>
  <c r="X102"/>
  <c r="X101" i="3"/>
  <c r="X101" i="2" s="1"/>
  <c r="K98"/>
  <c r="BO108"/>
  <c r="BG105"/>
  <c r="AH106"/>
  <c r="BR106"/>
  <c r="BD100"/>
  <c r="CA87"/>
  <c r="AX106"/>
  <c r="AB97"/>
  <c r="K108"/>
  <c r="AW96"/>
  <c r="BO96"/>
  <c r="AA88"/>
  <c r="P88"/>
  <c r="AA108"/>
  <c r="AR106"/>
  <c r="AO91"/>
  <c r="CK96"/>
  <c r="BT99"/>
  <c r="AT105"/>
  <c r="V83" i="3"/>
  <c r="V83" i="2" s="1"/>
  <c r="V84"/>
  <c r="AK105"/>
  <c r="AD85"/>
  <c r="AZ89"/>
  <c r="AU85"/>
  <c r="BX104"/>
  <c r="BX99"/>
  <c r="AQ94"/>
  <c r="BJ99"/>
  <c r="O89"/>
  <c r="W83" i="3"/>
  <c r="W83" i="2" s="1"/>
  <c r="W84"/>
  <c r="J83" i="3"/>
  <c r="J83" i="2" s="1"/>
  <c r="J84"/>
  <c r="CD83" i="3"/>
  <c r="CD83" i="2" s="1"/>
  <c r="CD84"/>
  <c r="BY88"/>
  <c r="BP95"/>
  <c r="BL107"/>
  <c r="W87"/>
  <c r="AW101" i="3"/>
  <c r="AW101" i="2" s="1"/>
  <c r="AW102"/>
  <c r="CI108"/>
  <c r="BM107"/>
  <c r="BD104"/>
  <c r="AC90"/>
  <c r="AT107"/>
  <c r="AK86"/>
  <c r="AV107"/>
  <c r="Y103"/>
  <c r="BF85"/>
  <c r="AZ99"/>
  <c r="AD88"/>
  <c r="BO88"/>
  <c r="BD89"/>
  <c r="AP96"/>
  <c r="H83" i="3"/>
  <c r="H83" i="2" s="1"/>
  <c r="H84"/>
  <c r="CC89"/>
  <c r="AY87"/>
  <c r="CJ91"/>
  <c r="K88"/>
  <c r="BT89"/>
  <c r="BJ95"/>
  <c r="G105"/>
  <c r="BU105"/>
  <c r="BC103"/>
  <c r="Y100"/>
  <c r="CI96"/>
  <c r="BK91"/>
  <c r="AF86"/>
  <c r="AM88"/>
  <c r="BM90"/>
  <c r="BD87"/>
  <c r="H107"/>
  <c r="BC83" i="3"/>
  <c r="BC83" i="2" s="1"/>
  <c r="BC84"/>
  <c r="T88"/>
  <c r="S98"/>
  <c r="CK101" i="3"/>
  <c r="CK101" i="2" s="1"/>
  <c r="CK102"/>
  <c r="BI88"/>
  <c r="CB95"/>
  <c r="W97"/>
  <c r="AW99"/>
  <c r="BV85"/>
  <c r="AX105"/>
  <c r="BF100"/>
  <c r="BM91"/>
  <c r="AK88"/>
  <c r="BB97"/>
  <c r="AE106"/>
  <c r="X107"/>
  <c r="BM97"/>
  <c r="AY99"/>
  <c r="L104"/>
  <c r="BC95"/>
  <c r="AO94"/>
  <c r="CA100"/>
  <c r="AA105"/>
  <c r="U90"/>
  <c r="BT87"/>
  <c r="AX99"/>
  <c r="AB85"/>
  <c r="Y87"/>
  <c r="X92" i="3"/>
  <c r="X92" i="2" s="1"/>
  <c r="X93"/>
  <c r="BH83" i="3"/>
  <c r="BH83" i="2" s="1"/>
  <c r="BH84"/>
  <c r="I91"/>
  <c r="AZ96"/>
  <c r="BL83" i="3"/>
  <c r="BL83" i="2" s="1"/>
  <c r="BL84"/>
  <c r="Q90"/>
  <c r="CC88"/>
  <c r="AY107"/>
  <c r="AJ107"/>
  <c r="BI108"/>
  <c r="U104"/>
  <c r="L92" i="3"/>
  <c r="L92" i="2" s="1"/>
  <c r="L93"/>
  <c r="X97"/>
  <c r="AZ100"/>
  <c r="Q91"/>
  <c r="AW105"/>
  <c r="BO87"/>
  <c r="S95"/>
  <c r="J91"/>
  <c r="U100"/>
  <c r="AQ100"/>
  <c r="P97"/>
  <c r="AO108"/>
  <c r="AT87"/>
  <c r="BV104"/>
  <c r="H90"/>
  <c r="AJ91"/>
  <c r="AF85"/>
  <c r="H87"/>
  <c r="O98"/>
  <c r="W102"/>
  <c r="W101" i="3"/>
  <c r="W101" i="2" s="1"/>
  <c r="BA108"/>
  <c r="Y107"/>
  <c r="AS83" i="3"/>
  <c r="AS83" i="2" s="1"/>
  <c r="AS84"/>
  <c r="U106"/>
  <c r="AC89"/>
  <c r="O108"/>
  <c r="CB99"/>
  <c r="BY107"/>
  <c r="P104"/>
  <c r="AB104"/>
  <c r="BF95"/>
  <c r="CG108"/>
  <c r="F85"/>
  <c r="BX98"/>
  <c r="N83" i="3"/>
  <c r="N83" i="2" s="1"/>
  <c r="N84"/>
  <c r="AG90"/>
  <c r="BB87"/>
  <c r="Q89"/>
  <c r="O88"/>
  <c r="CF88"/>
  <c r="R90"/>
  <c r="R94"/>
  <c r="BB90"/>
  <c r="BW83" i="3"/>
  <c r="BW83" i="2" s="1"/>
  <c r="BW84"/>
  <c r="CH86"/>
  <c r="BN106"/>
  <c r="AV105"/>
  <c r="BX103"/>
  <c r="K83" i="3"/>
  <c r="K83" i="2" s="1"/>
  <c r="K84"/>
  <c r="BQ103"/>
  <c r="AC104"/>
  <c r="Q97"/>
  <c r="AE89"/>
  <c r="BQ92" i="3"/>
  <c r="BQ92" i="2" s="1"/>
  <c r="BQ93"/>
  <c r="BC99"/>
  <c r="BG89"/>
  <c r="BU101" i="3"/>
  <c r="BU101" i="2" s="1"/>
  <c r="BU102"/>
  <c r="CE87"/>
  <c r="AB100"/>
  <c r="BJ105"/>
  <c r="AC87"/>
  <c r="J89"/>
  <c r="AX104"/>
  <c r="BR103"/>
  <c r="AW104"/>
  <c r="CK100"/>
  <c r="AN104"/>
  <c r="AA103"/>
  <c r="BO99"/>
  <c r="CC92" i="3"/>
  <c r="CC92" i="2" s="1"/>
  <c r="CC93"/>
  <c r="BN100"/>
  <c r="BS84"/>
  <c r="BS83" i="3"/>
  <c r="BS83" i="2" s="1"/>
  <c r="BP108"/>
  <c r="CD105"/>
  <c r="AP90"/>
  <c r="BU89"/>
  <c r="CB100"/>
  <c r="AH85"/>
  <c r="AP83" i="3"/>
  <c r="AP83" i="2" s="1"/>
  <c r="AP84"/>
  <c r="AF87"/>
  <c r="BM85"/>
  <c r="AM104"/>
  <c r="AA92" i="3"/>
  <c r="AA92" i="2" s="1"/>
  <c r="AA93"/>
  <c r="R85"/>
  <c r="CF90"/>
  <c r="BH87"/>
  <c r="BY95"/>
  <c r="AD83" i="3"/>
  <c r="AD83" i="2" s="1"/>
  <c r="AD84"/>
  <c r="BE97"/>
  <c r="AU91"/>
  <c r="AG94"/>
  <c r="BN88"/>
  <c r="CJ95"/>
  <c r="R100"/>
  <c r="AE104"/>
  <c r="AW98"/>
  <c r="CF103"/>
  <c r="BP98"/>
  <c r="AD89"/>
  <c r="CA105"/>
  <c r="BF87"/>
  <c r="AW86"/>
  <c r="AH89"/>
  <c r="AU103"/>
  <c r="T95"/>
  <c r="Z103"/>
  <c r="U83" i="3"/>
  <c r="U83" i="2" s="1"/>
  <c r="U84"/>
  <c r="BR89"/>
  <c r="CJ93"/>
  <c r="CJ92" i="3"/>
  <c r="CJ92" i="2" s="1"/>
  <c r="BN99"/>
  <c r="BS104"/>
  <c r="S108"/>
  <c r="AC84"/>
  <c r="AC83" i="3"/>
  <c r="AC83" i="2" s="1"/>
  <c r="O96"/>
  <c r="U94"/>
  <c r="L108"/>
  <c r="O85"/>
  <c r="BO101" i="3"/>
  <c r="BO101" i="2" s="1"/>
  <c r="BO102"/>
  <c r="Y92" i="3"/>
  <c r="Y92" i="2" s="1"/>
  <c r="Y93"/>
  <c r="AP101" i="3"/>
  <c r="AP101" i="2" s="1"/>
  <c r="AP102"/>
  <c r="X103"/>
  <c r="AF88"/>
  <c r="Y91"/>
  <c r="BJ97"/>
  <c r="S89"/>
  <c r="BE88"/>
  <c r="AF107"/>
  <c r="BV94"/>
  <c r="T102"/>
  <c r="T101" i="3"/>
  <c r="T101" i="2" s="1"/>
  <c r="CB88"/>
  <c r="AM90"/>
  <c r="BP92" i="3"/>
  <c r="BP92" i="2" s="1"/>
  <c r="BP93"/>
  <c r="BC86"/>
  <c r="U99"/>
  <c r="BT96"/>
  <c r="W85"/>
  <c r="CC97"/>
  <c r="AX108"/>
  <c r="CH85"/>
  <c r="U95"/>
  <c r="CF96"/>
  <c r="Q87"/>
  <c r="AO105"/>
  <c r="AV98"/>
  <c r="AN94"/>
  <c r="AL100"/>
  <c r="BC98"/>
  <c r="AZ101" i="3"/>
  <c r="AZ101" i="2" s="1"/>
  <c r="AZ102"/>
  <c r="CG85"/>
  <c r="BX100"/>
  <c r="BO106"/>
  <c r="BW90"/>
  <c r="CJ89"/>
  <c r="AD108"/>
  <c r="AJ97"/>
  <c r="G103"/>
  <c r="AC103"/>
  <c r="BF89"/>
  <c r="T91"/>
  <c r="BN85"/>
  <c r="AA86"/>
  <c r="AW94"/>
  <c r="O104"/>
  <c r="BQ99"/>
  <c r="T97"/>
  <c r="AG96"/>
  <c r="W88"/>
  <c r="CG83" i="3"/>
  <c r="CG83" i="2" s="1"/>
  <c r="CG84"/>
  <c r="BM83" i="3"/>
  <c r="BM83" i="2" s="1"/>
  <c r="BM84"/>
  <c r="Z86"/>
  <c r="BB88"/>
  <c r="AP94"/>
  <c r="G98"/>
  <c r="R101" i="3"/>
  <c r="R101" i="2" s="1"/>
  <c r="R102"/>
  <c r="AD96"/>
  <c r="I100"/>
  <c r="BU85"/>
  <c r="BP94"/>
  <c r="P89"/>
  <c r="AJ89"/>
  <c r="BI100"/>
  <c r="BW100"/>
  <c r="L101" i="3"/>
  <c r="L101" i="2" s="1"/>
  <c r="L102"/>
  <c r="G104"/>
  <c r="AB89"/>
  <c r="Q108"/>
  <c r="CA90"/>
  <c r="BD101" i="3"/>
  <c r="BD101" i="2" s="1"/>
  <c r="BD102"/>
  <c r="AY88"/>
  <c r="CH100"/>
  <c r="H99"/>
  <c r="W95"/>
  <c r="CC105"/>
  <c r="AC91"/>
  <c r="CI94"/>
  <c r="BZ105"/>
  <c r="AJ86"/>
  <c r="CC95"/>
  <c r="F97"/>
  <c r="AR99"/>
  <c r="AI87"/>
  <c r="Z92" i="3"/>
  <c r="Z92" i="2" s="1"/>
  <c r="Z93"/>
  <c r="H91"/>
  <c r="Y99"/>
  <c r="P96"/>
  <c r="CC108"/>
  <c r="Q105"/>
  <c r="AT104"/>
  <c r="AN103"/>
  <c r="K104"/>
  <c r="BV105"/>
  <c r="AZ92" i="3"/>
  <c r="AZ92" i="2" s="1"/>
  <c r="AZ93"/>
  <c r="AE91"/>
  <c r="AJ106"/>
  <c r="AO83" i="3"/>
  <c r="AO83" i="2" s="1"/>
  <c r="AO84"/>
  <c r="CB94"/>
  <c r="BY83" i="3"/>
  <c r="BY83" i="2" s="1"/>
  <c r="BY84"/>
  <c r="BH90"/>
  <c r="AS108"/>
  <c r="BN87"/>
  <c r="BX101" i="3"/>
  <c r="BX101" i="2" s="1"/>
  <c r="BX102"/>
  <c r="AW85"/>
  <c r="BW107"/>
  <c r="G92" i="3"/>
  <c r="G92" i="2" s="1"/>
  <c r="G93"/>
  <c r="BQ96"/>
  <c r="O95"/>
  <c r="AO89"/>
  <c r="K105"/>
  <c r="BN101" i="3"/>
  <c r="BN101" i="2" s="1"/>
  <c r="BN102"/>
  <c r="AR100"/>
  <c r="AI106"/>
  <c r="X99"/>
  <c r="AY103"/>
  <c r="AG105"/>
  <c r="BR99"/>
  <c r="V104"/>
  <c r="BD85"/>
  <c r="N91"/>
  <c r="AQ101" i="3"/>
  <c r="AQ101" i="2" s="1"/>
  <c r="AQ102"/>
  <c r="CH92" i="3"/>
  <c r="CH92" i="2" s="1"/>
  <c r="CH93"/>
  <c r="N86"/>
  <c r="AT106"/>
  <c r="AN96"/>
  <c r="CG89"/>
  <c r="BJ85"/>
  <c r="BB104"/>
  <c r="AU83" i="3"/>
  <c r="AU83" i="2" s="1"/>
  <c r="AU84"/>
  <c r="Z95"/>
  <c r="BV98"/>
  <c r="H94"/>
  <c r="CD108"/>
  <c r="AF84"/>
  <c r="AF83" i="3"/>
  <c r="AF83" i="2" s="1"/>
  <c r="G107"/>
  <c r="BS98"/>
  <c r="AR107"/>
  <c r="BZ97"/>
  <c r="R83" i="3"/>
  <c r="R83" i="2" s="1"/>
  <c r="R84"/>
  <c r="BL108"/>
  <c r="AL89"/>
  <c r="AD87"/>
  <c r="CH105"/>
  <c r="V108"/>
  <c r="G90"/>
  <c r="AE105"/>
  <c r="BF92" i="3"/>
  <c r="BF92" i="2" s="1"/>
  <c r="BF93"/>
  <c r="M90"/>
  <c r="BL96"/>
  <c r="CK104"/>
  <c r="BI107"/>
  <c r="AX103"/>
  <c r="CG105"/>
  <c r="BW108"/>
  <c r="AG101" i="3"/>
  <c r="AG101" i="2" s="1"/>
  <c r="AG102"/>
  <c r="BI94"/>
  <c r="AU106"/>
  <c r="AQ106"/>
  <c r="BM87"/>
  <c r="AB107"/>
  <c r="AV94"/>
  <c r="M92" i="3"/>
  <c r="M92" i="2" s="1"/>
  <c r="M93"/>
  <c r="BK104"/>
  <c r="BZ108"/>
  <c r="BX105"/>
  <c r="CK88"/>
  <c r="BR83" i="3"/>
  <c r="BR83" i="2" s="1"/>
  <c r="BR84"/>
  <c r="N88"/>
  <c r="AY97"/>
  <c r="T96"/>
  <c r="CH91"/>
  <c r="AP104"/>
  <c r="CJ103"/>
  <c r="Z106"/>
  <c r="AX92" i="3"/>
  <c r="AX92" i="2" s="1"/>
  <c r="AX93"/>
  <c r="BZ107"/>
  <c r="AG88"/>
  <c r="BT92" i="3"/>
  <c r="BT92" i="2" s="1"/>
  <c r="BT93"/>
  <c r="W104"/>
  <c r="AE83" i="3"/>
  <c r="AE83" i="2" s="1"/>
  <c r="AE84"/>
  <c r="Z98"/>
  <c r="AV101" i="3"/>
  <c r="AV101" i="2" s="1"/>
  <c r="AV102"/>
  <c r="BH100"/>
  <c r="BH106"/>
  <c r="BS105"/>
  <c r="CC87"/>
  <c r="BY91"/>
  <c r="CF95"/>
  <c r="W98"/>
  <c r="BI87"/>
  <c r="AT92" i="3"/>
  <c r="AT92" i="2" s="1"/>
  <c r="AT93"/>
  <c r="AS98"/>
  <c r="AQ89"/>
  <c r="BS108"/>
  <c r="L94"/>
  <c r="BG91"/>
  <c r="CF107"/>
  <c r="S99"/>
  <c r="BO85"/>
  <c r="AJ104"/>
  <c r="N87"/>
  <c r="F107"/>
  <c r="F87"/>
  <c r="W91"/>
  <c r="M103"/>
  <c r="BK88"/>
  <c r="CK99"/>
  <c r="CE93"/>
  <c r="CE92" i="3"/>
  <c r="CE92" i="2" s="1"/>
  <c r="M100"/>
  <c r="AI91"/>
  <c r="N85"/>
  <c r="BF90"/>
  <c r="AH92" i="3"/>
  <c r="AH92" i="2" s="1"/>
  <c r="AH93"/>
  <c r="CI98"/>
  <c r="Y95"/>
  <c r="AL96"/>
  <c r="CF97"/>
  <c r="AW100"/>
  <c r="BA83" i="3"/>
  <c r="BA83" i="2" s="1"/>
  <c r="BA84"/>
  <c r="S94"/>
  <c r="Z91"/>
  <c r="BW105"/>
  <c r="R107"/>
  <c r="V98"/>
  <c r="AP100"/>
  <c r="I86"/>
  <c r="BW92" i="3"/>
  <c r="BW92" i="2" s="1"/>
  <c r="BW93"/>
  <c r="CD86"/>
  <c r="BN89"/>
  <c r="AM89"/>
  <c r="BC91"/>
  <c r="AN108"/>
  <c r="BR91"/>
  <c r="BQ85"/>
  <c r="BC97"/>
  <c r="BK98"/>
  <c r="CA104"/>
  <c r="AM94"/>
  <c r="S87"/>
  <c r="I90"/>
  <c r="CD99"/>
  <c r="BP105"/>
  <c r="CE94"/>
  <c r="AV97"/>
  <c r="CE96"/>
  <c r="BY90"/>
  <c r="CI99"/>
  <c r="J107"/>
  <c r="AM92" i="3"/>
  <c r="AM92" i="2" s="1"/>
  <c r="AM93"/>
  <c r="AX86"/>
  <c r="AQ86"/>
  <c r="BH94"/>
  <c r="BG90"/>
  <c r="BI99"/>
  <c r="M105"/>
  <c r="J96"/>
  <c r="CA94"/>
  <c r="AA90"/>
  <c r="AH100"/>
  <c r="BT108"/>
  <c r="CD96"/>
  <c r="BU98"/>
  <c r="AP97"/>
  <c r="M97"/>
  <c r="AZ94"/>
  <c r="BJ107"/>
  <c r="BK94"/>
  <c r="AO97"/>
  <c r="BW87"/>
  <c r="AP108"/>
  <c r="BA96"/>
  <c r="AH95"/>
  <c r="CE106"/>
  <c r="BW94"/>
  <c r="I85"/>
  <c r="CE95"/>
  <c r="AJ90"/>
  <c r="BC88"/>
  <c r="R108"/>
  <c r="AM85"/>
  <c r="S106"/>
  <c r="R105"/>
  <c r="CE85"/>
  <c r="AV88"/>
  <c r="AN90"/>
  <c r="CI90"/>
  <c r="Z99"/>
  <c r="AG89"/>
  <c r="CF83" i="3"/>
  <c r="CF83" i="2" s="1"/>
  <c r="CF84"/>
  <c r="U89"/>
  <c r="BE95"/>
  <c r="CJ101" i="3"/>
  <c r="CJ101" i="2" s="1"/>
  <c r="CJ102"/>
  <c r="BA88"/>
  <c r="BY94"/>
  <c r="AP89"/>
  <c r="BG106"/>
  <c r="O87"/>
  <c r="AQ87"/>
  <c r="AY91"/>
  <c r="CE90"/>
  <c r="BT95"/>
  <c r="BJ98"/>
  <c r="BD88"/>
  <c r="CD98"/>
  <c r="CH107"/>
  <c r="AU90"/>
  <c r="AF91"/>
  <c r="L89"/>
  <c r="T83" i="3"/>
  <c r="T83" i="2" s="1"/>
  <c r="T84"/>
  <c r="K99"/>
  <c r="BX94"/>
  <c r="Q88"/>
  <c r="AE98"/>
  <c r="BU108"/>
  <c r="K107"/>
  <c r="BA90"/>
  <c r="P103"/>
  <c r="CH94"/>
  <c r="T85"/>
  <c r="AC96"/>
  <c r="BR104"/>
  <c r="BJ92" i="3"/>
  <c r="BJ92" i="2" s="1"/>
  <c r="BJ93"/>
  <c r="CK105"/>
  <c r="BK83" i="3"/>
  <c r="BK83" i="2" s="1"/>
  <c r="BK84"/>
  <c r="AA85"/>
  <c r="CC101" i="3"/>
  <c r="CC101" i="2" s="1"/>
  <c r="CC102"/>
  <c r="AV86"/>
  <c r="CG104"/>
  <c r="CI91"/>
  <c r="CC85"/>
  <c r="R97"/>
  <c r="AN98"/>
  <c r="CB91"/>
  <c r="BT88"/>
  <c r="AY100"/>
  <c r="BJ104"/>
  <c r="AL83" i="3"/>
  <c r="AL83" i="2" s="1"/>
  <c r="AL84"/>
  <c r="CD89"/>
  <c r="CE91"/>
  <c r="AF108"/>
  <c r="AV90"/>
  <c r="AK97"/>
  <c r="CA108"/>
  <c r="AI94"/>
  <c r="BH92" i="3"/>
  <c r="BH92" i="2" s="1"/>
  <c r="BH93"/>
  <c r="AW89"/>
  <c r="Q99"/>
  <c r="BP107"/>
  <c r="BP90"/>
  <c r="AY101" i="3"/>
  <c r="AY101" i="2" s="1"/>
  <c r="AY102"/>
  <c r="I92" i="3"/>
  <c r="I92" i="2" s="1"/>
  <c r="I93"/>
  <c r="BQ89"/>
  <c r="K95"/>
  <c r="AD97"/>
  <c r="AK99"/>
  <c r="AS86"/>
  <c r="Q104"/>
  <c r="BB94"/>
  <c r="AL85"/>
  <c r="BD98"/>
  <c r="AP87"/>
  <c r="AY105"/>
  <c r="CJ100"/>
  <c r="K106"/>
  <c r="BT107"/>
  <c r="AS100"/>
  <c r="CE98"/>
  <c r="G96"/>
  <c r="CI105"/>
  <c r="AO98"/>
  <c r="AM97"/>
  <c r="Q103"/>
  <c r="BD94"/>
  <c r="AW90"/>
  <c r="BF91"/>
  <c r="BM108"/>
  <c r="BB86"/>
  <c r="BE90"/>
  <c r="X98"/>
  <c r="L86"/>
  <c r="BF83" i="3"/>
  <c r="BF83" i="2" s="1"/>
  <c r="BF84"/>
  <c r="BL101" i="3"/>
  <c r="BL101" i="2" s="1"/>
  <c r="BL102"/>
  <c r="CK86"/>
  <c r="BE107"/>
  <c r="BZ94"/>
  <c r="BI103"/>
  <c r="AL104"/>
  <c r="BM96"/>
  <c r="X106"/>
  <c r="AZ86"/>
  <c r="M101" i="3"/>
  <c r="M101" i="2" s="1"/>
  <c r="M102"/>
  <c r="G100"/>
  <c r="BK95"/>
  <c r="J108"/>
  <c r="N97"/>
  <c r="BV95"/>
  <c r="Y98"/>
  <c r="CF104"/>
  <c r="AS92" i="3"/>
  <c r="AS92" i="2" s="1"/>
  <c r="AS93"/>
  <c r="AK101" i="3"/>
  <c r="AK101" i="2" s="1"/>
  <c r="AK102"/>
  <c r="AT101" i="3"/>
  <c r="AT101" i="2" s="1"/>
  <c r="AT102"/>
  <c r="CF89"/>
  <c r="AJ92" i="3"/>
  <c r="AJ92" i="2" s="1"/>
  <c r="AJ93"/>
  <c r="AB95"/>
  <c r="BN95"/>
  <c r="BK106"/>
  <c r="BF97"/>
  <c r="BE101" i="3"/>
  <c r="BE101" i="2" s="1"/>
  <c r="BE102"/>
  <c r="M91"/>
  <c r="AT86"/>
  <c r="AI100"/>
  <c r="AE108"/>
  <c r="I98"/>
  <c r="BL86"/>
  <c r="P108"/>
  <c r="G97"/>
  <c r="BB89"/>
  <c r="X87"/>
  <c r="AB96"/>
  <c r="AG100"/>
  <c r="AY95"/>
  <c r="BH104"/>
  <c r="BE108"/>
  <c r="Y86"/>
  <c r="CB107"/>
  <c r="AL106"/>
  <c r="H86"/>
  <c r="AS90"/>
  <c r="CF100"/>
  <c r="BW88"/>
  <c r="BA95"/>
  <c r="AL105"/>
  <c r="BX83" i="3"/>
  <c r="BX83" i="2" s="1"/>
  <c r="BX84"/>
  <c r="AW108"/>
  <c r="AZ97"/>
  <c r="BA101" i="3"/>
  <c r="BA101" i="2" s="1"/>
  <c r="BA102"/>
  <c r="BQ105"/>
  <c r="Z108"/>
  <c r="BN92" i="3"/>
  <c r="BN92" i="2" s="1"/>
  <c r="BN93"/>
  <c r="AV91"/>
  <c r="R98"/>
  <c r="AR108"/>
  <c r="AK107"/>
  <c r="I104"/>
  <c r="V95"/>
  <c r="AQ83" i="3"/>
  <c r="AQ83" i="2" s="1"/>
  <c r="AQ84"/>
  <c r="N104"/>
  <c r="BN98"/>
  <c r="AN105"/>
  <c r="BU86"/>
  <c r="BJ103"/>
  <c r="V96"/>
  <c r="AU92" i="3"/>
  <c r="AU92" i="2" s="1"/>
  <c r="AU93"/>
  <c r="AS103"/>
  <c r="CD85"/>
  <c r="BK96"/>
  <c r="BR100"/>
  <c r="H85"/>
  <c r="CD91"/>
  <c r="BZ90"/>
  <c r="BX88"/>
  <c r="BZ88"/>
  <c r="AL107"/>
  <c r="BS103"/>
  <c r="AG104"/>
  <c r="CH87"/>
  <c r="V91"/>
  <c r="AE87"/>
  <c r="K103"/>
  <c r="BP106"/>
  <c r="AS106"/>
  <c r="P83" i="3"/>
  <c r="P83" i="2" s="1"/>
  <c r="P84"/>
  <c r="BI98"/>
  <c r="CG87"/>
  <c r="AQ97"/>
  <c r="AI107"/>
  <c r="AD95"/>
  <c r="CH90"/>
  <c r="BS99"/>
  <c r="CI101" i="3"/>
  <c r="CI101" i="2" s="1"/>
  <c r="CI102"/>
  <c r="BV88"/>
  <c r="BI92" i="3"/>
  <c r="BI92" i="2" s="1"/>
  <c r="BI93"/>
  <c r="BX96"/>
  <c r="BH103"/>
  <c r="BA98"/>
  <c r="CK97"/>
  <c r="CI104"/>
  <c r="AI99"/>
  <c r="AN97"/>
  <c r="AP95"/>
  <c r="AT85"/>
  <c r="CJ85"/>
  <c r="CA93"/>
  <c r="CA92" i="3"/>
  <c r="CA92" i="2" s="1"/>
  <c r="Z97"/>
  <c r="AX101" i="3"/>
  <c r="AX101" i="2" s="1"/>
  <c r="AX102"/>
  <c r="AG97"/>
  <c r="AE92" i="3"/>
  <c r="AE92" i="2" s="1"/>
  <c r="AE93"/>
  <c r="AV83" i="3"/>
  <c r="AV83" i="2" s="1"/>
  <c r="AV84"/>
  <c r="AE103"/>
  <c r="J106"/>
  <c r="BH88"/>
  <c r="BY108"/>
  <c r="BU90"/>
  <c r="BL99"/>
  <c r="AR95"/>
  <c r="AH91"/>
  <c r="BL94"/>
  <c r="BT85"/>
  <c r="CG99"/>
  <c r="BR96"/>
  <c r="AQ99"/>
  <c r="F106"/>
  <c r="F91"/>
  <c r="F94"/>
  <c r="J104"/>
  <c r="F96"/>
  <c r="CH106"/>
  <c r="AI96"/>
  <c r="BY85"/>
  <c r="Z83" i="3"/>
  <c r="Z83" i="2" s="1"/>
  <c r="Z84"/>
  <c r="BT100"/>
  <c r="AC99"/>
  <c r="BK97"/>
  <c r="BP100"/>
  <c r="AT98"/>
  <c r="CB105"/>
  <c r="AK104"/>
  <c r="CC100"/>
  <c r="AU107"/>
  <c r="Q96"/>
  <c r="CE101" i="3"/>
  <c r="CE101" i="2" s="1"/>
  <c r="CE102"/>
  <c r="S91"/>
  <c r="BF88"/>
  <c r="AO95"/>
  <c r="BE83" i="3"/>
  <c r="BE83" i="2" s="1"/>
  <c r="BE84"/>
  <c r="AI108"/>
  <c r="R88"/>
  <c r="AN85"/>
  <c r="AN107"/>
  <c r="K86"/>
  <c r="O105"/>
  <c r="BV87"/>
  <c r="AP99"/>
  <c r="AZ83" i="3"/>
  <c r="AZ83" i="2" s="1"/>
  <c r="AZ84"/>
  <c r="AE100"/>
  <c r="BU107"/>
  <c r="AD106"/>
  <c r="BL104"/>
  <c r="U103"/>
  <c r="BS88"/>
  <c r="BX108"/>
  <c r="AG99"/>
  <c r="BO97"/>
  <c r="X105"/>
  <c r="BH107"/>
  <c r="AB87"/>
  <c r="O94"/>
  <c r="AG108"/>
  <c r="BT106"/>
  <c r="AY86"/>
  <c r="BO83" i="3"/>
  <c r="BO83" i="2" s="1"/>
  <c r="BO84"/>
  <c r="AD91"/>
  <c r="M88"/>
  <c r="AL103"/>
  <c r="AY108"/>
  <c r="AJ88"/>
  <c r="AZ103"/>
  <c r="BD107"/>
  <c r="Y104"/>
  <c r="AP105"/>
  <c r="L97"/>
  <c r="H92" i="3"/>
  <c r="H92" i="2" s="1"/>
  <c r="H93"/>
  <c r="BC87"/>
  <c r="BH99"/>
  <c r="Q107"/>
  <c r="AY96"/>
  <c r="H104"/>
  <c r="AP93"/>
  <c r="AP92" i="3"/>
  <c r="AP92" i="2" s="1"/>
  <c r="BF98"/>
  <c r="O106"/>
  <c r="T108"/>
  <c r="BJ89"/>
  <c r="K97"/>
  <c r="BA86"/>
  <c r="BT98"/>
  <c r="AL87"/>
  <c r="X85"/>
  <c r="AS91"/>
  <c r="CF106"/>
  <c r="BJ86"/>
  <c r="BX92" i="3"/>
  <c r="BX92" i="2" s="1"/>
  <c r="BX93"/>
  <c r="AW91"/>
  <c r="AF106"/>
  <c r="AW103"/>
  <c r="R99"/>
  <c r="G87"/>
  <c r="BA92" i="3"/>
  <c r="BA92" i="2" s="1"/>
  <c r="BA93"/>
  <c r="BV91"/>
  <c r="BU87"/>
  <c r="S85"/>
  <c r="BQ87"/>
  <c r="CF99"/>
  <c r="AO107"/>
  <c r="BW96"/>
  <c r="AF104"/>
  <c r="BN83" i="3"/>
  <c r="BN83" i="2" s="1"/>
  <c r="BN84"/>
  <c r="AV100"/>
  <c r="V89"/>
  <c r="BD105"/>
  <c r="M86"/>
  <c r="H98"/>
  <c r="BG86"/>
  <c r="BC101" i="3"/>
  <c r="BC101" i="2" s="1"/>
  <c r="BC102"/>
  <c r="BB99"/>
  <c r="T106"/>
  <c r="I95"/>
  <c r="AD101" i="3"/>
  <c r="AD101" i="2" s="1"/>
  <c r="AD102"/>
  <c r="AU99"/>
  <c r="AG87"/>
  <c r="BW101" i="3"/>
  <c r="BW101" i="2" s="1"/>
  <c r="BW102"/>
  <c r="S107"/>
  <c r="V86"/>
  <c r="BE106"/>
  <c r="BD103"/>
  <c r="BI97"/>
  <c r="AQ92" i="3"/>
  <c r="AQ92" i="2" s="1"/>
  <c r="AQ93"/>
  <c r="CH104"/>
  <c r="N95"/>
  <c r="CK89"/>
  <c r="CB86"/>
  <c r="CG107"/>
  <c r="AG103"/>
  <c r="BF108"/>
  <c r="BU95"/>
  <c r="V87"/>
  <c r="Z104"/>
  <c r="I103"/>
  <c r="BC108"/>
  <c r="BB106"/>
  <c r="AS94"/>
  <c r="AN91"/>
  <c r="AE88"/>
  <c r="AV87"/>
  <c r="BK105"/>
  <c r="CD100"/>
  <c r="BX85"/>
  <c r="AJ105"/>
  <c r="BO104"/>
  <c r="L95"/>
  <c r="G89"/>
  <c r="BX97"/>
  <c r="BC104"/>
  <c r="AR89"/>
  <c r="CA91"/>
  <c r="Q106"/>
  <c r="AD105"/>
  <c r="AE107"/>
  <c r="V100"/>
  <c r="BQ83" i="3"/>
  <c r="BQ83" i="2" s="1"/>
  <c r="BQ84"/>
  <c r="BU100"/>
  <c r="AM103"/>
  <c r="X83" i="3"/>
  <c r="X83" i="2" s="1"/>
  <c r="X84"/>
  <c r="AW107"/>
  <c r="BF101" i="3"/>
  <c r="BF101" i="2" s="1"/>
  <c r="BF102"/>
  <c r="M99"/>
  <c r="AS88"/>
  <c r="CK95"/>
  <c r="P92" i="3"/>
  <c r="P92" i="2" s="1"/>
  <c r="P93"/>
  <c r="BI89"/>
  <c r="AK108"/>
  <c r="P107"/>
  <c r="BG87"/>
  <c r="BP96"/>
  <c r="CC106"/>
  <c r="CF94"/>
  <c r="R87"/>
  <c r="AJ98"/>
  <c r="AX100"/>
  <c r="BZ85"/>
  <c r="AV106"/>
  <c r="BP89"/>
  <c r="BY99"/>
  <c r="AI89"/>
  <c r="AN99"/>
  <c r="L84"/>
  <c r="L83" i="3"/>
  <c r="L83" i="2" s="1"/>
  <c r="BM105"/>
  <c r="X88"/>
  <c r="AB98"/>
  <c r="AC105"/>
  <c r="AZ95"/>
  <c r="BR97"/>
  <c r="J98"/>
  <c r="AD107"/>
  <c r="CA96"/>
  <c r="BV97"/>
  <c r="BK86"/>
  <c r="AI83" i="3"/>
  <c r="AI83" i="2" s="1"/>
  <c r="AI84"/>
  <c r="AB88"/>
  <c r="AQ95"/>
  <c r="AW87"/>
  <c r="BO105"/>
  <c r="BH85"/>
  <c r="CK106"/>
  <c r="CI95"/>
  <c r="J100"/>
  <c r="Z105"/>
  <c r="N106"/>
  <c r="AW95"/>
  <c r="CH108"/>
  <c r="P106"/>
  <c r="CK108"/>
  <c r="Z88"/>
  <c r="AH98"/>
  <c r="AG106"/>
  <c r="BG99"/>
  <c r="CF101" i="3"/>
  <c r="CF101" i="2" s="1"/>
  <c r="CF102"/>
  <c r="AB99"/>
  <c r="AJ100"/>
  <c r="AZ107"/>
  <c r="BX95"/>
  <c r="T104"/>
  <c r="BI90"/>
  <c r="Z85"/>
  <c r="BH97"/>
  <c r="U98"/>
  <c r="O107"/>
  <c r="BY100"/>
  <c r="AN83" i="3"/>
  <c r="AN83" i="2" s="1"/>
  <c r="AN84"/>
  <c r="Y89"/>
  <c r="BU99"/>
  <c r="U101" i="3"/>
  <c r="U101" i="2" s="1"/>
  <c r="U102"/>
  <c r="J105"/>
  <c r="AS101" i="3"/>
  <c r="AS101" i="2" s="1"/>
  <c r="AS102"/>
  <c r="AK92" i="3"/>
  <c r="AK92" i="2" s="1"/>
  <c r="AK93"/>
  <c r="CA103"/>
  <c r="BJ91"/>
  <c r="AT83" i="3"/>
  <c r="AT83" i="2" s="1"/>
  <c r="AT84"/>
  <c r="AA89"/>
  <c r="AQ107"/>
  <c r="BS100"/>
  <c r="BI86"/>
  <c r="AR104"/>
  <c r="BO90"/>
  <c r="O91"/>
  <c r="V94"/>
  <c r="AU87"/>
  <c r="AJ95"/>
  <c r="AU86"/>
  <c r="AV95"/>
  <c r="AB86"/>
  <c r="CC104"/>
  <c r="CG100"/>
  <c r="BN104"/>
  <c r="CG90"/>
  <c r="AQ90"/>
  <c r="F88"/>
  <c r="M98"/>
  <c r="F103"/>
  <c r="BS92" i="3"/>
  <c r="BS92" i="2" s="1"/>
  <c r="BS93"/>
  <c r="J86"/>
  <c r="AW92" i="3"/>
  <c r="AW92" i="2" s="1"/>
  <c r="AW93"/>
  <c r="F105"/>
  <c r="AJ94"/>
  <c r="F95"/>
  <c r="AJ85"/>
  <c r="F99"/>
  <c r="F86"/>
  <c r="AI104"/>
  <c r="AQ98"/>
  <c r="L85"/>
  <c r="AR86"/>
  <c r="AC107"/>
  <c r="Y88"/>
  <c r="O100"/>
  <c r="AF90"/>
  <c r="V103"/>
  <c r="AJ101" i="3"/>
  <c r="AJ101" i="2" s="1"/>
  <c r="AJ102"/>
  <c r="AT108"/>
  <c r="AL90"/>
  <c r="J94"/>
  <c r="BB101" i="3"/>
  <c r="BB101" i="2" s="1"/>
  <c r="BB102"/>
  <c r="P86"/>
  <c r="AU95"/>
  <c r="BN86"/>
  <c r="M89"/>
  <c r="BS101" i="3"/>
  <c r="BS101" i="2" s="1"/>
  <c r="BS102"/>
  <c r="AW83" i="3"/>
  <c r="AW83" i="2" s="1"/>
  <c r="AW84"/>
  <c r="F89"/>
  <c r="F104"/>
  <c r="W100"/>
  <c r="BM98"/>
  <c r="V97"/>
  <c r="BD86"/>
  <c r="M85"/>
  <c r="H108"/>
  <c r="Y90"/>
  <c r="BG97"/>
  <c r="P105"/>
  <c r="BK99"/>
  <c r="AC97"/>
  <c r="CC103"/>
  <c r="I83" i="3"/>
  <c r="I83" i="2" s="1"/>
  <c r="I84"/>
  <c r="BX89"/>
  <c r="AO96"/>
  <c r="AR94"/>
  <c r="AV89"/>
  <c r="AT95"/>
  <c r="N92" i="3"/>
  <c r="N92" i="2" s="1"/>
  <c r="N93"/>
  <c r="BQ107"/>
  <c r="BM104"/>
  <c r="AC92" i="3"/>
  <c r="AC92" i="2" s="1"/>
  <c r="AC93"/>
  <c r="AL108"/>
  <c r="AM105"/>
  <c r="CB101" i="3"/>
  <c r="CB101" i="2" s="1"/>
  <c r="CB102"/>
  <c r="BC107"/>
  <c r="N94"/>
  <c r="BF99"/>
  <c r="BF94"/>
  <c r="U105"/>
  <c r="P91"/>
  <c r="AX107"/>
  <c r="G106"/>
  <c r="L100"/>
  <c r="BB107"/>
  <c r="CJ96"/>
  <c r="AS95"/>
  <c r="BW99"/>
  <c r="AP106"/>
  <c r="Q95"/>
  <c r="S92" i="3"/>
  <c r="S92" i="2" s="1"/>
  <c r="S93"/>
  <c r="CJ98"/>
  <c r="BB96"/>
  <c r="BB103"/>
  <c r="BO89"/>
  <c r="BH95"/>
  <c r="Y101" i="3"/>
  <c r="Y101" i="2" s="1"/>
  <c r="Y102"/>
  <c r="BE91"/>
  <c r="BE105"/>
  <c r="G94"/>
  <c r="CB98"/>
  <c r="AH103"/>
  <c r="CE99"/>
  <c r="CB103"/>
  <c r="BV90"/>
  <c r="BY92" i="3"/>
  <c r="BY92" i="2" s="1"/>
  <c r="BY93"/>
  <c r="AM91"/>
  <c r="CJ108"/>
  <c r="AS99"/>
  <c r="CA88"/>
  <c r="CF108"/>
  <c r="AO99"/>
  <c r="BW97"/>
  <c r="AF96"/>
  <c r="BN103"/>
  <c r="CJ90"/>
  <c r="BD106"/>
  <c r="AA95"/>
  <c r="AB83" i="3"/>
  <c r="AB83" i="2" s="1"/>
  <c r="AB84"/>
  <c r="BQ100"/>
  <c r="AZ106"/>
  <c r="BM94"/>
  <c r="BW89"/>
  <c r="AM95"/>
  <c r="G83" i="3"/>
  <c r="G83" i="2" s="1"/>
  <c r="G84"/>
  <c r="W99"/>
  <c r="BC85"/>
  <c r="Y108"/>
  <c r="O86"/>
  <c r="Z100"/>
  <c r="R103"/>
  <c r="BK108"/>
  <c r="CD107"/>
  <c r="AM106"/>
  <c r="AR91"/>
  <c r="CH89"/>
  <c r="AI88"/>
  <c r="BY86"/>
  <c r="X90"/>
  <c r="BY87"/>
  <c r="AY85"/>
  <c r="CE108"/>
  <c r="CD106"/>
  <c r="CK94"/>
  <c r="BD90"/>
  <c r="CD104"/>
  <c r="AR101" i="3"/>
  <c r="AR101" i="2" s="1"/>
  <c r="AR102"/>
  <c r="AF89"/>
  <c r="CH102"/>
  <c r="CH101" i="3"/>
  <c r="CH101" i="2" s="1"/>
  <c r="AU108"/>
  <c r="AT97"/>
  <c r="AK85"/>
  <c r="AF100"/>
  <c r="W106"/>
  <c r="AN87"/>
  <c r="AX96"/>
  <c r="L107"/>
  <c r="CG101" i="3"/>
  <c r="CG101" i="2" s="1"/>
  <c r="CG102"/>
  <c r="BM100"/>
  <c r="BJ94"/>
  <c r="AH90"/>
  <c r="BM92" i="3"/>
  <c r="BM92" i="2" s="1"/>
  <c r="BM93"/>
  <c r="BB95"/>
  <c r="BW85"/>
  <c r="BN97"/>
  <c r="AK106"/>
  <c r="L90"/>
  <c r="CJ104"/>
  <c r="BV89"/>
  <c r="N107"/>
  <c r="CD94"/>
  <c r="X89"/>
  <c r="H103"/>
  <c r="AY90"/>
  <c r="BZ83" i="3"/>
  <c r="BZ83" i="2" s="1"/>
  <c r="BZ84"/>
  <c r="BS89"/>
  <c r="K92" i="3"/>
  <c r="K92" i="2" s="1"/>
  <c r="K93"/>
  <c r="AO85"/>
  <c r="BZ106"/>
  <c r="BQ94"/>
  <c r="AL98"/>
  <c r="AC86"/>
  <c r="BK89"/>
  <c r="AI85"/>
  <c r="CH96"/>
  <c r="Y105"/>
  <c r="CA86"/>
  <c r="AD99"/>
  <c r="AE96"/>
  <c r="AE95"/>
  <c r="K89"/>
  <c r="S105"/>
  <c r="AZ105"/>
  <c r="BL105"/>
  <c r="BP88"/>
  <c r="BU94"/>
  <c r="CJ97"/>
  <c r="BP103"/>
  <c r="I106"/>
  <c r="BG98"/>
  <c r="CG96"/>
  <c r="W94"/>
  <c r="BE98"/>
  <c r="BV83" i="3"/>
  <c r="BV83" i="2" s="1"/>
  <c r="BV84"/>
  <c r="BA99"/>
  <c r="BU83" i="3"/>
  <c r="BU83" i="2" s="1"/>
  <c r="BU84"/>
  <c r="CE103"/>
  <c r="AH97"/>
  <c r="BI91"/>
  <c r="BW91"/>
  <c r="BG103"/>
  <c r="CE105"/>
  <c r="AU88"/>
  <c r="AQ88"/>
  <c r="AD86"/>
  <c r="AY92" i="3"/>
  <c r="AY92" i="2" s="1"/>
  <c r="AY93"/>
  <c r="G95"/>
  <c r="T103"/>
  <c r="BJ96"/>
  <c r="AV103"/>
  <c r="BS90"/>
  <c r="G91"/>
  <c r="X86"/>
  <c r="AZ108"/>
  <c r="BQ86"/>
  <c r="BR86"/>
  <c r="CI83" i="3"/>
  <c r="CI83" i="2" s="1"/>
  <c r="CI84"/>
  <c r="AX95"/>
  <c r="BD83" i="3"/>
  <c r="BD83" i="2" s="1"/>
  <c r="BD84"/>
  <c r="BI101" i="3"/>
  <c r="BI101" i="2" s="1"/>
  <c r="BI102"/>
  <c r="BR85"/>
  <c r="AX88"/>
  <c r="BX87"/>
  <c r="S86"/>
  <c r="BA89"/>
  <c r="Q92" i="3"/>
  <c r="Q92" i="2" s="1"/>
  <c r="Q93"/>
  <c r="U108"/>
  <c r="CI106"/>
  <c r="T105"/>
  <c r="AN106"/>
  <c r="CJ94"/>
  <c r="AR88"/>
  <c r="CA101" i="3"/>
  <c r="CA101" i="2" s="1"/>
  <c r="CA102"/>
  <c r="AG98"/>
  <c r="BZ89"/>
  <c r="R95"/>
  <c r="BT90"/>
  <c r="AT96"/>
  <c r="BV86"/>
  <c r="P99"/>
  <c r="AK87"/>
  <c r="BT101" i="3"/>
  <c r="BT101" i="2" s="1"/>
  <c r="BT102"/>
  <c r="W86"/>
  <c r="AE101" i="3"/>
  <c r="AE101" i="2" s="1"/>
  <c r="AE102"/>
  <c r="Z107"/>
  <c r="BB108"/>
  <c r="J97"/>
  <c r="BK101" i="3"/>
  <c r="BK101" i="2" s="1"/>
  <c r="BK102"/>
  <c r="AU94"/>
  <c r="BE103"/>
  <c r="AF94"/>
  <c r="BS96"/>
  <c r="CC96"/>
  <c r="M87"/>
  <c r="AN95"/>
  <c r="H96"/>
  <c r="AA94"/>
  <c r="BA91"/>
  <c r="AR96"/>
  <c r="AC108"/>
  <c r="BL90"/>
  <c r="BE86"/>
  <c r="CI85"/>
  <c r="AI86"/>
  <c r="L103"/>
  <c r="AC98"/>
  <c r="BG108"/>
  <c r="Y97"/>
  <c r="BY97"/>
  <c r="H88"/>
  <c r="AF99"/>
  <c r="AJ83" i="3"/>
  <c r="AJ83" i="2" s="1"/>
  <c r="AJ84"/>
  <c r="AT100"/>
  <c r="AL99"/>
  <c r="BY89"/>
  <c r="N105"/>
  <c r="J85"/>
  <c r="BB92" i="3"/>
  <c r="BB92" i="2" s="1"/>
  <c r="BB93"/>
  <c r="P95"/>
  <c r="BN91"/>
  <c r="BL89"/>
  <c r="CG95"/>
  <c r="BS86"/>
  <c r="BF104"/>
  <c r="BT94"/>
  <c r="AH96"/>
  <c r="AT99"/>
  <c r="O92" i="3"/>
  <c r="O92" i="2" s="1"/>
  <c r="O93"/>
  <c r="F92" i="3"/>
  <c r="F92" i="2" s="1"/>
  <c r="F93"/>
  <c r="AS96"/>
  <c r="F98"/>
  <c r="BI104"/>
  <c r="BG100"/>
  <c r="H106"/>
  <c r="BS95"/>
  <c r="CC86"/>
  <c r="O83" i="3"/>
  <c r="O83" i="2" s="1"/>
  <c r="O84"/>
  <c r="AJ103"/>
  <c r="F90"/>
  <c r="BM89"/>
  <c r="V106"/>
  <c r="BD95"/>
  <c r="M94"/>
  <c r="H100"/>
  <c r="AP98"/>
  <c r="CF105"/>
  <c r="BG88"/>
  <c r="P87"/>
  <c r="BK90"/>
  <c r="AC88"/>
  <c r="CC94"/>
  <c r="I101" i="3"/>
  <c r="I101" i="2" s="1"/>
  <c r="I102"/>
  <c r="BX107"/>
  <c r="AO87"/>
  <c r="AR103"/>
  <c r="BQ98"/>
  <c r="BM86"/>
  <c r="AC101" i="3"/>
  <c r="AC101" i="2" s="1"/>
  <c r="AC102"/>
  <c r="AL91"/>
  <c r="AM87"/>
  <c r="CB92" i="3"/>
  <c r="CB92" i="2" s="1"/>
  <c r="CB93"/>
  <c r="BC89"/>
  <c r="N103"/>
  <c r="BF103"/>
  <c r="U87"/>
  <c r="AZ90"/>
  <c r="I107"/>
  <c r="AQ96"/>
  <c r="CG103"/>
  <c r="AH101" i="3"/>
  <c r="AH101" i="2" s="1"/>
  <c r="AH102"/>
  <c r="AX89"/>
  <c r="G88"/>
  <c r="L91"/>
  <c r="BB98"/>
  <c r="CJ87"/>
  <c r="AS104"/>
  <c r="AP88"/>
  <c r="Q86"/>
  <c r="S83" i="3"/>
  <c r="S83" i="2" s="1"/>
  <c r="S84"/>
  <c r="CJ107"/>
  <c r="BB105"/>
  <c r="BB85"/>
  <c r="BO98"/>
  <c r="BH86"/>
  <c r="Y83" i="3"/>
  <c r="Y83" i="2" s="1"/>
  <c r="Y84"/>
  <c r="CI89"/>
  <c r="BZ95"/>
  <c r="AO93"/>
  <c r="AO92" i="3"/>
  <c r="AO92" i="2" s="1"/>
  <c r="BE100"/>
  <c r="BE87"/>
  <c r="G85"/>
  <c r="CB89"/>
  <c r="AH94"/>
  <c r="CB85"/>
  <c r="BV99"/>
  <c r="BY101" i="3"/>
  <c r="BY101" i="2" s="1"/>
  <c r="BY102"/>
  <c r="AM100"/>
  <c r="CC107"/>
  <c r="AL97"/>
  <c r="BT104"/>
  <c r="AC94"/>
  <c r="CA106"/>
  <c r="CF91"/>
  <c r="AO90"/>
  <c r="BW106"/>
  <c r="AF105"/>
  <c r="BN94"/>
  <c r="CJ99"/>
  <c r="BD97"/>
  <c r="AA104"/>
  <c r="AB92" i="3"/>
  <c r="AB92" i="2" s="1"/>
  <c r="AB93"/>
  <c r="O99"/>
  <c r="BN96"/>
  <c r="BK103"/>
  <c r="CE107"/>
  <c r="BW95"/>
  <c r="AL101" i="3"/>
  <c r="AL101" i="2" s="1"/>
  <c r="AL102"/>
  <c r="BQ91"/>
  <c r="AZ88"/>
  <c r="BM103"/>
  <c r="BW98"/>
  <c r="AM86"/>
  <c r="G101" i="3"/>
  <c r="G101" i="2" s="1"/>
  <c r="G102"/>
  <c r="W90"/>
  <c r="BC94"/>
  <c r="BK100"/>
  <c r="T90"/>
  <c r="BJ88"/>
  <c r="K96"/>
  <c r="BA94"/>
  <c r="CH98"/>
  <c r="AI97"/>
  <c r="BY104"/>
  <c r="BY96"/>
  <c r="AY94"/>
  <c r="CE100"/>
  <c r="AK98"/>
  <c r="I87"/>
  <c r="Q94"/>
  <c r="CD97"/>
  <c r="CK85"/>
  <c r="BR90"/>
  <c r="BA105"/>
  <c r="CK92" i="3"/>
  <c r="CK92" i="2" s="1"/>
  <c r="CK93"/>
  <c r="BD99"/>
  <c r="CD95"/>
  <c r="AR92" i="3"/>
  <c r="AR92" i="2" s="1"/>
  <c r="AR93"/>
  <c r="N100"/>
  <c r="AH104"/>
  <c r="AF98"/>
  <c r="CH83" i="3"/>
  <c r="CH83" i="2" s="1"/>
  <c r="CH84"/>
  <c r="T98"/>
  <c r="AU100"/>
  <c r="AT88"/>
  <c r="AK94"/>
  <c r="AX87"/>
  <c r="L98"/>
  <c r="CG92" i="3"/>
  <c r="CG92" i="2" s="1"/>
  <c r="CG93"/>
  <c r="AH99"/>
  <c r="BM101" i="3"/>
  <c r="BM101" i="2" s="1"/>
  <c r="BM102"/>
  <c r="AM107"/>
  <c r="CB97"/>
  <c r="L99"/>
  <c r="CJ86"/>
  <c r="BV107"/>
  <c r="N89"/>
  <c r="CD103"/>
  <c r="K90"/>
  <c r="AP103"/>
  <c r="BM106"/>
  <c r="BZ101" i="3"/>
  <c r="BZ101" i="2" s="1"/>
  <c r="BZ102"/>
  <c r="AM99"/>
  <c r="AF101" i="3"/>
  <c r="AF101" i="2" s="1"/>
  <c r="AF102"/>
  <c r="BZ99"/>
  <c r="BP101" i="3"/>
  <c r="BP101" i="2" s="1"/>
  <c r="BP102"/>
  <c r="BS107"/>
  <c r="K101" i="3"/>
  <c r="K101" i="2" s="1"/>
  <c r="K102"/>
  <c r="AO103"/>
  <c r="BL91"/>
  <c r="AX90"/>
  <c r="BS94"/>
  <c r="BK107"/>
  <c r="AI103"/>
  <c r="AG95"/>
  <c r="Y96"/>
  <c r="CA95"/>
  <c r="AD90"/>
  <c r="G99"/>
  <c r="S96"/>
  <c r="AZ87"/>
  <c r="BL87"/>
  <c r="BU103"/>
  <c r="CD90"/>
  <c r="CJ88"/>
  <c r="BP85"/>
  <c r="I88"/>
  <c r="AX85"/>
  <c r="BG93"/>
  <c r="BG92" i="3"/>
  <c r="BG92" i="2" s="1"/>
  <c r="W103"/>
  <c r="BE89"/>
  <c r="BV101" i="3"/>
  <c r="BV101" i="2" s="1"/>
  <c r="BV102"/>
  <c r="BU92" i="3"/>
  <c r="BU92" i="2" s="1"/>
  <c r="BU93"/>
  <c r="AY98"/>
  <c r="P85"/>
  <c r="AH88"/>
  <c r="AG92" i="3"/>
  <c r="AG92" i="2" s="1"/>
  <c r="AG93"/>
  <c r="BG85"/>
  <c r="AU97"/>
  <c r="AL95"/>
  <c r="AD104"/>
  <c r="AY83" i="3"/>
  <c r="AY83" i="2" s="1"/>
  <c r="AY84"/>
  <c r="G86"/>
  <c r="T94"/>
  <c r="AV85"/>
  <c r="G108"/>
  <c r="X104"/>
  <c r="BD108"/>
  <c r="AZ91"/>
  <c r="BQ104"/>
  <c r="CA99"/>
  <c r="AM83" i="3"/>
  <c r="AM83" i="2" s="1"/>
  <c r="AM84"/>
  <c r="BD92" i="3"/>
  <c r="BD92" i="2" s="1"/>
  <c r="BD93"/>
  <c r="BI84"/>
  <c r="BI83" i="3"/>
  <c r="BI83" i="2" s="1"/>
  <c r="AX97"/>
  <c r="K100"/>
  <c r="BZ100"/>
  <c r="AA106"/>
  <c r="S104"/>
  <c r="BA107"/>
  <c r="L87"/>
  <c r="BR102"/>
  <c r="BR101" i="3"/>
  <c r="BR101" i="2" s="1"/>
  <c r="Q101" i="3"/>
  <c r="Q101" i="2" s="1"/>
  <c r="Q102"/>
  <c r="U91"/>
  <c r="CI88"/>
  <c r="T87"/>
  <c r="AQ91"/>
  <c r="AT94"/>
  <c r="AA100"/>
  <c r="AR97"/>
  <c r="CA83" i="3"/>
  <c r="CA83" i="2" s="1"/>
  <c r="CA84"/>
  <c r="BZ98"/>
  <c r="R86"/>
  <c r="P90"/>
  <c r="V101" i="3"/>
  <c r="V101" i="2" s="1"/>
  <c r="V102"/>
  <c r="AK96"/>
  <c r="BT83" i="3"/>
  <c r="BT83" i="2" s="1"/>
  <c r="BT84"/>
  <c r="AD94"/>
  <c r="Z89"/>
  <c r="BB91"/>
  <c r="AE85"/>
  <c r="BK92" i="3"/>
  <c r="BK92" i="2" s="1"/>
  <c r="BK93"/>
  <c r="BE94"/>
  <c r="BX90"/>
  <c r="BH108"/>
  <c r="AF103"/>
  <c r="BS87"/>
  <c r="M96"/>
  <c r="H105"/>
  <c r="BQ97"/>
  <c r="BA100"/>
  <c r="AR105"/>
  <c r="AC100"/>
  <c r="BE104"/>
  <c r="CI103"/>
  <c r="W107"/>
  <c r="BL106"/>
  <c r="U97"/>
  <c r="BI105"/>
  <c r="BU106"/>
  <c r="AS89"/>
  <c r="BZ96"/>
  <c r="BR98"/>
  <c r="BY106"/>
  <c r="H97"/>
  <c r="BO103"/>
  <c r="AT91"/>
  <c r="BY98"/>
  <c r="N96"/>
  <c r="J103"/>
  <c r="BB83" i="3"/>
  <c r="BB83" i="2" s="1"/>
  <c r="BB84"/>
  <c r="BN108"/>
  <c r="BL98"/>
  <c r="CG86"/>
  <c r="W105"/>
  <c r="BF86"/>
  <c r="BT103"/>
  <c r="AH87"/>
  <c r="AT90"/>
  <c r="O101" i="3"/>
  <c r="O101" i="2" s="1"/>
  <c r="O102"/>
  <c r="F83" i="3"/>
  <c r="F83" i="2" s="1"/>
  <c r="F84"/>
  <c r="AE99"/>
  <c r="CG88"/>
  <c r="AS105"/>
  <c r="AH105"/>
  <c r="CA107"/>
  <c r="BR105"/>
  <c r="F101" i="3"/>
  <c r="F101" i="2" s="1"/>
  <c r="F102"/>
  <c r="F108"/>
  <c r="AE90"/>
  <c r="CG106"/>
  <c r="AS87"/>
  <c r="CI100"/>
  <c r="AR90"/>
  <c r="CH88"/>
  <c r="AI105"/>
  <c r="BY103"/>
  <c r="Z101" i="3"/>
  <c r="Z101" i="2" s="1"/>
  <c r="Z102"/>
  <c r="AP107"/>
  <c r="CF87"/>
  <c r="CK90"/>
  <c r="AT89"/>
  <c r="CB96"/>
  <c r="AK95"/>
  <c r="CC91"/>
  <c r="S100"/>
  <c r="BF106"/>
  <c r="AO104"/>
  <c r="BE92" i="3"/>
  <c r="BE92" i="2" s="1"/>
  <c r="BE93"/>
  <c r="M108"/>
  <c r="CD87"/>
  <c r="Y85"/>
  <c r="BV96"/>
  <c r="I89"/>
  <c r="AQ105"/>
  <c r="CG94"/>
  <c r="AH83" i="3"/>
  <c r="AH83" i="2" s="1"/>
  <c r="AH84"/>
  <c r="CB108"/>
  <c r="AK90"/>
  <c r="BS97"/>
  <c r="BX91"/>
  <c r="BH98"/>
  <c r="AB105"/>
  <c r="O103"/>
  <c r="AG91"/>
  <c r="BT97"/>
  <c r="AY104"/>
  <c r="BO92" i="3"/>
  <c r="BO92" i="2" s="1"/>
  <c r="BO93"/>
  <c r="AD100"/>
  <c r="M106"/>
  <c r="AL94"/>
  <c r="CI107"/>
  <c r="BZ104"/>
  <c r="AO101" i="3"/>
  <c r="AO101" i="2" s="1"/>
  <c r="AO102"/>
  <c r="L106"/>
  <c r="H101" i="3"/>
  <c r="H101" i="2" s="1"/>
  <c r="H102"/>
  <c r="CC98"/>
  <c r="AL88"/>
  <c r="BT86"/>
  <c r="AC85"/>
  <c r="X108"/>
  <c r="BF107"/>
  <c r="O97"/>
  <c r="T100"/>
  <c r="BN105"/>
  <c r="BK85"/>
  <c r="CE89"/>
  <c r="BW104"/>
  <c r="AL92" i="3"/>
  <c r="AL92" i="2" s="1"/>
  <c r="AL93"/>
  <c r="BV100"/>
  <c r="BU96"/>
  <c r="S103"/>
  <c r="AO88"/>
  <c r="AA83" i="3"/>
  <c r="AA83" i="2" s="1"/>
  <c r="AA84"/>
  <c r="CI87"/>
  <c r="BJ106"/>
  <c r="K87"/>
  <c r="BA85"/>
  <c r="BQ90"/>
  <c r="R89"/>
  <c r="BH96"/>
  <c r="BM99"/>
  <c r="V107"/>
  <c r="BD96"/>
  <c r="M104"/>
  <c r="AP91"/>
  <c r="H89"/>
  <c r="BG95"/>
  <c r="BC92" i="3"/>
  <c r="BC92" i="2" s="1"/>
  <c r="BC93"/>
  <c r="AK89"/>
  <c r="I105"/>
  <c r="Q85"/>
  <c r="BA87"/>
  <c r="CK83" i="3"/>
  <c r="CK83" i="2" s="1"/>
  <c r="CK84"/>
  <c r="N108"/>
  <c r="AH86"/>
  <c r="T107"/>
  <c r="CK107"/>
  <c r="CB104"/>
  <c r="BN107"/>
  <c r="CE88"/>
  <c r="BV103"/>
  <c r="CG98"/>
  <c r="AG85"/>
  <c r="AW106"/>
  <c r="V90"/>
  <c r="T92" i="3"/>
  <c r="T92" i="2" s="1"/>
  <c r="T93"/>
  <c r="AV99"/>
  <c r="AU101" i="3"/>
  <c r="AU101" i="2" s="1"/>
  <c r="AU102"/>
  <c r="AM98"/>
  <c r="CB106"/>
  <c r="BC100"/>
  <c r="AN100"/>
  <c r="AE97"/>
  <c r="BE99"/>
  <c r="AV96"/>
  <c r="AP85"/>
  <c r="BR108"/>
  <c r="CE104"/>
  <c r="BM88"/>
  <c r="AJ87"/>
  <c r="AF92" i="3"/>
  <c r="AF92" i="2" s="1"/>
  <c r="AF93"/>
  <c r="BP83" i="3"/>
  <c r="BP83" i="2" s="1"/>
  <c r="BP84"/>
  <c r="BX106"/>
  <c r="AR98"/>
  <c r="AJ99"/>
  <c r="AA96"/>
  <c r="R92" i="3"/>
  <c r="R92" i="2" s="1"/>
  <c r="R93"/>
  <c r="BL100"/>
  <c r="BC106"/>
  <c r="CC90"/>
  <c r="BT105"/>
  <c r="BS85"/>
  <c r="AG86"/>
  <c r="R91"/>
  <c r="AB94"/>
  <c r="BU91"/>
  <c r="BC90"/>
  <c r="BH101" i="3"/>
  <c r="BH101" i="2" s="1"/>
  <c r="BH102"/>
  <c r="I108"/>
  <c r="K85"/>
  <c r="I99"/>
  <c r="BO91"/>
  <c r="BL92" i="3"/>
  <c r="BL92" i="2" s="1"/>
  <c r="BL93"/>
  <c r="AS97"/>
  <c r="P101" i="3"/>
  <c r="P101" i="2" s="1"/>
  <c r="P102"/>
  <c r="AX94"/>
  <c r="BG83" i="3"/>
  <c r="BG83" i="2" s="1"/>
  <c r="BG84"/>
  <c r="P98"/>
  <c r="BG96"/>
  <c r="BP87"/>
  <c r="S97"/>
  <c r="AY89"/>
  <c r="R96"/>
  <c r="P94"/>
  <c r="CH103"/>
  <c r="BZ103"/>
  <c r="AG83" i="3"/>
  <c r="AG83" i="2" s="1"/>
  <c r="AG84"/>
  <c r="BP99"/>
  <c r="BI85"/>
  <c r="AB108"/>
  <c r="U86"/>
  <c r="AL86"/>
  <c r="CH99"/>
  <c r="J90"/>
  <c r="AZ104"/>
  <c r="M83" i="3"/>
  <c r="M83" i="2" s="1"/>
  <c r="M84"/>
  <c r="BD91"/>
  <c r="AD98"/>
  <c r="Q100"/>
  <c r="AM101" i="3"/>
  <c r="AM101" i="2" s="1"/>
  <c r="AM102"/>
  <c r="N99"/>
  <c r="BV106"/>
  <c r="AI92" i="3"/>
  <c r="AI92" i="2" s="1"/>
  <c r="AI93"/>
  <c r="AB106"/>
  <c r="K91"/>
  <c r="BZ91"/>
  <c r="AA97"/>
  <c r="L96"/>
  <c r="BR92" i="3"/>
  <c r="BR92" i="2" s="1"/>
  <c r="BR93"/>
  <c r="Z90"/>
  <c r="BF105"/>
  <c r="AI90"/>
  <c r="Z96"/>
  <c r="AY106"/>
  <c r="BJ83" i="3"/>
  <c r="BJ83" i="2" s="1"/>
  <c r="BJ84"/>
  <c r="AQ108"/>
  <c r="AP86"/>
  <c r="AT103"/>
  <c r="AA91"/>
  <c r="CK91"/>
  <c r="AO100"/>
  <c r="AX84"/>
  <c r="AX83" i="3"/>
  <c r="AX83" i="2" s="1"/>
  <c r="CK87"/>
  <c r="V92" i="3"/>
  <c r="V92" i="2" s="1"/>
  <c r="V93"/>
  <c r="AD103"/>
  <c r="AJ108"/>
  <c r="AV92" i="3"/>
  <c r="AV92" i="2" s="1"/>
  <c r="AV93"/>
  <c r="AE94"/>
  <c r="AZ98"/>
  <c r="T86"/>
  <c r="BH91"/>
  <c r="Z94"/>
  <c r="AQ85"/>
  <c r="BJ90"/>
  <c r="BQ106"/>
  <c r="W93"/>
  <c r="W92" i="3"/>
  <c r="W92" i="2" s="1"/>
  <c r="AN101" i="3"/>
  <c r="AN101" i="2" s="1"/>
  <c r="AN102"/>
  <c r="U92" i="3"/>
  <c r="U92" i="2" s="1"/>
  <c r="U93"/>
  <c r="CF86"/>
  <c r="J101" i="3"/>
  <c r="J101" i="2" s="1"/>
  <c r="J102"/>
  <c r="AK83" i="3"/>
  <c r="AK83" i="2" s="1"/>
  <c r="AK84"/>
  <c r="W89"/>
  <c r="BJ100"/>
  <c r="BL88"/>
  <c r="U88"/>
  <c r="BI96"/>
  <c r="BU88"/>
  <c r="CD92" i="3"/>
  <c r="CD92" i="2" s="1"/>
  <c r="CD93"/>
  <c r="AS107"/>
  <c r="AA98"/>
  <c r="BS91"/>
  <c r="AA99"/>
  <c r="BZ87"/>
  <c r="CF98"/>
  <c r="S90"/>
  <c r="BR107"/>
  <c r="CC83" i="3"/>
  <c r="CC83" i="2" s="1"/>
  <c r="CC84"/>
  <c r="BO94"/>
  <c r="AU105"/>
  <c r="CJ83" i="3"/>
  <c r="CJ83" i="2" s="1"/>
  <c r="CJ84"/>
  <c r="BP86"/>
  <c r="CB90"/>
  <c r="BN90"/>
  <c r="AV104"/>
  <c r="AH108"/>
  <c r="BA106"/>
  <c r="W96"/>
  <c r="BL103"/>
  <c r="CG91"/>
  <c r="CA89"/>
  <c r="BR87"/>
  <c r="F100"/>
  <c r="CG97"/>
</calcChain>
</file>

<file path=xl/sharedStrings.xml><?xml version="1.0" encoding="utf-8"?>
<sst xmlns="http://schemas.openxmlformats.org/spreadsheetml/2006/main" count="31" uniqueCount="31">
  <si>
    <t>**重要提示**</t>
  </si>
  <si>
    <t>本文件、本文件所含信息以及任何基于此的衍生信息仅限SHANGHAI UNIVERSITY的JIARUI YANG使用。</t>
  </si>
  <si>
    <t>~~~~~~~~~~~~~~~~~~~~~~~~~~~~~~~~~~~~~~~~~~~~~~~~~~~~~~~~~~~~~~~~~~~~~~~~~~~~~~~~~~~~~~~~~~~~~~~~~~~~~~~~~~~~~~~~~~~~~~~~~~~~~~~~~~~~~~~~~~~~~~~~~~~~~~~</t>
  </si>
  <si>
    <t>**参考**</t>
  </si>
  <si>
    <t xml:space="preserve">     彭博行业(BI)Excel输出生成的电子数据表可作为参考表格，用于不同的模型和其他表格。</t>
  </si>
  <si>
    <t xml:space="preserve">     暂不支持自动建造模型或从BI输出表格中拖放，但将BI输出作为参考表格用于其他电子数</t>
  </si>
  <si>
    <t xml:space="preserve">   据表，功能强大，简便易用，能帮助您实现各种分析目的。</t>
  </si>
  <si>
    <t xml:space="preserve">   --BI Excel输出表格通常包含2个数据标签(有些BI模型，比如BI行情显示部分的模型，只能生</t>
  </si>
  <si>
    <t xml:space="preserve">   成1个数据标签“工作表1”)：</t>
  </si>
  <si>
    <t xml:space="preserve">     1) BI数据：此标签界面简洁，数据与BI控制面板同步。 </t>
  </si>
  <si>
    <t xml:space="preserve">          列示表格可作为参考表格，用于不同的模型和其他衍生电子数据表。</t>
  </si>
  <si>
    <t xml:space="preserve">     2) 参考数据：此标签下存储着所有的原始数据并包含数据加工。通常会有两个独立的表格：</t>
  </si>
  <si>
    <t xml:space="preserve">          上表包括出错处理、公式等等，下表包含输出的任何/所有实时API信息。 </t>
  </si>
  <si>
    <t xml:space="preserve">          实际API(BDP/BDH)公式的构建也是在下表中，因此如果想查看/运用相应API详情，可参</t>
  </si>
  <si>
    <t xml:space="preserve">          看此处。</t>
  </si>
  <si>
    <t xml:space="preserve">          注：有些时候，可能没有下表(如果所选数据无一来自实时API链接)。</t>
  </si>
  <si>
    <t xml:space="preserve">   --不同标签的表格中包含有共同的数据列：</t>
  </si>
  <si>
    <t xml:space="preserve">     1) 简介:此行标签与您在BI上看到的行标签相同。</t>
  </si>
  <si>
    <t xml:space="preserve">     2) 代码：与此行对应的公司/指数代码(代码用于 </t>
  </si>
  <si>
    <t xml:space="preserve">          此行BDP/BDH公式，如适用)</t>
  </si>
  <si>
    <t xml:space="preserve">     3) 栏目代码：此calcrout代码用于构建此行BDP/BDH公式(如适用)。</t>
  </si>
  <si>
    <t xml:space="preserve">     4) 栏目助记符：此calcrout助记符与用于构建此行BDP/BDH公式(如适用)的栏目代码相对应。</t>
  </si>
  <si>
    <t xml:space="preserve">     5) 数据状态：此特定行的数据状态，包括“动态”、“静态”、“合计”、“平均”、“中值”或“标题”。</t>
  </si>
  <si>
    <t xml:space="preserve">           如果是“动态”，那么一旦有新数据进入数据库，即可自动更新至表格，无需再次输出。</t>
  </si>
  <si>
    <t xml:space="preserve">           如果是“静态”，即此行不存在实时链接，新数据只能通过再次运行BI并输出。</t>
  </si>
  <si>
    <t xml:space="preserve">           如果是“合计”、“平均”、“中值”或“公式”，有些公式组件的数据或许能自动更新，但如果要</t>
  </si>
  <si>
    <t xml:space="preserve">           确保表格中的数据都是最新的，必须再次运行BI并输出。</t>
  </si>
  <si>
    <t>~~~~~~~~~~~~~~~~~~~~~~~~~~~~~~~~~~~~~~~~~~~~~~~~~~~~~~~~~~~~~~~~~~~~~~~~~~~~~~~~~~~~~~~~~~~~~~~~~~~~~~~~~~~~~~~~~~~~~~~~~~~~~~~~~~~~~~~~~~~~~~~~~~~~~~~~~~~~~~~~</t>
  </si>
  <si>
    <t>**帮助**</t>
  </si>
  <si>
    <t xml:space="preserve">     如果您在BI Excel输出过程中或对输出结果有任何疑问，请在彭博终端上运行BI&lt;GO&gt;功能，</t>
  </si>
  <si>
    <t xml:space="preserve">   然后按&lt;HELP&gt;键两次。</t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</si>
</sst>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scheme val="minor"/>
    </font>
    <font>
      <b/>
      <sz val="11"/>
      <color indexed="9"/>
      <name val="Calibri"/>
      <family val="2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强调文字颜色 1" xfId="1" builtinId="30" customBuiltin="1"/>
    <cellStyle name="20% - 强调文字颜色 2" xfId="2" builtinId="34" customBuiltin="1"/>
    <cellStyle name="20% - 强调文字颜色 3" xfId="3" builtinId="38" customBuiltin="1"/>
    <cellStyle name="20% - 强调文字颜色 4" xfId="4" builtinId="42" customBuiltin="1"/>
    <cellStyle name="20% - 强调文字颜色 5" xfId="5" builtinId="46" customBuiltin="1"/>
    <cellStyle name="20% - 强调文字颜色 6" xfId="6" builtinId="50" customBuiltin="1"/>
    <cellStyle name="40% - 强调文字颜色 1" xfId="7" builtinId="31" customBuiltin="1"/>
    <cellStyle name="40% - 强调文字颜色 2" xfId="8" builtinId="35" customBuiltin="1"/>
    <cellStyle name="40% - 强调文字颜色 3" xfId="9" builtinId="39" customBuiltin="1"/>
    <cellStyle name="40% - 强调文字颜色 4" xfId="10" builtinId="43" customBuiltin="1"/>
    <cellStyle name="40% - 强调文字颜色 5" xfId="11" builtinId="47" customBuiltin="1"/>
    <cellStyle name="40% - 强调文字颜色 6" xfId="12" builtinId="51" customBuiltin="1"/>
    <cellStyle name="60% - 强调文字颜色 1" xfId="13" builtinId="32" customBuiltin="1"/>
    <cellStyle name="60% - 强调文字颜色 2" xfId="14" builtinId="36" customBuiltin="1"/>
    <cellStyle name="60% - 强调文字颜色 3" xfId="15" builtinId="40" customBuiltin="1"/>
    <cellStyle name="60% - 强调文字颜色 4" xfId="16" builtinId="44" customBuiltin="1"/>
    <cellStyle name="60% - 强调文字颜色 5" xfId="17" builtinId="48" customBuiltin="1"/>
    <cellStyle name="60% - 强调文字颜色 6" xfId="18" builtinId="52" customBuiltin="1"/>
    <cellStyle name="blp_column_header" xfId="26"/>
    <cellStyle name="标题" xfId="40" builtinId="15" customBuiltin="1"/>
    <cellStyle name="标题 1" xfId="31" builtinId="16" customBuiltin="1"/>
    <cellStyle name="标题 2" xfId="32" builtinId="17" customBuiltin="1"/>
    <cellStyle name="标题 3" xfId="33" builtinId="18" customBuiltin="1"/>
    <cellStyle name="标题 4" xfId="34" builtinId="19" customBuiltin="1"/>
    <cellStyle name="差" xfId="25" builtinId="27" customBuiltin="1"/>
    <cellStyle name="常规" xfId="0" builtinId="0"/>
    <cellStyle name="好" xfId="30" builtinId="26" customBuiltin="1"/>
    <cellStyle name="汇总" xfId="41" builtinId="25" customBuiltin="1"/>
    <cellStyle name="计算" xfId="27" builtinId="22" customBuiltin="1"/>
    <cellStyle name="检查单元格" xfId="28" builtinId="23" customBuiltin="1"/>
    <cellStyle name="解释性文本" xfId="29" builtinId="53" customBuiltin="1"/>
    <cellStyle name="警告文本" xfId="42" builtinId="11" customBuiltin="1"/>
    <cellStyle name="链接单元格" xfId="36" builtinId="24" customBuiltin="1"/>
    <cellStyle name="强调文字颜色 1" xfId="19" builtinId="29" customBuiltin="1"/>
    <cellStyle name="强调文字颜色 2" xfId="20" builtinId="33" customBuiltin="1"/>
    <cellStyle name="强调文字颜色 3" xfId="21" builtinId="37" customBuiltin="1"/>
    <cellStyle name="强调文字颜色 4" xfId="22" builtinId="41" customBuiltin="1"/>
    <cellStyle name="强调文字颜色 5" xfId="23" builtinId="45" customBuiltin="1"/>
    <cellStyle name="强调文字颜色 6" xfId="24" builtinId="49" customBuiltin="1"/>
    <cellStyle name="适中" xfId="37" builtinId="28" customBuiltin="1"/>
    <cellStyle name="输出" xfId="39" builtinId="21" customBuiltin="1"/>
    <cellStyle name="输入" xfId="35" builtinId="20" customBuiltin="1"/>
    <cellStyle name="注释" xfId="38" builtinId="10" customBuiltin="1"/>
  </cellStyles>
  <dxfs count="0"/>
  <tableStyles count="0" defaultTableStyle="TableStyleMedium2" defaultPivotStyle="PivotStyleLight16"/>
</styleSheet>
</file>

<file path=xl/volatileDependencies.xml><?xml version="1.0" encoding="utf-8"?>
<volTypes xmlns="http://schemas.openxmlformats.org/spreadsheetml/2006/main">
  <volType type="realTimeData">
    <main first="bloomberg.rtd">
      <tp t="s">
        <v>#N/A Authorization</v>
        <stp/>
        <stp>##V3_BDHV12</stp>
        <stp>AVB US Equity</stp>
        <stp>RR857</stp>
        <stp>-84CM</stp>
        <stp>2018/3/31</stp>
        <stp>[住宅预测.xlsx]ReferenceData!R459C3</stp>
        <stp>PER=CM</stp>
        <stp>Dts=S</stp>
        <stp>DtFmt=FI</stp>
        <stp>rows=2</stp>
        <stp>Dir=H</stp>
        <stp>Points=84</stp>
        <stp>Sort=R</stp>
        <stp>Days=A</stp>
        <stp>Fill=B</stp>
        <stp>FX=USD</stp>
        <tr r="C459" s="3"/>
      </tp>
      <tp t="s">
        <v>#N/A Authorization</v>
        <stp/>
        <stp>##V3_BDHV12</stp>
        <stp>CPT US Equity</stp>
        <stp>RR857</stp>
        <stp>-84CM</stp>
        <stp>2018/3/31</stp>
        <stp>[住宅预测.xlsx]ReferenceData!R461C3</stp>
        <stp>PER=CM</stp>
        <stp>Dts=S</stp>
        <stp>DtFmt=FI</stp>
        <stp>rows=2</stp>
        <stp>Dir=H</stp>
        <stp>Points=84</stp>
        <stp>Sort=R</stp>
        <stp>Days=A</stp>
        <stp>Fill=B</stp>
        <stp>FX=USD</stp>
        <tr r="C461" s="3"/>
      </tp>
      <tp t="s">
        <v>#N/A Authorization</v>
        <stp/>
        <stp>##V3_BDHV12</stp>
        <stp>AIV US Equity</stp>
        <stp>RR857</stp>
        <stp>-84CM</stp>
        <stp>2018/3/31</stp>
        <stp>[住宅预测.xlsx]ReferenceData!R457C3</stp>
        <stp>PER=CM</stp>
        <stp>Dts=S</stp>
        <stp>DtFmt=FI</stp>
        <stp>rows=2</stp>
        <stp>Dir=H</stp>
        <stp>Points=84</stp>
        <stp>Sort=R</stp>
        <stp>Days=A</stp>
        <stp>Fill=B</stp>
        <stp>FX=USD</stp>
        <tr r="C457" s="3"/>
      </tp>
    </main>
    <main first="bloomberg.ccyreader">
      <tp>
        <v>0</v>
        <stp/>
        <stp>#track</stp>
        <stp>DBG</stp>
        <stp>BIHITX</stp>
        <stp>1.0</stp>
        <stp>RepeatHit</stp>
        <tr r="A246" s="3"/>
      </tp>
    </main>
    <main first="bloomberg.rtd">
      <tp t="s">
        <v>#N/A Authorization</v>
        <stp/>
        <stp>##V3_BDHV12</stp>
        <stp>CPT US Equity</stp>
        <stp>RR857</stp>
        <stp>-84CM</stp>
        <stp>2018/3/31</stp>
        <stp>[BI_APTRN_1_gis21gbm.xlsx]ReferenceData!R453C3</stp>
        <stp>PER=CM</stp>
        <stp>Dts=S</stp>
        <stp>DtFmt=FI</stp>
        <stp>rows=2</stp>
        <stp>Dir=H</stp>
        <stp>Points=84</stp>
        <stp>Sort=R</stp>
        <stp>Days=A</stp>
        <stp>Fill=B</stp>
        <stp>FX=USD</stp>
        <tr r="C453" s="3"/>
      </tp>
      <tp t="s">
        <v>#N/A Authorization</v>
        <stp/>
        <stp>##V3_BDHV12</stp>
        <stp>AIV US Equity</stp>
        <stp>RR857</stp>
        <stp>-84CM</stp>
        <stp>2018/3/31</stp>
        <stp>[BI_APTRN_1_gis21gbm.xlsx]ReferenceData!R449C3</stp>
        <stp>PER=CM</stp>
        <stp>Dts=S</stp>
        <stp>DtFmt=FI</stp>
        <stp>rows=2</stp>
        <stp>Dir=H</stp>
        <stp>Points=84</stp>
        <stp>Sort=R</stp>
        <stp>Days=A</stp>
        <stp>Fill=B</stp>
        <stp>FX=USD</stp>
        <tr r="C449" s="3"/>
      </tp>
      <tp t="s">
        <v>#N/A Authorization</v>
        <stp/>
        <stp>##V3_BDHV12</stp>
        <stp>AVB US Equity</stp>
        <stp>RR857</stp>
        <stp>-84CM</stp>
        <stp>2018/3/31</stp>
        <stp>[BI_APTRN_1_gis21gbm.xlsx]ReferenceData!R451C3</stp>
        <stp>PER=CM</stp>
        <stp>Dts=S</stp>
        <stp>DtFmt=FI</stp>
        <stp>rows=2</stp>
        <stp>Dir=H</stp>
        <stp>Points=84</stp>
        <stp>Sort=R</stp>
        <stp>Days=A</stp>
        <stp>Fill=B</stp>
        <stp>FX=USD</stp>
        <tr r="C451" s="3"/>
      </tp>
      <tp t="s">
        <v>#N/A Authorization</v>
        <stp/>
        <stp>##V3_BDHV12</stp>
        <stp>MORE US Equity</stp>
        <stp>F0928</stp>
        <stp>-84CM</stp>
        <stp>2018/3/31</stp>
        <stp>[住宅预测.xlsx]ReferenceData!R391C6</stp>
        <stp>Per=CM</stp>
        <stp>Dts=H</stp>
        <stp>Dir=H</stp>
        <stp>Points=84</stp>
        <stp>Sort=R</stp>
        <stp>Days=A</stp>
        <stp>Fill=B</stp>
        <stp>FX=USD</stp>
        <tr r="F391" s="3"/>
      </tp>
      <tp t="s">
        <v>#N/A Authorization</v>
        <stp/>
        <stp>##V3_BDHV12</stp>
        <stp>MORE US Equity</stp>
        <stp>F0929</stp>
        <stp>-84CM</stp>
        <stp>2018/3/31</stp>
        <stp>[住宅预测.xlsx]ReferenceData!R399C6</stp>
        <stp>Per=CM</stp>
        <stp>Dts=H</stp>
        <stp>Dir=H</stp>
        <stp>Points=84</stp>
        <stp>Sort=R</stp>
        <stp>Days=A</stp>
        <stp>Fill=B</stp>
        <stp>FX=USD</stp>
        <tr r="F399" s="3"/>
      </tp>
      <tp t="s">
        <v>#N/A Authorization</v>
        <stp/>
        <stp>##V3_BDHV12</stp>
        <stp>MORE US Equity</stp>
        <stp>PR005</stp>
        <stp>-84CM</stp>
        <stp>2018/3/31</stp>
        <stp>[住宅预测.xlsx]ReferenceData!R428C6</stp>
        <stp>Per=CM</stp>
        <stp>Dts=H</stp>
        <stp>Dir=H</stp>
        <stp>Points=84</stp>
        <stp>Sort=R</stp>
        <stp>Days=A</stp>
        <stp>Fill=B</stp>
        <stp>FX=USD</stp>
        <tr r="F428" s="3"/>
      </tp>
      <tp t="s">
        <v>#N/A Authorization</v>
        <stp/>
        <stp>##V3_BDHV12</stp>
        <stp>MORE US Equity</stp>
        <stp>F0580</stp>
        <stp>-84CM</stp>
        <stp>2018/3/31</stp>
        <stp>[住宅预测.xlsx]ReferenceData!R345C6</stp>
        <stp>Per=CM</stp>
        <stp>Dts=H</stp>
        <stp>Dir=H</stp>
        <stp>Points=84</stp>
        <stp>Sort=R</stp>
        <stp>Days=A</stp>
        <stp>Fill=B</stp>
        <stp>FX=USD</stp>
        <tr r="F345" s="3"/>
      </tp>
      <tp t="s">
        <v>#N/A Authorization</v>
        <stp/>
        <stp>##V3_BDHV12</stp>
        <stp>MORE US Equity</stp>
        <stp>F0581</stp>
        <stp>-84CM</stp>
        <stp>2018/3/31</stp>
        <stp>[住宅预测.xlsx]ReferenceData!R330C6</stp>
        <stp>Per=CM</stp>
        <stp>Dts=H</stp>
        <stp>Dir=H</stp>
        <stp>Points=84</stp>
        <stp>Sort=R</stp>
        <stp>Days=A</stp>
        <stp>Fill=B</stp>
        <stp>FX=USD</stp>
        <tr r="F330" s="3"/>
      </tp>
      <tp t="s">
        <v>#N/A Authorization</v>
        <stp/>
        <stp>##V3_BDHV12</stp>
        <stp>AVB US Equity</stp>
        <stp>F0894</stp>
        <stp>-84CM</stp>
        <stp>2018/3/31</stp>
        <stp>[住宅预测.xlsx]ReferenceData!R333C6</stp>
        <stp>Per=CM</stp>
        <stp>Dts=H</stp>
        <stp>Dir=H</stp>
        <stp>Points=84</stp>
        <stp>Sort=R</stp>
        <stp>Days=A</stp>
        <stp>Fill=B</stp>
        <stp>FX=USD</stp>
        <tr r="F333" s="3"/>
      </tp>
      <tp t="s">
        <v>#N/A Authorization</v>
        <stp/>
        <stp>##V3_BDHV12</stp>
        <stp>AVB US Equity</stp>
        <stp>F0891</stp>
        <stp>-84CM</stp>
        <stp>2018/3/31</stp>
        <stp>[住宅预测.xlsx]ReferenceData!R318C6</stp>
        <stp>Per=CM</stp>
        <stp>Dts=H</stp>
        <stp>Dir=H</stp>
        <stp>Points=84</stp>
        <stp>Sort=R</stp>
        <stp>Days=A</stp>
        <stp>Fill=B</stp>
        <stp>FX=USD</stp>
        <tr r="F318" s="3"/>
      </tp>
      <tp t="s">
        <v>#N/A Authorization</v>
        <stp/>
        <stp>##V3_BDHV12</stp>
        <stp>AVB US Equity</stp>
        <stp>F0893</stp>
        <stp>-84CM</stp>
        <stp>2018/3/31</stp>
        <stp>[住宅预测.xlsx]ReferenceData!R311C6</stp>
        <stp>Per=CM</stp>
        <stp>Dts=H</stp>
        <stp>Dir=H</stp>
        <stp>Points=84</stp>
        <stp>Sort=R</stp>
        <stp>Days=A</stp>
        <stp>Fill=B</stp>
        <stp>FX=USD</stp>
        <tr r="F311" s="3"/>
      </tp>
      <tp t="s">
        <v>#N/A Authorization</v>
        <stp/>
        <stp>##V3_BDHV12</stp>
        <stp>AVB US Equity</stp>
        <stp>F0892</stp>
        <stp>-84CM</stp>
        <stp>2018/3/31</stp>
        <stp>[住宅预测.xlsx]ReferenceData!R348C6</stp>
        <stp>Per=CM</stp>
        <stp>Dts=H</stp>
        <stp>Dir=H</stp>
        <stp>Points=84</stp>
        <stp>Sort=R</stp>
        <stp>Days=A</stp>
        <stp>Fill=B</stp>
        <stp>FX=USD</stp>
        <tr r="F348" s="3"/>
      </tp>
      <tp t="s">
        <v>#N/A Authorization</v>
        <stp/>
        <stp>##V3_BDHV12</stp>
        <stp>AVB US Equity</stp>
        <stp>RR890</stp>
        <stp>-84CM</stp>
        <stp>2018/3/31</stp>
        <stp>[住宅预测.xlsx]ReferenceData!R409C6</stp>
        <stp>Per=CM</stp>
        <stp>Dts=H</stp>
        <stp>Dir=H</stp>
        <stp>Points=84</stp>
        <stp>Sort=R</stp>
        <stp>Days=A</stp>
        <stp>Fill=B</stp>
        <stp>FX=USD</stp>
        <tr r="F409" s="3"/>
      </tp>
      <tp t="s">
        <v>#N/A Authorization</v>
        <stp/>
        <stp>##V3_BDHV12</stp>
        <stp>AVB US Equity</stp>
        <stp>F0581</stp>
        <stp>-84CM</stp>
        <stp>2018/3/31</stp>
        <stp>[住宅预测.xlsx]ReferenceData!R325C6</stp>
        <stp>Per=CM</stp>
        <stp>Dts=H</stp>
        <stp>Dir=H</stp>
        <stp>Points=84</stp>
        <stp>Sort=R</stp>
        <stp>Days=A</stp>
        <stp>Fill=B</stp>
        <stp>FX=USD</stp>
        <tr r="F325" s="3"/>
      </tp>
      <tp t="s">
        <v>#N/A Authorization</v>
        <stp/>
        <stp>##V3_BDHV12</stp>
        <stp>AVB US Equity</stp>
        <stp>F0580</stp>
        <stp>-84CM</stp>
        <stp>2018/3/31</stp>
        <stp>[住宅预测.xlsx]ReferenceData!R340C6</stp>
        <stp>Per=CM</stp>
        <stp>Dts=H</stp>
        <stp>Dir=H</stp>
        <stp>Points=84</stp>
        <stp>Sort=R</stp>
        <stp>Days=A</stp>
        <stp>Fill=B</stp>
        <stp>FX=USD</stp>
        <tr r="F340" s="3"/>
      </tp>
      <tp t="s">
        <v>#N/A Authorization</v>
        <stp/>
        <stp>##V3_BDHV12</stp>
        <stp>CPT US Equity</stp>
        <stp>RR890</stp>
        <stp>-84CM</stp>
        <stp>2018/3/31</stp>
        <stp>[住宅预测.xlsx]ReferenceData!R410C6</stp>
        <stp>Per=CM</stp>
        <stp>Dts=H</stp>
        <stp>Dir=H</stp>
        <stp>Points=84</stp>
        <stp>Sort=R</stp>
        <stp>Days=A</stp>
        <stp>Fill=B</stp>
        <stp>FX=USD</stp>
        <tr r="F410" s="3"/>
      </tp>
      <tp t="s">
        <v>#N/A Authorization</v>
        <stp/>
        <stp>##V3_BDHV12</stp>
        <stp>CPT US Equity</stp>
        <stp>F0893</stp>
        <stp>-84CM</stp>
        <stp>2018/3/31</stp>
        <stp>[住宅预测.xlsx]ReferenceData!R312C6</stp>
        <stp>Per=CM</stp>
        <stp>Dts=H</stp>
        <stp>Dir=H</stp>
        <stp>Points=84</stp>
        <stp>Sort=R</stp>
        <stp>Days=A</stp>
        <stp>Fill=B</stp>
        <stp>FX=USD</stp>
        <tr r="F312" s="3"/>
      </tp>
      <tp t="s">
        <v>#N/A Authorization</v>
        <stp/>
        <stp>##V3_BDHV12</stp>
        <stp>CPT US Equity</stp>
        <stp>F0892</stp>
        <stp>-84CM</stp>
        <stp>2018/3/31</stp>
        <stp>[住宅预测.xlsx]ReferenceData!R349C6</stp>
        <stp>Per=CM</stp>
        <stp>Dts=H</stp>
        <stp>Dir=H</stp>
        <stp>Points=84</stp>
        <stp>Sort=R</stp>
        <stp>Days=A</stp>
        <stp>Fill=B</stp>
        <stp>FX=USD</stp>
        <tr r="F349" s="3"/>
      </tp>
      <tp t="s">
        <v>#N/A Authorization</v>
        <stp/>
        <stp>##V3_BDHV12</stp>
        <stp>CPT US Equity</stp>
        <stp>F0891</stp>
        <stp>-84CM</stp>
        <stp>2018/3/31</stp>
        <stp>[住宅预测.xlsx]ReferenceData!R319C6</stp>
        <stp>Per=CM</stp>
        <stp>Dts=H</stp>
        <stp>Dir=H</stp>
        <stp>Points=84</stp>
        <stp>Sort=R</stp>
        <stp>Days=A</stp>
        <stp>Fill=B</stp>
        <stp>FX=USD</stp>
        <tr r="F319" s="3"/>
      </tp>
      <tp t="s">
        <v>#N/A Authorization</v>
        <stp/>
        <stp>##V3_BDHV12</stp>
        <stp>EQR US Equity</stp>
        <stp>F0581</stp>
        <stp>-84CM</stp>
        <stp>2018/3/31</stp>
        <stp>[住宅预测.xlsx]ReferenceData!R327C6</stp>
        <stp>Per=CM</stp>
        <stp>Dts=H</stp>
        <stp>Dir=H</stp>
        <stp>Points=84</stp>
        <stp>Sort=R</stp>
        <stp>Days=A</stp>
        <stp>Fill=B</stp>
        <stp>FX=USD</stp>
        <tr r="F327" s="3"/>
      </tp>
      <tp t="s">
        <v>#N/A Authorization</v>
        <stp/>
        <stp>##V3_BDHV12</stp>
        <stp>EQR US Equity</stp>
        <stp>F0580</stp>
        <stp>-84CM</stp>
        <stp>2018/3/31</stp>
        <stp>[住宅预测.xlsx]ReferenceData!R342C6</stp>
        <stp>Per=CM</stp>
        <stp>Dts=H</stp>
        <stp>Dir=H</stp>
        <stp>Points=84</stp>
        <stp>Sort=R</stp>
        <stp>Days=A</stp>
        <stp>Fill=B</stp>
        <stp>FX=USD</stp>
        <tr r="F342" s="3"/>
      </tp>
      <tp t="s">
        <v>#N/A Authorization</v>
        <stp/>
        <stp>##V3_BDHV12</stp>
        <stp>CPT US Equity</stp>
        <stp>F0894</stp>
        <stp>-84CM</stp>
        <stp>2018/3/31</stp>
        <stp>[住宅预测.xlsx]ReferenceData!R334C6</stp>
        <stp>Per=CM</stp>
        <stp>Dts=H</stp>
        <stp>Dir=H</stp>
        <stp>Points=84</stp>
        <stp>Sort=R</stp>
        <stp>Days=A</stp>
        <stp>Fill=B</stp>
        <stp>FX=USD</stp>
        <tr r="F334" s="3"/>
      </tp>
      <tp t="s">
        <v>#N/A Authorization</v>
        <stp/>
        <stp>##V3_BDHV12</stp>
        <stp>EQR US Equity</stp>
        <stp>RR890</stp>
        <stp>-84CM</stp>
        <stp>2018/3/31</stp>
        <stp>[住宅预测.xlsx]ReferenceData!R411C6</stp>
        <stp>Per=CM</stp>
        <stp>Dts=H</stp>
        <stp>Dir=H</stp>
        <stp>Points=84</stp>
        <stp>Sort=R</stp>
        <stp>Days=A</stp>
        <stp>Fill=B</stp>
        <stp>FX=USD</stp>
        <tr r="F411" s="3"/>
      </tp>
      <tp t="s">
        <v>#N/A Authorization</v>
        <stp/>
        <stp>##V3_BDHV12</stp>
        <stp>EQR US Equity</stp>
        <stp>F0894</stp>
        <stp>-84CM</stp>
        <stp>2018/3/31</stp>
        <stp>[住宅预测.xlsx]ReferenceData!R335C6</stp>
        <stp>Per=CM</stp>
        <stp>Dts=H</stp>
        <stp>Dir=H</stp>
        <stp>Points=84</stp>
        <stp>Sort=R</stp>
        <stp>Days=A</stp>
        <stp>Fill=B</stp>
        <stp>FX=USD</stp>
        <tr r="F335" s="3"/>
      </tp>
      <tp t="s">
        <v>#N/A Authorization</v>
        <stp/>
        <stp>##V3_BDHV12</stp>
        <stp>CPT US Equity</stp>
        <stp>F0581</stp>
        <stp>-84CM</stp>
        <stp>2018/3/31</stp>
        <stp>[住宅预测.xlsx]ReferenceData!R326C6</stp>
        <stp>Per=CM</stp>
        <stp>Dts=H</stp>
        <stp>Dir=H</stp>
        <stp>Points=84</stp>
        <stp>Sort=R</stp>
        <stp>Days=A</stp>
        <stp>Fill=B</stp>
        <stp>FX=USD</stp>
        <tr r="F326" s="3"/>
      </tp>
      <tp t="s">
        <v>#N/A Authorization</v>
        <stp/>
        <stp>##V3_BDHV12</stp>
        <stp>CPT US Equity</stp>
        <stp>F0580</stp>
        <stp>-84CM</stp>
        <stp>2018/3/31</stp>
        <stp>[住宅预测.xlsx]ReferenceData!R341C6</stp>
        <stp>Per=CM</stp>
        <stp>Dts=H</stp>
        <stp>Dir=H</stp>
        <stp>Points=84</stp>
        <stp>Sort=R</stp>
        <stp>Days=A</stp>
        <stp>Fill=B</stp>
        <stp>FX=USD</stp>
        <tr r="F341" s="3"/>
      </tp>
      <tp t="s">
        <v>#N/A Authorization</v>
        <stp/>
        <stp>##V3_BDHV12</stp>
        <stp>EQR US Equity</stp>
        <stp>F0891</stp>
        <stp>-84CM</stp>
        <stp>2018/3/31</stp>
        <stp>[住宅预测.xlsx]ReferenceData!R320C6</stp>
        <stp>Per=CM</stp>
        <stp>Dts=H</stp>
        <stp>Dir=H</stp>
        <stp>Points=84</stp>
        <stp>Sort=R</stp>
        <stp>Days=A</stp>
        <stp>Fill=B</stp>
        <stp>FX=USD</stp>
        <tr r="F320" s="3"/>
      </tp>
      <tp t="s">
        <v>#N/A Authorization</v>
        <stp/>
        <stp>##V3_BDHV12</stp>
        <stp>EQR US Equity</stp>
        <stp>F0893</stp>
        <stp>-84CM</stp>
        <stp>2018/3/31</stp>
        <stp>[住宅预测.xlsx]ReferenceData!R313C6</stp>
        <stp>Per=CM</stp>
        <stp>Dts=H</stp>
        <stp>Dir=H</stp>
        <stp>Points=84</stp>
        <stp>Sort=R</stp>
        <stp>Days=A</stp>
        <stp>Fill=B</stp>
        <stp>FX=USD</stp>
        <tr r="F313" s="3"/>
      </tp>
      <tp t="s">
        <v>#N/A Authorization</v>
        <stp/>
        <stp>##V3_BDHV12</stp>
        <stp>EQR US Equity</stp>
        <stp>F0892</stp>
        <stp>-84CM</stp>
        <stp>2018/3/31</stp>
        <stp>[住宅预测.xlsx]ReferenceData!R350C6</stp>
        <stp>Per=CM</stp>
        <stp>Dts=H</stp>
        <stp>Dir=H</stp>
        <stp>Points=84</stp>
        <stp>Sort=R</stp>
        <stp>Days=A</stp>
        <stp>Fill=B</stp>
        <stp>FX=USD</stp>
        <tr r="F350" s="3"/>
      </tp>
      <tp t="s">
        <v>#N/A Authorization</v>
        <stp/>
        <stp>##V3_BDHV12</stp>
        <stp>ESS US Equity</stp>
        <stp>F0580</stp>
        <stp>-84CM</stp>
        <stp>2018/3/31</stp>
        <stp>[住宅预测.xlsx]ReferenceData!R343C6</stp>
        <stp>Per=CM</stp>
        <stp>Dts=H</stp>
        <stp>Dir=H</stp>
        <stp>Points=84</stp>
        <stp>Sort=R</stp>
        <stp>Days=A</stp>
        <stp>Fill=B</stp>
        <stp>FX=USD</stp>
        <tr r="F343" s="3"/>
      </tp>
      <tp t="s">
        <v>#N/A Authorization</v>
        <stp/>
        <stp>##V3_BDHV12</stp>
        <stp>ESS US Equity</stp>
        <stp>F0581</stp>
        <stp>-84CM</stp>
        <stp>2018/3/31</stp>
        <stp>[住宅预测.xlsx]ReferenceData!R328C6</stp>
        <stp>Per=CM</stp>
        <stp>Dts=H</stp>
        <stp>Dir=H</stp>
        <stp>Points=84</stp>
        <stp>Sort=R</stp>
        <stp>Days=A</stp>
        <stp>Fill=B</stp>
        <stp>FX=USD</stp>
        <tr r="F328" s="3"/>
      </tp>
      <tp t="s">
        <v>#N/A Authorization</v>
        <stp/>
        <stp>##V3_BDHV12</stp>
        <stp>ESS US Equity</stp>
        <stp>RR890</stp>
        <stp>-84CM</stp>
        <stp>2018/3/31</stp>
        <stp>[住宅预测.xlsx]ReferenceData!R412C6</stp>
        <stp>Per=CM</stp>
        <stp>Dts=H</stp>
        <stp>Dir=H</stp>
        <stp>Points=84</stp>
        <stp>Sort=R</stp>
        <stp>Days=A</stp>
        <stp>Fill=B</stp>
        <stp>FX=USD</stp>
        <tr r="F412" s="3"/>
      </tp>
      <tp t="s">
        <v>#N/A Authorization</v>
        <stp/>
        <stp>##V3_BDHV12</stp>
        <stp>ESS US Equity</stp>
        <stp>F0894</stp>
        <stp>-84CM</stp>
        <stp>2018/3/31</stp>
        <stp>[住宅预测.xlsx]ReferenceData!R336C6</stp>
        <stp>Per=CM</stp>
        <stp>Dts=H</stp>
        <stp>Dir=H</stp>
        <stp>Points=84</stp>
        <stp>Sort=R</stp>
        <stp>Days=A</stp>
        <stp>Fill=B</stp>
        <stp>FX=USD</stp>
        <tr r="F336" s="3"/>
      </tp>
      <tp t="s">
        <v>#N/A Authorization</v>
        <stp/>
        <stp>##V3_BDHV12</stp>
        <stp>ESS US Equity</stp>
        <stp>F0891</stp>
        <stp>-84CM</stp>
        <stp>2018/3/31</stp>
        <stp>[住宅预测.xlsx]ReferenceData!R321C6</stp>
        <stp>Per=CM</stp>
        <stp>Dts=H</stp>
        <stp>Dir=H</stp>
        <stp>Points=84</stp>
        <stp>Sort=R</stp>
        <stp>Days=A</stp>
        <stp>Fill=B</stp>
        <stp>FX=USD</stp>
        <tr r="F321" s="3"/>
      </tp>
      <tp t="s">
        <v>#N/A Authorization</v>
        <stp/>
        <stp>##V3_BDHV12</stp>
        <stp>ESS US Equity</stp>
        <stp>F0892</stp>
        <stp>-84CM</stp>
        <stp>2018/3/31</stp>
        <stp>[住宅预测.xlsx]ReferenceData!R351C6</stp>
        <stp>Per=CM</stp>
        <stp>Dts=H</stp>
        <stp>Dir=H</stp>
        <stp>Points=84</stp>
        <stp>Sort=R</stp>
        <stp>Days=A</stp>
        <stp>Fill=B</stp>
        <stp>FX=USD</stp>
        <tr r="F351" s="3"/>
      </tp>
      <tp t="s">
        <v>#N/A Authorization</v>
        <stp/>
        <stp>##V3_BDHV12</stp>
        <stp>ESS US Equity</stp>
        <stp>F0893</stp>
        <stp>-84CM</stp>
        <stp>2018/3/31</stp>
        <stp>[住宅预测.xlsx]ReferenceData!R314C6</stp>
        <stp>Per=CM</stp>
        <stp>Dts=H</stp>
        <stp>Dir=H</stp>
        <stp>Points=84</stp>
        <stp>Sort=R</stp>
        <stp>Days=A</stp>
        <stp>Fill=B</stp>
        <stp>FX=USD</stp>
        <tr r="F314" s="3"/>
      </tp>
      <tp t="s">
        <v>#N/A Authorization</v>
        <stp/>
        <stp>##V3_BDHV12</stp>
        <stp>CPT US Equity</stp>
        <stp>RR857</stp>
        <stp>-84CM</stp>
        <stp>2018/3/31</stp>
        <stp>[住宅预测.xlsx]ReferenceData!R256C6</stp>
        <stp>Per=CM</stp>
        <stp>Dts=H</stp>
        <stp>Dir=H</stp>
        <stp>Points=84</stp>
        <stp>Sort=R</stp>
        <stp>Days=A</stp>
        <stp>Fill=B</stp>
        <stp>FX=USD</stp>
        <tr r="F256" s="3"/>
      </tp>
      <tp t="s">
        <v>#N/A Authorization</v>
        <stp/>
        <stp>##V3_BDHV12</stp>
        <stp>ESS US Equity</stp>
        <stp>CF065</stp>
        <stp>-84CM</stp>
        <stp>2018/3/31</stp>
        <stp>[住宅预测.xlsx]ReferenceData!R286C6</stp>
        <stp>Per=CM</stp>
        <stp>Dts=H</stp>
        <stp>Dir=H</stp>
        <stp>Points=84</stp>
        <stp>Sort=R</stp>
        <stp>Days=A</stp>
        <stp>Fill=B</stp>
        <stp>FX=USD</stp>
        <tr r="F286" s="3"/>
      </tp>
      <tp t="s">
        <v>#N/A Authorization</v>
        <stp/>
        <stp>##V3_BDHV12</stp>
        <stp>AVB US Equity</stp>
        <stp>F0929</stp>
        <stp>-84CM</stp>
        <stp>2018/3/31</stp>
        <stp>[住宅预测.xlsx]ReferenceData!R394C6</stp>
        <stp>Per=CM</stp>
        <stp>Dts=H</stp>
        <stp>Dir=H</stp>
        <stp>Points=84</stp>
        <stp>Sort=R</stp>
        <stp>Days=A</stp>
        <stp>Fill=B</stp>
        <stp>FX=USD</stp>
        <tr r="F394" s="3"/>
      </tp>
      <tp t="s">
        <v>#N/A Authorization</v>
        <stp/>
        <stp>##V3_BDHV12</stp>
        <stp>AVB US Equity</stp>
        <stp>F0928</stp>
        <stp>-84CM</stp>
        <stp>2018/3/31</stp>
        <stp>[住宅预测.xlsx]ReferenceData!R386C6</stp>
        <stp>Per=CM</stp>
        <stp>Dts=H</stp>
        <stp>Dir=H</stp>
        <stp>Points=84</stp>
        <stp>Sort=R</stp>
        <stp>Days=A</stp>
        <stp>Fill=B</stp>
        <stp>FX=USD</stp>
        <tr r="F386" s="3"/>
      </tp>
      <tp t="s">
        <v>#N/A Authorization</v>
        <stp/>
        <stp>##V3_BDHV12</stp>
        <stp>AVB US Equity</stp>
        <stp>F0826</stp>
        <stp>-84CM</stp>
        <stp>2018/3/31</stp>
        <stp>[住宅预测.xlsx]ReferenceData!R416C6</stp>
        <stp>Per=CM</stp>
        <stp>Dts=H</stp>
        <stp>Dir=H</stp>
        <stp>Points=84</stp>
        <stp>Sort=R</stp>
        <stp>Days=A</stp>
        <stp>Fill=B</stp>
        <stp>FX=USD</stp>
        <tr r="F416" s="3"/>
      </tp>
      <tp t="s">
        <v>#N/A Authorization</v>
        <stp/>
        <stp>##V3_BDHV12</stp>
        <stp>EQR US Equity</stp>
        <stp>RR857</stp>
        <stp>-84CM</stp>
        <stp>2018/3/31</stp>
        <stp>[住宅预测.xlsx]ReferenceData!R257C6</stp>
        <stp>Per=CM</stp>
        <stp>Dts=H</stp>
        <stp>Dir=H</stp>
        <stp>Points=84</stp>
        <stp>Sort=R</stp>
        <stp>Days=A</stp>
        <stp>Fill=B</stp>
        <stp>FX=USD</stp>
        <tr r="F257" s="3"/>
      </tp>
      <tp t="s">
        <v>#N/A Authorization</v>
        <stp/>
        <stp>##V3_BDHV12</stp>
        <stp>AVB US Equity</stp>
        <stp>F0825</stp>
        <stp>-84CM</stp>
        <stp>2018/3/31</stp>
        <stp>[住宅预测.xlsx]ReferenceData!R431C6</stp>
        <stp>Per=CM</stp>
        <stp>Dts=H</stp>
        <stp>Dir=H</stp>
        <stp>Points=84</stp>
        <stp>Sort=R</stp>
        <stp>Days=A</stp>
        <stp>Fill=B</stp>
        <stp>FX=USD</stp>
        <tr r="F431" s="3"/>
      </tp>
      <tp t="s">
        <v>#N/A Authorization</v>
        <stp/>
        <stp>##V3_BDHV12</stp>
        <stp>AVB US Equity</stp>
        <stp>DV013</stp>
        <stp>-84CM</stp>
        <stp>2018/3/31</stp>
        <stp>[住宅预测.xlsx]ReferenceData!R402C6</stp>
        <stp>Per=CM</stp>
        <stp>Dts=H</stp>
        <stp>Dir=H</stp>
        <stp>Points=84</stp>
        <stp>Sort=R</stp>
        <stp>Days=A</stp>
        <stp>Fill=B</stp>
        <stp>FX=USD</stp>
        <tr r="F402" s="3"/>
      </tp>
      <tp t="s">
        <v>#N/A Authorization</v>
        <stp/>
        <stp>##V3_BDHV12</stp>
        <stp>EQR US Equity</stp>
        <stp>CF065</stp>
        <stp>-84CM</stp>
        <stp>2018/3/31</stp>
        <stp>[住宅预测.xlsx]ReferenceData!R285C6</stp>
        <stp>Per=CM</stp>
        <stp>Dts=H</stp>
        <stp>Dir=H</stp>
        <stp>Points=84</stp>
        <stp>Sort=R</stp>
        <stp>Days=A</stp>
        <stp>Fill=B</stp>
        <stp>FX=USD</stp>
        <tr r="F285" s="3"/>
      </tp>
      <tp t="s">
        <v>#N/A Authorization</v>
        <stp/>
        <stp>##V3_BDHV12</stp>
        <stp>ESS US Equity</stp>
        <stp>RR857</stp>
        <stp>-84CM</stp>
        <stp>2018/3/31</stp>
        <stp>[住宅预测.xlsx]ReferenceData!R258C6</stp>
        <stp>Per=CM</stp>
        <stp>Dts=H</stp>
        <stp>Dir=H</stp>
        <stp>Points=84</stp>
        <stp>Sort=R</stp>
        <stp>Days=A</stp>
        <stp>Fill=B</stp>
        <stp>FX=USD</stp>
        <tr r="F258" s="3"/>
      </tp>
      <tp t="s">
        <v>#N/A Authorization</v>
        <stp/>
        <stp>##V3_BDHV12</stp>
        <stp>AVB US Equity</stp>
        <stp>PR005</stp>
        <stp>-84CM</stp>
        <stp>2018/3/31</stp>
        <stp>[住宅预测.xlsx]ReferenceData!R423C6</stp>
        <stp>Per=CM</stp>
        <stp>Dts=H</stp>
        <stp>Dir=H</stp>
        <stp>Points=84</stp>
        <stp>Sort=R</stp>
        <stp>Days=A</stp>
        <stp>Fill=B</stp>
        <stp>FX=USD</stp>
        <tr r="F423" s="3"/>
      </tp>
      <tp t="s">
        <v>#N/A Authorization</v>
        <stp/>
        <stp>##V3_BDHV12</stp>
        <stp>CPT US Equity</stp>
        <stp>CF065</stp>
        <stp>-84CM</stp>
        <stp>2018/3/31</stp>
        <stp>[住宅预测.xlsx]ReferenceData!R284C6</stp>
        <stp>Per=CM</stp>
        <stp>Dts=H</stp>
        <stp>Dir=H</stp>
        <stp>Points=84</stp>
        <stp>Sort=R</stp>
        <stp>Days=A</stp>
        <stp>Fill=B</stp>
        <stp>FX=USD</stp>
        <tr r="F284" s="3"/>
      </tp>
      <tp t="s">
        <v>#N/A Authorization</v>
        <stp/>
        <stp>##V3_BDHV12</stp>
        <stp>AVB US Equity</stp>
        <stp>RR106</stp>
        <stp>-84CM</stp>
        <stp>2018/3/31</stp>
        <stp>[住宅预测.xlsx]ReferenceData!R379C6</stp>
        <stp>Per=CM</stp>
        <stp>Dts=H</stp>
        <stp>Dir=H</stp>
        <stp>Points=84</stp>
        <stp>Sort=R</stp>
        <stp>Days=A</stp>
        <stp>Fill=B</stp>
        <stp>FX=USD</stp>
        <tr r="F379" s="3"/>
      </tp>
      <tp t="s">
        <v>#N/A Authorization</v>
        <stp/>
        <stp>##V3_BDHV12</stp>
        <stp>EQR US Equity</stp>
        <stp>PR005</stp>
        <stp>-84CM</stp>
        <stp>2018/3/31</stp>
        <stp>[住宅预测.xlsx]ReferenceData!R425C6</stp>
        <stp>Per=CM</stp>
        <stp>Dts=H</stp>
        <stp>Dir=H</stp>
        <stp>Points=84</stp>
        <stp>Sort=R</stp>
        <stp>Days=A</stp>
        <stp>Fill=B</stp>
        <stp>FX=USD</stp>
        <tr r="F425" s="3"/>
      </tp>
      <tp t="s">
        <v>#N/A Authorization</v>
        <stp/>
        <stp>##V3_BDHV12</stp>
        <stp>EQR US Equity</stp>
        <stp>RR106</stp>
        <stp>-84CM</stp>
        <stp>2018/3/31</stp>
        <stp>[住宅预测.xlsx]ReferenceData!R381C6</stp>
        <stp>Per=CM</stp>
        <stp>Dts=H</stp>
        <stp>Dir=H</stp>
        <stp>Points=84</stp>
        <stp>Sort=R</stp>
        <stp>Days=A</stp>
        <stp>Fill=B</stp>
        <stp>FX=USD</stp>
        <tr r="F381" s="3"/>
      </tp>
      <tp t="s">
        <v>#N/A Authorization</v>
        <stp/>
        <stp>##V3_BDHV12</stp>
        <stp>ESS US Equity</stp>
        <stp>F0928</stp>
        <stp>-84CM</stp>
        <stp>2018/3/31</stp>
        <stp>[住宅预测.xlsx]ReferenceData!R389C6</stp>
        <stp>Per=CM</stp>
        <stp>Dts=H</stp>
        <stp>Dir=H</stp>
        <stp>Points=84</stp>
        <stp>Sort=R</stp>
        <stp>Days=A</stp>
        <stp>Fill=B</stp>
        <stp>FX=USD</stp>
        <tr r="F389" s="3"/>
      </tp>
      <tp t="s">
        <v>#N/A Authorization</v>
        <stp/>
        <stp>##V3_BDHV12</stp>
        <stp>ESS US Equity</stp>
        <stp>F0929</stp>
        <stp>-84CM</stp>
        <stp>2018/3/31</stp>
        <stp>[住宅预测.xlsx]ReferenceData!R397C6</stp>
        <stp>Per=CM</stp>
        <stp>Dts=H</stp>
        <stp>Dir=H</stp>
        <stp>Points=84</stp>
        <stp>Sort=R</stp>
        <stp>Days=A</stp>
        <stp>Fill=B</stp>
        <stp>FX=USD</stp>
        <tr r="F397" s="3"/>
      </tp>
      <tp t="s">
        <v>#N/A Authorization</v>
        <stp/>
        <stp>##V3_BDHV12</stp>
        <stp>CPT US Equity</stp>
        <stp>DV013</stp>
        <stp>-84CM</stp>
        <stp>2018/3/31</stp>
        <stp>[住宅预测.xlsx]ReferenceData!R403C6</stp>
        <stp>Per=CM</stp>
        <stp>Dts=H</stp>
        <stp>Dir=H</stp>
        <stp>Points=84</stp>
        <stp>Sort=R</stp>
        <stp>Days=A</stp>
        <stp>Fill=B</stp>
        <stp>FX=USD</stp>
        <tr r="F403" s="3"/>
      </tp>
      <tp t="s">
        <v>#N/A Authorization</v>
        <stp/>
        <stp>##V3_BDHV12</stp>
        <stp>ESS US Equity</stp>
        <stp>F0826</stp>
        <stp>-84CM</stp>
        <stp>2018/3/31</stp>
        <stp>[住宅预测.xlsx]ReferenceData!R419C6</stp>
        <stp>Per=CM</stp>
        <stp>Dts=H</stp>
        <stp>Dir=H</stp>
        <stp>Points=84</stp>
        <stp>Sort=R</stp>
        <stp>Days=A</stp>
        <stp>Fill=B</stp>
        <stp>FX=USD</stp>
        <tr r="F419" s="3"/>
      </tp>
      <tp t="s">
        <v>#N/A Authorization</v>
        <stp/>
        <stp>##V3_BDHV12</stp>
        <stp>ESS US Equity</stp>
        <stp>F0825</stp>
        <stp>-84CM</stp>
        <stp>2018/3/31</stp>
        <stp>[住宅预测.xlsx]ReferenceData!R434C6</stp>
        <stp>Per=CM</stp>
        <stp>Dts=H</stp>
        <stp>Dir=H</stp>
        <stp>Points=84</stp>
        <stp>Sort=R</stp>
        <stp>Days=A</stp>
        <stp>Fill=B</stp>
        <stp>FX=USD</stp>
        <tr r="F434" s="3"/>
      </tp>
      <tp t="s">
        <v>#N/A Authorization</v>
        <stp/>
        <stp>##V3_BDHV12</stp>
        <stp>CPT US Equity</stp>
        <stp>RR106</stp>
        <stp>-84CM</stp>
        <stp>2018/3/31</stp>
        <stp>[住宅预测.xlsx]ReferenceData!R380C6</stp>
        <stp>Per=CM</stp>
        <stp>Dts=H</stp>
        <stp>Dir=H</stp>
        <stp>Points=84</stp>
        <stp>Sort=R</stp>
        <stp>Days=A</stp>
        <stp>Fill=B</stp>
        <stp>FX=USD</stp>
        <tr r="F380" s="3"/>
      </tp>
      <tp t="s">
        <v>#N/A Authorization</v>
        <stp/>
        <stp>##V3_BDHV12</stp>
        <stp>AVB US Equity</stp>
        <stp>CF065</stp>
        <stp>-84CM</stp>
        <stp>2018/3/31</stp>
        <stp>[住宅预测.xlsx]ReferenceData!R283C6</stp>
        <stp>Per=CM</stp>
        <stp>Dts=H</stp>
        <stp>Dir=H</stp>
        <stp>Points=84</stp>
        <stp>Sort=R</stp>
        <stp>Days=A</stp>
        <stp>Fill=B</stp>
        <stp>FX=USD</stp>
        <tr r="F283" s="3"/>
      </tp>
      <tp t="s">
        <v>#N/A Authorization</v>
        <stp/>
        <stp>##V3_BDHV12</stp>
        <stp>CPT US Equity</stp>
        <stp>PR005</stp>
        <stp>-84CM</stp>
        <stp>2018/3/31</stp>
        <stp>[住宅预测.xlsx]ReferenceData!R424C6</stp>
        <stp>Per=CM</stp>
        <stp>Dts=H</stp>
        <stp>Dir=H</stp>
        <stp>Points=84</stp>
        <stp>Sort=R</stp>
        <stp>Days=A</stp>
        <stp>Fill=B</stp>
        <stp>FX=USD</stp>
        <tr r="F424" s="3"/>
      </tp>
      <tp t="s">
        <v>#N/A Authorization</v>
        <stp/>
        <stp>##V3_BDHV12</stp>
        <stp>EQR US Equity</stp>
        <stp>DV013</stp>
        <stp>-84CM</stp>
        <stp>2018/3/31</stp>
        <stp>[住宅预测.xlsx]ReferenceData!R404C6</stp>
        <stp>Per=CM</stp>
        <stp>Dts=H</stp>
        <stp>Dir=H</stp>
        <stp>Points=84</stp>
        <stp>Sort=R</stp>
        <stp>Days=A</stp>
        <stp>Fill=B</stp>
        <stp>FX=USD</stp>
        <tr r="F404" s="3"/>
      </tp>
      <tp t="s">
        <v>#N/A Authorization</v>
        <stp/>
        <stp>##V3_BDHV12</stp>
        <stp>ESS US Equity</stp>
        <stp>PR005</stp>
        <stp>-84CM</stp>
        <stp>2018/3/31</stp>
        <stp>[住宅预测.xlsx]ReferenceData!R426C6</stp>
        <stp>Per=CM</stp>
        <stp>Dts=H</stp>
        <stp>Dir=H</stp>
        <stp>Points=84</stp>
        <stp>Sort=R</stp>
        <stp>Days=A</stp>
        <stp>Fill=B</stp>
        <stp>FX=USD</stp>
        <tr r="F426" s="3"/>
      </tp>
      <tp t="s">
        <v>#N/A Authorization</v>
        <stp/>
        <stp>##V3_BDHV12</stp>
        <stp>ESS US Equity</stp>
        <stp>RR106</stp>
        <stp>-84CM</stp>
        <stp>2018/3/31</stp>
        <stp>[住宅预测.xlsx]ReferenceData!R382C6</stp>
        <stp>Per=CM</stp>
        <stp>Dts=H</stp>
        <stp>Dir=H</stp>
        <stp>Points=84</stp>
        <stp>Sort=R</stp>
        <stp>Days=A</stp>
        <stp>Fill=B</stp>
        <stp>FX=USD</stp>
        <tr r="F382" s="3"/>
      </tp>
      <tp t="s">
        <v>#N/A Authorization</v>
        <stp/>
        <stp>##V3_BDHV12</stp>
        <stp>EQR US Equity</stp>
        <stp>F0929</stp>
        <stp>-84CM</stp>
        <stp>2018/3/31</stp>
        <stp>[住宅预测.xlsx]ReferenceData!R396C6</stp>
        <stp>Per=CM</stp>
        <stp>Dts=H</stp>
        <stp>Dir=H</stp>
        <stp>Points=84</stp>
        <stp>Sort=R</stp>
        <stp>Days=A</stp>
        <stp>Fill=B</stp>
        <stp>FX=USD</stp>
        <tr r="F396" s="3"/>
      </tp>
      <tp t="s">
        <v>#N/A Authorization</v>
        <stp/>
        <stp>##V3_BDHV12</stp>
        <stp>EQR US Equity</stp>
        <stp>F0928</stp>
        <stp>-84CM</stp>
        <stp>2018/3/31</stp>
        <stp>[住宅预测.xlsx]ReferenceData!R388C6</stp>
        <stp>Per=CM</stp>
        <stp>Dts=H</stp>
        <stp>Dir=H</stp>
        <stp>Points=84</stp>
        <stp>Sort=R</stp>
        <stp>Days=A</stp>
        <stp>Fill=B</stp>
        <stp>FX=USD</stp>
        <tr r="F388" s="3"/>
      </tp>
      <tp t="s">
        <v>#N/A Authorization</v>
        <stp/>
        <stp>##V3_BDHV12</stp>
        <stp>EQR US Equity</stp>
        <stp>F0826</stp>
        <stp>-84CM</stp>
        <stp>2018/3/31</stp>
        <stp>[住宅预测.xlsx]ReferenceData!R418C6</stp>
        <stp>Per=CM</stp>
        <stp>Dts=H</stp>
        <stp>Dir=H</stp>
        <stp>Points=84</stp>
        <stp>Sort=R</stp>
        <stp>Days=A</stp>
        <stp>Fill=B</stp>
        <stp>FX=USD</stp>
        <tr r="F418" s="3"/>
      </tp>
      <tp t="s">
        <v>#N/A Authorization</v>
        <stp/>
        <stp>##V3_BDHV12</stp>
        <stp>AVB US Equity</stp>
        <stp>RR857</stp>
        <stp>-84CM</stp>
        <stp>2018/3/31</stp>
        <stp>[住宅预测.xlsx]ReferenceData!R255C6</stp>
        <stp>Per=CM</stp>
        <stp>Dts=H</stp>
        <stp>Dir=H</stp>
        <stp>Points=84</stp>
        <stp>Sort=R</stp>
        <stp>Days=A</stp>
        <stp>Fill=B</stp>
        <stp>FX=USD</stp>
        <tr r="F255" s="3"/>
      </tp>
      <tp t="s">
        <v>#N/A Authorization</v>
        <stp/>
        <stp>##V3_BDHV12</stp>
        <stp>EQR US Equity</stp>
        <stp>F0825</stp>
        <stp>-84CM</stp>
        <stp>2018/3/31</stp>
        <stp>[住宅预测.xlsx]ReferenceData!R433C6</stp>
        <stp>Per=CM</stp>
        <stp>Dts=H</stp>
        <stp>Dir=H</stp>
        <stp>Points=84</stp>
        <stp>Sort=R</stp>
        <stp>Days=A</stp>
        <stp>Fill=B</stp>
        <stp>FX=USD</stp>
        <tr r="F433" s="3"/>
      </tp>
      <tp t="s">
        <v>#N/A Authorization</v>
        <stp/>
        <stp>##V3_BDHV12</stp>
        <stp>CPT US Equity</stp>
        <stp>F0929</stp>
        <stp>-84CM</stp>
        <stp>2018/3/31</stp>
        <stp>[住宅预测.xlsx]ReferenceData!R395C6</stp>
        <stp>Per=CM</stp>
        <stp>Dts=H</stp>
        <stp>Dir=H</stp>
        <stp>Points=84</stp>
        <stp>Sort=R</stp>
        <stp>Days=A</stp>
        <stp>Fill=B</stp>
        <stp>FX=USD</stp>
        <tr r="F395" s="3"/>
      </tp>
      <tp t="s">
        <v>#N/A Authorization</v>
        <stp/>
        <stp>##V3_BDHV12</stp>
        <stp>CPT US Equity</stp>
        <stp>F0928</stp>
        <stp>-84CM</stp>
        <stp>2018/3/31</stp>
        <stp>[住宅预测.xlsx]ReferenceData!R387C6</stp>
        <stp>Per=CM</stp>
        <stp>Dts=H</stp>
        <stp>Dir=H</stp>
        <stp>Points=84</stp>
        <stp>Sort=R</stp>
        <stp>Days=A</stp>
        <stp>Fill=B</stp>
        <stp>FX=USD</stp>
        <tr r="F387" s="3"/>
      </tp>
      <tp t="s">
        <v>#N/A Authorization</v>
        <stp/>
        <stp>##V3_BDHV12</stp>
        <stp>CPT US Equity</stp>
        <stp>F0825</stp>
        <stp>-84CM</stp>
        <stp>2018/3/31</stp>
        <stp>[住宅预测.xlsx]ReferenceData!R432C6</stp>
        <stp>Per=CM</stp>
        <stp>Dts=H</stp>
        <stp>Dir=H</stp>
        <stp>Points=84</stp>
        <stp>Sort=R</stp>
        <stp>Days=A</stp>
        <stp>Fill=B</stp>
        <stp>FX=USD</stp>
        <tr r="F432" s="3"/>
      </tp>
      <tp t="s">
        <v>#N/A Authorization</v>
        <stp/>
        <stp>##V3_BDHV12</stp>
        <stp>ESS US Equity</stp>
        <stp>DV013</stp>
        <stp>-84CM</stp>
        <stp>2018/3/31</stp>
        <stp>[住宅预测.xlsx]ReferenceData!R405C6</stp>
        <stp>Per=CM</stp>
        <stp>Dts=H</stp>
        <stp>Dir=H</stp>
        <stp>Points=84</stp>
        <stp>Sort=R</stp>
        <stp>Days=A</stp>
        <stp>Fill=B</stp>
        <stp>FX=USD</stp>
        <tr r="F405" s="3"/>
      </tp>
      <tp t="s">
        <v>#N/A Authorization</v>
        <stp/>
        <stp>##V3_BDHV12</stp>
        <stp>CPT US Equity</stp>
        <stp>F0826</stp>
        <stp>-84CM</stp>
        <stp>2018/3/31</stp>
        <stp>[住宅预测.xlsx]ReferenceData!R417C6</stp>
        <stp>Per=CM</stp>
        <stp>Dts=H</stp>
        <stp>Dir=H</stp>
        <stp>Points=84</stp>
        <stp>Sort=R</stp>
        <stp>Days=A</stp>
        <stp>Fill=B</stp>
        <stp>FX=USD</stp>
        <tr r="F417" s="3"/>
      </tp>
      <tp t="s">
        <v>#N/A Authorization</v>
        <stp/>
        <stp>##V3_BDHV12</stp>
        <stp>UDR US Equity</stp>
        <stp>RR890</stp>
        <stp>-84CM</stp>
        <stp>2018/3/31</stp>
        <stp>[住宅预测.xlsx]ReferenceData!R414C6</stp>
        <stp>Per=CM</stp>
        <stp>Dts=H</stp>
        <stp>Dir=H</stp>
        <stp>Points=84</stp>
        <stp>Sort=R</stp>
        <stp>Days=A</stp>
        <stp>Fill=B</stp>
        <stp>FX=USD</stp>
        <tr r="F414" s="3"/>
      </tp>
      <tp t="s">
        <v>#N/A Authorization</v>
        <stp/>
        <stp>##V3_BDHV12</stp>
        <stp>UDR US Equity</stp>
        <stp>F0894</stp>
        <stp>-84CM</stp>
        <stp>2018/3/31</stp>
        <stp>[住宅预测.xlsx]ReferenceData!R338C6</stp>
        <stp>Per=CM</stp>
        <stp>Dts=H</stp>
        <stp>Dir=H</stp>
        <stp>Points=84</stp>
        <stp>Sort=R</stp>
        <stp>Days=A</stp>
        <stp>Fill=B</stp>
        <stp>FX=USD</stp>
        <tr r="F338" s="3"/>
      </tp>
      <tp t="s">
        <v>#N/A Authorization</v>
        <stp/>
        <stp>##V3_BDHV12</stp>
        <stp>UDR US Equity</stp>
        <stp>F0891</stp>
        <stp>-84CM</stp>
        <stp>2018/3/31</stp>
        <stp>[住宅预测.xlsx]ReferenceData!R323C6</stp>
        <stp>Per=CM</stp>
        <stp>Dts=H</stp>
        <stp>Dir=H</stp>
        <stp>Points=84</stp>
        <stp>Sort=R</stp>
        <stp>Days=A</stp>
        <stp>Fill=B</stp>
        <stp>FX=USD</stp>
        <tr r="F323" s="3"/>
      </tp>
      <tp t="s">
        <v>#N/A Authorization</v>
        <stp/>
        <stp>##V3_BDHV12</stp>
        <stp>UDR US Equity</stp>
        <stp>F0893</stp>
        <stp>-84CM</stp>
        <stp>2018/3/31</stp>
        <stp>[住宅预测.xlsx]ReferenceData!R316C6</stp>
        <stp>Per=CM</stp>
        <stp>Dts=H</stp>
        <stp>Dir=H</stp>
        <stp>Points=84</stp>
        <stp>Sort=R</stp>
        <stp>Days=A</stp>
        <stp>Fill=B</stp>
        <stp>FX=USD</stp>
        <tr r="F316" s="3"/>
      </tp>
      <tp t="s">
        <v>#N/A Authorization</v>
        <stp/>
        <stp>##V3_BDHV12</stp>
        <stp>UDR US Equity</stp>
        <stp>F0892</stp>
        <stp>-84CM</stp>
        <stp>2018/3/31</stp>
        <stp>[住宅预测.xlsx]ReferenceData!R353C6</stp>
        <stp>Per=CM</stp>
        <stp>Dts=H</stp>
        <stp>Dir=H</stp>
        <stp>Points=84</stp>
        <stp>Sort=R</stp>
        <stp>Days=A</stp>
        <stp>Fill=B</stp>
        <stp>FX=USD</stp>
        <tr r="F353" s="3"/>
      </tp>
      <tp t="s">
        <v>#N/A Authorization</v>
        <stp/>
        <stp>##V3_BDHV12</stp>
        <stp>AIV US Equity</stp>
        <stp>RR857</stp>
        <stp>-84CM</stp>
        <stp>2018/3/31</stp>
        <stp>[住宅预测.xlsx]ReferenceData!R254C6</stp>
        <stp>Per=CM</stp>
        <stp>Dts=H</stp>
        <stp>Dir=H</stp>
        <stp>Points=84</stp>
        <stp>Sort=R</stp>
        <stp>Days=A</stp>
        <stp>Fill=B</stp>
        <stp>FX=USD</stp>
        <tr r="F254" s="3"/>
      </tp>
      <tp t="s">
        <v>#N/A Authorization</v>
        <stp/>
        <stp>##V3_BDHV12</stp>
        <stp>UDR US Equity</stp>
        <stp>F0581</stp>
        <stp>-84CM</stp>
        <stp>2018/3/31</stp>
        <stp>[住宅预测.xlsx]ReferenceData!R331C6</stp>
        <stp>Per=CM</stp>
        <stp>Dts=H</stp>
        <stp>Dir=H</stp>
        <stp>Points=84</stp>
        <stp>Sort=R</stp>
        <stp>Days=A</stp>
        <stp>Fill=B</stp>
        <stp>FX=USD</stp>
        <tr r="F331" s="3"/>
      </tp>
      <tp t="s">
        <v>#N/A Authorization</v>
        <stp/>
        <stp>##V3_BDHV12</stp>
        <stp>UDR US Equity</stp>
        <stp>F0580</stp>
        <stp>-84CM</stp>
        <stp>2018/3/31</stp>
        <stp>[住宅预测.xlsx]ReferenceData!R346C6</stp>
        <stp>Per=CM</stp>
        <stp>Dts=H</stp>
        <stp>Dir=H</stp>
        <stp>Points=84</stp>
        <stp>Sort=R</stp>
        <stp>Days=A</stp>
        <stp>Fill=B</stp>
        <stp>FX=USD</stp>
        <tr r="F346" s="3"/>
      </tp>
      <tp t="s">
        <v>#N/A Authorization</v>
        <stp/>
        <stp>##V3_BDHV12</stp>
        <stp>AIV US Equity</stp>
        <stp>CF065</stp>
        <stp>-84CM</stp>
        <stp>2018/3/31</stp>
        <stp>[住宅预测.xlsx]ReferenceData!R282C6</stp>
        <stp>Per=CM</stp>
        <stp>Dts=H</stp>
        <stp>Dir=H</stp>
        <stp>Points=84</stp>
        <stp>Sort=R</stp>
        <stp>Days=A</stp>
        <stp>Fill=B</stp>
        <stp>FX=USD</stp>
        <tr r="F282" s="3"/>
      </tp>
      <tp t="s">
        <v>#N/A Authorization</v>
        <stp/>
        <stp>##V3_BDHV12</stp>
        <stp>AIV US Equity</stp>
        <stp>RR106</stp>
        <stp>-84CM</stp>
        <stp>2018/3/31</stp>
        <stp>[住宅预测.xlsx]ReferenceData!R378C6</stp>
        <stp>Per=CM</stp>
        <stp>Dts=H</stp>
        <stp>Dir=H</stp>
        <stp>Points=84</stp>
        <stp>Sort=R</stp>
        <stp>Days=A</stp>
        <stp>Fill=B</stp>
        <stp>FX=USD</stp>
        <tr r="F378" s="3"/>
      </tp>
      <tp t="s">
        <v>#N/A Authorization</v>
        <stp/>
        <stp>##V3_BDHV12</stp>
        <stp>AIV US Equity</stp>
        <stp>PR005</stp>
        <stp>-84CM</stp>
        <stp>2018/3/31</stp>
        <stp>[住宅预测.xlsx]ReferenceData!R422C6</stp>
        <stp>Per=CM</stp>
        <stp>Dts=H</stp>
        <stp>Dir=H</stp>
        <stp>Points=84</stp>
        <stp>Sort=R</stp>
        <stp>Days=A</stp>
        <stp>Fill=B</stp>
        <stp>FX=USD</stp>
        <tr r="F422" s="3"/>
      </tp>
      <tp t="s">
        <v>#N/A Authorization</v>
        <stp/>
        <stp>##V3_BDHV12</stp>
        <stp>MAA US Equity</stp>
        <stp>F0580</stp>
        <stp>-84CM</stp>
        <stp>2018/3/31</stp>
        <stp>[住宅预测.xlsx]ReferenceData!R344C6</stp>
        <stp>Per=CM</stp>
        <stp>Dts=H</stp>
        <stp>Dir=H</stp>
        <stp>Points=84</stp>
        <stp>Sort=R</stp>
        <stp>Days=A</stp>
        <stp>Fill=B</stp>
        <stp>FX=USD</stp>
        <tr r="F344" s="3"/>
      </tp>
      <tp t="s">
        <v>#N/A Authorization</v>
        <stp/>
        <stp>##V3_BDHV12</stp>
        <stp>MAA US Equity</stp>
        <stp>F0581</stp>
        <stp>-84CM</stp>
        <stp>2018/3/31</stp>
        <stp>[住宅预测.xlsx]ReferenceData!R329C6</stp>
        <stp>Per=CM</stp>
        <stp>Dts=H</stp>
        <stp>Dir=H</stp>
        <stp>Points=84</stp>
        <stp>Sort=R</stp>
        <stp>Days=A</stp>
        <stp>Fill=B</stp>
        <stp>FX=USD</stp>
        <tr r="F329" s="3"/>
      </tp>
      <tp t="s">
        <v>#N/A Authorization</v>
        <stp/>
        <stp>##V3_BDHV12</stp>
        <stp>MAA US Equity</stp>
        <stp>F0894</stp>
        <stp>-84CM</stp>
        <stp>2018/3/31</stp>
        <stp>[住宅预测.xlsx]ReferenceData!R337C6</stp>
        <stp>Per=CM</stp>
        <stp>Dts=H</stp>
        <stp>Dir=H</stp>
        <stp>Points=84</stp>
        <stp>Sort=R</stp>
        <stp>Days=A</stp>
        <stp>Fill=B</stp>
        <stp>FX=USD</stp>
        <tr r="F337" s="3"/>
      </tp>
      <tp t="s">
        <v>#N/A Authorization</v>
        <stp/>
        <stp>##V3_BDHV12</stp>
        <stp>MAA US Equity</stp>
        <stp>F0892</stp>
        <stp>-84CM</stp>
        <stp>2018/3/31</stp>
        <stp>[住宅预测.xlsx]ReferenceData!R352C6</stp>
        <stp>Per=CM</stp>
        <stp>Dts=H</stp>
        <stp>Dir=H</stp>
        <stp>Points=84</stp>
        <stp>Sort=R</stp>
        <stp>Days=A</stp>
        <stp>Fill=B</stp>
        <stp>FX=USD</stp>
        <tr r="F352" s="3"/>
      </tp>
      <tp t="s">
        <v>#N/A Authorization</v>
        <stp/>
        <stp>##V3_BDHV12</stp>
        <stp>MAA US Equity</stp>
        <stp>F0893</stp>
        <stp>-84CM</stp>
        <stp>2018/3/31</stp>
        <stp>[住宅预测.xlsx]ReferenceData!R315C6</stp>
        <stp>Per=CM</stp>
        <stp>Dts=H</stp>
        <stp>Dir=H</stp>
        <stp>Points=84</stp>
        <stp>Sort=R</stp>
        <stp>Days=A</stp>
        <stp>Fill=B</stp>
        <stp>FX=USD</stp>
        <tr r="F315" s="3"/>
      </tp>
      <tp t="s">
        <v>#N/A Authorization</v>
        <stp/>
        <stp>##V3_BDHV12</stp>
        <stp>MAA US Equity</stp>
        <stp>F0891</stp>
        <stp>-84CM</stp>
        <stp>2018/3/31</stp>
        <stp>[住宅预测.xlsx]ReferenceData!R322C6</stp>
        <stp>Per=CM</stp>
        <stp>Dts=H</stp>
        <stp>Dir=H</stp>
        <stp>Points=84</stp>
        <stp>Sort=R</stp>
        <stp>Days=A</stp>
        <stp>Fill=B</stp>
        <stp>FX=USD</stp>
        <tr r="F322" s="3"/>
      </tp>
      <tp t="s">
        <v>#N/A Authorization</v>
        <stp/>
        <stp>##V3_BDHV12</stp>
        <stp>MAA US Equity</stp>
        <stp>RR890</stp>
        <stp>-84CM</stp>
        <stp>2018/3/31</stp>
        <stp>[住宅预测.xlsx]ReferenceData!R413C6</stp>
        <stp>Per=CM</stp>
        <stp>Dts=H</stp>
        <stp>Dir=H</stp>
        <stp>Points=84</stp>
        <stp>Sort=R</stp>
        <stp>Days=A</stp>
        <stp>Fill=B</stp>
        <stp>FX=USD</stp>
        <tr r="F413" s="3"/>
      </tp>
      <tp t="s">
        <v>#N/A Authorization</v>
        <stp/>
        <stp>##V3_BDHV12</stp>
        <stp>AIV US Equity</stp>
        <stp>DV013</stp>
        <stp>-84CM</stp>
        <stp>2018/3/31</stp>
        <stp>[住宅预测.xlsx]ReferenceData!R401C6</stp>
        <stp>Per=CM</stp>
        <stp>Dts=H</stp>
        <stp>Dir=H</stp>
        <stp>Points=84</stp>
        <stp>Sort=R</stp>
        <stp>Days=A</stp>
        <stp>Fill=B</stp>
        <stp>FX=USD</stp>
        <tr r="F401" s="3"/>
      </tp>
      <tp t="s">
        <v>#N/A Authorization</v>
        <stp/>
        <stp>##V3_BDHV12</stp>
        <stp>AIV US Equity</stp>
        <stp>F0929</stp>
        <stp>-84CM</stp>
        <stp>2018/3/31</stp>
        <stp>[住宅预测.xlsx]ReferenceData!R393C6</stp>
        <stp>Per=CM</stp>
        <stp>Dts=H</stp>
        <stp>Dir=H</stp>
        <stp>Points=84</stp>
        <stp>Sort=R</stp>
        <stp>Days=A</stp>
        <stp>Fill=B</stp>
        <stp>FX=USD</stp>
        <tr r="F393" s="3"/>
      </tp>
      <tp t="s">
        <v>#N/A Authorization</v>
        <stp/>
        <stp>##V3_BDHV12</stp>
        <stp>AIV US Equity</stp>
        <stp>F0928</stp>
        <stp>-84CM</stp>
        <stp>2018/3/31</stp>
        <stp>[住宅预测.xlsx]ReferenceData!R385C6</stp>
        <stp>Per=CM</stp>
        <stp>Dts=H</stp>
        <stp>Dir=H</stp>
        <stp>Points=84</stp>
        <stp>Sort=R</stp>
        <stp>Days=A</stp>
        <stp>Fill=B</stp>
        <stp>FX=USD</stp>
        <tr r="F385" s="3"/>
      </tp>
      <tp t="s">
        <v>#N/A Authorization</v>
        <stp/>
        <stp>##V3_BDHV12</stp>
        <stp>AIV US Equity</stp>
        <stp>F0826</stp>
        <stp>-84CM</stp>
        <stp>2018/3/31</stp>
        <stp>[住宅预测.xlsx]ReferenceData!R415C6</stp>
        <stp>Per=CM</stp>
        <stp>Dts=H</stp>
        <stp>Dir=H</stp>
        <stp>Points=84</stp>
        <stp>Sort=R</stp>
        <stp>Days=A</stp>
        <stp>Fill=B</stp>
        <stp>FX=USD</stp>
        <tr r="F415" s="3"/>
      </tp>
      <tp t="s">
        <v>#N/A Authorization</v>
        <stp/>
        <stp>##V3_BDHV12</stp>
        <stp>AIV US Equity</stp>
        <stp>F0825</stp>
        <stp>-84CM</stp>
        <stp>2018/3/31</stp>
        <stp>[住宅预测.xlsx]ReferenceData!R430C6</stp>
        <stp>Per=CM</stp>
        <stp>Dts=H</stp>
        <stp>Dir=H</stp>
        <stp>Points=84</stp>
        <stp>Sort=R</stp>
        <stp>Days=A</stp>
        <stp>Fill=B</stp>
        <stp>FX=USD</stp>
        <tr r="F430" s="3"/>
      </tp>
      <tp t="s">
        <v>#N/A Authorization</v>
        <stp/>
        <stp>##V3_BDHV12</stp>
        <stp>UDR US Equity</stp>
        <stp>DV013</stp>
        <stp>-84CM</stp>
        <stp>2018/3/31</stp>
        <stp>[住宅预测.xlsx]ReferenceData!R407C6</stp>
        <stp>Per=CM</stp>
        <stp>Dts=H</stp>
        <stp>Dir=H</stp>
        <stp>Points=84</stp>
        <stp>Sort=R</stp>
        <stp>Days=A</stp>
        <stp>Fill=B</stp>
        <stp>FX=USD</stp>
        <tr r="F407" s="3"/>
      </tp>
      <tp t="s">
        <v>#N/A Authorization</v>
        <stp/>
        <stp>##V3_BDHV12</stp>
        <stp>UDR US Equity</stp>
        <stp>PR005</stp>
        <stp>-84CM</stp>
        <stp>2018/3/31</stp>
        <stp>[住宅预测.xlsx]ReferenceData!R429C6</stp>
        <stp>Per=CM</stp>
        <stp>Dts=H</stp>
        <stp>Dir=H</stp>
        <stp>Points=84</stp>
        <stp>Sort=R</stp>
        <stp>Days=A</stp>
        <stp>Fill=B</stp>
        <stp>FX=USD</stp>
        <tr r="F429" s="3"/>
      </tp>
      <tp t="s">
        <v>#N/A Authorization</v>
        <stp/>
        <stp>##V3_BDHV12</stp>
        <stp>UDR US Equity</stp>
        <stp>RR106</stp>
        <stp>-84CM</stp>
        <stp>2018/3/31</stp>
        <stp>[住宅预测.xlsx]ReferenceData!R384C6</stp>
        <stp>Per=CM</stp>
        <stp>Dts=H</stp>
        <stp>Dir=H</stp>
        <stp>Points=84</stp>
        <stp>Sort=R</stp>
        <stp>Days=A</stp>
        <stp>Fill=B</stp>
        <stp>FX=USD</stp>
        <tr r="F384" s="3"/>
      </tp>
      <tp t="s">
        <v>#N/A Authorization</v>
        <stp/>
        <stp>##V3_BDHV12</stp>
        <stp>MAA US Equity</stp>
        <stp>RR857</stp>
        <stp>-84CM</stp>
        <stp>2018/3/31</stp>
        <stp>[住宅预测.xlsx]ReferenceData!R259C6</stp>
        <stp>Per=CM</stp>
        <stp>Dts=H</stp>
        <stp>Dir=H</stp>
        <stp>Points=84</stp>
        <stp>Sort=R</stp>
        <stp>Days=A</stp>
        <stp>Fill=B</stp>
        <stp>FX=USD</stp>
        <tr r="F259" s="3"/>
      </tp>
      <tp t="s">
        <v>#N/A Authorization</v>
        <stp/>
        <stp>##V3_BDHV12</stp>
        <stp>MAA US Equity</stp>
        <stp>CF065</stp>
        <stp>-84CM</stp>
        <stp>2018/3/31</stp>
        <stp>[住宅预测.xlsx]ReferenceData!R287C6</stp>
        <stp>Per=CM</stp>
        <stp>Dts=H</stp>
        <stp>Dir=H</stp>
        <stp>Points=84</stp>
        <stp>Sort=R</stp>
        <stp>Days=A</stp>
        <stp>Fill=B</stp>
        <stp>FX=USD</stp>
        <tr r="F287" s="3"/>
      </tp>
      <tp t="s">
        <v>#N/A Authorization</v>
        <stp/>
        <stp>##V3_BDHV12</stp>
        <stp>UDR US Equity</stp>
        <stp>F0929</stp>
        <stp>-84CM</stp>
        <stp>2018/3/31</stp>
        <stp>[住宅预测.xlsx]ReferenceData!R400C6</stp>
        <stp>Per=CM</stp>
        <stp>Dts=H</stp>
        <stp>Dir=H</stp>
        <stp>Points=84</stp>
        <stp>Sort=R</stp>
        <stp>Days=A</stp>
        <stp>Fill=B</stp>
        <stp>FX=USD</stp>
        <tr r="F400" s="3"/>
      </tp>
      <tp t="s">
        <v>#N/A Authorization</v>
        <stp/>
        <stp>##V3_BDHV12</stp>
        <stp>UDR US Equity</stp>
        <stp>F0928</stp>
        <stp>-84CM</stp>
        <stp>2018/3/31</stp>
        <stp>[住宅预测.xlsx]ReferenceData!R392C6</stp>
        <stp>Per=CM</stp>
        <stp>Dts=H</stp>
        <stp>Dir=H</stp>
        <stp>Points=84</stp>
        <stp>Sort=R</stp>
        <stp>Days=A</stp>
        <stp>Fill=B</stp>
        <stp>FX=USD</stp>
        <tr r="F392" s="3"/>
      </tp>
      <tp t="s">
        <v>#N/A Authorization</v>
        <stp/>
        <stp>##V3_BDHV12</stp>
        <stp>UDR US Equity</stp>
        <stp>F0826</stp>
        <stp>-84CM</stp>
        <stp>2018/3/31</stp>
        <stp>[住宅预测.xlsx]ReferenceData!R421C6</stp>
        <stp>Per=CM</stp>
        <stp>Dts=H</stp>
        <stp>Dir=H</stp>
        <stp>Points=84</stp>
        <stp>Sort=R</stp>
        <stp>Days=A</stp>
        <stp>Fill=B</stp>
        <stp>FX=USD</stp>
        <tr r="F421" s="3"/>
      </tp>
      <tp t="s">
        <v>#N/A Authorization</v>
        <stp/>
        <stp>##V3_BDHV12</stp>
        <stp>UDR US Equity</stp>
        <stp>F0825</stp>
        <stp>-84CM</stp>
        <stp>2018/3/31</stp>
        <stp>[住宅预测.xlsx]ReferenceData!R436C6</stp>
        <stp>Per=CM</stp>
        <stp>Dts=H</stp>
        <stp>Dir=H</stp>
        <stp>Points=84</stp>
        <stp>Sort=R</stp>
        <stp>Days=A</stp>
        <stp>Fill=B</stp>
        <stp>FX=USD</stp>
        <tr r="F436" s="3"/>
      </tp>
      <tp t="s">
        <v>#N/A Authorization</v>
        <stp/>
        <stp>##V3_BDHV12</stp>
        <stp>UDR US Equity</stp>
        <stp>RR857</stp>
        <stp>-84CM</stp>
        <stp>2018/3/31</stp>
        <stp>[住宅预测.xlsx]ReferenceData!R260C6</stp>
        <stp>Per=CM</stp>
        <stp>Dts=H</stp>
        <stp>Dir=H</stp>
        <stp>Points=84</stp>
        <stp>Sort=R</stp>
        <stp>Days=A</stp>
        <stp>Fill=B</stp>
        <stp>FX=USD</stp>
        <tr r="F260" s="3"/>
      </tp>
      <tp t="s">
        <v>#N/A Authorization</v>
        <stp/>
        <stp>##V3_BDHV12</stp>
        <stp>AIV US Equity</stp>
        <stp>F0581</stp>
        <stp>-84CM</stp>
        <stp>2018/3/31</stp>
        <stp>[住宅预测.xlsx]ReferenceData!R324C6</stp>
        <stp>Per=CM</stp>
        <stp>Dts=H</stp>
        <stp>Dir=H</stp>
        <stp>Points=84</stp>
        <stp>Sort=R</stp>
        <stp>Days=A</stp>
        <stp>Fill=B</stp>
        <stp>FX=USD</stp>
        <tr r="F324" s="3"/>
      </tp>
      <tp t="s">
        <v>#N/A Authorization</v>
        <stp/>
        <stp>##V3_BDHV12</stp>
        <stp>AIV US Equity</stp>
        <stp>F0580</stp>
        <stp>-84CM</stp>
        <stp>2018/3/31</stp>
        <stp>[住宅预测.xlsx]ReferenceData!R339C6</stp>
        <stp>Per=CM</stp>
        <stp>Dts=H</stp>
        <stp>Dir=H</stp>
        <stp>Points=84</stp>
        <stp>Sort=R</stp>
        <stp>Days=A</stp>
        <stp>Fill=B</stp>
        <stp>FX=USD</stp>
        <tr r="F339" s="3"/>
      </tp>
      <tp t="s">
        <v>#N/A Authorization</v>
        <stp/>
        <stp>##V3_BDHV12</stp>
        <stp>MAA US Equity</stp>
        <stp>PR005</stp>
        <stp>-84CM</stp>
        <stp>2018/3/31</stp>
        <stp>[住宅预测.xlsx]ReferenceData!R427C6</stp>
        <stp>Per=CM</stp>
        <stp>Dts=H</stp>
        <stp>Dir=H</stp>
        <stp>Points=84</stp>
        <stp>Sort=R</stp>
        <stp>Days=A</stp>
        <stp>Fill=B</stp>
        <stp>FX=USD</stp>
        <tr r="F427" s="3"/>
      </tp>
      <tp t="s">
        <v>#N/A Authorization</v>
        <stp/>
        <stp>##V3_BDHV12</stp>
        <stp>MAA US Equity</stp>
        <stp>RR106</stp>
        <stp>-84CM</stp>
        <stp>2018/3/31</stp>
        <stp>[住宅预测.xlsx]ReferenceData!R383C6</stp>
        <stp>Per=CM</stp>
        <stp>Dts=H</stp>
        <stp>Dir=H</stp>
        <stp>Points=84</stp>
        <stp>Sort=R</stp>
        <stp>Days=A</stp>
        <stp>Fill=B</stp>
        <stp>FX=USD</stp>
        <tr r="F383" s="3"/>
      </tp>
      <tp t="s">
        <v>#N/A Authorization</v>
        <stp/>
        <stp>##V3_BDHV12</stp>
        <stp>MAA US Equity</stp>
        <stp>DV013</stp>
        <stp>-84CM</stp>
        <stp>2018/3/31</stp>
        <stp>[住宅预测.xlsx]ReferenceData!R406C6</stp>
        <stp>Per=CM</stp>
        <stp>Dts=H</stp>
        <stp>Dir=H</stp>
        <stp>Points=84</stp>
        <stp>Sort=R</stp>
        <stp>Days=A</stp>
        <stp>Fill=B</stp>
        <stp>FX=USD</stp>
        <tr r="F406" s="3"/>
      </tp>
      <tp t="s">
        <v>#N/A Authorization</v>
        <stp/>
        <stp>##V3_BDHV12</stp>
        <stp>AIV US Equity</stp>
        <stp>RR890</stp>
        <stp>-84CM</stp>
        <stp>2018/3/31</stp>
        <stp>[住宅预测.xlsx]ReferenceData!R408C6</stp>
        <stp>Per=CM</stp>
        <stp>Dts=H</stp>
        <stp>Dir=H</stp>
        <stp>Points=84</stp>
        <stp>Sort=R</stp>
        <stp>Days=A</stp>
        <stp>Fill=B</stp>
        <stp>FX=USD</stp>
        <tr r="F408" s="3"/>
      </tp>
      <tp t="s">
        <v>#N/A Authorization</v>
        <stp/>
        <stp>##V3_BDHV12</stp>
        <stp>AIV US Equity</stp>
        <stp>F0891</stp>
        <stp>-84CM</stp>
        <stp>2018/3/31</stp>
        <stp>[住宅预测.xlsx]ReferenceData!R317C6</stp>
        <stp>Per=CM</stp>
        <stp>Dts=H</stp>
        <stp>Dir=H</stp>
        <stp>Points=84</stp>
        <stp>Sort=R</stp>
        <stp>Days=A</stp>
        <stp>Fill=B</stp>
        <stp>FX=USD</stp>
        <tr r="F317" s="3"/>
      </tp>
      <tp t="s">
        <v>#N/A Authorization</v>
        <stp/>
        <stp>##V3_BDHV12</stp>
        <stp>AIV US Equity</stp>
        <stp>F0893</stp>
        <stp>-84CM</stp>
        <stp>2018/3/31</stp>
        <stp>[住宅预测.xlsx]ReferenceData!R310C6</stp>
        <stp>Per=CM</stp>
        <stp>Dts=H</stp>
        <stp>Dir=H</stp>
        <stp>Points=84</stp>
        <stp>Sort=R</stp>
        <stp>Days=A</stp>
        <stp>Fill=B</stp>
        <stp>FX=USD</stp>
        <tr r="F310" s="3"/>
      </tp>
      <tp t="s">
        <v>#N/A Authorization</v>
        <stp/>
        <stp>##V3_BDHV12</stp>
        <stp>AIV US Equity</stp>
        <stp>F0892</stp>
        <stp>-84CM</stp>
        <stp>2018/3/31</stp>
        <stp>[住宅预测.xlsx]ReferenceData!R347C6</stp>
        <stp>Per=CM</stp>
        <stp>Dts=H</stp>
        <stp>Dir=H</stp>
        <stp>Points=84</stp>
        <stp>Sort=R</stp>
        <stp>Days=A</stp>
        <stp>Fill=B</stp>
        <stp>FX=USD</stp>
        <tr r="F347" s="3"/>
      </tp>
      <tp t="s">
        <v>#N/A Authorization</v>
        <stp/>
        <stp>##V3_BDHV12</stp>
        <stp>AIV US Equity</stp>
        <stp>F0894</stp>
        <stp>-84CM</stp>
        <stp>2018/3/31</stp>
        <stp>[住宅预测.xlsx]ReferenceData!R332C6</stp>
        <stp>Per=CM</stp>
        <stp>Dts=H</stp>
        <stp>Dir=H</stp>
        <stp>Points=84</stp>
        <stp>Sort=R</stp>
        <stp>Days=A</stp>
        <stp>Fill=B</stp>
        <stp>FX=USD</stp>
        <tr r="F332" s="3"/>
      </tp>
      <tp t="s">
        <v>#N/A Authorization</v>
        <stp/>
        <stp>##V3_BDHV12</stp>
        <stp>MAA US Equity</stp>
        <stp>F0928</stp>
        <stp>-84CM</stp>
        <stp>2018/3/31</stp>
        <stp>[住宅预测.xlsx]ReferenceData!R390C6</stp>
        <stp>Per=CM</stp>
        <stp>Dts=H</stp>
        <stp>Dir=H</stp>
        <stp>Points=84</stp>
        <stp>Sort=R</stp>
        <stp>Days=A</stp>
        <stp>Fill=B</stp>
        <stp>FX=USD</stp>
        <tr r="F390" s="3"/>
      </tp>
      <tp t="s">
        <v>#N/A Authorization</v>
        <stp/>
        <stp>##V3_BDHV12</stp>
        <stp>MAA US Equity</stp>
        <stp>F0929</stp>
        <stp>-84CM</stp>
        <stp>2018/3/31</stp>
        <stp>[住宅预测.xlsx]ReferenceData!R398C6</stp>
        <stp>Per=CM</stp>
        <stp>Dts=H</stp>
        <stp>Dir=H</stp>
        <stp>Points=84</stp>
        <stp>Sort=R</stp>
        <stp>Days=A</stp>
        <stp>Fill=B</stp>
        <stp>FX=USD</stp>
        <tr r="F398" s="3"/>
      </tp>
      <tp t="s">
        <v>#N/A Authorization</v>
        <stp/>
        <stp>##V3_BDHV12</stp>
        <stp>MAA US Equity</stp>
        <stp>F0825</stp>
        <stp>-84CM</stp>
        <stp>2018/3/31</stp>
        <stp>[住宅预测.xlsx]ReferenceData!R435C6</stp>
        <stp>Per=CM</stp>
        <stp>Dts=H</stp>
        <stp>Dir=H</stp>
        <stp>Points=84</stp>
        <stp>Sort=R</stp>
        <stp>Days=A</stp>
        <stp>Fill=B</stp>
        <stp>FX=USD</stp>
        <tr r="F435" s="3"/>
      </tp>
      <tp t="s">
        <v>#N/A Authorization</v>
        <stp/>
        <stp>##V3_BDHV12</stp>
        <stp>MAA US Equity</stp>
        <stp>F0826</stp>
        <stp>-84CM</stp>
        <stp>2018/3/31</stp>
        <stp>[住宅预测.xlsx]ReferenceData!R420C6</stp>
        <stp>Per=CM</stp>
        <stp>Dts=H</stp>
        <stp>Dir=H</stp>
        <stp>Points=84</stp>
        <stp>Sort=R</stp>
        <stp>Days=A</stp>
        <stp>Fill=B</stp>
        <stp>FX=USD</stp>
        <tr r="F420" s="3"/>
      </tp>
      <tp t="s">
        <v>#N/A Authorization</v>
        <stp/>
        <stp>##V3_BDHV12</stp>
        <stp>UDR US Equity</stp>
        <stp>CF065</stp>
        <stp>-84CM</stp>
        <stp>2018/3/31</stp>
        <stp>[住宅预测.xlsx]ReferenceData!R288C6</stp>
        <stp>Per=CM</stp>
        <stp>Dts=H</stp>
        <stp>Dir=H</stp>
        <stp>Points=84</stp>
        <stp>Sort=R</stp>
        <stp>Days=A</stp>
        <stp>Fill=B</stp>
        <stp>FX=USD</stp>
        <tr r="F288" s="3"/>
      </tp>
      <tp t="s">
        <v>#N/A Authorization</v>
        <stp/>
        <stp>##V3_BDHV12</stp>
        <stp>UDR US Equity</stp>
        <stp>BE249</stp>
        <stp>-84CM</stp>
        <stp>2018/3/31</stp>
        <stp>[住宅预测.xlsx]ReferenceData!R281C6</stp>
        <stp>Per=CM</stp>
        <stp>Dts=H</stp>
        <stp>Dir=H</stp>
        <stp>Points=84</stp>
        <stp>Sort=R</stp>
        <stp>Days=A</stp>
        <stp>Fill=B</stp>
        <stp>BE997=18Y</stp>
        <stp>FX=USD</stp>
        <tr r="F281" s="3"/>
      </tp>
      <tp t="s">
        <v>#N/A Authorization</v>
        <stp/>
        <stp>##V3_BDHV12</stp>
        <stp>AIV US Equity</stp>
        <stp>BE038</stp>
        <stp>-84CM</stp>
        <stp>2018/3/31</stp>
        <stp>[住宅预测.xlsx]ReferenceData!R289C6</stp>
        <stp>Per=CM</stp>
        <stp>Dts=H</stp>
        <stp>Dir=H</stp>
        <stp>Points=84</stp>
        <stp>Sort=R</stp>
        <stp>Days=A</stp>
        <stp>Fill=B</stp>
        <stp>BE997=1BF</stp>
        <stp>FX=USD</stp>
        <tr r="F289" s="3"/>
      </tp>
      <tp t="s">
        <v>#N/A Authorization</v>
        <stp/>
        <stp>##V3_BDHV12</stp>
        <stp>MAA US Equity</stp>
        <stp>BE249</stp>
        <stp>-84CM</stp>
        <stp>2018/3/31</stp>
        <stp>[住宅预测.xlsx]ReferenceData!R280C6</stp>
        <stp>Per=CM</stp>
        <stp>Dts=H</stp>
        <stp>Dir=H</stp>
        <stp>Points=84</stp>
        <stp>Sort=R</stp>
        <stp>Days=A</stp>
        <stp>Fill=B</stp>
        <stp>BE997=18Y</stp>
        <stp>FX=USD</stp>
        <tr r="F280" s="3"/>
      </tp>
      <tp t="s">
        <v>#N/A Authorization</v>
        <stp/>
        <stp>##V3_BDHV12</stp>
        <stp>UDR US Equity</stp>
        <stp>BE038</stp>
        <stp>-84CM</stp>
        <stp>2018/3/31</stp>
        <stp>[住宅预测.xlsx]ReferenceData!R295C6</stp>
        <stp>Per=CM</stp>
        <stp>Dts=H</stp>
        <stp>Dir=H</stp>
        <stp>Points=84</stp>
        <stp>Sort=R</stp>
        <stp>Days=A</stp>
        <stp>Fill=B</stp>
        <stp>BE997=1BF</stp>
        <stp>FX=USD</stp>
        <tr r="F295" s="3"/>
      </tp>
      <tp t="s">
        <v>#N/A Authorization</v>
        <stp/>
        <stp>##V3_BDHV12</stp>
        <stp>CPT US Equity</stp>
        <stp>BE038</stp>
        <stp>-84CM</stp>
        <stp>2018/3/31</stp>
        <stp>[住宅预测.xlsx]ReferenceData!R298C6</stp>
        <stp>Per=CM</stp>
        <stp>Dts=H</stp>
        <stp>Dir=H</stp>
        <stp>Points=84</stp>
        <stp>Sort=R</stp>
        <stp>Days=A</stp>
        <stp>Fill=B</stp>
        <stp>BE997=17Y</stp>
        <stp>FX=USD</stp>
        <tr r="F298" s="3"/>
      </tp>
      <tp t="s">
        <v>#N/A Authorization</v>
        <stp/>
        <stp>##V3_BDHV12</stp>
        <stp>MAA US Equity</stp>
        <stp>BE038</stp>
        <stp>-84CM</stp>
        <stp>2018/3/31</stp>
        <stp>[住宅预测.xlsx]ReferenceData!R294C6</stp>
        <stp>Per=CM</stp>
        <stp>Dts=H</stp>
        <stp>Dir=H</stp>
        <stp>Points=84</stp>
        <stp>Sort=R</stp>
        <stp>Days=A</stp>
        <stp>Fill=B</stp>
        <stp>BE997=1BF</stp>
        <stp>FX=USD</stp>
        <tr r="F294" s="3"/>
      </tp>
      <tp t="s">
        <v>#N/A Authorization</v>
        <stp/>
        <stp>##V3_BDHV12</stp>
        <stp>EQR US Equity</stp>
        <stp>BE038</stp>
        <stp>-84CM</stp>
        <stp>2018/3/31</stp>
        <stp>[住宅预测.xlsx]ReferenceData!R299C6</stp>
        <stp>Per=CM</stp>
        <stp>Dts=H</stp>
        <stp>Dir=H</stp>
        <stp>Points=84</stp>
        <stp>Sort=R</stp>
        <stp>Days=A</stp>
        <stp>Fill=B</stp>
        <stp>BE997=17Y</stp>
        <stp>FX=USD</stp>
        <tr r="F299" s="3"/>
      </tp>
      <tp t="s">
        <v>#N/A Authorization</v>
        <stp/>
        <stp>##V3_BDHV12</stp>
        <stp>CPT US Equity</stp>
        <stp>BE038</stp>
        <stp>-84CM</stp>
        <stp>2018/3/31</stp>
        <stp>[住宅预测.xlsx]ReferenceData!R291C6</stp>
        <stp>Per=CM</stp>
        <stp>Dts=H</stp>
        <stp>Dir=H</stp>
        <stp>Points=84</stp>
        <stp>Sort=R</stp>
        <stp>Days=A</stp>
        <stp>Fill=B</stp>
        <stp>BE997=1BF</stp>
        <stp>FX=USD</stp>
        <tr r="F291" s="3"/>
      </tp>
      <tp t="s">
        <v>#N/A Authorization</v>
        <stp/>
        <stp>##V3_BDHV12</stp>
        <stp>AVB US Equity</stp>
        <stp>BE038</stp>
        <stp>-84CM</stp>
        <stp>2018/3/31</stp>
        <stp>[住宅预测.xlsx]ReferenceData!R290C6</stp>
        <stp>Per=CM</stp>
        <stp>Dts=H</stp>
        <stp>Dir=H</stp>
        <stp>Points=84</stp>
        <stp>Sort=R</stp>
        <stp>Days=A</stp>
        <stp>Fill=B</stp>
        <stp>BE997=1BF</stp>
        <stp>FX=USD</stp>
        <tr r="F290" s="3"/>
      </tp>
      <tp t="s">
        <v>#N/A Authorization</v>
        <stp/>
        <stp>##V3_BDHV12</stp>
        <stp>AVB US Equity</stp>
        <stp>BE038</stp>
        <stp>-84CM</stp>
        <stp>2018/3/31</stp>
        <stp>[住宅预测.xlsx]ReferenceData!R297C6</stp>
        <stp>Per=CM</stp>
        <stp>Dts=H</stp>
        <stp>Dir=H</stp>
        <stp>Points=84</stp>
        <stp>Sort=R</stp>
        <stp>Days=A</stp>
        <stp>Fill=B</stp>
        <stp>BE997=17Y</stp>
        <stp>FX=USD</stp>
        <tr r="F297" s="3"/>
      </tp>
      <tp t="s">
        <v>#N/A Authorization</v>
        <stp/>
        <stp>##V3_BDHV12</stp>
        <stp>ESS US Equity</stp>
        <stp>BE038</stp>
        <stp>-84CM</stp>
        <stp>2018/3/31</stp>
        <stp>[住宅预测.xlsx]ReferenceData!R293C6</stp>
        <stp>Per=CM</stp>
        <stp>Dts=H</stp>
        <stp>Dir=H</stp>
        <stp>Points=84</stp>
        <stp>Sort=R</stp>
        <stp>Days=A</stp>
        <stp>Fill=B</stp>
        <stp>BE997=1BF</stp>
        <stp>FX=USD</stp>
        <tr r="F293" s="3"/>
      </tp>
      <tp t="s">
        <v>#N/A Authorization</v>
        <stp/>
        <stp>##V3_BDHV12</stp>
        <stp>AIV US Equity</stp>
        <stp>BE038</stp>
        <stp>-84CM</stp>
        <stp>2018/3/31</stp>
        <stp>[住宅预测.xlsx]ReferenceData!R296C6</stp>
        <stp>Per=CM</stp>
        <stp>Dts=H</stp>
        <stp>Dir=H</stp>
        <stp>Points=84</stp>
        <stp>Sort=R</stp>
        <stp>Days=A</stp>
        <stp>Fill=B</stp>
        <stp>BE997=17Y</stp>
        <stp>FX=USD</stp>
        <tr r="F296" s="3"/>
      </tp>
      <tp t="s">
        <v>#N/A Authorization</v>
        <stp/>
        <stp>##V3_BDHV12</stp>
        <stp>EQR US Equity</stp>
        <stp>BE038</stp>
        <stp>-84CM</stp>
        <stp>2018/3/31</stp>
        <stp>[住宅预测.xlsx]ReferenceData!R292C6</stp>
        <stp>Per=CM</stp>
        <stp>Dts=H</stp>
        <stp>Dir=H</stp>
        <stp>Points=84</stp>
        <stp>Sort=R</stp>
        <stp>Days=A</stp>
        <stp>Fill=B</stp>
        <stp>BE997=1BF</stp>
        <stp>FX=USD</stp>
        <tr r="F292" s="3"/>
      </tp>
      <tp t="s">
        <v>#N/A Authorization</v>
        <stp/>
        <stp>##V3_BDHV12</stp>
        <stp>UDR US Equity</stp>
        <stp>BE038</stp>
        <stp>-84CM</stp>
        <stp>2018/3/31</stp>
        <stp>[住宅预测.xlsx]ReferenceData!R309C6</stp>
        <stp>Per=CM</stp>
        <stp>Dts=H</stp>
        <stp>Dir=H</stp>
        <stp>Points=84</stp>
        <stp>Sort=R</stp>
        <stp>Days=A</stp>
        <stp>Fill=B</stp>
        <stp>BE997=18Y</stp>
        <stp>FX=USD</stp>
        <tr r="F309" s="3"/>
      </tp>
      <tp t="s">
        <v>#N/A Authorization</v>
        <stp/>
        <stp>##V3_BDHV12</stp>
        <stp>MORE US Equity</stp>
        <stp>BE895</stp>
        <stp>-84CM</stp>
        <stp>2018/3/31</stp>
        <stp>[住宅预测.xlsx]ReferenceData!R368C6</stp>
        <stp>Per=CM</stp>
        <stp>Dts=H</stp>
        <stp>Dir=H</stp>
        <stp>Points=84</stp>
        <stp>Sort=R</stp>
        <stp>Days=A</stp>
        <stp>Fill=B</stp>
        <stp>BE997=17Y</stp>
        <stp>FX=USD</stp>
        <tr r="F368" s="3"/>
      </tp>
      <tp t="s">
        <v>#N/A Authorization</v>
        <stp/>
        <stp>##V3_BDHV12</stp>
        <stp>UDR US Equity</stp>
        <stp>BE038</stp>
        <stp>-84CM</stp>
        <stp>2018/3/31</stp>
        <stp>[住宅预测.xlsx]ReferenceData!R302C6</stp>
        <stp>Per=CM</stp>
        <stp>Dts=H</stp>
        <stp>Dir=H</stp>
        <stp>Points=84</stp>
        <stp>Sort=R</stp>
        <stp>Days=A</stp>
        <stp>Fill=B</stp>
        <stp>BE997=17Y</stp>
        <stp>FX=USD</stp>
        <tr r="F302" s="3"/>
      </tp>
      <tp t="s">
        <v>#N/A Authorization</v>
        <stp/>
        <stp>##V3_BDHV12</stp>
        <stp>MORE US Equity</stp>
        <stp>BE895</stp>
        <stp>-84CM</stp>
        <stp>2018/3/31</stp>
        <stp>[住宅预测.xlsx]ReferenceData!R360C6</stp>
        <stp>Per=CM</stp>
        <stp>Dts=H</stp>
        <stp>Dir=H</stp>
        <stp>Points=84</stp>
        <stp>Sort=R</stp>
        <stp>Days=A</stp>
        <stp>Fill=B</stp>
        <stp>BE997=1BF</stp>
        <stp>FX=USD</stp>
        <tr r="F360" s="3"/>
      </tp>
      <tp t="s">
        <v>#N/A Authorization</v>
        <stp/>
        <stp>##V3_BDHV12</stp>
        <stp>MAA US Equity</stp>
        <stp>BE038</stp>
        <stp>-84CM</stp>
        <stp>2018/3/31</stp>
        <stp>[住宅预测.xlsx]ReferenceData!R301C6</stp>
        <stp>Per=CM</stp>
        <stp>Dts=H</stp>
        <stp>Dir=H</stp>
        <stp>Points=84</stp>
        <stp>Sort=R</stp>
        <stp>Days=A</stp>
        <stp>Fill=B</stp>
        <stp>BE997=17Y</stp>
        <stp>FX=USD</stp>
        <tr r="F301" s="3"/>
      </tp>
      <tp t="s">
        <v>#N/A Authorization</v>
        <stp/>
        <stp>##V3_BDHV12</stp>
        <stp>ESS US Equity</stp>
        <stp>BE038</stp>
        <stp>-84CM</stp>
        <stp>2018/3/31</stp>
        <stp>[住宅预测.xlsx]ReferenceData!R307C6</stp>
        <stp>Per=CM</stp>
        <stp>Dts=H</stp>
        <stp>Dir=H</stp>
        <stp>Points=84</stp>
        <stp>Sort=R</stp>
        <stp>Days=A</stp>
        <stp>Fill=B</stp>
        <stp>BE997=18Y</stp>
        <stp>FX=USD</stp>
        <tr r="F307" s="3"/>
      </tp>
      <tp t="s">
        <v>#N/A Authorization</v>
        <stp/>
        <stp>##V3_BDHV12</stp>
        <stp>AIV US Equity</stp>
        <stp>BE038</stp>
        <stp>-84CM</stp>
        <stp>2018/3/31</stp>
        <stp>[住宅预测.xlsx]ReferenceData!R303C6</stp>
        <stp>Per=CM</stp>
        <stp>Dts=H</stp>
        <stp>Dir=H</stp>
        <stp>Points=84</stp>
        <stp>Sort=R</stp>
        <stp>Days=A</stp>
        <stp>Fill=B</stp>
        <stp>BE997=18Y</stp>
        <stp>FX=USD</stp>
        <tr r="F303" s="3"/>
      </tp>
      <tp t="s">
        <v>#N/A Authorization</v>
        <stp/>
        <stp>##V3_BDHV12</stp>
        <stp>EQR US Equity</stp>
        <stp>BE038</stp>
        <stp>-84CM</stp>
        <stp>2018/3/31</stp>
        <stp>[住宅预测.xlsx]ReferenceData!R306C6</stp>
        <stp>Per=CM</stp>
        <stp>Dts=H</stp>
        <stp>Dir=H</stp>
        <stp>Points=84</stp>
        <stp>Sort=R</stp>
        <stp>Days=A</stp>
        <stp>Fill=B</stp>
        <stp>BE997=18Y</stp>
        <stp>FX=USD</stp>
        <tr r="F306" s="3"/>
      </tp>
      <tp t="s">
        <v>#N/A Authorization</v>
        <stp/>
        <stp>##V3_BDHV12</stp>
        <stp>CPT US Equity</stp>
        <stp>BE038</stp>
        <stp>-84CM</stp>
        <stp>2018/3/31</stp>
        <stp>[住宅预测.xlsx]ReferenceData!R305C6</stp>
        <stp>Per=CM</stp>
        <stp>Dts=H</stp>
        <stp>Dir=H</stp>
        <stp>Points=84</stp>
        <stp>Sort=R</stp>
        <stp>Days=A</stp>
        <stp>Fill=B</stp>
        <stp>BE997=18Y</stp>
        <stp>FX=USD</stp>
        <tr r="F305" s="3"/>
      </tp>
      <tp t="s">
        <v>#N/A Authorization</v>
        <stp/>
        <stp>##V3_BDHV12</stp>
        <stp>ESS US Equity</stp>
        <stp>BE038</stp>
        <stp>-84CM</stp>
        <stp>2018/3/31</stp>
        <stp>[住宅预测.xlsx]ReferenceData!R300C6</stp>
        <stp>Per=CM</stp>
        <stp>Dts=H</stp>
        <stp>Dir=H</stp>
        <stp>Points=84</stp>
        <stp>Sort=R</stp>
        <stp>Days=A</stp>
        <stp>Fill=B</stp>
        <stp>BE997=17Y</stp>
        <stp>FX=USD</stp>
        <tr r="F300" s="3"/>
      </tp>
      <tp t="s">
        <v>#N/A Authorization</v>
        <stp/>
        <stp>##V3_BDHV12</stp>
        <stp>AVB US Equity</stp>
        <stp>BE038</stp>
        <stp>-84CM</stp>
        <stp>2018/3/31</stp>
        <stp>[住宅预测.xlsx]ReferenceData!R304C6</stp>
        <stp>Per=CM</stp>
        <stp>Dts=H</stp>
        <stp>Dir=H</stp>
        <stp>Points=84</stp>
        <stp>Sort=R</stp>
        <stp>Days=A</stp>
        <stp>Fill=B</stp>
        <stp>BE997=18Y</stp>
        <stp>FX=USD</stp>
        <tr r="F304" s="3"/>
      </tp>
      <tp t="s">
        <v>#N/A Authorization</v>
        <stp/>
        <stp>##V3_BDHV12</stp>
        <stp>MAA US Equity</stp>
        <stp>BE038</stp>
        <stp>-84CM</stp>
        <stp>2018/3/31</stp>
        <stp>[住宅预测.xlsx]ReferenceData!R308C6</stp>
        <stp>Per=CM</stp>
        <stp>Dts=H</stp>
        <stp>Dir=H</stp>
        <stp>Points=84</stp>
        <stp>Sort=R</stp>
        <stp>Days=A</stp>
        <stp>Fill=B</stp>
        <stp>BE997=18Y</stp>
        <stp>FX=USD</stp>
        <tr r="F308" s="3"/>
      </tp>
      <tp t="s">
        <v>#N/A Authorization</v>
        <stp/>
        <stp>##V3_BDHV12</stp>
        <stp>MORE US Equity</stp>
        <stp>BE895</stp>
        <stp>-84CM</stp>
        <stp>2018/3/31</stp>
        <stp>[住宅预测.xlsx]ReferenceData!R376C6</stp>
        <stp>Per=CM</stp>
        <stp>Dts=H</stp>
        <stp>Dir=H</stp>
        <stp>Points=84</stp>
        <stp>Sort=R</stp>
        <stp>Days=A</stp>
        <stp>Fill=B</stp>
        <stp>BE997=18Y</stp>
        <stp>FX=USD</stp>
        <tr r="F376" s="3"/>
      </tp>
      <tp t="s">
        <v>#N/A Authorization</v>
        <stp/>
        <stp>##V3_BDHV12</stp>
        <stp>EQR US Equity</stp>
        <stp>BE895</stp>
        <stp>-84CM</stp>
        <stp>2018/3/31</stp>
        <stp>[住宅预测.xlsx]ReferenceData!R357C6</stp>
        <stp>Per=CM</stp>
        <stp>Dts=H</stp>
        <stp>Dir=H</stp>
        <stp>Points=84</stp>
        <stp>Sort=R</stp>
        <stp>Days=A</stp>
        <stp>Fill=B</stp>
        <stp>BE997=1BF</stp>
        <stp>FX=USD</stp>
        <tr r="F357" s="3"/>
      </tp>
      <tp t="s">
        <v>#N/A Authorization</v>
        <stp/>
        <stp>##V3_BDHV12</stp>
        <stp>MAA US Equity</stp>
        <stp>BE895</stp>
        <stp>-84CM</stp>
        <stp>2018/3/31</stp>
        <stp>[住宅预测.xlsx]ReferenceData!R359C6</stp>
        <stp>Per=CM</stp>
        <stp>Dts=H</stp>
        <stp>Dir=H</stp>
        <stp>Points=84</stp>
        <stp>Sort=R</stp>
        <stp>Days=A</stp>
        <stp>Fill=B</stp>
        <stp>BE997=1BF</stp>
        <stp>FX=USD</stp>
        <tr r="F359" s="3"/>
      </tp>
      <tp t="s">
        <v>#N/A Authorization</v>
        <stp/>
        <stp>##V3_BDHV12</stp>
        <stp>AVB US Equity</stp>
        <stp>BE895</stp>
        <stp>-84CM</stp>
        <stp>2018/3/31</stp>
        <stp>[住宅预测.xlsx]ReferenceData!R355C6</stp>
        <stp>Per=CM</stp>
        <stp>Dts=H</stp>
        <stp>Dir=H</stp>
        <stp>Points=84</stp>
        <stp>Sort=R</stp>
        <stp>Days=A</stp>
        <stp>Fill=B</stp>
        <stp>BE997=1BF</stp>
        <stp>FX=USD</stp>
        <tr r="F355" s="3"/>
      </tp>
      <tp t="s">
        <v>#N/A Authorization</v>
        <stp/>
        <stp>##V3_BDHV12</stp>
        <stp>AIV US Equity</stp>
        <stp>BE895</stp>
        <stp>-84CM</stp>
        <stp>2018/3/31</stp>
        <stp>[住宅预测.xlsx]ReferenceData!R354C6</stp>
        <stp>Per=CM</stp>
        <stp>Dts=H</stp>
        <stp>Dir=H</stp>
        <stp>Points=84</stp>
        <stp>Sort=R</stp>
        <stp>Days=A</stp>
        <stp>Fill=B</stp>
        <stp>BE997=1BF</stp>
        <stp>FX=USD</stp>
        <tr r="F354" s="3"/>
      </tp>
      <tp t="s">
        <v>#N/A Authorization</v>
        <stp/>
        <stp>##V3_BDHV12</stp>
        <stp>CPT US Equity</stp>
        <stp>BE895</stp>
        <stp>-84CM</stp>
        <stp>2018/3/31</stp>
        <stp>[住宅预测.xlsx]ReferenceData!R356C6</stp>
        <stp>Per=CM</stp>
        <stp>Dts=H</stp>
        <stp>Dir=H</stp>
        <stp>Points=84</stp>
        <stp>Sort=R</stp>
        <stp>Days=A</stp>
        <stp>Fill=B</stp>
        <stp>BE997=1BF</stp>
        <stp>FX=USD</stp>
        <tr r="F356" s="3"/>
      </tp>
      <tp t="s">
        <v>#N/A Authorization</v>
        <stp/>
        <stp>##V3_BDHV12</stp>
        <stp>ESS US Equity</stp>
        <stp>BE895</stp>
        <stp>-84CM</stp>
        <stp>2018/3/31</stp>
        <stp>[住宅预测.xlsx]ReferenceData!R358C6</stp>
        <stp>Per=CM</stp>
        <stp>Dts=H</stp>
        <stp>Dir=H</stp>
        <stp>Points=84</stp>
        <stp>Sort=R</stp>
        <stp>Days=A</stp>
        <stp>Fill=B</stp>
        <stp>BE997=1BF</stp>
        <stp>FX=USD</stp>
        <tr r="F358" s="3"/>
      </tp>
      <tp t="s">
        <v>#N/A Authorization</v>
        <stp/>
        <stp>##V3_BDHV12</stp>
        <stp>UDR US Equity</stp>
        <stp>BE895</stp>
        <stp>-84CM</stp>
        <stp>2018/3/31</stp>
        <stp>[住宅预测.xlsx]ReferenceData!R361C6</stp>
        <stp>Per=CM</stp>
        <stp>Dts=H</stp>
        <stp>Dir=H</stp>
        <stp>Points=84</stp>
        <stp>Sort=R</stp>
        <stp>Days=A</stp>
        <stp>Fill=B</stp>
        <stp>BE997=1BF</stp>
        <stp>FX=USD</stp>
        <tr r="F361" s="3"/>
      </tp>
      <tp t="s">
        <v>#N/A Authorization</v>
        <stp/>
        <stp>##V3_BDHV12</stp>
        <stp>UDR US Equity</stp>
        <stp>BE249</stp>
        <stp>-84CM</stp>
        <stp>2018/3/31</stp>
        <stp>[住宅预测.xlsx]ReferenceData!R267C6</stp>
        <stp>Per=CM</stp>
        <stp>Dts=H</stp>
        <stp>Dir=H</stp>
        <stp>Points=84</stp>
        <stp>Sort=R</stp>
        <stp>Days=A</stp>
        <stp>Fill=B</stp>
        <stp>BE997=1BF</stp>
        <stp>FX=USD</stp>
        <tr r="F267" s="3"/>
      </tp>
      <tp t="s">
        <v>#N/A Authorization</v>
        <stp/>
        <stp>##V3_BDHV12</stp>
        <stp>UDR US Equity</stp>
        <stp>BE895</stp>
        <stp>-84CM</stp>
        <stp>2018/3/31</stp>
        <stp>[住宅预测.xlsx]ReferenceData!R369C6</stp>
        <stp>Per=CM</stp>
        <stp>Dts=H</stp>
        <stp>Dir=H</stp>
        <stp>Points=84</stp>
        <stp>Sort=R</stp>
        <stp>Days=A</stp>
        <stp>Fill=B</stp>
        <stp>BE997=17Y</stp>
        <stp>FX=USD</stp>
        <tr r="F369" s="3"/>
      </tp>
      <tp t="s">
        <v>#N/A Authorization</v>
        <stp/>
        <stp>##V3_BDHV12</stp>
        <stp>AVB US Equity</stp>
        <stp>BE249</stp>
        <stp>-84CM</stp>
        <stp>2018/3/31</stp>
        <stp>[住宅预测.xlsx]ReferenceData!R269C6</stp>
        <stp>Per=CM</stp>
        <stp>Dts=H</stp>
        <stp>Dir=H</stp>
        <stp>Points=84</stp>
        <stp>Sort=R</stp>
        <stp>Days=A</stp>
        <stp>Fill=B</stp>
        <stp>BE997=17Y</stp>
        <stp>FX=USD</stp>
        <tr r="F269" s="3"/>
      </tp>
      <tp t="s">
        <v>#N/A Authorization</v>
        <stp/>
        <stp>##V3_BDHV12</stp>
        <stp>AVB US Equity</stp>
        <stp>BE895</stp>
        <stp>-84CM</stp>
        <stp>2018/3/31</stp>
        <stp>[住宅预测.xlsx]ReferenceData!R363C6</stp>
        <stp>Per=CM</stp>
        <stp>Dts=H</stp>
        <stp>Dir=H</stp>
        <stp>Points=84</stp>
        <stp>Sort=R</stp>
        <stp>Days=A</stp>
        <stp>Fill=B</stp>
        <stp>BE997=17Y</stp>
        <stp>FX=USD</stp>
        <tr r="F363" s="3"/>
      </tp>
      <tp t="s">
        <v>#N/A Authorization</v>
        <stp/>
        <stp>##V3_BDHV12</stp>
        <stp>ESS US Equity</stp>
        <stp>BE895</stp>
        <stp>-84CM</stp>
        <stp>2018/3/31</stp>
        <stp>[住宅预测.xlsx]ReferenceData!R366C6</stp>
        <stp>Per=CM</stp>
        <stp>Dts=H</stp>
        <stp>Dir=H</stp>
        <stp>Points=84</stp>
        <stp>Sort=R</stp>
        <stp>Days=A</stp>
        <stp>Fill=B</stp>
        <stp>BE997=17Y</stp>
        <stp>FX=USD</stp>
        <tr r="F366" s="3"/>
      </tp>
      <tp t="s">
        <v>#N/A Authorization</v>
        <stp/>
        <stp>##V3_BDHV12</stp>
        <stp>AIV US Equity</stp>
        <stp>BE895</stp>
        <stp>-84CM</stp>
        <stp>2018/3/31</stp>
        <stp>[住宅预测.xlsx]ReferenceData!R362C6</stp>
        <stp>Per=CM</stp>
        <stp>Dts=H</stp>
        <stp>Dir=H</stp>
        <stp>Points=84</stp>
        <stp>Sort=R</stp>
        <stp>Days=A</stp>
        <stp>Fill=B</stp>
        <stp>BE997=17Y</stp>
        <stp>FX=USD</stp>
        <tr r="F362" s="3"/>
      </tp>
      <tp t="s">
        <v>#N/A Authorization</v>
        <stp/>
        <stp>##V3_BDHV12</stp>
        <stp>AIV US Equity</stp>
        <stp>BE249</stp>
        <stp>-84CM</stp>
        <stp>2018/3/31</stp>
        <stp>[住宅预测.xlsx]ReferenceData!R268C6</stp>
        <stp>Per=CM</stp>
        <stp>Dts=H</stp>
        <stp>Dir=H</stp>
        <stp>Points=84</stp>
        <stp>Sort=R</stp>
        <stp>Days=A</stp>
        <stp>Fill=B</stp>
        <stp>BE997=17Y</stp>
        <stp>FX=USD</stp>
        <tr r="F268" s="3"/>
      </tp>
      <tp t="s">
        <v>#N/A Authorization</v>
        <stp/>
        <stp>##V3_BDHV12</stp>
        <stp>EQR US Equity</stp>
        <stp>BE895</stp>
        <stp>-84CM</stp>
        <stp>2018/3/31</stp>
        <stp>[住宅预测.xlsx]ReferenceData!R365C6</stp>
        <stp>Per=CM</stp>
        <stp>Dts=H</stp>
        <stp>Dir=H</stp>
        <stp>Points=84</stp>
        <stp>Sort=R</stp>
        <stp>Days=A</stp>
        <stp>Fill=B</stp>
        <stp>BE997=17Y</stp>
        <stp>FX=USD</stp>
        <tr r="F365" s="3"/>
      </tp>
      <tp t="s">
        <v>#N/A Authorization</v>
        <stp/>
        <stp>##V3_BDHV12</stp>
        <stp>MAA US Equity</stp>
        <stp>BE249</stp>
        <stp>-84CM</stp>
        <stp>2018/3/31</stp>
        <stp>[住宅预测.xlsx]ReferenceData!R266C6</stp>
        <stp>Per=CM</stp>
        <stp>Dts=H</stp>
        <stp>Dir=H</stp>
        <stp>Points=84</stp>
        <stp>Sort=R</stp>
        <stp>Days=A</stp>
        <stp>Fill=B</stp>
        <stp>BE997=1BF</stp>
        <stp>FX=USD</stp>
        <tr r="F266" s="3"/>
      </tp>
      <tp t="s">
        <v>#N/A Authorization</v>
        <stp/>
        <stp>##V3_BDHV12</stp>
        <stp>CPT US Equity</stp>
        <stp>BE895</stp>
        <stp>-84CM</stp>
        <stp>2018/3/31</stp>
        <stp>[住宅预测.xlsx]ReferenceData!R364C6</stp>
        <stp>Per=CM</stp>
        <stp>Dts=H</stp>
        <stp>Dir=H</stp>
        <stp>Points=84</stp>
        <stp>Sort=R</stp>
        <stp>Days=A</stp>
        <stp>Fill=B</stp>
        <stp>BE997=17Y</stp>
        <stp>FX=USD</stp>
        <tr r="F364" s="3"/>
      </tp>
      <tp t="s">
        <v>#N/A Authorization</v>
        <stp/>
        <stp>##V3_BDHV12</stp>
        <stp>MAA US Equity</stp>
        <stp>BE895</stp>
        <stp>-84CM</stp>
        <stp>2018/3/31</stp>
        <stp>[住宅预测.xlsx]ReferenceData!R367C6</stp>
        <stp>Per=CM</stp>
        <stp>Dts=H</stp>
        <stp>Dir=H</stp>
        <stp>Points=84</stp>
        <stp>Sort=R</stp>
        <stp>Days=A</stp>
        <stp>Fill=B</stp>
        <stp>BE997=17Y</stp>
        <stp>FX=USD</stp>
        <tr r="F367" s="3"/>
      </tp>
      <tp t="s">
        <v>#N/A Authorization</v>
        <stp/>
        <stp>##V3_BDHV12</stp>
        <stp>AIV US Equity</stp>
        <stp>BE249</stp>
        <stp>-84CM</stp>
        <stp>2018/3/31</stp>
        <stp>[住宅预测.xlsx]ReferenceData!R261C6</stp>
        <stp>Per=CM</stp>
        <stp>Dts=H</stp>
        <stp>Dir=H</stp>
        <stp>Points=84</stp>
        <stp>Sort=R</stp>
        <stp>Days=A</stp>
        <stp>Fill=B</stp>
        <stp>BE997=1BF</stp>
        <stp>FX=USD</stp>
        <tr r="F261" s="3"/>
      </tp>
      <tp t="s">
        <v>#N/A Authorization</v>
        <stp/>
        <stp>##V3_BDHV12</stp>
        <stp>CPT US Equity</stp>
        <stp>BE249</stp>
        <stp>-84CM</stp>
        <stp>2018/3/31</stp>
        <stp>[住宅预测.xlsx]ReferenceData!R263C6</stp>
        <stp>Per=CM</stp>
        <stp>Dts=H</stp>
        <stp>Dir=H</stp>
        <stp>Points=84</stp>
        <stp>Sort=R</stp>
        <stp>Days=A</stp>
        <stp>Fill=B</stp>
        <stp>BE997=1BF</stp>
        <stp>FX=USD</stp>
        <tr r="F263" s="3"/>
      </tp>
      <tp t="s">
        <v>#N/A Authorization</v>
        <stp/>
        <stp>##V3_BDHV12</stp>
        <stp>ESS US Equity</stp>
        <stp>BE249</stp>
        <stp>-84CM</stp>
        <stp>2018/3/31</stp>
        <stp>[住宅预测.xlsx]ReferenceData!R265C6</stp>
        <stp>Per=CM</stp>
        <stp>Dts=H</stp>
        <stp>Dir=H</stp>
        <stp>Points=84</stp>
        <stp>Sort=R</stp>
        <stp>Days=A</stp>
        <stp>Fill=B</stp>
        <stp>BE997=1BF</stp>
        <stp>FX=USD</stp>
        <tr r="F265" s="3"/>
      </tp>
      <tp t="s">
        <v>#N/A Authorization</v>
        <stp/>
        <stp>##V3_BDHV12</stp>
        <stp>EQR US Equity</stp>
        <stp>BE249</stp>
        <stp>-84CM</stp>
        <stp>2018/3/31</stp>
        <stp>[住宅预测.xlsx]ReferenceData!R264C6</stp>
        <stp>Per=CM</stp>
        <stp>Dts=H</stp>
        <stp>Dir=H</stp>
        <stp>Points=84</stp>
        <stp>Sort=R</stp>
        <stp>Days=A</stp>
        <stp>Fill=B</stp>
        <stp>BE997=1BF</stp>
        <stp>FX=USD</stp>
        <tr r="F264" s="3"/>
      </tp>
      <tp t="s">
        <v>#N/A Authorization</v>
        <stp/>
        <stp>##V3_BDHV12</stp>
        <stp>AVB US Equity</stp>
        <stp>BE249</stp>
        <stp>-84CM</stp>
        <stp>2018/3/31</stp>
        <stp>[住宅预测.xlsx]ReferenceData!R262C6</stp>
        <stp>Per=CM</stp>
        <stp>Dts=H</stp>
        <stp>Dir=H</stp>
        <stp>Points=84</stp>
        <stp>Sort=R</stp>
        <stp>Days=A</stp>
        <stp>Fill=B</stp>
        <stp>BE997=1BF</stp>
        <stp>FX=USD</stp>
        <tr r="F262" s="3"/>
      </tp>
      <tp t="s">
        <v>#N/A Authorization</v>
        <stp/>
        <stp>##V3_BDHV12</stp>
        <stp>UDR US Equity</stp>
        <stp>BE895</stp>
        <stp>-84CM</stp>
        <stp>2018/3/31</stp>
        <stp>[住宅预测.xlsx]ReferenceData!R377C6</stp>
        <stp>Per=CM</stp>
        <stp>Dts=H</stp>
        <stp>Dir=H</stp>
        <stp>Points=84</stp>
        <stp>Sort=R</stp>
        <stp>Days=A</stp>
        <stp>Fill=B</stp>
        <stp>BE997=18Y</stp>
        <stp>FX=USD</stp>
        <tr r="F377" s="3"/>
      </tp>
      <tp t="s">
        <v>#N/A Authorization</v>
        <stp/>
        <stp>##V3_BDHV12</stp>
        <stp>UDR US Equity</stp>
        <stp>BE249</stp>
        <stp>-84CM</stp>
        <stp>2018/3/31</stp>
        <stp>[住宅预测.xlsx]ReferenceData!R274C6</stp>
        <stp>Per=CM</stp>
        <stp>Dts=H</stp>
        <stp>Dir=H</stp>
        <stp>Points=84</stp>
        <stp>Sort=R</stp>
        <stp>Days=A</stp>
        <stp>Fill=B</stp>
        <stp>BE997=17Y</stp>
        <stp>FX=USD</stp>
        <tr r="F274" s="3"/>
      </tp>
      <tp t="s">
        <v>#N/A Authorization</v>
        <stp/>
        <stp>##V3_BDHV12</stp>
        <stp>AVB US Equity</stp>
        <stp>BE895</stp>
        <stp>-84CM</stp>
        <stp>2018/3/31</stp>
        <stp>[住宅预测.xlsx]ReferenceData!R371C6</stp>
        <stp>Per=CM</stp>
        <stp>Dts=H</stp>
        <stp>Dir=H</stp>
        <stp>Points=84</stp>
        <stp>Sort=R</stp>
        <stp>Days=A</stp>
        <stp>Fill=B</stp>
        <stp>BE997=18Y</stp>
        <stp>FX=USD</stp>
        <tr r="F371" s="3"/>
      </tp>
      <tp t="s">
        <v>#N/A Authorization</v>
        <stp/>
        <stp>##V3_BDHV12</stp>
        <stp>ESS US Equity</stp>
        <stp>BE895</stp>
        <stp>-84CM</stp>
        <stp>2018/3/31</stp>
        <stp>[住宅预测.xlsx]ReferenceData!R374C6</stp>
        <stp>Per=CM</stp>
        <stp>Dts=H</stp>
        <stp>Dir=H</stp>
        <stp>Points=84</stp>
        <stp>Sort=R</stp>
        <stp>Days=A</stp>
        <stp>Fill=B</stp>
        <stp>BE997=18Y</stp>
        <stp>FX=USD</stp>
        <tr r="F374" s="3"/>
      </tp>
      <tp t="s">
        <v>#N/A Authorization</v>
        <stp/>
        <stp>##V3_BDHV12</stp>
        <stp>CPT US Equity</stp>
        <stp>BE895</stp>
        <stp>-84CM</stp>
        <stp>2018/3/31</stp>
        <stp>[住宅预测.xlsx]ReferenceData!R372C6</stp>
        <stp>Per=CM</stp>
        <stp>Dts=H</stp>
        <stp>Dir=H</stp>
        <stp>Points=84</stp>
        <stp>Sort=R</stp>
        <stp>Days=A</stp>
        <stp>Fill=B</stp>
        <stp>BE997=18Y</stp>
        <stp>FX=USD</stp>
        <tr r="F372" s="3"/>
      </tp>
      <tp t="s">
        <v>#N/A Authorization</v>
        <stp/>
        <stp>##V3_BDHV12</stp>
        <stp>AIV US Equity</stp>
        <stp>BE895</stp>
        <stp>-84CM</stp>
        <stp>2018/3/31</stp>
        <stp>[住宅预测.xlsx]ReferenceData!R370C6</stp>
        <stp>Per=CM</stp>
        <stp>Dts=H</stp>
        <stp>Dir=H</stp>
        <stp>Points=84</stp>
        <stp>Sort=R</stp>
        <stp>Days=A</stp>
        <stp>Fill=B</stp>
        <stp>BE997=18Y</stp>
        <stp>FX=USD</stp>
        <tr r="F370" s="3"/>
      </tp>
      <tp t="s">
        <v>#N/A Authorization</v>
        <stp/>
        <stp>##V3_BDHV12</stp>
        <stp>EQR US Equity</stp>
        <stp>BE895</stp>
        <stp>-84CM</stp>
        <stp>2018/3/31</stp>
        <stp>[住宅预测.xlsx]ReferenceData!R373C6</stp>
        <stp>Per=CM</stp>
        <stp>Dts=H</stp>
        <stp>Dir=H</stp>
        <stp>Points=84</stp>
        <stp>Sort=R</stp>
        <stp>Days=A</stp>
        <stp>Fill=B</stp>
        <stp>BE997=18Y</stp>
        <stp>FX=USD</stp>
        <tr r="F373" s="3"/>
      </tp>
      <tp t="s">
        <v>#N/A Authorization</v>
        <stp/>
        <stp>##V3_BDHV12</stp>
        <stp>ESS US Equity</stp>
        <stp>BE249</stp>
        <stp>-84CM</stp>
        <stp>2018/3/31</stp>
        <stp>[住宅预测.xlsx]ReferenceData!R279C6</stp>
        <stp>Per=CM</stp>
        <stp>Dts=H</stp>
        <stp>Dir=H</stp>
        <stp>Points=84</stp>
        <stp>Sort=R</stp>
        <stp>Days=A</stp>
        <stp>Fill=B</stp>
        <stp>BE997=18Y</stp>
        <stp>FX=USD</stp>
        <tr r="F279" s="3"/>
      </tp>
      <tp t="s">
        <v>#N/A Authorization</v>
        <stp/>
        <stp>##V3_BDHV12</stp>
        <stp>EQR US Equity</stp>
        <stp>BE249</stp>
        <stp>-84CM</stp>
        <stp>2018/3/31</stp>
        <stp>[住宅预测.xlsx]ReferenceData!R278C6</stp>
        <stp>Per=CM</stp>
        <stp>Dts=H</stp>
        <stp>Dir=H</stp>
        <stp>Points=84</stp>
        <stp>Sort=R</stp>
        <stp>Days=A</stp>
        <stp>Fill=B</stp>
        <stp>BE997=18Y</stp>
        <stp>FX=USD</stp>
        <tr r="F278" s="3"/>
      </tp>
      <tp t="s">
        <v>#N/A Authorization</v>
        <stp/>
        <stp>##V3_BDHV12</stp>
        <stp>MAA US Equity</stp>
        <stp>BE249</stp>
        <stp>-84CM</stp>
        <stp>2018/3/31</stp>
        <stp>[住宅预测.xlsx]ReferenceData!R273C6</stp>
        <stp>Per=CM</stp>
        <stp>Dts=H</stp>
        <stp>Dir=H</stp>
        <stp>Points=84</stp>
        <stp>Sort=R</stp>
        <stp>Days=A</stp>
        <stp>Fill=B</stp>
        <stp>BE997=17Y</stp>
        <stp>FX=USD</stp>
        <tr r="F273" s="3"/>
      </tp>
      <tp t="s">
        <v>#N/A Authorization</v>
        <stp/>
        <stp>##V3_BDHV12</stp>
        <stp>MAA US Equity</stp>
        <stp>BE895</stp>
        <stp>-84CM</stp>
        <stp>2018/3/31</stp>
        <stp>[住宅预测.xlsx]ReferenceData!R375C6</stp>
        <stp>Per=CM</stp>
        <stp>Dts=H</stp>
        <stp>Dir=H</stp>
        <stp>Points=84</stp>
        <stp>Sort=R</stp>
        <stp>Days=A</stp>
        <stp>Fill=B</stp>
        <stp>BE997=18Y</stp>
        <stp>FX=USD</stp>
        <tr r="F375" s="3"/>
      </tp>
      <tp t="s">
        <v>#N/A Authorization</v>
        <stp/>
        <stp>##V3_BDHV12</stp>
        <stp>CPT US Equity</stp>
        <stp>BE249</stp>
        <stp>-84CM</stp>
        <stp>2018/3/31</stp>
        <stp>[住宅预测.xlsx]ReferenceData!R270C6</stp>
        <stp>Per=CM</stp>
        <stp>Dts=H</stp>
        <stp>Dir=H</stp>
        <stp>Points=84</stp>
        <stp>Sort=R</stp>
        <stp>Days=A</stp>
        <stp>Fill=B</stp>
        <stp>BE997=17Y</stp>
        <stp>FX=USD</stp>
        <tr r="F270" s="3"/>
      </tp>
      <tp t="s">
        <v>#N/A Authorization</v>
        <stp/>
        <stp>##V3_BDHV12</stp>
        <stp>EQR US Equity</stp>
        <stp>BE249</stp>
        <stp>-84CM</stp>
        <stp>2018/3/31</stp>
        <stp>[住宅预测.xlsx]ReferenceData!R271C6</stp>
        <stp>Per=CM</stp>
        <stp>Dts=H</stp>
        <stp>Dir=H</stp>
        <stp>Points=84</stp>
        <stp>Sort=R</stp>
        <stp>Days=A</stp>
        <stp>Fill=B</stp>
        <stp>BE997=17Y</stp>
        <stp>FX=USD</stp>
        <tr r="F271" s="3"/>
      </tp>
      <tp t="s">
        <v>#N/A Authorization</v>
        <stp/>
        <stp>##V3_BDHV12</stp>
        <stp>CPT US Equity</stp>
        <stp>BE249</stp>
        <stp>-84CM</stp>
        <stp>2018/3/31</stp>
        <stp>[住宅预测.xlsx]ReferenceData!R277C6</stp>
        <stp>Per=CM</stp>
        <stp>Dts=H</stp>
        <stp>Dir=H</stp>
        <stp>Points=84</stp>
        <stp>Sort=R</stp>
        <stp>Days=A</stp>
        <stp>Fill=B</stp>
        <stp>BE997=18Y</stp>
        <stp>FX=USD</stp>
        <tr r="F277" s="3"/>
      </tp>
      <tp t="s">
        <v>#N/A Authorization</v>
        <stp/>
        <stp>##V3_BDHV12</stp>
        <stp>AIV US Equity</stp>
        <stp>BE249</stp>
        <stp>-84CM</stp>
        <stp>2018/3/31</stp>
        <stp>[住宅预测.xlsx]ReferenceData!R275C6</stp>
        <stp>Per=CM</stp>
        <stp>Dts=H</stp>
        <stp>Dir=H</stp>
        <stp>Points=84</stp>
        <stp>Sort=R</stp>
        <stp>Days=A</stp>
        <stp>Fill=B</stp>
        <stp>BE997=18Y</stp>
        <stp>FX=USD</stp>
        <tr r="F275" s="3"/>
      </tp>
      <tp t="s">
        <v>#N/A Authorization</v>
        <stp/>
        <stp>##V3_BDHV12</stp>
        <stp>ESS US Equity</stp>
        <stp>BE249</stp>
        <stp>-84CM</stp>
        <stp>2018/3/31</stp>
        <stp>[住宅预测.xlsx]ReferenceData!R272C6</stp>
        <stp>Per=CM</stp>
        <stp>Dts=H</stp>
        <stp>Dir=H</stp>
        <stp>Points=84</stp>
        <stp>Sort=R</stp>
        <stp>Days=A</stp>
        <stp>Fill=B</stp>
        <stp>BE997=17Y</stp>
        <stp>FX=USD</stp>
        <tr r="F272" s="3"/>
      </tp>
      <tp t="s">
        <v>#N/A Authorization</v>
        <stp/>
        <stp>##V3_BDHV12</stp>
        <stp>AVB US Equity</stp>
        <stp>BE249</stp>
        <stp>-84CM</stp>
        <stp>2018/3/31</stp>
        <stp>[住宅预测.xlsx]ReferenceData!R276C6</stp>
        <stp>Per=CM</stp>
        <stp>Dts=H</stp>
        <stp>Dir=H</stp>
        <stp>Points=84</stp>
        <stp>Sort=R</stp>
        <stp>Days=A</stp>
        <stp>Fill=B</stp>
        <stp>BE997=18Y</stp>
        <stp>FX=USD</stp>
        <tr r="F276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K236"/>
  <sheetViews>
    <sheetView tabSelected="1" topLeftCell="BV1" workbookViewId="0"/>
  </sheetViews>
  <sheetFormatPr defaultRowHeight="13.5"/>
  <cols>
    <col min="1" max="1" width="56.375" customWidth="1"/>
    <col min="2" max="2" width="15.75" customWidth="1"/>
    <col min="3" max="89" width="9.125" bestFit="1" customWidth="1"/>
  </cols>
  <sheetData>
    <row r="1" spans="1:89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</row>
    <row r="2" spans="1:89">
      <c r="A2" t="str">
        <f>IFERROR(IF(0=LEN(ReferenceData!$A$2),"",ReferenceData!$A$2),"")</f>
        <v>简述</v>
      </c>
      <c r="B2" t="str">
        <f>IFERROR(IF(0=LEN(ReferenceData!$B$2),"",ReferenceData!$B$2),"")</f>
        <v>代码</v>
      </c>
      <c r="C2" t="str">
        <f>IFERROR(IF(0=LEN(ReferenceData!$C$2),"",ReferenceData!$C$2),"")</f>
        <v>栏目ID</v>
      </c>
      <c r="D2" t="str">
        <f>IFERROR(IF(0=LEN(ReferenceData!$D$2),"",ReferenceData!$D$2),"")</f>
        <v>栏目助记符</v>
      </c>
      <c r="E2" t="str">
        <f>IFERROR(IF(0=LEN(ReferenceData!$E$2),"",ReferenceData!$E$2),"")</f>
        <v>数据状态</v>
      </c>
      <c r="F2" t="str">
        <f>IFERROR(IF(0=LEN(ReferenceData!$F$2),"",ReferenceData!$F$2),"")</f>
        <v>3/2018</v>
      </c>
      <c r="G2" t="str">
        <f>IFERROR(IF(0=LEN(ReferenceData!$G$2),"",ReferenceData!$G$2),"")</f>
        <v>2/2018</v>
      </c>
      <c r="H2" t="str">
        <f>IFERROR(IF(0=LEN(ReferenceData!$H$2),"",ReferenceData!$H$2),"")</f>
        <v>1/2018</v>
      </c>
      <c r="I2" t="str">
        <f>IFERROR(IF(0=LEN(ReferenceData!$I$2),"",ReferenceData!$I$2),"")</f>
        <v>12/2017</v>
      </c>
      <c r="J2" t="str">
        <f>IFERROR(IF(0=LEN(ReferenceData!$J$2),"",ReferenceData!$J$2),"")</f>
        <v>11/2017</v>
      </c>
      <c r="K2" t="str">
        <f>IFERROR(IF(0=LEN(ReferenceData!$K$2),"",ReferenceData!$K$2),"")</f>
        <v>10/2017</v>
      </c>
      <c r="L2" t="str">
        <f>IFERROR(IF(0=LEN(ReferenceData!$L$2),"",ReferenceData!$L$2),"")</f>
        <v>9/2017</v>
      </c>
      <c r="M2" t="str">
        <f>IFERROR(IF(0=LEN(ReferenceData!$M$2),"",ReferenceData!$M$2),"")</f>
        <v>8/2017</v>
      </c>
      <c r="N2" t="str">
        <f>IFERROR(IF(0=LEN(ReferenceData!$N$2),"",ReferenceData!$N$2),"")</f>
        <v>7/2017</v>
      </c>
      <c r="O2" t="str">
        <f>IFERROR(IF(0=LEN(ReferenceData!$O$2),"",ReferenceData!$O$2),"")</f>
        <v>6/2017</v>
      </c>
      <c r="P2" t="str">
        <f>IFERROR(IF(0=LEN(ReferenceData!$P$2),"",ReferenceData!$P$2),"")</f>
        <v>5/2017</v>
      </c>
      <c r="Q2" t="str">
        <f>IFERROR(IF(0=LEN(ReferenceData!$Q$2),"",ReferenceData!$Q$2),"")</f>
        <v>4/2017</v>
      </c>
      <c r="R2" t="str">
        <f>IFERROR(IF(0=LEN(ReferenceData!$R$2),"",ReferenceData!$R$2),"")</f>
        <v>3/2017</v>
      </c>
      <c r="S2" t="str">
        <f>IFERROR(IF(0=LEN(ReferenceData!$S$2),"",ReferenceData!$S$2),"")</f>
        <v>2/2017</v>
      </c>
      <c r="T2" t="str">
        <f>IFERROR(IF(0=LEN(ReferenceData!$T$2),"",ReferenceData!$T$2),"")</f>
        <v>1/2017</v>
      </c>
      <c r="U2" t="str">
        <f>IFERROR(IF(0=LEN(ReferenceData!$U$2),"",ReferenceData!$U$2),"")</f>
        <v>12/2016</v>
      </c>
      <c r="V2" t="str">
        <f>IFERROR(IF(0=LEN(ReferenceData!$V$2),"",ReferenceData!$V$2),"")</f>
        <v>11/2016</v>
      </c>
      <c r="W2" t="str">
        <f>IFERROR(IF(0=LEN(ReferenceData!$W$2),"",ReferenceData!$W$2),"")</f>
        <v>10/2016</v>
      </c>
      <c r="X2" t="str">
        <f>IFERROR(IF(0=LEN(ReferenceData!$X$2),"",ReferenceData!$X$2),"")</f>
        <v>9/2016</v>
      </c>
      <c r="Y2" t="str">
        <f>IFERROR(IF(0=LEN(ReferenceData!$Y$2),"",ReferenceData!$Y$2),"")</f>
        <v>8/2016</v>
      </c>
      <c r="Z2" t="str">
        <f>IFERROR(IF(0=LEN(ReferenceData!$Z$2),"",ReferenceData!$Z$2),"")</f>
        <v>7/2016</v>
      </c>
      <c r="AA2" t="str">
        <f>IFERROR(IF(0=LEN(ReferenceData!$AA$2),"",ReferenceData!$AA$2),"")</f>
        <v>6/2016</v>
      </c>
      <c r="AB2" t="str">
        <f>IFERROR(IF(0=LEN(ReferenceData!$AB$2),"",ReferenceData!$AB$2),"")</f>
        <v>5/2016</v>
      </c>
      <c r="AC2" t="str">
        <f>IFERROR(IF(0=LEN(ReferenceData!$AC$2),"",ReferenceData!$AC$2),"")</f>
        <v>4/2016</v>
      </c>
      <c r="AD2" t="str">
        <f>IFERROR(IF(0=LEN(ReferenceData!$AD$2),"",ReferenceData!$AD$2),"")</f>
        <v>3/2016</v>
      </c>
      <c r="AE2" t="str">
        <f>IFERROR(IF(0=LEN(ReferenceData!$AE$2),"",ReferenceData!$AE$2),"")</f>
        <v>2/2016</v>
      </c>
      <c r="AF2" t="str">
        <f>IFERROR(IF(0=LEN(ReferenceData!$AF$2),"",ReferenceData!$AF$2),"")</f>
        <v>1/2016</v>
      </c>
      <c r="AG2" t="str">
        <f>IFERROR(IF(0=LEN(ReferenceData!$AG$2),"",ReferenceData!$AG$2),"")</f>
        <v>12/2015</v>
      </c>
      <c r="AH2" t="str">
        <f>IFERROR(IF(0=LEN(ReferenceData!$AH$2),"",ReferenceData!$AH$2),"")</f>
        <v>11/2015</v>
      </c>
      <c r="AI2" t="str">
        <f>IFERROR(IF(0=LEN(ReferenceData!$AI$2),"",ReferenceData!$AI$2),"")</f>
        <v>10/2015</v>
      </c>
      <c r="AJ2" t="str">
        <f>IFERROR(IF(0=LEN(ReferenceData!$AJ$2),"",ReferenceData!$AJ$2),"")</f>
        <v>9/2015</v>
      </c>
      <c r="AK2" t="str">
        <f>IFERROR(IF(0=LEN(ReferenceData!$AK$2),"",ReferenceData!$AK$2),"")</f>
        <v>8/2015</v>
      </c>
      <c r="AL2" t="str">
        <f>IFERROR(IF(0=LEN(ReferenceData!$AL$2),"",ReferenceData!$AL$2),"")</f>
        <v>7/2015</v>
      </c>
      <c r="AM2" t="str">
        <f>IFERROR(IF(0=LEN(ReferenceData!$AM$2),"",ReferenceData!$AM$2),"")</f>
        <v>6/2015</v>
      </c>
      <c r="AN2" t="str">
        <f>IFERROR(IF(0=LEN(ReferenceData!$AN$2),"",ReferenceData!$AN$2),"")</f>
        <v>5/2015</v>
      </c>
      <c r="AO2" t="str">
        <f>IFERROR(IF(0=LEN(ReferenceData!$AO$2),"",ReferenceData!$AO$2),"")</f>
        <v>4/2015</v>
      </c>
      <c r="AP2" t="str">
        <f>IFERROR(IF(0=LEN(ReferenceData!$AP$2),"",ReferenceData!$AP$2),"")</f>
        <v>3/2015</v>
      </c>
      <c r="AQ2" t="str">
        <f>IFERROR(IF(0=LEN(ReferenceData!$AQ$2),"",ReferenceData!$AQ$2),"")</f>
        <v>2/2015</v>
      </c>
      <c r="AR2" t="str">
        <f>IFERROR(IF(0=LEN(ReferenceData!$AR$2),"",ReferenceData!$AR$2),"")</f>
        <v>1/2015</v>
      </c>
      <c r="AS2" t="str">
        <f>IFERROR(IF(0=LEN(ReferenceData!$AS$2),"",ReferenceData!$AS$2),"")</f>
        <v>12/2014</v>
      </c>
      <c r="AT2" t="str">
        <f>IFERROR(IF(0=LEN(ReferenceData!$AT$2),"",ReferenceData!$AT$2),"")</f>
        <v>11/2014</v>
      </c>
      <c r="AU2" t="str">
        <f>IFERROR(IF(0=LEN(ReferenceData!$AU$2),"",ReferenceData!$AU$2),"")</f>
        <v>10/2014</v>
      </c>
      <c r="AV2" t="str">
        <f>IFERROR(IF(0=LEN(ReferenceData!$AV$2),"",ReferenceData!$AV$2),"")</f>
        <v>9/2014</v>
      </c>
      <c r="AW2" t="str">
        <f>IFERROR(IF(0=LEN(ReferenceData!$AW$2),"",ReferenceData!$AW$2),"")</f>
        <v>8/2014</v>
      </c>
      <c r="AX2" t="str">
        <f>IFERROR(IF(0=LEN(ReferenceData!$AX$2),"",ReferenceData!$AX$2),"")</f>
        <v>7/2014</v>
      </c>
      <c r="AY2" t="str">
        <f>IFERROR(IF(0=LEN(ReferenceData!$AY$2),"",ReferenceData!$AY$2),"")</f>
        <v>6/2014</v>
      </c>
      <c r="AZ2" t="str">
        <f>IFERROR(IF(0=LEN(ReferenceData!$AZ$2),"",ReferenceData!$AZ$2),"")</f>
        <v>5/2014</v>
      </c>
      <c r="BA2" t="str">
        <f>IFERROR(IF(0=LEN(ReferenceData!$BA$2),"",ReferenceData!$BA$2),"")</f>
        <v>4/2014</v>
      </c>
      <c r="BB2" t="str">
        <f>IFERROR(IF(0=LEN(ReferenceData!$BB$2),"",ReferenceData!$BB$2),"")</f>
        <v>3/2014</v>
      </c>
      <c r="BC2" t="str">
        <f>IFERROR(IF(0=LEN(ReferenceData!$BC$2),"",ReferenceData!$BC$2),"")</f>
        <v>2/2014</v>
      </c>
      <c r="BD2" t="str">
        <f>IFERROR(IF(0=LEN(ReferenceData!$BD$2),"",ReferenceData!$BD$2),"")</f>
        <v>1/2014</v>
      </c>
      <c r="BE2" t="str">
        <f>IFERROR(IF(0=LEN(ReferenceData!$BE$2),"",ReferenceData!$BE$2),"")</f>
        <v>12/2013</v>
      </c>
      <c r="BF2" t="str">
        <f>IFERROR(IF(0=LEN(ReferenceData!$BF$2),"",ReferenceData!$BF$2),"")</f>
        <v>11/2013</v>
      </c>
      <c r="BG2" t="str">
        <f>IFERROR(IF(0=LEN(ReferenceData!$BG$2),"",ReferenceData!$BG$2),"")</f>
        <v>10/2013</v>
      </c>
      <c r="BH2" t="str">
        <f>IFERROR(IF(0=LEN(ReferenceData!$BH$2),"",ReferenceData!$BH$2),"")</f>
        <v>9/2013</v>
      </c>
      <c r="BI2" t="str">
        <f>IFERROR(IF(0=LEN(ReferenceData!$BI$2),"",ReferenceData!$BI$2),"")</f>
        <v>8/2013</v>
      </c>
      <c r="BJ2" t="str">
        <f>IFERROR(IF(0=LEN(ReferenceData!$BJ$2),"",ReferenceData!$BJ$2),"")</f>
        <v>7/2013</v>
      </c>
      <c r="BK2" t="str">
        <f>IFERROR(IF(0=LEN(ReferenceData!$BK$2),"",ReferenceData!$BK$2),"")</f>
        <v>6/2013</v>
      </c>
      <c r="BL2" t="str">
        <f>IFERROR(IF(0=LEN(ReferenceData!$BL$2),"",ReferenceData!$BL$2),"")</f>
        <v>5/2013</v>
      </c>
      <c r="BM2" t="str">
        <f>IFERROR(IF(0=LEN(ReferenceData!$BM$2),"",ReferenceData!$BM$2),"")</f>
        <v>4/2013</v>
      </c>
      <c r="BN2" t="str">
        <f>IFERROR(IF(0=LEN(ReferenceData!$BN$2),"",ReferenceData!$BN$2),"")</f>
        <v>3/2013</v>
      </c>
      <c r="BO2" t="str">
        <f>IFERROR(IF(0=LEN(ReferenceData!$BO$2),"",ReferenceData!$BO$2),"")</f>
        <v>2/2013</v>
      </c>
      <c r="BP2" t="str">
        <f>IFERROR(IF(0=LEN(ReferenceData!$BP$2),"",ReferenceData!$BP$2),"")</f>
        <v>1/2013</v>
      </c>
      <c r="BQ2" t="str">
        <f>IFERROR(IF(0=LEN(ReferenceData!$BQ$2),"",ReferenceData!$BQ$2),"")</f>
        <v>12/2012</v>
      </c>
      <c r="BR2" t="str">
        <f>IFERROR(IF(0=LEN(ReferenceData!$BR$2),"",ReferenceData!$BR$2),"")</f>
        <v>11/2012</v>
      </c>
      <c r="BS2" t="str">
        <f>IFERROR(IF(0=LEN(ReferenceData!$BS$2),"",ReferenceData!$BS$2),"")</f>
        <v>10/2012</v>
      </c>
      <c r="BT2" t="str">
        <f>IFERROR(IF(0=LEN(ReferenceData!$BT$2),"",ReferenceData!$BT$2),"")</f>
        <v>9/2012</v>
      </c>
      <c r="BU2" t="str">
        <f>IFERROR(IF(0=LEN(ReferenceData!$BU$2),"",ReferenceData!$BU$2),"")</f>
        <v>8/2012</v>
      </c>
      <c r="BV2" t="str">
        <f>IFERROR(IF(0=LEN(ReferenceData!$BV$2),"",ReferenceData!$BV$2),"")</f>
        <v>7/2012</v>
      </c>
      <c r="BW2" t="str">
        <f>IFERROR(IF(0=LEN(ReferenceData!$BW$2),"",ReferenceData!$BW$2),"")</f>
        <v>6/2012</v>
      </c>
      <c r="BX2" t="str">
        <f>IFERROR(IF(0=LEN(ReferenceData!$BX$2),"",ReferenceData!$BX$2),"")</f>
        <v>5/2012</v>
      </c>
      <c r="BY2" t="str">
        <f>IFERROR(IF(0=LEN(ReferenceData!$BY$2),"",ReferenceData!$BY$2),"")</f>
        <v>4/2012</v>
      </c>
      <c r="BZ2" t="str">
        <f>IFERROR(IF(0=LEN(ReferenceData!$BZ$2),"",ReferenceData!$BZ$2),"")</f>
        <v>3/2012</v>
      </c>
      <c r="CA2" t="str">
        <f>IFERROR(IF(0=LEN(ReferenceData!$CA$2),"",ReferenceData!$CA$2),"")</f>
        <v>2/2012</v>
      </c>
      <c r="CB2" t="str">
        <f>IFERROR(IF(0=LEN(ReferenceData!$CB$2),"",ReferenceData!$CB$2),"")</f>
        <v>1/2012</v>
      </c>
      <c r="CC2" t="str">
        <f>IFERROR(IF(0=LEN(ReferenceData!$CC$2),"",ReferenceData!$CC$2),"")</f>
        <v>12/2011</v>
      </c>
      <c r="CD2" t="str">
        <f>IFERROR(IF(0=LEN(ReferenceData!$CD$2),"",ReferenceData!$CD$2),"")</f>
        <v>11/2011</v>
      </c>
      <c r="CE2" t="str">
        <f>IFERROR(IF(0=LEN(ReferenceData!$CE$2),"",ReferenceData!$CE$2),"")</f>
        <v>10/2011</v>
      </c>
      <c r="CF2" t="str">
        <f>IFERROR(IF(0=LEN(ReferenceData!$CF$2),"",ReferenceData!$CF$2),"")</f>
        <v>9/2011</v>
      </c>
      <c r="CG2" t="str">
        <f>IFERROR(IF(0=LEN(ReferenceData!$CG$2),"",ReferenceData!$CG$2),"")</f>
        <v>8/2011</v>
      </c>
      <c r="CH2" t="str">
        <f>IFERROR(IF(0=LEN(ReferenceData!$CH$2),"",ReferenceData!$CH$2),"")</f>
        <v>7/2011</v>
      </c>
      <c r="CI2" t="str">
        <f>IFERROR(IF(0=LEN(ReferenceData!$CI$2),"",ReferenceData!$CI$2),"")</f>
        <v>6/2011</v>
      </c>
      <c r="CJ2" t="str">
        <f>IFERROR(IF(0=LEN(ReferenceData!$CJ$2),"",ReferenceData!$CJ$2),"")</f>
        <v>5/2011</v>
      </c>
      <c r="CK2" t="str">
        <f>IFERROR(IF(0=LEN(ReferenceData!$CK$2),"",ReferenceData!$CK$2),"")</f>
        <v>4/2011</v>
      </c>
    </row>
    <row r="3" spans="1:89">
      <c r="A3" t="str">
        <f>IFERROR(IF(0=LEN(ReferenceData!$A$3),"",ReferenceData!$A$3),"")</f>
        <v>P/FFO TTM</v>
      </c>
      <c r="B3" t="str">
        <f>IFERROR(IF(0=LEN(ReferenceData!$B$3),"",ReferenceData!$B$3),"")</f>
        <v>BRFREITV Index</v>
      </c>
      <c r="C3" t="str">
        <f>IFERROR(IF(0=LEN(ReferenceData!$C$3),"",ReferenceData!$C$3),"")</f>
        <v/>
      </c>
      <c r="D3" t="str">
        <f>IFERROR(IF(0=LEN(ReferenceData!$D$3),"",ReferenceData!$D$3),"")</f>
        <v/>
      </c>
      <c r="E3" t="str">
        <f>IFERROR(IF(0=LEN(ReferenceData!$E$3),"",ReferenceData!$E$3),"")</f>
        <v>Median</v>
      </c>
      <c r="F3">
        <f ca="1">IFERROR(IF(0=LEN(ReferenceData!$F$3),"",ReferenceData!$F$3),"")</f>
        <v>18.787974349999999</v>
      </c>
      <c r="G3">
        <f ca="1">IFERROR(IF(0=LEN(ReferenceData!$G$3),"",ReferenceData!$G$3),"")</f>
        <v>17.794303800000002</v>
      </c>
      <c r="H3">
        <f ca="1">IFERROR(IF(0=LEN(ReferenceData!$H$3),"",ReferenceData!$H$3),"")</f>
        <v>19.496835440000002</v>
      </c>
      <c r="I3">
        <f ca="1">IFERROR(IF(0=LEN(ReferenceData!$I$3),"",ReferenceData!$I$3),"")</f>
        <v>20.269435609999999</v>
      </c>
      <c r="J3">
        <f ca="1">IFERROR(IF(0=LEN(ReferenceData!$J$3),"",ReferenceData!$J$3),"")</f>
        <v>21.023866290000001</v>
      </c>
      <c r="K3">
        <f ca="1">IFERROR(IF(0=LEN(ReferenceData!$K$3),"",ReferenceData!$K$3),"")</f>
        <v>21.196721310000001</v>
      </c>
      <c r="L3">
        <f ca="1">IFERROR(IF(0=LEN(ReferenceData!$L$3),"",ReferenceData!$L$3),"")</f>
        <v>20.78142077</v>
      </c>
      <c r="M3">
        <f ca="1">IFERROR(IF(0=LEN(ReferenceData!$M$3),"",ReferenceData!$M$3),"")</f>
        <v>21.23128316</v>
      </c>
      <c r="N3">
        <f ca="1">IFERROR(IF(0=LEN(ReferenceData!$N$3),"",ReferenceData!$N$3),"")</f>
        <v>21.378950509999999</v>
      </c>
      <c r="O3">
        <f ca="1">IFERROR(IF(0=LEN(ReferenceData!$O$3),"",ReferenceData!$O$3),"")</f>
        <v>21.235483869999999</v>
      </c>
      <c r="P3">
        <f ca="1">IFERROR(IF(0=LEN(ReferenceData!$P$3),"",ReferenceData!$P$3),"")</f>
        <v>20.151702790000002</v>
      </c>
      <c r="Q3">
        <f ca="1">IFERROR(IF(0=LEN(ReferenceData!$Q$3),"",ReferenceData!$Q$3),"")</f>
        <v>19.993808049999998</v>
      </c>
      <c r="R3">
        <f ca="1">IFERROR(IF(0=LEN(ReferenceData!$R$3),"",ReferenceData!$R$3),"")</f>
        <v>19.263157889999999</v>
      </c>
      <c r="S3">
        <f ca="1">IFERROR(IF(0=LEN(ReferenceData!$S$3),"",ReferenceData!$S$3),"")</f>
        <v>20.29543481</v>
      </c>
      <c r="T3">
        <f ca="1">IFERROR(IF(0=LEN(ReferenceData!$T$3),"",ReferenceData!$T$3),"")</f>
        <v>19.433573880000001</v>
      </c>
      <c r="U3">
        <f ca="1">IFERROR(IF(0=LEN(ReferenceData!$U$3),"",ReferenceData!$U$3),"")</f>
        <v>20.28431402</v>
      </c>
      <c r="V3">
        <f ca="1">IFERROR(IF(0=LEN(ReferenceData!$V$3),"",ReferenceData!$V$3),"")</f>
        <v>19.580841150000001</v>
      </c>
      <c r="W3">
        <f ca="1">IFERROR(IF(0=LEN(ReferenceData!$W$3),"",ReferenceData!$W$3),"")</f>
        <v>19.835293589999999</v>
      </c>
      <c r="X3">
        <f ca="1">IFERROR(IF(0=LEN(ReferenceData!$X$3),"",ReferenceData!$X$3),"")</f>
        <v>20.63300426</v>
      </c>
      <c r="Y3">
        <f ca="1">IFERROR(IF(0=LEN(ReferenceData!$Y$3),"",ReferenceData!$Y$3),"")</f>
        <v>20.502891330000001</v>
      </c>
      <c r="Z3">
        <f ca="1">IFERROR(IF(0=LEN(ReferenceData!$Z$3),"",ReferenceData!$Z$3),"")</f>
        <v>21.489002330000002</v>
      </c>
      <c r="AA3">
        <f ca="1">IFERROR(IF(0=LEN(ReferenceData!$AA$3),"",ReferenceData!$AA$3),"")</f>
        <v>21.694198069999999</v>
      </c>
      <c r="AB3">
        <f ca="1">IFERROR(IF(0=LEN(ReferenceData!$AB$3),"",ReferenceData!$AB$3),"")</f>
        <v>21.60929578</v>
      </c>
      <c r="AC3">
        <f ca="1">IFERROR(IF(0=LEN(ReferenceData!$AC$3),"",ReferenceData!$AC$3),"")</f>
        <v>20.94356393</v>
      </c>
      <c r="AD3">
        <f ca="1">IFERROR(IF(0=LEN(ReferenceData!$AD$3),"",ReferenceData!$AD$3),"")</f>
        <v>23.08517178</v>
      </c>
      <c r="AE3">
        <f ca="1">IFERROR(IF(0=LEN(ReferenceData!$AE$3),"",ReferenceData!$AE$3),"")</f>
        <v>20.589706469999999</v>
      </c>
      <c r="AF3">
        <f ca="1">IFERROR(IF(0=LEN(ReferenceData!$AF$3),"",ReferenceData!$AF$3),"")</f>
        <v>21.30560668</v>
      </c>
      <c r="AG3">
        <f ca="1">IFERROR(IF(0=LEN(ReferenceData!$AG$3),"",ReferenceData!$AG$3),"")</f>
        <v>22.532923740000001</v>
      </c>
      <c r="AH3">
        <f ca="1">IFERROR(IF(0=LEN(ReferenceData!$AH$3),"",ReferenceData!$AH$3),"")</f>
        <v>22.270653299999999</v>
      </c>
      <c r="AI3">
        <f ca="1">IFERROR(IF(0=LEN(ReferenceData!$AI$3),"",ReferenceData!$AI$3),"")</f>
        <v>20.792379100000002</v>
      </c>
      <c r="AJ3">
        <f ca="1">IFERROR(IF(0=LEN(ReferenceData!$AJ$3),"",ReferenceData!$AJ$3),"")</f>
        <v>20.804446649999999</v>
      </c>
      <c r="AK3">
        <f ca="1">IFERROR(IF(0=LEN(ReferenceData!$AK$3),"",ReferenceData!$AK$3),"")</f>
        <v>18.862362124999997</v>
      </c>
      <c r="AL3">
        <f ca="1">IFERROR(IF(0=LEN(ReferenceData!$AL$3),"",ReferenceData!$AL$3),"")</f>
        <v>20.124428514999998</v>
      </c>
      <c r="AM3">
        <f ca="1">IFERROR(IF(0=LEN(ReferenceData!$AM$3),"",ReferenceData!$AM$3),"")</f>
        <v>18.748727209999998</v>
      </c>
      <c r="AN3">
        <f ca="1">IFERROR(IF(0=LEN(ReferenceData!$AN$3),"",ReferenceData!$AN$3),"")</f>
        <v>20.232608219999999</v>
      </c>
      <c r="AO3">
        <f ca="1">IFERROR(IF(0=LEN(ReferenceData!$AO$3),"",ReferenceData!$AO$3),"")</f>
        <v>20.040339045</v>
      </c>
      <c r="AP3">
        <f ca="1">IFERROR(IF(0=LEN(ReferenceData!$AP$3),"",ReferenceData!$AP$3),"")</f>
        <v>21.093714694999999</v>
      </c>
      <c r="AQ3">
        <f ca="1">IFERROR(IF(0=LEN(ReferenceData!$AQ$3),"",ReferenceData!$AQ$3),"")</f>
        <v>20.711104445</v>
      </c>
      <c r="AR3">
        <f ca="1">IFERROR(IF(0=LEN(ReferenceData!$AR$3),"",ReferenceData!$AR$3),"")</f>
        <v>21.558364155</v>
      </c>
      <c r="AS3">
        <f ca="1">IFERROR(IF(0=LEN(ReferenceData!$AS$3),"",ReferenceData!$AS$3),"")</f>
        <v>20.241705809999999</v>
      </c>
      <c r="AT3">
        <f ca="1">IFERROR(IF(0=LEN(ReferenceData!$AT$3),"",ReferenceData!$AT$3),"")</f>
        <v>20.468996404999999</v>
      </c>
      <c r="AU3">
        <f ca="1">IFERROR(IF(0=LEN(ReferenceData!$AU$3),"",ReferenceData!$AU$3),"")</f>
        <v>20.114097819999998</v>
      </c>
      <c r="AV3">
        <f ca="1">IFERROR(IF(0=LEN(ReferenceData!$AV$3),"",ReferenceData!$AV$3),"")</f>
        <v>18.09832415</v>
      </c>
      <c r="AW3">
        <f ca="1">IFERROR(IF(0=LEN(ReferenceData!$AW$3),"",ReferenceData!$AW$3),"")</f>
        <v>20.48792795</v>
      </c>
      <c r="AX3">
        <f ca="1">IFERROR(IF(0=LEN(ReferenceData!$AX$3),"",ReferenceData!$AX$3),"")</f>
        <v>19.875907265000002</v>
      </c>
      <c r="AY3">
        <f ca="1">IFERROR(IF(0=LEN(ReferenceData!$AY$3),"",ReferenceData!$AY$3),"")</f>
        <v>19.444080800000002</v>
      </c>
      <c r="AZ3">
        <f ca="1">IFERROR(IF(0=LEN(ReferenceData!$AZ$3),"",ReferenceData!$AZ$3),"")</f>
        <v>19.339308385000002</v>
      </c>
      <c r="BA3">
        <f ca="1">IFERROR(IF(0=LEN(ReferenceData!$BA$3),"",ReferenceData!$BA$3),"")</f>
        <v>18.712038114999999</v>
      </c>
      <c r="BB3">
        <f ca="1">IFERROR(IF(0=LEN(ReferenceData!$BB$3),"",ReferenceData!$BB$3),"")</f>
        <v>18.317714420000001</v>
      </c>
      <c r="BC3">
        <f ca="1">IFERROR(IF(0=LEN(ReferenceData!$BC$3),"",ReferenceData!$BC$3),"")</f>
        <v>19.138627085</v>
      </c>
      <c r="BD3">
        <f ca="1">IFERROR(IF(0=LEN(ReferenceData!$BD$3),"",ReferenceData!$BD$3),"")</f>
        <v>17.959628549999998</v>
      </c>
      <c r="BE3">
        <f ca="1">IFERROR(IF(0=LEN(ReferenceData!$BE$3),"",ReferenceData!$BE$3),"")</f>
        <v>16.714285709999999</v>
      </c>
      <c r="BF3">
        <f ca="1">IFERROR(IF(0=LEN(ReferenceData!$BF$3),"",ReferenceData!$BF$3),"")</f>
        <v>16.621428569999999</v>
      </c>
      <c r="BG3">
        <f ca="1">IFERROR(IF(0=LEN(ReferenceData!$BG$3),"",ReferenceData!$BG$3),"")</f>
        <v>17.72142857</v>
      </c>
      <c r="BH3">
        <f ca="1">IFERROR(IF(0=LEN(ReferenceData!$BH$3),"",ReferenceData!$BH$3),"")</f>
        <v>16.928571430000002</v>
      </c>
      <c r="BI3">
        <f ca="1">IFERROR(IF(0=LEN(ReferenceData!$BI$3),"",ReferenceData!$BI$3),"")</f>
        <v>16.610294119999999</v>
      </c>
      <c r="BJ3">
        <f ca="1">IFERROR(IF(0=LEN(ReferenceData!$BJ$3),"",ReferenceData!$BJ$3),"")</f>
        <v>18.41176471</v>
      </c>
      <c r="BK3">
        <f ca="1">IFERROR(IF(0=LEN(ReferenceData!$BK$3),"",ReferenceData!$BK$3),"")</f>
        <v>18.742647059999999</v>
      </c>
      <c r="BL3">
        <f ca="1">IFERROR(IF(0=LEN(ReferenceData!$BL$3),"",ReferenceData!$BL$3),"")</f>
        <v>18.462121209999999</v>
      </c>
      <c r="BM3">
        <f ca="1">IFERROR(IF(0=LEN(ReferenceData!$BM$3),"",ReferenceData!$BM$3),"")</f>
        <v>19.2393617</v>
      </c>
      <c r="BN3">
        <f ca="1">IFERROR(IF(0=LEN(ReferenceData!$BN$3),"",ReferenceData!$BN$3),"")</f>
        <v>18.325757580000001</v>
      </c>
      <c r="BO3">
        <f ca="1">IFERROR(IF(0=LEN(ReferenceData!$BO$3),"",ReferenceData!$BO$3),"")</f>
        <v>18.075757580000001</v>
      </c>
      <c r="BP3">
        <f ca="1">IFERROR(IF(0=LEN(ReferenceData!$BP$3),"",ReferenceData!$BP$3),"")</f>
        <v>18.098484849999998</v>
      </c>
      <c r="BQ3">
        <f ca="1">IFERROR(IF(0=LEN(ReferenceData!$BQ$3),"",ReferenceData!$BQ$3),"")</f>
        <v>18.280645159999999</v>
      </c>
      <c r="BR3">
        <f ca="1">IFERROR(IF(0=LEN(ReferenceData!$BR$3),"",ReferenceData!$BR$3),"")</f>
        <v>18.825214899999999</v>
      </c>
      <c r="BS3">
        <f ca="1">IFERROR(IF(0=LEN(ReferenceData!$BS$3),"",ReferenceData!$BS$3),"")</f>
        <v>18.80515759</v>
      </c>
      <c r="BT3">
        <f ca="1">IFERROR(IF(0=LEN(ReferenceData!$BT$3),"",ReferenceData!$BT$3),"")</f>
        <v>18.478510029999999</v>
      </c>
      <c r="BU3">
        <f ca="1">IFERROR(IF(0=LEN(ReferenceData!$BU$3),"",ReferenceData!$BU$3),"")</f>
        <v>20.849849849999998</v>
      </c>
      <c r="BV3">
        <f ca="1">IFERROR(IF(0=LEN(ReferenceData!$BV$3),"",ReferenceData!$BV$3),"")</f>
        <v>21.414414409999999</v>
      </c>
      <c r="BW3">
        <f ca="1">IFERROR(IF(0=LEN(ReferenceData!$BW$3),"",ReferenceData!$BW$3),"")</f>
        <v>20.321321319999999</v>
      </c>
      <c r="BX3">
        <f ca="1">IFERROR(IF(0=LEN(ReferenceData!$BX$3),"",ReferenceData!$BX$3),"")</f>
        <v>22.926056339999999</v>
      </c>
      <c r="BY3">
        <f ca="1">IFERROR(IF(0=LEN(ReferenceData!$BY$3),"",ReferenceData!$BY$3),"")</f>
        <v>23.827464790000001</v>
      </c>
      <c r="BZ3">
        <f ca="1">IFERROR(IF(0=LEN(ReferenceData!$BZ$3),"",ReferenceData!$BZ$3),"")</f>
        <v>23.151408450000002</v>
      </c>
      <c r="CA3">
        <f ca="1">IFERROR(IF(0=LEN(ReferenceData!$CA$3),"",ReferenceData!$CA$3),"")</f>
        <v>22.710622709999999</v>
      </c>
      <c r="CB3">
        <f ca="1">IFERROR(IF(0=LEN(ReferenceData!$CB$3),"",ReferenceData!$CB$3),"")</f>
        <v>23.62637363</v>
      </c>
      <c r="CC3">
        <f ca="1">IFERROR(IF(0=LEN(ReferenceData!$CC$3),"",ReferenceData!$CC$3),"")</f>
        <v>22.798534799999999</v>
      </c>
      <c r="CD3">
        <f ca="1">IFERROR(IF(0=LEN(ReferenceData!$CD$3),"",ReferenceData!$CD$3),"")</f>
        <v>22.034351149999999</v>
      </c>
      <c r="CE3">
        <f ca="1">IFERROR(IF(0=LEN(ReferenceData!$CE$3),"",ReferenceData!$CE$3),"")</f>
        <v>23.145038169999999</v>
      </c>
      <c r="CF3">
        <f ca="1">IFERROR(IF(0=LEN(ReferenceData!$CF$3),"",ReferenceData!$CF$3),"")</f>
        <v>21.09160305</v>
      </c>
      <c r="CG3">
        <f ca="1">IFERROR(IF(0=LEN(ReferenceData!$CG$3),"",ReferenceData!$CG$3),"")</f>
        <v>26.728000000000002</v>
      </c>
      <c r="CH3">
        <f ca="1">IFERROR(IF(0=LEN(ReferenceData!$CH$3),"",ReferenceData!$CH$3),"")</f>
        <v>26.40496976</v>
      </c>
      <c r="CI3">
        <f ca="1">IFERROR(IF(0=LEN(ReferenceData!$CI$3),"",ReferenceData!$CI$3),"")</f>
        <v>25.448</v>
      </c>
      <c r="CJ3">
        <f ca="1">IFERROR(IF(0=LEN(ReferenceData!$CJ$3),"",ReferenceData!$CJ$3),"")</f>
        <v>23.289855070000002</v>
      </c>
      <c r="CK3">
        <f ca="1">IFERROR(IF(0=LEN(ReferenceData!$CK$3),"",ReferenceData!$CK$3),"")</f>
        <v>23.116071430000002</v>
      </c>
    </row>
    <row r="4" spans="1:89">
      <c r="A4" t="str">
        <f>IFERROR(IF(0=LEN(ReferenceData!$A$4),"",ReferenceData!$A$4),"")</f>
        <v xml:space="preserve">    公寓投资与管理</v>
      </c>
      <c r="B4" t="str">
        <f>IFERROR(IF(0=LEN(ReferenceData!$B$4),"",ReferenceData!$B$4),"")</f>
        <v>AIV US Equity</v>
      </c>
      <c r="C4" t="str">
        <f>IFERROR(IF(0=LEN(ReferenceData!$C$4),"",ReferenceData!$C$4),"")</f>
        <v>RR857</v>
      </c>
      <c r="D4" t="str">
        <f>IFERROR(IF(0=LEN(ReferenceData!$D$4),"",ReferenceData!$D$4),"")</f>
        <v>PX_TO_FFO_RATIO</v>
      </c>
      <c r="E4" t="str">
        <f>IFERROR(IF(0=LEN(ReferenceData!$E$4),"",ReferenceData!$E$4),"")</f>
        <v>动态</v>
      </c>
      <c r="F4">
        <f ca="1">IFERROR(IF(0=LEN(ReferenceData!$F$4),"",ReferenceData!$F$4),"")</f>
        <v>16.34285714</v>
      </c>
      <c r="G4">
        <f ca="1">IFERROR(IF(0=LEN(ReferenceData!$G$4),"",ReferenceData!$G$4),"")</f>
        <v>15.77959184</v>
      </c>
      <c r="H4">
        <f ca="1">IFERROR(IF(0=LEN(ReferenceData!$H$4),"",ReferenceData!$H$4),"")</f>
        <v>17.077551020000001</v>
      </c>
      <c r="I4">
        <f ca="1">IFERROR(IF(0=LEN(ReferenceData!$I$4),"",ReferenceData!$I$4),"")</f>
        <v>17.840816329999999</v>
      </c>
      <c r="J4">
        <f ca="1">IFERROR(IF(0=LEN(ReferenceData!$J$4),"",ReferenceData!$J$4),"")</f>
        <v>18.219008259999999</v>
      </c>
      <c r="K4">
        <f ca="1">IFERROR(IF(0=LEN(ReferenceData!$K$4),"",ReferenceData!$K$4),"")</f>
        <v>18.173553720000001</v>
      </c>
      <c r="L4">
        <f ca="1">IFERROR(IF(0=LEN(ReferenceData!$L$4),"",ReferenceData!$L$4),"")</f>
        <v>18.123966939999999</v>
      </c>
      <c r="M4">
        <f ca="1">IFERROR(IF(0=LEN(ReferenceData!$M$4),"",ReferenceData!$M$4),"")</f>
        <v>19.454935620000001</v>
      </c>
      <c r="N4">
        <f ca="1">IFERROR(IF(0=LEN(ReferenceData!$N$4),"",ReferenceData!$N$4),"")</f>
        <v>19.54935622</v>
      </c>
      <c r="O4">
        <f ca="1">IFERROR(IF(0=LEN(ReferenceData!$O$4),"",ReferenceData!$O$4),"")</f>
        <v>18.442060089999998</v>
      </c>
      <c r="P4">
        <f ca="1">IFERROR(IF(0=LEN(ReferenceData!$P$4),"",ReferenceData!$P$4),"")</f>
        <v>18.58008658</v>
      </c>
      <c r="Q4">
        <f ca="1">IFERROR(IF(0=LEN(ReferenceData!$Q$4),"",ReferenceData!$Q$4),"")</f>
        <v>18.93506494</v>
      </c>
      <c r="R4">
        <f ca="1">IFERROR(IF(0=LEN(ReferenceData!$R$4),"",ReferenceData!$R$4),"")</f>
        <v>19.1991342</v>
      </c>
      <c r="S4">
        <f ca="1">IFERROR(IF(0=LEN(ReferenceData!$S$4),"",ReferenceData!$S$4),"")</f>
        <v>20.23043478</v>
      </c>
      <c r="T4">
        <f ca="1">IFERROR(IF(0=LEN(ReferenceData!$T$4),"",ReferenceData!$T$4),"")</f>
        <v>19.160869569999999</v>
      </c>
      <c r="U4">
        <f ca="1">IFERROR(IF(0=LEN(ReferenceData!$U$4),"",ReferenceData!$U$4),"")</f>
        <v>19.760869570000001</v>
      </c>
      <c r="V4">
        <f ca="1">IFERROR(IF(0=LEN(ReferenceData!$V$4),"",ReferenceData!$V$4),"")</f>
        <v>18.46491228</v>
      </c>
      <c r="W4">
        <f ca="1">IFERROR(IF(0=LEN(ReferenceData!$W$4),"",ReferenceData!$W$4),"")</f>
        <v>19.328947370000002</v>
      </c>
      <c r="X4">
        <f ca="1">IFERROR(IF(0=LEN(ReferenceData!$X$4),"",ReferenceData!$X$4),"")</f>
        <v>20.135964909999998</v>
      </c>
      <c r="Y4">
        <f ca="1">IFERROR(IF(0=LEN(ReferenceData!$Y$4),"",ReferenceData!$Y$4),"")</f>
        <v>19.558441559999999</v>
      </c>
      <c r="Z4">
        <f ca="1">IFERROR(IF(0=LEN(ReferenceData!$Z$4),"",ReferenceData!$Z$4),"")</f>
        <v>19.900432899999998</v>
      </c>
      <c r="AA4">
        <f ca="1">IFERROR(IF(0=LEN(ReferenceData!$AA$4),"",ReferenceData!$AA$4),"")</f>
        <v>19.116883120000001</v>
      </c>
      <c r="AB4">
        <f ca="1">IFERROR(IF(0=LEN(ReferenceData!$AB$4),"",ReferenceData!$AB$4),"")</f>
        <v>18.706140349999998</v>
      </c>
      <c r="AC4">
        <f ca="1">IFERROR(IF(0=LEN(ReferenceData!$AC$4),"",ReferenceData!$AC$4),"")</f>
        <v>17.57017544</v>
      </c>
      <c r="AD4">
        <f ca="1">IFERROR(IF(0=LEN(ReferenceData!$AD$4),"",ReferenceData!$AD$4),"")</f>
        <v>18.34210526</v>
      </c>
      <c r="AE4">
        <f ca="1">IFERROR(IF(0=LEN(ReferenceData!$AE$4),"",ReferenceData!$AE$4),"")</f>
        <v>16.49099099</v>
      </c>
      <c r="AF4">
        <f ca="1">IFERROR(IF(0=LEN(ReferenceData!$AF$4),"",ReferenceData!$AF$4),"")</f>
        <v>17.635135139999999</v>
      </c>
      <c r="AG4">
        <f ca="1">IFERROR(IF(0=LEN(ReferenceData!$AG$4),"",ReferenceData!$AG$4),"")</f>
        <v>18.031531529999999</v>
      </c>
      <c r="AH4">
        <f ca="1">IFERROR(IF(0=LEN(ReferenceData!$AH$4),"",ReferenceData!$AH$4),"")</f>
        <v>17.481651379999999</v>
      </c>
      <c r="AI4">
        <f ca="1">IFERROR(IF(0=LEN(ReferenceData!$AI$4),"",ReferenceData!$AI$4),"")</f>
        <v>17.977064219999999</v>
      </c>
      <c r="AJ4">
        <f ca="1">IFERROR(IF(0=LEN(ReferenceData!$AJ$4),"",ReferenceData!$AJ$4),"")</f>
        <v>16.981651379999999</v>
      </c>
      <c r="AK4">
        <f ca="1">IFERROR(IF(0=LEN(ReferenceData!$AK$4),"",ReferenceData!$AK$4),"")</f>
        <v>16.995283019999999</v>
      </c>
      <c r="AL4">
        <f ca="1">IFERROR(IF(0=LEN(ReferenceData!$AL$4),"",ReferenceData!$AL$4),"")</f>
        <v>18.433962260000001</v>
      </c>
      <c r="AM4">
        <f ca="1">IFERROR(IF(0=LEN(ReferenceData!$AM$4),"",ReferenceData!$AM$4),"")</f>
        <v>17.419811320000001</v>
      </c>
      <c r="AN4">
        <f ca="1">IFERROR(IF(0=LEN(ReferenceData!$AN$4),"",ReferenceData!$AN$4),"")</f>
        <v>18.23557692</v>
      </c>
      <c r="AO4">
        <f ca="1">IFERROR(IF(0=LEN(ReferenceData!$AO$4),"",ReferenceData!$AO$4),"")</f>
        <v>18.13942308</v>
      </c>
      <c r="AP4">
        <f ca="1">IFERROR(IF(0=LEN(ReferenceData!$AP$4),"",ReferenceData!$AP$4),"")</f>
        <v>18.92307692</v>
      </c>
      <c r="AQ4">
        <f ca="1">IFERROR(IF(0=LEN(ReferenceData!$AQ$4),"",ReferenceData!$AQ$4),"")</f>
        <v>18.20289855</v>
      </c>
      <c r="AR4">
        <f ca="1">IFERROR(IF(0=LEN(ReferenceData!$AR$4),"",ReferenceData!$AR$4),"")</f>
        <v>19.256038650000001</v>
      </c>
      <c r="AS4">
        <f ca="1">IFERROR(IF(0=LEN(ReferenceData!$AS$4),"",ReferenceData!$AS$4),"")</f>
        <v>17.9468599</v>
      </c>
      <c r="AT4">
        <f ca="1">IFERROR(IF(0=LEN(ReferenceData!$AT$4),"",ReferenceData!$AT$4),"")</f>
        <v>17.73809524</v>
      </c>
      <c r="AU4">
        <f ca="1">IFERROR(IF(0=LEN(ReferenceData!$AU$4),"",ReferenceData!$AU$4),"")</f>
        <v>17.042857139999999</v>
      </c>
      <c r="AV4">
        <f ca="1">IFERROR(IF(0=LEN(ReferenceData!$AV$4),"",ReferenceData!$AV$4),"")</f>
        <v>15.15238095</v>
      </c>
      <c r="AW4">
        <f ca="1">IFERROR(IF(0=LEN(ReferenceData!$AW$4),"",ReferenceData!$AW$4),"")</f>
        <v>16.397129190000001</v>
      </c>
      <c r="AX4">
        <f ca="1">IFERROR(IF(0=LEN(ReferenceData!$AX$4),"",ReferenceData!$AX$4),"")</f>
        <v>16.35406699</v>
      </c>
      <c r="AY4">
        <f ca="1">IFERROR(IF(0=LEN(ReferenceData!$AY$4),"",ReferenceData!$AY$4),"")</f>
        <v>15.440191390000001</v>
      </c>
      <c r="AZ4">
        <f ca="1">IFERROR(IF(0=LEN(ReferenceData!$AZ$4),"",ReferenceData!$AZ$4),"")</f>
        <v>15.2815534</v>
      </c>
      <c r="BA4">
        <f ca="1">IFERROR(IF(0=LEN(ReferenceData!$BA$4),"",ReferenceData!$BA$4),"")</f>
        <v>14.96601942</v>
      </c>
      <c r="BB4">
        <f ca="1">IFERROR(IF(0=LEN(ReferenceData!$BB$4),"",ReferenceData!$BB$4),"")</f>
        <v>14.669902909999999</v>
      </c>
      <c r="BC4">
        <f ca="1">IFERROR(IF(0=LEN(ReferenceData!$BC$4),"",ReferenceData!$BC$4),"")</f>
        <v>14.65196078</v>
      </c>
      <c r="BD4">
        <f ca="1">IFERROR(IF(0=LEN(ReferenceData!$BD$4),"",ReferenceData!$BD$4),"")</f>
        <v>13.710784309999999</v>
      </c>
      <c r="BE4">
        <f ca="1">IFERROR(IF(0=LEN(ReferenceData!$BE$4),"",ReferenceData!$BE$4),"")</f>
        <v>12.70098039</v>
      </c>
      <c r="BF4">
        <f ca="1">IFERROR(IF(0=LEN(ReferenceData!$BF$4),"",ReferenceData!$BF$4),"")</f>
        <v>12.61809045</v>
      </c>
      <c r="BG4">
        <f ca="1">IFERROR(IF(0=LEN(ReferenceData!$BG$4),"",ReferenceData!$BG$4),"")</f>
        <v>14.06030151</v>
      </c>
      <c r="BH4">
        <f ca="1">IFERROR(IF(0=LEN(ReferenceData!$BH$4),"",ReferenceData!$BH$4),"")</f>
        <v>14.040201010000001</v>
      </c>
      <c r="BI4">
        <f ca="1">IFERROR(IF(0=LEN(ReferenceData!$BI$4),"",ReferenceData!$BI$4),"")</f>
        <v>14.721925130000001</v>
      </c>
      <c r="BJ4">
        <f ca="1">IFERROR(IF(0=LEN(ReferenceData!$BJ$4),"",ReferenceData!$BJ$4),"")</f>
        <v>15.71122995</v>
      </c>
      <c r="BK4">
        <f ca="1">IFERROR(IF(0=LEN(ReferenceData!$BK$4),"",ReferenceData!$BK$4),"")</f>
        <v>16.064171120000001</v>
      </c>
      <c r="BL4">
        <f ca="1">IFERROR(IF(0=LEN(ReferenceData!$BL$4),"",ReferenceData!$BL$4),"")</f>
        <v>17.19318182</v>
      </c>
      <c r="BM4">
        <f ca="1">IFERROR(IF(0=LEN(ReferenceData!$BM$4),"",ReferenceData!$BM$4),"")</f>
        <v>17.676136360000001</v>
      </c>
      <c r="BN4">
        <f ca="1">IFERROR(IF(0=LEN(ReferenceData!$BN$4),"",ReferenceData!$BN$4),"")</f>
        <v>17.420454549999999</v>
      </c>
      <c r="BO4">
        <f ca="1">IFERROR(IF(0=LEN(ReferenceData!$BO$4),"",ReferenceData!$BO$4),"")</f>
        <v>17.63095238</v>
      </c>
      <c r="BP4">
        <f ca="1">IFERROR(IF(0=LEN(ReferenceData!$BP$4),"",ReferenceData!$BP$4),"")</f>
        <v>16.23809524</v>
      </c>
      <c r="BQ4">
        <f ca="1">IFERROR(IF(0=LEN(ReferenceData!$BQ$4),"",ReferenceData!$BQ$4),"")</f>
        <v>16.10714286</v>
      </c>
      <c r="BR4">
        <f ca="1">IFERROR(IF(0=LEN(ReferenceData!$BR$4),"",ReferenceData!$BR$4),"")</f>
        <v>15.767295600000001</v>
      </c>
      <c r="BS4">
        <f ca="1">IFERROR(IF(0=LEN(ReferenceData!$BS$4),"",ReferenceData!$BS$4),"")</f>
        <v>16.786163519999999</v>
      </c>
      <c r="BT4">
        <f ca="1">IFERROR(IF(0=LEN(ReferenceData!$BT$4),"",ReferenceData!$BT$4),"")</f>
        <v>16.345911950000001</v>
      </c>
      <c r="BU4">
        <f ca="1">IFERROR(IF(0=LEN(ReferenceData!$BU$4),"",ReferenceData!$BU$4),"")</f>
        <v>16.345679010000001</v>
      </c>
      <c r="BV4">
        <f ca="1">IFERROR(IF(0=LEN(ReferenceData!$BV$4),"",ReferenceData!$BV$4),"")</f>
        <v>16.93209877</v>
      </c>
      <c r="BW4">
        <f ca="1">IFERROR(IF(0=LEN(ReferenceData!$BW$4),"",ReferenceData!$BW$4),"")</f>
        <v>16.685185189999999</v>
      </c>
      <c r="BX4">
        <f ca="1">IFERROR(IF(0=LEN(ReferenceData!$BX$4),"",ReferenceData!$BX$4),"")</f>
        <v>17.69281046</v>
      </c>
      <c r="BY4">
        <f ca="1">IFERROR(IF(0=LEN(ReferenceData!$BY$4),"",ReferenceData!$BY$4),"")</f>
        <v>17.745098039999998</v>
      </c>
      <c r="BZ4">
        <f ca="1">IFERROR(IF(0=LEN(ReferenceData!$BZ$4),"",ReferenceData!$BZ$4),"")</f>
        <v>17.261437910000001</v>
      </c>
      <c r="CA4">
        <f ca="1">IFERROR(IF(0=LEN(ReferenceData!$CA$4),"",ReferenceData!$CA$4),"")</f>
        <v>16.34210526</v>
      </c>
      <c r="CB4">
        <f ca="1">IFERROR(IF(0=LEN(ReferenceData!$CB$4),"",ReferenceData!$CB$4),"")</f>
        <v>16.15789474</v>
      </c>
      <c r="CC4">
        <f ca="1">IFERROR(IF(0=LEN(ReferenceData!$CC$4),"",ReferenceData!$CC$4),"")</f>
        <v>15.07236842</v>
      </c>
      <c r="CD4">
        <f ca="1">IFERROR(IF(0=LEN(ReferenceData!$CD$4),"",ReferenceData!$CD$4),"")</f>
        <v>15.125</v>
      </c>
      <c r="CE4">
        <f ca="1">IFERROR(IF(0=LEN(ReferenceData!$CE$4),"",ReferenceData!$CE$4),"")</f>
        <v>17.131944440000002</v>
      </c>
      <c r="CF4">
        <f ca="1">IFERROR(IF(0=LEN(ReferenceData!$CF$4),"",ReferenceData!$CF$4),"")</f>
        <v>15.36111111</v>
      </c>
      <c r="CG4">
        <f ca="1">IFERROR(IF(0=LEN(ReferenceData!$CG$4),"",ReferenceData!$CG$4),"")</f>
        <v>18.324137929999999</v>
      </c>
      <c r="CH4">
        <f ca="1">IFERROR(IF(0=LEN(ReferenceData!$CH$4),"",ReferenceData!$CH$4),"")</f>
        <v>18.82758621</v>
      </c>
      <c r="CI4">
        <f ca="1">IFERROR(IF(0=LEN(ReferenceData!$CI$4),"",ReferenceData!$CI$4),"")</f>
        <v>17.606896549999998</v>
      </c>
      <c r="CJ4">
        <f ca="1">IFERROR(IF(0=LEN(ReferenceData!$CJ$4),"",ReferenceData!$CJ$4),"")</f>
        <v>17.13461538</v>
      </c>
      <c r="CK4">
        <f ca="1">IFERROR(IF(0=LEN(ReferenceData!$CK$4),"",ReferenceData!$CK$4),"")</f>
        <v>17.282051280000001</v>
      </c>
    </row>
    <row r="5" spans="1:89">
      <c r="A5" t="str">
        <f>IFERROR(IF(0=LEN(ReferenceData!$A$5),"",ReferenceData!$A$5),"")</f>
        <v xml:space="preserve">    AvalonBay社区股份有限公司</v>
      </c>
      <c r="B5" t="str">
        <f>IFERROR(IF(0=LEN(ReferenceData!$B$5),"",ReferenceData!$B$5),"")</f>
        <v>AVB US Equity</v>
      </c>
      <c r="C5" t="str">
        <f>IFERROR(IF(0=LEN(ReferenceData!$C$5),"",ReferenceData!$C$5),"")</f>
        <v>RR857</v>
      </c>
      <c r="D5" t="str">
        <f>IFERROR(IF(0=LEN(ReferenceData!$D$5),"",ReferenceData!$D$5),"")</f>
        <v>PX_TO_FFO_RATIO</v>
      </c>
      <c r="E5" t="str">
        <f>IFERROR(IF(0=LEN(ReferenceData!$E$5),"",ReferenceData!$E$5),"")</f>
        <v>动态</v>
      </c>
      <c r="F5">
        <f ca="1">IFERROR(IF(0=LEN(ReferenceData!$F$5),"",ReferenceData!$F$5),"")</f>
        <v>19.099642339999999</v>
      </c>
      <c r="G5">
        <f ca="1">IFERROR(IF(0=LEN(ReferenceData!$G$5),"",ReferenceData!$G$5),"")</f>
        <v>18.44698649</v>
      </c>
      <c r="H5">
        <f ca="1">IFERROR(IF(0=LEN(ReferenceData!$H$5),"",ReferenceData!$H$5),"")</f>
        <v>20.147202270000001</v>
      </c>
      <c r="I5">
        <f ca="1">IFERROR(IF(0=LEN(ReferenceData!$I$5),"",ReferenceData!$I$5),"")</f>
        <v>21.094262659999998</v>
      </c>
      <c r="J5">
        <f ca="1">IFERROR(IF(0=LEN(ReferenceData!$J$5),"",ReferenceData!$J$5),"")</f>
        <v>21.654371019999999</v>
      </c>
      <c r="K5">
        <f ca="1">IFERROR(IF(0=LEN(ReferenceData!$K$5),"",ReferenceData!$K$5),"")</f>
        <v>21.654371019999999</v>
      </c>
      <c r="L5">
        <f ca="1">IFERROR(IF(0=LEN(ReferenceData!$L$5),"",ReferenceData!$L$5),"")</f>
        <v>21.30685974</v>
      </c>
      <c r="M5">
        <f ca="1">IFERROR(IF(0=LEN(ReferenceData!$M$5),"",ReferenceData!$M$5),"")</f>
        <v>23.061809289999999</v>
      </c>
      <c r="N5">
        <f ca="1">IFERROR(IF(0=LEN(ReferenceData!$N$5),"",ReferenceData!$N$5),"")</f>
        <v>23.629356080000001</v>
      </c>
      <c r="O5">
        <f ca="1">IFERROR(IF(0=LEN(ReferenceData!$O$5),"",ReferenceData!$O$5),"")</f>
        <v>23.607243860000001</v>
      </c>
      <c r="P5">
        <f ca="1">IFERROR(IF(0=LEN(ReferenceData!$P$5),"",ReferenceData!$P$5),"")</f>
        <v>23.236096679999999</v>
      </c>
      <c r="Q5">
        <f ca="1">IFERROR(IF(0=LEN(ReferenceData!$Q$5),"",ReferenceData!$Q$5),"")</f>
        <v>23.065993479999999</v>
      </c>
      <c r="R5">
        <f ca="1">IFERROR(IF(0=LEN(ReferenceData!$R$5),"",ReferenceData!$R$5),"")</f>
        <v>22.30781923</v>
      </c>
      <c r="S5">
        <f ca="1">IFERROR(IF(0=LEN(ReferenceData!$S$5),"",ReferenceData!$S$5),"")</f>
        <v>22.248591999999999</v>
      </c>
      <c r="T5">
        <f ca="1">IFERROR(IF(0=LEN(ReferenceData!$T$5),"",ReferenceData!$T$5),"")</f>
        <v>20.981083250000001</v>
      </c>
      <c r="U5">
        <f ca="1">IFERROR(IF(0=LEN(ReferenceData!$U$5),"",ReferenceData!$U$5),"")</f>
        <v>21.44595752</v>
      </c>
      <c r="V5">
        <f ca="1">IFERROR(IF(0=LEN(ReferenceData!$V$5),"",ReferenceData!$V$5),"")</f>
        <v>20.227653020000002</v>
      </c>
      <c r="W5">
        <f ca="1">IFERROR(IF(0=LEN(ReferenceData!$W$5),"",ReferenceData!$W$5),"")</f>
        <v>21.050335239999999</v>
      </c>
      <c r="X5">
        <f ca="1">IFERROR(IF(0=LEN(ReferenceData!$X$5),"",ReferenceData!$X$5),"")</f>
        <v>21.869328299999999</v>
      </c>
      <c r="Y5">
        <f ca="1">IFERROR(IF(0=LEN(ReferenceData!$Y$5),"",ReferenceData!$Y$5),"")</f>
        <v>21.749918319999999</v>
      </c>
      <c r="Z5">
        <f ca="1">IFERROR(IF(0=LEN(ReferenceData!$Z$5),"",ReferenceData!$Z$5),"")</f>
        <v>23.072237789999999</v>
      </c>
      <c r="AA5">
        <f ca="1">IFERROR(IF(0=LEN(ReferenceData!$AA$5),"",ReferenceData!$AA$5),"")</f>
        <v>22.418534739999998</v>
      </c>
      <c r="AB5">
        <f ca="1">IFERROR(IF(0=LEN(ReferenceData!$AB$5),"",ReferenceData!$AB$5),"")</f>
        <v>21.83260095</v>
      </c>
      <c r="AC5">
        <f ca="1">IFERROR(IF(0=LEN(ReferenceData!$AC$5),"",ReferenceData!$AC$5),"")</f>
        <v>21.457557940000001</v>
      </c>
      <c r="AD5">
        <f ca="1">IFERROR(IF(0=LEN(ReferenceData!$AD$5),"",ReferenceData!$AD$5),"")</f>
        <v>23.08517178</v>
      </c>
      <c r="AE5">
        <f ca="1">IFERROR(IF(0=LEN(ReferenceData!$AE$5),"",ReferenceData!$AE$5),"")</f>
        <v>21.32424241</v>
      </c>
      <c r="AF5">
        <f ca="1">IFERROR(IF(0=LEN(ReferenceData!$AF$5),"",ReferenceData!$AF$5),"")</f>
        <v>21.30560668</v>
      </c>
      <c r="AG5">
        <f ca="1">IFERROR(IF(0=LEN(ReferenceData!$AG$5),"",ReferenceData!$AG$5),"")</f>
        <v>22.875977370000001</v>
      </c>
      <c r="AH5">
        <f ca="1">IFERROR(IF(0=LEN(ReferenceData!$AH$5),"",ReferenceData!$AH$5),"")</f>
        <v>23.179848280000002</v>
      </c>
      <c r="AI5">
        <f ca="1">IFERROR(IF(0=LEN(ReferenceData!$AI$5),"",ReferenceData!$AI$5),"")</f>
        <v>22.292386140000001</v>
      </c>
      <c r="AJ5">
        <f ca="1">IFERROR(IF(0=LEN(ReferenceData!$AJ$5),"",ReferenceData!$AJ$5),"")</f>
        <v>22.291111050000001</v>
      </c>
      <c r="AK5">
        <f ca="1">IFERROR(IF(0=LEN(ReferenceData!$AK$5),"",ReferenceData!$AK$5),"")</f>
        <v>20.729441229999999</v>
      </c>
      <c r="AL5">
        <f ca="1">IFERROR(IF(0=LEN(ReferenceData!$AL$5),"",ReferenceData!$AL$5),"")</f>
        <v>21.64371684</v>
      </c>
      <c r="AM5">
        <f ca="1">IFERROR(IF(0=LEN(ReferenceData!$AM$5),"",ReferenceData!$AM$5),"")</f>
        <v>20.0776431</v>
      </c>
      <c r="AN5">
        <f ca="1">IFERROR(IF(0=LEN(ReferenceData!$AN$5),"",ReferenceData!$AN$5),"")</f>
        <v>22.229639519999999</v>
      </c>
      <c r="AO5">
        <f ca="1">IFERROR(IF(0=LEN(ReferenceData!$AO$5),"",ReferenceData!$AO$5),"")</f>
        <v>21.941255009999999</v>
      </c>
      <c r="AP5">
        <f ca="1">IFERROR(IF(0=LEN(ReferenceData!$AP$5),"",ReferenceData!$AP$5),"")</f>
        <v>23.264352469999999</v>
      </c>
      <c r="AQ5">
        <f ca="1">IFERROR(IF(0=LEN(ReferenceData!$AQ$5),"",ReferenceData!$AQ$5),"")</f>
        <v>23.21931034</v>
      </c>
      <c r="AR5">
        <f ca="1">IFERROR(IF(0=LEN(ReferenceData!$AR$5),"",ReferenceData!$AR$5),"")</f>
        <v>23.860689659999998</v>
      </c>
      <c r="AS5">
        <f ca="1">IFERROR(IF(0=LEN(ReferenceData!$AS$5),"",ReferenceData!$AS$5),"")</f>
        <v>22.536551719999999</v>
      </c>
      <c r="AT5">
        <f ca="1">IFERROR(IF(0=LEN(ReferenceData!$AT$5),"",ReferenceData!$AT$5),"")</f>
        <v>22.980147379999998</v>
      </c>
      <c r="AU5">
        <f ca="1">IFERROR(IF(0=LEN(ReferenceData!$AU$5),"",ReferenceData!$AU$5),"")</f>
        <v>22.272692129999999</v>
      </c>
      <c r="AV5">
        <f ca="1">IFERROR(IF(0=LEN(ReferenceData!$AV$5),"",ReferenceData!$AV$5),"")</f>
        <v>20.147467970000001</v>
      </c>
      <c r="AW5">
        <f ca="1">IFERROR(IF(0=LEN(ReferenceData!$AW$5),"",ReferenceData!$AW$5),"")</f>
        <v>25.52630825</v>
      </c>
      <c r="AX5">
        <f ca="1">IFERROR(IF(0=LEN(ReferenceData!$AX$5),"",ReferenceData!$AX$5),"")</f>
        <v>24.529109179999999</v>
      </c>
      <c r="AY5">
        <f ca="1">IFERROR(IF(0=LEN(ReferenceData!$AY$5),"",ReferenceData!$AY$5),"")</f>
        <v>23.553444320000001</v>
      </c>
      <c r="AZ5">
        <f ca="1">IFERROR(IF(0=LEN(ReferenceData!$AZ$5),"",ReferenceData!$AZ$5),"")</f>
        <v>24.135136339999999</v>
      </c>
      <c r="BA5">
        <f ca="1">IFERROR(IF(0=LEN(ReferenceData!$BA$5),"",ReferenceData!$BA$5),"")</f>
        <v>23.235003299999999</v>
      </c>
      <c r="BB5">
        <f ca="1">IFERROR(IF(0=LEN(ReferenceData!$BB$5),"",ReferenceData!$BB$5),"")</f>
        <v>22.345079699999999</v>
      </c>
      <c r="BC5">
        <f ca="1">IFERROR(IF(0=LEN(ReferenceData!$BC$5),"",ReferenceData!$BC$5),"")</f>
        <v>25.707063850000001</v>
      </c>
      <c r="BD5">
        <f ca="1">IFERROR(IF(0=LEN(ReferenceData!$BD$5),"",ReferenceData!$BD$5),"")</f>
        <v>24.616751069999999</v>
      </c>
      <c r="BE5">
        <f ca="1">IFERROR(IF(0=LEN(ReferenceData!$BE$5),"",ReferenceData!$BE$5),"")</f>
        <v>23.566303470000001</v>
      </c>
      <c r="BF5">
        <f ca="1">IFERROR(IF(0=LEN(ReferenceData!$BF$5),"",ReferenceData!$BF$5),"")</f>
        <v>24.805506090000002</v>
      </c>
      <c r="BG5">
        <f ca="1">IFERROR(IF(0=LEN(ReferenceData!$BG$5),"",ReferenceData!$BG$5),"")</f>
        <v>26.163364850000001</v>
      </c>
      <c r="BH5">
        <f ca="1">IFERROR(IF(0=LEN(ReferenceData!$BH$5),"",ReferenceData!$BH$5),"")</f>
        <v>26.590180230000001</v>
      </c>
      <c r="BI5">
        <f ca="1">IFERROR(IF(0=LEN(ReferenceData!$BI$5),"",ReferenceData!$BI$5),"")</f>
        <v>24.597598959999999</v>
      </c>
      <c r="BJ5">
        <f ca="1">IFERROR(IF(0=LEN(ReferenceData!$BJ$5),"",ReferenceData!$BJ$5),"")</f>
        <v>26.868757420000001</v>
      </c>
      <c r="BK5">
        <f ca="1">IFERROR(IF(0=LEN(ReferenceData!$BK$5),"",ReferenceData!$BK$5),"")</f>
        <v>26.783390449999999</v>
      </c>
      <c r="BL5">
        <f ca="1">IFERROR(IF(0=LEN(ReferenceData!$BL$5),"",ReferenceData!$BL$5),"")</f>
        <v>27.507943319999999</v>
      </c>
      <c r="BM5">
        <f ca="1">IFERROR(IF(0=LEN(ReferenceData!$BM$5),"",ReferenceData!$BM$5),"")</f>
        <v>27.586738870000001</v>
      </c>
      <c r="BN5">
        <f ca="1">IFERROR(IF(0=LEN(ReferenceData!$BN$5),"",ReferenceData!$BN$5),"")</f>
        <v>26.26587653</v>
      </c>
      <c r="BO5">
        <f ca="1">IFERROR(IF(0=LEN(ReferenceData!$BO$5),"",ReferenceData!$BO$5),"")</f>
        <v>23.45279296</v>
      </c>
      <c r="BP5">
        <f ca="1">IFERROR(IF(0=LEN(ReferenceData!$BP$5),"",ReferenceData!$BP$5),"")</f>
        <v>24.384667140000001</v>
      </c>
      <c r="BQ5">
        <f ca="1">IFERROR(IF(0=LEN(ReferenceData!$BQ$5),"",ReferenceData!$BQ$5),"")</f>
        <v>25.474358710000001</v>
      </c>
      <c r="BR5">
        <f ca="1">IFERROR(IF(0=LEN(ReferenceData!$BR$5),"",ReferenceData!$BR$5),"")</f>
        <v>25.148742819999999</v>
      </c>
      <c r="BS5">
        <f ca="1">IFERROR(IF(0=LEN(ReferenceData!$BS$5),"",ReferenceData!$BS$5),"")</f>
        <v>25.868150669999999</v>
      </c>
      <c r="BT5">
        <f ca="1">IFERROR(IF(0=LEN(ReferenceData!$BT$5),"",ReferenceData!$BT$5),"")</f>
        <v>25.950205149999999</v>
      </c>
      <c r="BU5">
        <f ca="1">IFERROR(IF(0=LEN(ReferenceData!$BU$5),"",ReferenceData!$BU$5),"")</f>
        <v>28.490567630000001</v>
      </c>
      <c r="BV5">
        <f ca="1">IFERROR(IF(0=LEN(ReferenceData!$BV$5),"",ReferenceData!$BV$5),"")</f>
        <v>29.611910640000001</v>
      </c>
      <c r="BW5">
        <f ca="1">IFERROR(IF(0=LEN(ReferenceData!$BW$5),"",ReferenceData!$BW$5),"")</f>
        <v>28.482514900000002</v>
      </c>
      <c r="BX5">
        <f ca="1">IFERROR(IF(0=LEN(ReferenceData!$BX$5),"",ReferenceData!$BX$5),"")</f>
        <v>29.329119729999999</v>
      </c>
      <c r="BY5">
        <f ca="1">IFERROR(IF(0=LEN(ReferenceData!$BY$5),"",ReferenceData!$BY$5),"")</f>
        <v>30.51487663</v>
      </c>
      <c r="BZ5">
        <f ca="1">IFERROR(IF(0=LEN(ReferenceData!$BZ$5),"",ReferenceData!$BZ$5),"")</f>
        <v>29.664909300000001</v>
      </c>
      <c r="CA5">
        <f ca="1">IFERROR(IF(0=LEN(ReferenceData!$CA$5),"",ReferenceData!$CA$5),"")</f>
        <v>28.4059481</v>
      </c>
      <c r="CB5">
        <f ca="1">IFERROR(IF(0=LEN(ReferenceData!$CB$5),"",ReferenceData!$CB$5),"")</f>
        <v>29.794809910000001</v>
      </c>
      <c r="CC5">
        <f ca="1">IFERROR(IF(0=LEN(ReferenceData!$CC$5),"",ReferenceData!$CC$5),"")</f>
        <v>28.609677040000001</v>
      </c>
      <c r="CD5">
        <f ca="1">IFERROR(IF(0=LEN(ReferenceData!$CD$5),"",ReferenceData!$CD$5),"")</f>
        <v>28.469018940000002</v>
      </c>
      <c r="CE5">
        <f ca="1">IFERROR(IF(0=LEN(ReferenceData!$CE$5),"",ReferenceData!$CE$5),"")</f>
        <v>30.48476685</v>
      </c>
      <c r="CF5">
        <f ca="1">IFERROR(IF(0=LEN(ReferenceData!$CF$5),"",ReferenceData!$CF$5),"")</f>
        <v>26.006340479999999</v>
      </c>
      <c r="CG5">
        <f ca="1">IFERROR(IF(0=LEN(ReferenceData!$CG$5),"",ReferenceData!$CG$5),"")</f>
        <v>32.43672128</v>
      </c>
      <c r="CH5">
        <f ca="1">IFERROR(IF(0=LEN(ReferenceData!$CH$5),"",ReferenceData!$CH$5),"")</f>
        <v>31.915850039999999</v>
      </c>
      <c r="CI5">
        <f ca="1">IFERROR(IF(0=LEN(ReferenceData!$CI$5),"",ReferenceData!$CI$5),"")</f>
        <v>30.538752110000001</v>
      </c>
      <c r="CJ5">
        <f ca="1">IFERROR(IF(0=LEN(ReferenceData!$CJ$5),"",ReferenceData!$CJ$5),"")</f>
        <v>32.343243309999998</v>
      </c>
      <c r="CK5">
        <f ca="1">IFERROR(IF(0=LEN(ReferenceData!$CK$5),"",ReferenceData!$CK$5),"")</f>
        <v>30.77311216</v>
      </c>
    </row>
    <row r="6" spans="1:89">
      <c r="A6" t="str">
        <f>IFERROR(IF(0=LEN(ReferenceData!$A$6),"",ReferenceData!$A$6),"")</f>
        <v xml:space="preserve">    Camden 房地产信托公司</v>
      </c>
      <c r="B6" t="str">
        <f>IFERROR(IF(0=LEN(ReferenceData!$B$6),"",ReferenceData!$B$6),"")</f>
        <v>CPT US Equity</v>
      </c>
      <c r="C6" t="str">
        <f>IFERROR(IF(0=LEN(ReferenceData!$C$6),"",ReferenceData!$C$6),"")</f>
        <v>RR857</v>
      </c>
      <c r="D6" t="str">
        <f>IFERROR(IF(0=LEN(ReferenceData!$D$6),"",ReferenceData!$D$6),"")</f>
        <v>PX_TO_FFO_RATIO</v>
      </c>
      <c r="E6" t="str">
        <f>IFERROR(IF(0=LEN(ReferenceData!$E$6),"",ReferenceData!$E$6),"")</f>
        <v>动态</v>
      </c>
      <c r="F6">
        <f ca="1">IFERROR(IF(0=LEN(ReferenceData!$F$6),"",ReferenceData!$F$6),"")</f>
        <v>18.262693160000001</v>
      </c>
      <c r="G6">
        <f ca="1">IFERROR(IF(0=LEN(ReferenceData!$G$6),"",ReferenceData!$G$6),"")</f>
        <v>17.59602649</v>
      </c>
      <c r="H6">
        <f ca="1">IFERROR(IF(0=LEN(ReferenceData!$H$6),"",ReferenceData!$H$6),"")</f>
        <v>19.108167770000001</v>
      </c>
      <c r="I6">
        <f ca="1">IFERROR(IF(0=LEN(ReferenceData!$I$6),"",ReferenceData!$I$6),"")</f>
        <v>20.32229581</v>
      </c>
      <c r="J6">
        <f ca="1">IFERROR(IF(0=LEN(ReferenceData!$J$6),"",ReferenceData!$J$6),"")</f>
        <v>20.284444440000001</v>
      </c>
      <c r="K6">
        <f ca="1">IFERROR(IF(0=LEN(ReferenceData!$K$6),"",ReferenceData!$K$6),"")</f>
        <v>20.275555560000001</v>
      </c>
      <c r="L6">
        <f ca="1">IFERROR(IF(0=LEN(ReferenceData!$L$6),"",ReferenceData!$L$6),"")</f>
        <v>20.32222222</v>
      </c>
      <c r="M6">
        <f ca="1">IFERROR(IF(0=LEN(ReferenceData!$M$6),"",ReferenceData!$M$6),"")</f>
        <v>19.79646018</v>
      </c>
      <c r="N6">
        <f ca="1">IFERROR(IF(0=LEN(ReferenceData!$N$6),"",ReferenceData!$N$6),"")</f>
        <v>19.84513274</v>
      </c>
      <c r="O6">
        <f ca="1">IFERROR(IF(0=LEN(ReferenceData!$O$6),"",ReferenceData!$O$6),"")</f>
        <v>18.918141590000001</v>
      </c>
      <c r="P6">
        <f ca="1">IFERROR(IF(0=LEN(ReferenceData!$P$6),"",ReferenceData!$P$6),"")</f>
        <v>18.43141593</v>
      </c>
      <c r="Q6">
        <f ca="1">IFERROR(IF(0=LEN(ReferenceData!$Q$6),"",ReferenceData!$Q$6),"")</f>
        <v>18.214601770000002</v>
      </c>
      <c r="R6">
        <f ca="1">IFERROR(IF(0=LEN(ReferenceData!$R$6),"",ReferenceData!$R$6),"")</f>
        <v>17.800884960000001</v>
      </c>
      <c r="S6">
        <f ca="1">IFERROR(IF(0=LEN(ReferenceData!$S$6),"",ReferenceData!$S$6),"")</f>
        <v>18.282937369999999</v>
      </c>
      <c r="T6">
        <f ca="1">IFERROR(IF(0=LEN(ReferenceData!$T$6),"",ReferenceData!$T$6),"")</f>
        <v>18.049676030000001</v>
      </c>
      <c r="U6">
        <f ca="1">IFERROR(IF(0=LEN(ReferenceData!$U$6),"",ReferenceData!$U$6),"")</f>
        <v>18.15766739</v>
      </c>
      <c r="V6">
        <f ca="1">IFERROR(IF(0=LEN(ReferenceData!$V$6),"",ReferenceData!$V$6),"")</f>
        <v>16.818376069999999</v>
      </c>
      <c r="W6">
        <f ca="1">IFERROR(IF(0=LEN(ReferenceData!$W$6),"",ReferenceData!$W$6),"")</f>
        <v>17.401709400000001</v>
      </c>
      <c r="X6">
        <f ca="1">IFERROR(IF(0=LEN(ReferenceData!$X$6),"",ReferenceData!$X$6),"")</f>
        <v>17.893162390000001</v>
      </c>
      <c r="Y6">
        <f ca="1">IFERROR(IF(0=LEN(ReferenceData!$Y$6),"",ReferenceData!$Y$6),"")</f>
        <v>18.714285709999999</v>
      </c>
      <c r="Z6">
        <f ca="1">IFERROR(IF(0=LEN(ReferenceData!$Z$6),"",ReferenceData!$Z$6),"")</f>
        <v>19.102345419999999</v>
      </c>
      <c r="AA6">
        <f ca="1">IFERROR(IF(0=LEN(ReferenceData!$AA$6),"",ReferenceData!$AA$6),"")</f>
        <v>18.852878459999999</v>
      </c>
      <c r="AB6">
        <f ca="1">IFERROR(IF(0=LEN(ReferenceData!$AB$6),"",ReferenceData!$AB$6),"")</f>
        <v>18.285407729999999</v>
      </c>
      <c r="AC6">
        <f ca="1">IFERROR(IF(0=LEN(ReferenceData!$AC$6),"",ReferenceData!$AC$6),"")</f>
        <v>17.32403433</v>
      </c>
      <c r="AD6">
        <f ca="1">IFERROR(IF(0=LEN(ReferenceData!$AD$6),"",ReferenceData!$AD$6),"")</f>
        <v>18.045064379999999</v>
      </c>
      <c r="AE6">
        <f ca="1">IFERROR(IF(0=LEN(ReferenceData!$AE$6),"",ReferenceData!$AE$6),"")</f>
        <v>16.462555070000001</v>
      </c>
      <c r="AF6">
        <f ca="1">IFERROR(IF(0=LEN(ReferenceData!$AF$6),"",ReferenceData!$AF$6),"")</f>
        <v>16.8061674</v>
      </c>
      <c r="AG6">
        <f ca="1">IFERROR(IF(0=LEN(ReferenceData!$AG$6),"",ReferenceData!$AG$6),"")</f>
        <v>16.907488990000001</v>
      </c>
      <c r="AH6">
        <f ca="1">IFERROR(IF(0=LEN(ReferenceData!$AH$6),"",ReferenceData!$AH$6),"")</f>
        <v>17.639722859999999</v>
      </c>
      <c r="AI6">
        <f ca="1">IFERROR(IF(0=LEN(ReferenceData!$AI$6),"",ReferenceData!$AI$6),"")</f>
        <v>17.041570440000001</v>
      </c>
      <c r="AJ6">
        <f ca="1">IFERROR(IF(0=LEN(ReferenceData!$AJ$6),"",ReferenceData!$AJ$6),"")</f>
        <v>17.066974600000002</v>
      </c>
      <c r="AK6">
        <f ca="1">IFERROR(IF(0=LEN(ReferenceData!$AK$6),"",ReferenceData!$AK$6),"")</f>
        <v>16.82943925</v>
      </c>
      <c r="AL6">
        <f ca="1">IFERROR(IF(0=LEN(ReferenceData!$AL$6),"",ReferenceData!$AL$6),"")</f>
        <v>18.60514019</v>
      </c>
      <c r="AM6">
        <f ca="1">IFERROR(IF(0=LEN(ReferenceData!$AM$6),"",ReferenceData!$AM$6),"")</f>
        <v>17.35514019</v>
      </c>
      <c r="AN6">
        <f ca="1">IFERROR(IF(0=LEN(ReferenceData!$AN$6),"",ReferenceData!$AN$6),"")</f>
        <v>17.809976249999998</v>
      </c>
      <c r="AO6">
        <f ca="1">IFERROR(IF(0=LEN(ReferenceData!$AO$6),"",ReferenceData!$AO$6),"")</f>
        <v>17.833729219999999</v>
      </c>
      <c r="AP6">
        <f ca="1">IFERROR(IF(0=LEN(ReferenceData!$AP$6),"",ReferenceData!$AP$6),"")</f>
        <v>18.55819477</v>
      </c>
      <c r="AQ6">
        <f ca="1">IFERROR(IF(0=LEN(ReferenceData!$AQ$6),"",ReferenceData!$AQ$6),"")</f>
        <v>17.413875600000001</v>
      </c>
      <c r="AR6">
        <f ca="1">IFERROR(IF(0=LEN(ReferenceData!$AR$6),"",ReferenceData!$AR$6),"")</f>
        <v>18.433014350000001</v>
      </c>
      <c r="AS6">
        <f ca="1">IFERROR(IF(0=LEN(ReferenceData!$AS$6),"",ReferenceData!$AS$6),"")</f>
        <v>17.665071770000001</v>
      </c>
      <c r="AT6">
        <f ca="1">IFERROR(IF(0=LEN(ReferenceData!$AT$6),"",ReferenceData!$AT$6),"")</f>
        <v>17.957845429999999</v>
      </c>
      <c r="AU6">
        <f ca="1">IFERROR(IF(0=LEN(ReferenceData!$AU$6),"",ReferenceData!$AU$6),"")</f>
        <v>17.95550351</v>
      </c>
      <c r="AV6">
        <f ca="1">IFERROR(IF(0=LEN(ReferenceData!$AV$6),"",ReferenceData!$AV$6),"")</f>
        <v>16.049180329999999</v>
      </c>
      <c r="AW6">
        <f ca="1">IFERROR(IF(0=LEN(ReferenceData!$AW$6),"",ReferenceData!$AW$6),"")</f>
        <v>17.73459716</v>
      </c>
      <c r="AX6">
        <f ca="1">IFERROR(IF(0=LEN(ReferenceData!$AX$6),"",ReferenceData!$AX$6),"")</f>
        <v>17.146919430000001</v>
      </c>
      <c r="AY6">
        <f ca="1">IFERROR(IF(0=LEN(ReferenceData!$AY$6),"",ReferenceData!$AY$6),"")</f>
        <v>16.860189569999999</v>
      </c>
      <c r="AZ6">
        <f ca="1">IFERROR(IF(0=LEN(ReferenceData!$AZ$6),"",ReferenceData!$AZ$6),"")</f>
        <v>16.763723150000001</v>
      </c>
      <c r="BA6">
        <f ca="1">IFERROR(IF(0=LEN(ReferenceData!$BA$6),"",ReferenceData!$BA$6),"")</f>
        <v>16.34606205</v>
      </c>
      <c r="BB6">
        <f ca="1">IFERROR(IF(0=LEN(ReferenceData!$BB$6),"",ReferenceData!$BB$6),"")</f>
        <v>16.07159905</v>
      </c>
      <c r="BC6">
        <f ca="1">IFERROR(IF(0=LEN(ReferenceData!$BC$6),"",ReferenceData!$BC$6),"")</f>
        <v>16.228710459999999</v>
      </c>
      <c r="BD6">
        <f ca="1">IFERROR(IF(0=LEN(ReferenceData!$BD$6),"",ReferenceData!$BD$6),"")</f>
        <v>15.041362530000001</v>
      </c>
      <c r="BE6">
        <f ca="1">IFERROR(IF(0=LEN(ReferenceData!$BE$6),"",ReferenceData!$BE$6),"")</f>
        <v>13.83941606</v>
      </c>
      <c r="BF6">
        <f ca="1">IFERROR(IF(0=LEN(ReferenceData!$BF$6),"",ReferenceData!$BF$6),"")</f>
        <v>14.48</v>
      </c>
      <c r="BG6">
        <f ca="1">IFERROR(IF(0=LEN(ReferenceData!$BG$6),"",ReferenceData!$BG$6),"")</f>
        <v>16.05</v>
      </c>
      <c r="BH6">
        <f ca="1">IFERROR(IF(0=LEN(ReferenceData!$BH$6),"",ReferenceData!$BH$6),"")</f>
        <v>15.36</v>
      </c>
      <c r="BI6">
        <f ca="1">IFERROR(IF(0=LEN(ReferenceData!$BI$6),"",ReferenceData!$BI$6),"")</f>
        <v>15.88431877</v>
      </c>
      <c r="BJ6">
        <f ca="1">IFERROR(IF(0=LEN(ReferenceData!$BJ$6),"",ReferenceData!$BJ$6),"")</f>
        <v>18.133676090000002</v>
      </c>
      <c r="BK6">
        <f ca="1">IFERROR(IF(0=LEN(ReferenceData!$BK$6),"",ReferenceData!$BK$6),"")</f>
        <v>17.773778920000002</v>
      </c>
      <c r="BL6">
        <f ca="1">IFERROR(IF(0=LEN(ReferenceData!$BL$6),"",ReferenceData!$BL$6),"")</f>
        <v>18.41755319</v>
      </c>
      <c r="BM6">
        <f ca="1">IFERROR(IF(0=LEN(ReferenceData!$BM$6),"",ReferenceData!$BM$6),"")</f>
        <v>19.2393617</v>
      </c>
      <c r="BN6">
        <f ca="1">IFERROR(IF(0=LEN(ReferenceData!$BN$6),"",ReferenceData!$BN$6),"")</f>
        <v>18.265957449999998</v>
      </c>
      <c r="BO6">
        <f ca="1">IFERROR(IF(0=LEN(ReferenceData!$BO$6),"",ReferenceData!$BO$6),"")</f>
        <v>19.099447510000001</v>
      </c>
      <c r="BP6">
        <f ca="1">IFERROR(IF(0=LEN(ReferenceData!$BP$6),"",ReferenceData!$BP$6),"")</f>
        <v>19.168508289999998</v>
      </c>
      <c r="BQ6">
        <f ca="1">IFERROR(IF(0=LEN(ReferenceData!$BQ$6),"",ReferenceData!$BQ$6),"")</f>
        <v>18.842541440000002</v>
      </c>
      <c r="BR6">
        <f ca="1">IFERROR(IF(0=LEN(ReferenceData!$BR$6),"",ReferenceData!$BR$6),"")</f>
        <v>18.825214899999999</v>
      </c>
      <c r="BS6">
        <f ca="1">IFERROR(IF(0=LEN(ReferenceData!$BS$6),"",ReferenceData!$BS$6),"")</f>
        <v>18.80515759</v>
      </c>
      <c r="BT6">
        <f ca="1">IFERROR(IF(0=LEN(ReferenceData!$BT$6),"",ReferenceData!$BT$6),"")</f>
        <v>18.478510029999999</v>
      </c>
      <c r="BU6">
        <f ca="1">IFERROR(IF(0=LEN(ReferenceData!$BU$6),"",ReferenceData!$BU$6),"")</f>
        <v>20.849849849999998</v>
      </c>
      <c r="BV6">
        <f ca="1">IFERROR(IF(0=LEN(ReferenceData!$BV$6),"",ReferenceData!$BV$6),"")</f>
        <v>21.414414409999999</v>
      </c>
      <c r="BW6">
        <f ca="1">IFERROR(IF(0=LEN(ReferenceData!$BW$6),"",ReferenceData!$BW$6),"")</f>
        <v>20.321321319999999</v>
      </c>
      <c r="BX6">
        <f ca="1">IFERROR(IF(0=LEN(ReferenceData!$BX$6),"",ReferenceData!$BX$6),"")</f>
        <v>22.926056339999999</v>
      </c>
      <c r="BY6">
        <f ca="1">IFERROR(IF(0=LEN(ReferenceData!$BY$6),"",ReferenceData!$BY$6),"")</f>
        <v>23.827464790000001</v>
      </c>
      <c r="BZ6">
        <f ca="1">IFERROR(IF(0=LEN(ReferenceData!$BZ$6),"",ReferenceData!$BZ$6),"")</f>
        <v>23.151408450000002</v>
      </c>
      <c r="CA6">
        <f ca="1">IFERROR(IF(0=LEN(ReferenceData!$CA$6),"",ReferenceData!$CA$6),"")</f>
        <v>22.710622709999999</v>
      </c>
      <c r="CB6">
        <f ca="1">IFERROR(IF(0=LEN(ReferenceData!$CB$6),"",ReferenceData!$CB$6),"")</f>
        <v>23.62637363</v>
      </c>
      <c r="CC6">
        <f ca="1">IFERROR(IF(0=LEN(ReferenceData!$CC$6),"",ReferenceData!$CC$6),"")</f>
        <v>22.798534799999999</v>
      </c>
      <c r="CD6">
        <f ca="1">IFERROR(IF(0=LEN(ReferenceData!$CD$6),"",ReferenceData!$CD$6),"")</f>
        <v>22.034351149999999</v>
      </c>
      <c r="CE6">
        <f ca="1">IFERROR(IF(0=LEN(ReferenceData!$CE$6),"",ReferenceData!$CE$6),"")</f>
        <v>23.145038169999999</v>
      </c>
      <c r="CF6">
        <f ca="1">IFERROR(IF(0=LEN(ReferenceData!$CF$6),"",ReferenceData!$CF$6),"")</f>
        <v>21.09160305</v>
      </c>
      <c r="CG6">
        <f ca="1">IFERROR(IF(0=LEN(ReferenceData!$CG$6),"",ReferenceData!$CG$6),"")</f>
        <v>26.728000000000002</v>
      </c>
      <c r="CH6">
        <f ca="1">IFERROR(IF(0=LEN(ReferenceData!$CH$6),"",ReferenceData!$CH$6),"")</f>
        <v>26.827999999999999</v>
      </c>
      <c r="CI6">
        <f ca="1">IFERROR(IF(0=LEN(ReferenceData!$CI$6),"",ReferenceData!$CI$6),"")</f>
        <v>25.448</v>
      </c>
      <c r="CJ6">
        <f ca="1">IFERROR(IF(0=LEN(ReferenceData!$CJ$6),"",ReferenceData!$CJ$6),"")</f>
        <v>23.289855070000002</v>
      </c>
      <c r="CK6">
        <f ca="1">IFERROR(IF(0=LEN(ReferenceData!$CK$6),"",ReferenceData!$CK$6),"")</f>
        <v>22.735507250000001</v>
      </c>
    </row>
    <row r="7" spans="1:89">
      <c r="A7" t="str">
        <f>IFERROR(IF(0=LEN(ReferenceData!$A$7),"",ReferenceData!$A$7),"")</f>
        <v xml:space="preserve">    公寓物业权益信托</v>
      </c>
      <c r="B7" t="str">
        <f>IFERROR(IF(0=LEN(ReferenceData!$B$7),"",ReferenceData!$B$7),"")</f>
        <v>EQR US Equity</v>
      </c>
      <c r="C7" t="str">
        <f>IFERROR(IF(0=LEN(ReferenceData!$C$7),"",ReferenceData!$C$7),"")</f>
        <v>RR857</v>
      </c>
      <c r="D7" t="str">
        <f>IFERROR(IF(0=LEN(ReferenceData!$D$7),"",ReferenceData!$D$7),"")</f>
        <v>PX_TO_FFO_RATIO</v>
      </c>
      <c r="E7" t="str">
        <f>IFERROR(IF(0=LEN(ReferenceData!$E$7),"",ReferenceData!$E$7),"")</f>
        <v>动态</v>
      </c>
      <c r="F7">
        <f ca="1">IFERROR(IF(0=LEN(ReferenceData!$F$7),"",ReferenceData!$F$7),"")</f>
        <v>18.787974349999999</v>
      </c>
      <c r="G7">
        <f ca="1">IFERROR(IF(0=LEN(ReferenceData!$G$7),"",ReferenceData!$G$7),"")</f>
        <v>17.794303800000002</v>
      </c>
      <c r="H7">
        <f ca="1">IFERROR(IF(0=LEN(ReferenceData!$H$7),"",ReferenceData!$H$7),"")</f>
        <v>19.496835440000002</v>
      </c>
      <c r="I7">
        <f ca="1">IFERROR(IF(0=LEN(ReferenceData!$I$7),"",ReferenceData!$I$7),"")</f>
        <v>20.18037975</v>
      </c>
      <c r="J7">
        <f ca="1">IFERROR(IF(0=LEN(ReferenceData!$J$7),"",ReferenceData!$J$7),"")</f>
        <v>21.28025478</v>
      </c>
      <c r="K7">
        <f ca="1">IFERROR(IF(0=LEN(ReferenceData!$K$7),"",ReferenceData!$K$7),"")</f>
        <v>21.42038217</v>
      </c>
      <c r="L7">
        <f ca="1">IFERROR(IF(0=LEN(ReferenceData!$L$7),"",ReferenceData!$L$7),"")</f>
        <v>20.996815290000001</v>
      </c>
      <c r="M7">
        <f ca="1">IFERROR(IF(0=LEN(ReferenceData!$M$7),"",ReferenceData!$M$7),"")</f>
        <v>21.661290319999999</v>
      </c>
      <c r="N7">
        <f ca="1">IFERROR(IF(0=LEN(ReferenceData!$N$7),"",ReferenceData!$N$7),"")</f>
        <v>21.954838710000001</v>
      </c>
      <c r="O7">
        <f ca="1">IFERROR(IF(0=LEN(ReferenceData!$O$7),"",ReferenceData!$O$7),"")</f>
        <v>21.235483869999999</v>
      </c>
      <c r="P7">
        <f ca="1">IFERROR(IF(0=LEN(ReferenceData!$P$7),"",ReferenceData!$P$7),"")</f>
        <v>20.151702790000002</v>
      </c>
      <c r="Q7">
        <f ca="1">IFERROR(IF(0=LEN(ReferenceData!$Q$7),"",ReferenceData!$Q$7),"")</f>
        <v>19.993808049999998</v>
      </c>
      <c r="R7">
        <f ca="1">IFERROR(IF(0=LEN(ReferenceData!$R$7),"",ReferenceData!$R$7),"")</f>
        <v>19.263157889999999</v>
      </c>
      <c r="S7">
        <f ca="1">IFERROR(IF(0=LEN(ReferenceData!$S$7),"",ReferenceData!$S$7),"")</f>
        <v>21.452380949999998</v>
      </c>
      <c r="T7">
        <f ca="1">IFERROR(IF(0=LEN(ReferenceData!$T$7),"",ReferenceData!$T$7),"")</f>
        <v>20.670068029999999</v>
      </c>
      <c r="U7">
        <f ca="1">IFERROR(IF(0=LEN(ReferenceData!$U$7),"",ReferenceData!$U$7),"")</f>
        <v>21.891156460000001</v>
      </c>
      <c r="V7">
        <f ca="1">IFERROR(IF(0=LEN(ReferenceData!$V$7),"",ReferenceData!$V$7),"")</f>
        <v>19.593547350000001</v>
      </c>
      <c r="W7">
        <f ca="1">IFERROR(IF(0=LEN(ReferenceData!$W$7),"",ReferenceData!$W$7),"")</f>
        <v>20.161665540000001</v>
      </c>
      <c r="X7">
        <f ca="1">IFERROR(IF(0=LEN(ReferenceData!$X$7),"",ReferenceData!$X$7),"")</f>
        <v>21.004047679999999</v>
      </c>
      <c r="Y7">
        <f ca="1">IFERROR(IF(0=LEN(ReferenceData!$Y$7),"",ReferenceData!$Y$7),"")</f>
        <v>20.502891330000001</v>
      </c>
      <c r="Z7">
        <f ca="1">IFERROR(IF(0=LEN(ReferenceData!$Z$7),"",ReferenceData!$Z$7),"")</f>
        <v>21.489002330000002</v>
      </c>
      <c r="AA7">
        <f ca="1">IFERROR(IF(0=LEN(ReferenceData!$AA$7),"",ReferenceData!$AA$7),"")</f>
        <v>21.770296819999999</v>
      </c>
      <c r="AB7">
        <f ca="1">IFERROR(IF(0=LEN(ReferenceData!$AB$7),"",ReferenceData!$AB$7),"")</f>
        <v>21.89323151</v>
      </c>
      <c r="AC7">
        <f ca="1">IFERROR(IF(0=LEN(ReferenceData!$AC$7),"",ReferenceData!$AC$7),"")</f>
        <v>21.532614779999999</v>
      </c>
      <c r="AD7">
        <f ca="1">IFERROR(IF(0=LEN(ReferenceData!$AD$7),"",ReferenceData!$AD$7),"")</f>
        <v>23.73427482</v>
      </c>
      <c r="AE7">
        <f ca="1">IFERROR(IF(0=LEN(ReferenceData!$AE$7),"",ReferenceData!$AE$7),"")</f>
        <v>21.397480389999998</v>
      </c>
      <c r="AF7">
        <f ca="1">IFERROR(IF(0=LEN(ReferenceData!$AF$7),"",ReferenceData!$AF$7),"")</f>
        <v>22.144338340000001</v>
      </c>
      <c r="AG7">
        <f ca="1">IFERROR(IF(0=LEN(ReferenceData!$AG$7),"",ReferenceData!$AG$7),"")</f>
        <v>23.436977110000001</v>
      </c>
      <c r="AH7">
        <f ca="1">IFERROR(IF(0=LEN(ReferenceData!$AH$7),"",ReferenceData!$AH$7),"")</f>
        <v>23.28126404</v>
      </c>
      <c r="AI7">
        <f ca="1">IFERROR(IF(0=LEN(ReferenceData!$AI$7),"",ReferenceData!$AI$7),"")</f>
        <v>22.552083880000001</v>
      </c>
      <c r="AJ7">
        <f ca="1">IFERROR(IF(0=LEN(ReferenceData!$AJ$7),"",ReferenceData!$AJ$7),"")</f>
        <v>21.910405340000001</v>
      </c>
      <c r="AK7">
        <f ca="1">IFERROR(IF(0=LEN(ReferenceData!$AK$7),"",ReferenceData!$AK$7),"")</f>
        <v>21.159341869999999</v>
      </c>
      <c r="AL7">
        <f ca="1">IFERROR(IF(0=LEN(ReferenceData!$AL$7),"",ReferenceData!$AL$7),"")</f>
        <v>22.216566530000001</v>
      </c>
      <c r="AM7">
        <f ca="1">IFERROR(IF(0=LEN(ReferenceData!$AM$7),"",ReferenceData!$AM$7),"")</f>
        <v>20.838610790000001</v>
      </c>
      <c r="AN7">
        <f ca="1">IFERROR(IF(0=LEN(ReferenceData!$AN$7),"",ReferenceData!$AN$7),"")</f>
        <v>22.9382716</v>
      </c>
      <c r="AO7">
        <f ca="1">IFERROR(IF(0=LEN(ReferenceData!$AO$7),"",ReferenceData!$AO$7),"")</f>
        <v>22.796296300000002</v>
      </c>
      <c r="AP7">
        <f ca="1">IFERROR(IF(0=LEN(ReferenceData!$AP$7),"",ReferenceData!$AP$7),"")</f>
        <v>24.0308642</v>
      </c>
      <c r="AQ7">
        <f ca="1">IFERROR(IF(0=LEN(ReferenceData!$AQ$7),"",ReferenceData!$AQ$7),"")</f>
        <v>24.376582280000001</v>
      </c>
      <c r="AR7">
        <f ca="1">IFERROR(IF(0=LEN(ReferenceData!$AR$7),"",ReferenceData!$AR$7),"")</f>
        <v>24.560126579999999</v>
      </c>
      <c r="AS7">
        <f ca="1">IFERROR(IF(0=LEN(ReferenceData!$AS$7),"",ReferenceData!$AS$7),"")</f>
        <v>22.734177219999999</v>
      </c>
      <c r="AT7">
        <f ca="1">IFERROR(IF(0=LEN(ReferenceData!$AT$7),"",ReferenceData!$AT$7),"")</f>
        <v>23.932432429999999</v>
      </c>
      <c r="AU7">
        <f ca="1">IFERROR(IF(0=LEN(ReferenceData!$AU$7),"",ReferenceData!$AU$7),"")</f>
        <v>23.5</v>
      </c>
      <c r="AV7">
        <f ca="1">IFERROR(IF(0=LEN(ReferenceData!$AV$7),"",ReferenceData!$AV$7),"")</f>
        <v>20.804054050000001</v>
      </c>
      <c r="AW7">
        <f ca="1">IFERROR(IF(0=LEN(ReferenceData!$AW$7),"",ReferenceData!$AW$7),"")</f>
        <v>23.241258739999999</v>
      </c>
      <c r="AX7">
        <f ca="1">IFERROR(IF(0=LEN(ReferenceData!$AX$7),"",ReferenceData!$AX$7),"")</f>
        <v>22.6048951</v>
      </c>
      <c r="AY7">
        <f ca="1">IFERROR(IF(0=LEN(ReferenceData!$AY$7),"",ReferenceData!$AY$7),"")</f>
        <v>22.027972030000001</v>
      </c>
      <c r="AZ7">
        <f ca="1">IFERROR(IF(0=LEN(ReferenceData!$AZ$7),"",ReferenceData!$AZ$7),"")</f>
        <v>21.914893620000001</v>
      </c>
      <c r="BA7">
        <f ca="1">IFERROR(IF(0=LEN(ReferenceData!$BA$7),"",ReferenceData!$BA$7),"")</f>
        <v>21.07801418</v>
      </c>
      <c r="BB7">
        <f ca="1">IFERROR(IF(0=LEN(ReferenceData!$BB$7),"",ReferenceData!$BB$7),"")</f>
        <v>20.56382979</v>
      </c>
      <c r="BC7">
        <f ca="1">IFERROR(IF(0=LEN(ReferenceData!$BC$7),"",ReferenceData!$BC$7),"")</f>
        <v>25.094420599999999</v>
      </c>
      <c r="BD7">
        <f ca="1">IFERROR(IF(0=LEN(ReferenceData!$BD$7),"",ReferenceData!$BD$7),"")</f>
        <v>23.768240339999998</v>
      </c>
      <c r="BE7">
        <f ca="1">IFERROR(IF(0=LEN(ReferenceData!$BE$7),"",ReferenceData!$BE$7),"")</f>
        <v>22.261802580000001</v>
      </c>
      <c r="BF7">
        <f ca="1">IFERROR(IF(0=LEN(ReferenceData!$BF$7),"",ReferenceData!$BF$7),"")</f>
        <v>19.823076919999998</v>
      </c>
      <c r="BG7">
        <f ca="1">IFERROR(IF(0=LEN(ReferenceData!$BG$7),"",ReferenceData!$BG$7),"")</f>
        <v>20.138461540000002</v>
      </c>
      <c r="BH7">
        <f ca="1">IFERROR(IF(0=LEN(ReferenceData!$BH$7),"",ReferenceData!$BH$7),"")</f>
        <v>20.603846149999999</v>
      </c>
      <c r="BI7">
        <f ca="1">IFERROR(IF(0=LEN(ReferenceData!$BI$7),"",ReferenceData!$BI$7),"")</f>
        <v>18.466192169999999</v>
      </c>
      <c r="BJ7">
        <f ca="1">IFERROR(IF(0=LEN(ReferenceData!$BJ$7),"",ReferenceData!$BJ$7),"")</f>
        <v>19.928825620000001</v>
      </c>
      <c r="BK7">
        <f ca="1">IFERROR(IF(0=LEN(ReferenceData!$BK$7),"",ReferenceData!$BK$7),"")</f>
        <v>20.661921710000001</v>
      </c>
      <c r="BL7">
        <f ca="1">IFERROR(IF(0=LEN(ReferenceData!$BL$7),"",ReferenceData!$BL$7),"")</f>
        <v>20.790441179999998</v>
      </c>
      <c r="BM7">
        <f ca="1">IFERROR(IF(0=LEN(ReferenceData!$BM$7),"",ReferenceData!$BM$7),"")</f>
        <v>21.345588240000001</v>
      </c>
      <c r="BN7">
        <f ca="1">IFERROR(IF(0=LEN(ReferenceData!$BN$7),"",ReferenceData!$BN$7),"")</f>
        <v>20.242647059999999</v>
      </c>
      <c r="BO7">
        <f ca="1">IFERROR(IF(0=LEN(ReferenceData!$BO$7),"",ReferenceData!$BO$7),"")</f>
        <v>17.754838710000001</v>
      </c>
      <c r="BP7">
        <f ca="1">IFERROR(IF(0=LEN(ReferenceData!$BP$7),"",ReferenceData!$BP$7),"")</f>
        <v>17.867741939999998</v>
      </c>
      <c r="BQ7">
        <f ca="1">IFERROR(IF(0=LEN(ReferenceData!$BQ$7),"",ReferenceData!$BQ$7),"")</f>
        <v>18.280645159999999</v>
      </c>
      <c r="BR7">
        <f ca="1">IFERROR(IF(0=LEN(ReferenceData!$BR$7),"",ReferenceData!$BR$7),"")</f>
        <v>19.824999999999999</v>
      </c>
      <c r="BS7">
        <f ca="1">IFERROR(IF(0=LEN(ReferenceData!$BS$7),"",ReferenceData!$BS$7),"")</f>
        <v>20.503571430000001</v>
      </c>
      <c r="BT7">
        <f ca="1">IFERROR(IF(0=LEN(ReferenceData!$BT$7),"",ReferenceData!$BT$7),"")</f>
        <v>20.54642857</v>
      </c>
      <c r="BU7">
        <f ca="1">IFERROR(IF(0=LEN(ReferenceData!$BU$7),"",ReferenceData!$BU$7),"")</f>
        <v>24.063745019999999</v>
      </c>
      <c r="BV7">
        <f ca="1">IFERROR(IF(0=LEN(ReferenceData!$BV$7),"",ReferenceData!$BV$7),"")</f>
        <v>25.22310757</v>
      </c>
      <c r="BW7">
        <f ca="1">IFERROR(IF(0=LEN(ReferenceData!$BW$7),"",ReferenceData!$BW$7),"")</f>
        <v>24.84462151</v>
      </c>
      <c r="BX7">
        <f ca="1">IFERROR(IF(0=LEN(ReferenceData!$BX$7),"",ReferenceData!$BX$7),"")</f>
        <v>24.938775509999999</v>
      </c>
      <c r="BY7">
        <f ca="1">IFERROR(IF(0=LEN(ReferenceData!$BY$7),"",ReferenceData!$BY$7),"")</f>
        <v>25.077551020000001</v>
      </c>
      <c r="BZ7">
        <f ca="1">IFERROR(IF(0=LEN(ReferenceData!$BZ$7),"",ReferenceData!$BZ$7),"")</f>
        <v>25.559183669999999</v>
      </c>
      <c r="CA7">
        <f ca="1">IFERROR(IF(0=LEN(ReferenceData!$CA$7),"",ReferenceData!$CA$7),"")</f>
        <v>23.605809130000001</v>
      </c>
      <c r="CB7">
        <f ca="1">IFERROR(IF(0=LEN(ReferenceData!$CB$7),"",ReferenceData!$CB$7),"")</f>
        <v>24.709543570000001</v>
      </c>
      <c r="CC7">
        <f ca="1">IFERROR(IF(0=LEN(ReferenceData!$CC$7),"",ReferenceData!$CC$7),"")</f>
        <v>23.66390041</v>
      </c>
      <c r="CD7">
        <f ca="1">IFERROR(IF(0=LEN(ReferenceData!$CD$7),"",ReferenceData!$CD$7),"")</f>
        <v>24.860360360000001</v>
      </c>
      <c r="CE7">
        <f ca="1">IFERROR(IF(0=LEN(ReferenceData!$CE$7),"",ReferenceData!$CE$7),"")</f>
        <v>26.432432429999999</v>
      </c>
      <c r="CF7">
        <f ca="1">IFERROR(IF(0=LEN(ReferenceData!$CF$7),"",ReferenceData!$CF$7),"")</f>
        <v>23.364864860000001</v>
      </c>
      <c r="CG7">
        <f ca="1">IFERROR(IF(0=LEN(ReferenceData!$CG$7),"",ReferenceData!$CG$7),"")</f>
        <v>28.588785049999998</v>
      </c>
      <c r="CH7">
        <f ca="1">IFERROR(IF(0=LEN(ReferenceData!$CH$7),"",ReferenceData!$CH$7),"")</f>
        <v>28.88785047</v>
      </c>
      <c r="CI7">
        <f ca="1">IFERROR(IF(0=LEN(ReferenceData!$CI$7),"",ReferenceData!$CI$7),"")</f>
        <v>28.037383179999999</v>
      </c>
      <c r="CJ7">
        <f ca="1">IFERROR(IF(0=LEN(ReferenceData!$CJ$7),"",ReferenceData!$CJ$7),"")</f>
        <v>28.892523359999998</v>
      </c>
      <c r="CK7">
        <f ca="1">IFERROR(IF(0=LEN(ReferenceData!$CK$7),"",ReferenceData!$CK$7),"")</f>
        <v>27.915887850000001</v>
      </c>
    </row>
    <row r="8" spans="1:89">
      <c r="A8" t="str">
        <f>IFERROR(IF(0=LEN(ReferenceData!$A$8),"",ReferenceData!$A$8),"")</f>
        <v xml:space="preserve">    埃塞克斯房地产信托公司</v>
      </c>
      <c r="B8" t="str">
        <f>IFERROR(IF(0=LEN(ReferenceData!$B$8),"",ReferenceData!$B$8),"")</f>
        <v>ESS US Equity</v>
      </c>
      <c r="C8" t="str">
        <f>IFERROR(IF(0=LEN(ReferenceData!$C$8),"",ReferenceData!$C$8),"")</f>
        <v>RR857</v>
      </c>
      <c r="D8" t="str">
        <f>IFERROR(IF(0=LEN(ReferenceData!$D$8),"",ReferenceData!$D$8),"")</f>
        <v>PX_TO_FFO_RATIO</v>
      </c>
      <c r="E8" t="str">
        <f>IFERROR(IF(0=LEN(ReferenceData!$E$8),"",ReferenceData!$E$8),"")</f>
        <v>动态</v>
      </c>
      <c r="F8">
        <f ca="1">IFERROR(IF(0=LEN(ReferenceData!$F$8),"",ReferenceData!$F$8),"")</f>
        <v>19.990633500000001</v>
      </c>
      <c r="G8">
        <f ca="1">IFERROR(IF(0=LEN(ReferenceData!$G$8),"",ReferenceData!$G$8),"")</f>
        <v>18.796485780000001</v>
      </c>
      <c r="H8">
        <f ca="1">IFERROR(IF(0=LEN(ReferenceData!$H$8),"",ReferenceData!$H$8),"")</f>
        <v>19.56487181</v>
      </c>
      <c r="I8">
        <f ca="1">IFERROR(IF(0=LEN(ReferenceData!$I$8),"",ReferenceData!$I$8),"")</f>
        <v>20.269435609999999</v>
      </c>
      <c r="J8">
        <f ca="1">IFERROR(IF(0=LEN(ReferenceData!$J$8),"",ReferenceData!$J$8),"")</f>
        <v>21.023866290000001</v>
      </c>
      <c r="K8">
        <f ca="1">IFERROR(IF(0=LEN(ReferenceData!$K$8),"",ReferenceData!$K$8),"")</f>
        <v>22.338123929999998</v>
      </c>
      <c r="L8">
        <f ca="1">IFERROR(IF(0=LEN(ReferenceData!$L$8),"",ReferenceData!$L$8),"")</f>
        <v>21.6231133</v>
      </c>
      <c r="M8">
        <f ca="1">IFERROR(IF(0=LEN(ReferenceData!$M$8),"",ReferenceData!$M$8),"")</f>
        <v>22.963140429999999</v>
      </c>
      <c r="N8">
        <f ca="1">IFERROR(IF(0=LEN(ReferenceData!$N$8),"",ReferenceData!$N$8),"")</f>
        <v>22.594480019999999</v>
      </c>
      <c r="O8">
        <f ca="1">IFERROR(IF(0=LEN(ReferenceData!$O$8),"",ReferenceData!$O$8),"")</f>
        <v>22.212005640000001</v>
      </c>
      <c r="P8">
        <f ca="1">IFERROR(IF(0=LEN(ReferenceData!$P$8),"",ReferenceData!$P$8),"")</f>
        <v>22.489064679999998</v>
      </c>
      <c r="Q8">
        <f ca="1">IFERROR(IF(0=LEN(ReferenceData!$Q$8),"",ReferenceData!$Q$8),"")</f>
        <v>21.399274649999999</v>
      </c>
      <c r="R8">
        <f ca="1">IFERROR(IF(0=LEN(ReferenceData!$R$8),"",ReferenceData!$R$8),"")</f>
        <v>20.266593279999999</v>
      </c>
      <c r="S8">
        <f ca="1">IFERROR(IF(0=LEN(ReferenceData!$S$8),"",ReferenceData!$S$8),"")</f>
        <v>21.11709334</v>
      </c>
      <c r="T8">
        <f ca="1">IFERROR(IF(0=LEN(ReferenceData!$T$8),"",ReferenceData!$T$8),"")</f>
        <v>20.181355069999999</v>
      </c>
      <c r="U8">
        <f ca="1">IFERROR(IF(0=LEN(ReferenceData!$U$8),"",ReferenceData!$U$8),"")</f>
        <v>20.919148700000001</v>
      </c>
      <c r="V8">
        <f ca="1">IFERROR(IF(0=LEN(ReferenceData!$V$8),"",ReferenceData!$V$8),"")</f>
        <v>20.004841849999998</v>
      </c>
      <c r="W8">
        <f ca="1">IFERROR(IF(0=LEN(ReferenceData!$W$8),"",ReferenceData!$W$8),"")</f>
        <v>19.835293589999999</v>
      </c>
      <c r="X8">
        <f ca="1">IFERROR(IF(0=LEN(ReferenceData!$X$8),"",ReferenceData!$X$8),"")</f>
        <v>20.63300426</v>
      </c>
      <c r="Y8">
        <f ca="1">IFERROR(IF(0=LEN(ReferenceData!$Y$8),"",ReferenceData!$Y$8),"")</f>
        <v>21.600036750000001</v>
      </c>
      <c r="Z8">
        <f ca="1">IFERROR(IF(0=LEN(ReferenceData!$Z$8),"",ReferenceData!$Z$8),"")</f>
        <v>22.244899140000001</v>
      </c>
      <c r="AA8">
        <f ca="1">IFERROR(IF(0=LEN(ReferenceData!$AA$8),"",ReferenceData!$AA$8),"")</f>
        <v>21.694198069999999</v>
      </c>
      <c r="AB8">
        <f ca="1">IFERROR(IF(0=LEN(ReferenceData!$AB$8),"",ReferenceData!$AB$8),"")</f>
        <v>22.53923983</v>
      </c>
      <c r="AC8">
        <f ca="1">IFERROR(IF(0=LEN(ReferenceData!$AC$8),"",ReferenceData!$AC$8),"")</f>
        <v>21.866722800000002</v>
      </c>
      <c r="AD8">
        <f ca="1">IFERROR(IF(0=LEN(ReferenceData!$AD$8),"",ReferenceData!$AD$8),"")</f>
        <v>23.196878170000002</v>
      </c>
      <c r="AE8">
        <f ca="1">IFERROR(IF(0=LEN(ReferenceData!$AE$8),"",ReferenceData!$AE$8),"")</f>
        <v>21.54964476</v>
      </c>
      <c r="AF8">
        <f ca="1">IFERROR(IF(0=LEN(ReferenceData!$AF$8),"",ReferenceData!$AF$8),"")</f>
        <v>21.944021379999999</v>
      </c>
      <c r="AG8">
        <f ca="1">IFERROR(IF(0=LEN(ReferenceData!$AG$8),"",ReferenceData!$AG$8),"")</f>
        <v>24.652142829999999</v>
      </c>
      <c r="AH8">
        <f ca="1">IFERROR(IF(0=LEN(ReferenceData!$AH$8),"",ReferenceData!$AH$8),"")</f>
        <v>24.357341479999999</v>
      </c>
      <c r="AI8">
        <f ca="1">IFERROR(IF(0=LEN(ReferenceData!$AI$8),"",ReferenceData!$AI$8),"")</f>
        <v>23.265013029999999</v>
      </c>
      <c r="AJ8">
        <f ca="1">IFERROR(IF(0=LEN(ReferenceData!$AJ$8),"",ReferenceData!$AJ$8),"")</f>
        <v>23.579519189999999</v>
      </c>
      <c r="AK8">
        <f ca="1">IFERROR(IF(0=LEN(ReferenceData!$AK$8),"",ReferenceData!$AK$8),"")</f>
        <v>23.778043230000002</v>
      </c>
      <c r="AL8">
        <f ca="1">IFERROR(IF(0=LEN(ReferenceData!$AL$8),"",ReferenceData!$AL$8),"")</f>
        <v>24.9180864</v>
      </c>
      <c r="AM8">
        <f ca="1">IFERROR(IF(0=LEN(ReferenceData!$AM$8),"",ReferenceData!$AM$8),"")</f>
        <v>23.54316554</v>
      </c>
      <c r="AN8">
        <f ca="1">IFERROR(IF(0=LEN(ReferenceData!$AN$8),"",ReferenceData!$AN$8),"")</f>
        <v>26.626476180000001</v>
      </c>
      <c r="AO8">
        <f ca="1">IFERROR(IF(0=LEN(ReferenceData!$AO$8),"",ReferenceData!$AO$8),"")</f>
        <v>26.546340799999999</v>
      </c>
      <c r="AP8">
        <f ca="1">IFERROR(IF(0=LEN(ReferenceData!$AP$8),"",ReferenceData!$AP$8),"")</f>
        <v>27.497200939999999</v>
      </c>
      <c r="AQ8">
        <f ca="1">IFERROR(IF(0=LEN(ReferenceData!$AQ$8),"",ReferenceData!$AQ$8),"")</f>
        <v>28.62363466</v>
      </c>
      <c r="AR8">
        <f ca="1">IFERROR(IF(0=LEN(ReferenceData!$AR$8),"",ReferenceData!$AR$8),"")</f>
        <v>29.089478100000001</v>
      </c>
      <c r="AS8">
        <f ca="1">IFERROR(IF(0=LEN(ReferenceData!$AS$8),"",ReferenceData!$AS$8),"")</f>
        <v>26.58653473</v>
      </c>
      <c r="AT8">
        <f ca="1">IFERROR(IF(0=LEN(ReferenceData!$AT$8),"",ReferenceData!$AT$8),"")</f>
        <v>27.830346670000001</v>
      </c>
      <c r="AU8">
        <f ca="1">IFERROR(IF(0=LEN(ReferenceData!$AU$8),"",ReferenceData!$AU$8),"")</f>
        <v>27.74097497</v>
      </c>
      <c r="AV8">
        <f ca="1">IFERROR(IF(0=LEN(ReferenceData!$AV$8),"",ReferenceData!$AV$8),"")</f>
        <v>24.577216870000001</v>
      </c>
      <c r="AW8">
        <f ca="1">IFERROR(IF(0=LEN(ReferenceData!$AW$8),"",ReferenceData!$AW$8),"")</f>
        <v>27.239051440000001</v>
      </c>
      <c r="AX8">
        <f ca="1">IFERROR(IF(0=LEN(ReferenceData!$AX$8),"",ReferenceData!$AX$8),"")</f>
        <v>26.69272153</v>
      </c>
      <c r="AY8">
        <f ca="1">IFERROR(IF(0=LEN(ReferenceData!$AY$8),"",ReferenceData!$AY$8),"")</f>
        <v>26.036562419999999</v>
      </c>
      <c r="AZ8">
        <f ca="1">IFERROR(IF(0=LEN(ReferenceData!$AZ$8),"",ReferenceData!$AZ$8),"")</f>
        <v>24.804212440000001</v>
      </c>
      <c r="BA8">
        <f ca="1">IFERROR(IF(0=LEN(ReferenceData!$BA$8),"",ReferenceData!$BA$8),"")</f>
        <v>23.748772370000001</v>
      </c>
      <c r="BB8">
        <f ca="1">IFERROR(IF(0=LEN(ReferenceData!$BB$8),"",ReferenceData!$BB$8),"")</f>
        <v>23.30877722</v>
      </c>
      <c r="BC8">
        <f ca="1">IFERROR(IF(0=LEN(ReferenceData!$BC$8),"",ReferenceData!$BC$8),"")</f>
        <v>22.048543710000001</v>
      </c>
      <c r="BD8">
        <f ca="1">IFERROR(IF(0=LEN(ReferenceData!$BD$8),"",ReferenceData!$BD$8),"")</f>
        <v>20.877894569999999</v>
      </c>
      <c r="BE8">
        <f ca="1">IFERROR(IF(0=LEN(ReferenceData!$BE$8),"",ReferenceData!$BE$8),"")</f>
        <v>18.918902889999998</v>
      </c>
      <c r="BF8">
        <f ca="1">IFERROR(IF(0=LEN(ReferenceData!$BF$8),"",ReferenceData!$BF$8),"")</f>
        <v>20.223975769999999</v>
      </c>
      <c r="BG8">
        <f ca="1">IFERROR(IF(0=LEN(ReferenceData!$BG$8),"",ReferenceData!$BG$8),"")</f>
        <v>21.448258339999999</v>
      </c>
      <c r="BH8">
        <f ca="1">IFERROR(IF(0=LEN(ReferenceData!$BH$8),"",ReferenceData!$BH$8),"")</f>
        <v>19.676445699999999</v>
      </c>
      <c r="BI8">
        <f ca="1">IFERROR(IF(0=LEN(ReferenceData!$BI$8),"",ReferenceData!$BI$8),"")</f>
        <v>19.718467990000001</v>
      </c>
      <c r="BJ8">
        <f ca="1">IFERROR(IF(0=LEN(ReferenceData!$BJ$8),"",ReferenceData!$BJ$8),"")</f>
        <v>22.192392040000001</v>
      </c>
      <c r="BK8">
        <f ca="1">IFERROR(IF(0=LEN(ReferenceData!$BK$8),"",ReferenceData!$BK$8),"")</f>
        <v>21.866296380000001</v>
      </c>
      <c r="BL8">
        <f ca="1">IFERROR(IF(0=LEN(ReferenceData!$BL$8),"",ReferenceData!$BL$8),"")</f>
        <v>22.285378779999998</v>
      </c>
      <c r="BM8">
        <f ca="1">IFERROR(IF(0=LEN(ReferenceData!$BM$8),"",ReferenceData!$BM$8),"")</f>
        <v>22.27261511</v>
      </c>
      <c r="BN8">
        <f ca="1">IFERROR(IF(0=LEN(ReferenceData!$BN$8),"",ReferenceData!$BN$8),"")</f>
        <v>21.3550486</v>
      </c>
      <c r="BO8">
        <f ca="1">IFERROR(IF(0=LEN(ReferenceData!$BO$8),"",ReferenceData!$BO$8),"")</f>
        <v>22.20000417</v>
      </c>
      <c r="BP8">
        <f ca="1">IFERROR(IF(0=LEN(ReferenceData!$BP$8),"",ReferenceData!$BP$8),"")</f>
        <v>22.913730059999999</v>
      </c>
      <c r="BQ8">
        <f ca="1">IFERROR(IF(0=LEN(ReferenceData!$BQ$8),"",ReferenceData!$BQ$8),"")</f>
        <v>21.851336409999998</v>
      </c>
      <c r="BR8">
        <f ca="1">IFERROR(IF(0=LEN(ReferenceData!$BR$8),"",ReferenceData!$BR$8),"")</f>
        <v>21.46369932</v>
      </c>
      <c r="BS8">
        <f ca="1">IFERROR(IF(0=LEN(ReferenceData!$BS$8),"",ReferenceData!$BS$8),"")</f>
        <v>22.916612560000001</v>
      </c>
      <c r="BT8">
        <f ca="1">IFERROR(IF(0=LEN(ReferenceData!$BT$8),"",ReferenceData!$BT$8),"")</f>
        <v>22.6477243</v>
      </c>
      <c r="BU8">
        <f ca="1">IFERROR(IF(0=LEN(ReferenceData!$BU$8),"",ReferenceData!$BU$8),"")</f>
        <v>24.108980590000002</v>
      </c>
      <c r="BV8">
        <f ca="1">IFERROR(IF(0=LEN(ReferenceData!$BV$8),"",ReferenceData!$BV$8),"")</f>
        <v>24.962423909999998</v>
      </c>
      <c r="BW8">
        <f ca="1">IFERROR(IF(0=LEN(ReferenceData!$BW$8),"",ReferenceData!$BW$8),"")</f>
        <v>24.416727810000001</v>
      </c>
      <c r="BX8">
        <f ca="1">IFERROR(IF(0=LEN(ReferenceData!$BX$8),"",ReferenceData!$BX$8),"")</f>
        <v>25.372390330000002</v>
      </c>
      <c r="BY8">
        <f ca="1">IFERROR(IF(0=LEN(ReferenceData!$BY$8),"",ReferenceData!$BY$8),"")</f>
        <v>26.638817629999998</v>
      </c>
      <c r="BZ8">
        <f ca="1">IFERROR(IF(0=LEN(ReferenceData!$BZ$8),"",ReferenceData!$BZ$8),"")</f>
        <v>25.549454069999999</v>
      </c>
      <c r="CA8">
        <f ca="1">IFERROR(IF(0=LEN(ReferenceData!$CA$8),"",ReferenceData!$CA$8),"")</f>
        <v>24.38821282</v>
      </c>
      <c r="CB8">
        <f ca="1">IFERROR(IF(0=LEN(ReferenceData!$CB$8),"",ReferenceData!$CB$8),"")</f>
        <v>25.08681082</v>
      </c>
      <c r="CC8">
        <f ca="1">IFERROR(IF(0=LEN(ReferenceData!$CC$8),"",ReferenceData!$CC$8),"")</f>
        <v>24.47880408</v>
      </c>
      <c r="CD8">
        <f ca="1">IFERROR(IF(0=LEN(ReferenceData!$CD$8),"",ReferenceData!$CD$8),"")</f>
        <v>24.169271129999998</v>
      </c>
      <c r="CE8">
        <f ca="1">IFERROR(IF(0=LEN(ReferenceData!$CE$8),"",ReferenceData!$CE$8),"")</f>
        <v>25.972187779999999</v>
      </c>
      <c r="CF8">
        <f ca="1">IFERROR(IF(0=LEN(ReferenceData!$CF$8),"",ReferenceData!$CF$8),"")</f>
        <v>21.838760310000001</v>
      </c>
      <c r="CG8">
        <f ca="1">IFERROR(IF(0=LEN(ReferenceData!$CG$8),"",ReferenceData!$CG$8),"")</f>
        <v>27.00508271</v>
      </c>
      <c r="CH8">
        <f ca="1">IFERROR(IF(0=LEN(ReferenceData!$CH$8),"",ReferenceData!$CH$8),"")</f>
        <v>26.40496976</v>
      </c>
      <c r="CI8">
        <f ca="1">IFERROR(IF(0=LEN(ReferenceData!$CI$8),"",ReferenceData!$CI$8),"")</f>
        <v>25.45118523</v>
      </c>
      <c r="CJ8">
        <f ca="1">IFERROR(IF(0=LEN(ReferenceData!$CJ$8),"",ReferenceData!$CJ$8),"")</f>
        <v>25.777202989999999</v>
      </c>
      <c r="CK8">
        <f ca="1">IFERROR(IF(0=LEN(ReferenceData!$CK$8),"",ReferenceData!$CK$8),"")</f>
        <v>25.37820988</v>
      </c>
    </row>
    <row r="9" spans="1:89">
      <c r="A9" t="str">
        <f>IFERROR(IF(0=LEN(ReferenceData!$A$9),"",ReferenceData!$A$9),"")</f>
        <v xml:space="preserve">    Mid-America Apartment Communities股份有限公司</v>
      </c>
      <c r="B9" t="str">
        <f>IFERROR(IF(0=LEN(ReferenceData!$B$9),"",ReferenceData!$B$9),"")</f>
        <v>MAA US Equity</v>
      </c>
      <c r="C9" t="str">
        <f>IFERROR(IF(0=LEN(ReferenceData!$C$9),"",ReferenceData!$C$9),"")</f>
        <v>RR857</v>
      </c>
      <c r="D9" t="str">
        <f>IFERROR(IF(0=LEN(ReferenceData!$D$9),"",ReferenceData!$D$9),"")</f>
        <v>PX_TO_FFO_RATIO</v>
      </c>
      <c r="E9" t="str">
        <f>IFERROR(IF(0=LEN(ReferenceData!$E$9),"",ReferenceData!$E$9),"")</f>
        <v>动态</v>
      </c>
      <c r="F9">
        <f ca="1">IFERROR(IF(0=LEN(ReferenceData!$F$9),"",ReferenceData!$F$9),"")</f>
        <v>15.04040404</v>
      </c>
      <c r="G9">
        <f ca="1">IFERROR(IF(0=LEN(ReferenceData!$G$9),"",ReferenceData!$G$9),"")</f>
        <v>14.44781145</v>
      </c>
      <c r="H9">
        <f ca="1">IFERROR(IF(0=LEN(ReferenceData!$H$9),"",ReferenceData!$H$9),"")</f>
        <v>16.055555559999998</v>
      </c>
      <c r="I9">
        <f ca="1">IFERROR(IF(0=LEN(ReferenceData!$I$9),"",ReferenceData!$I$9),"")</f>
        <v>16.929292929999999</v>
      </c>
      <c r="J9">
        <f ca="1">IFERROR(IF(0=LEN(ReferenceData!$J$9),"",ReferenceData!$J$9),"")</f>
        <v>18.391382409999999</v>
      </c>
      <c r="K9">
        <f ca="1">IFERROR(IF(0=LEN(ReferenceData!$K$9),"",ReferenceData!$K$9),"")</f>
        <v>18.375224419999999</v>
      </c>
      <c r="L9">
        <f ca="1">IFERROR(IF(0=LEN(ReferenceData!$L$9),"",ReferenceData!$L$9),"")</f>
        <v>19.188509870000001</v>
      </c>
      <c r="M9">
        <f ca="1">IFERROR(IF(0=LEN(ReferenceData!$M$9),"",ReferenceData!$M$9),"")</f>
        <v>19.216606500000001</v>
      </c>
      <c r="N9">
        <f ca="1">IFERROR(IF(0=LEN(ReferenceData!$N$9),"",ReferenceData!$N$9),"")</f>
        <v>18.687725629999999</v>
      </c>
      <c r="O9">
        <f ca="1">IFERROR(IF(0=LEN(ReferenceData!$O$9),"",ReferenceData!$O$9),"")</f>
        <v>19.021660650000001</v>
      </c>
      <c r="P9">
        <f ca="1">IFERROR(IF(0=LEN(ReferenceData!$P$9),"",ReferenceData!$P$9),"")</f>
        <v>18.20357143</v>
      </c>
      <c r="Q9">
        <f ca="1">IFERROR(IF(0=LEN(ReferenceData!$Q$9),"",ReferenceData!$Q$9),"")</f>
        <v>17.71607143</v>
      </c>
      <c r="R9">
        <f ca="1">IFERROR(IF(0=LEN(ReferenceData!$R$9),"",ReferenceData!$R$9),"")</f>
        <v>18.167857139999999</v>
      </c>
      <c r="S9">
        <f ca="1">IFERROR(IF(0=LEN(ReferenceData!$S$9),"",ReferenceData!$S$9),"")</f>
        <v>18.214539009999999</v>
      </c>
      <c r="T9">
        <f ca="1">IFERROR(IF(0=LEN(ReferenceData!$T$9),"",ReferenceData!$T$9),"")</f>
        <v>16.835106379999999</v>
      </c>
      <c r="U9">
        <f ca="1">IFERROR(IF(0=LEN(ReferenceData!$U$9),"",ReferenceData!$U$9),"")</f>
        <v>17.361702130000001</v>
      </c>
      <c r="V9">
        <f ca="1">IFERROR(IF(0=LEN(ReferenceData!$V$9),"",ReferenceData!$V$9),"")</f>
        <v>15.27158013</v>
      </c>
      <c r="W9">
        <f ca="1">IFERROR(IF(0=LEN(ReferenceData!$W$9),"",ReferenceData!$W$9),"")</f>
        <v>15.458245740000001</v>
      </c>
      <c r="X9">
        <f ca="1">IFERROR(IF(0=LEN(ReferenceData!$X$9),"",ReferenceData!$X$9),"")</f>
        <v>15.66491123</v>
      </c>
      <c r="Y9">
        <f ca="1">IFERROR(IF(0=LEN(ReferenceData!$Y$9),"",ReferenceData!$Y$9),"")</f>
        <v>15.74463637</v>
      </c>
      <c r="Z9">
        <f ca="1">IFERROR(IF(0=LEN(ReferenceData!$Z$9),"",ReferenceData!$Z$9),"")</f>
        <v>17.75982922</v>
      </c>
      <c r="AA9">
        <f ca="1">IFERROR(IF(0=LEN(ReferenceData!$AA$9),"",ReferenceData!$AA$9),"")</f>
        <v>17.823484520000001</v>
      </c>
      <c r="AB9">
        <f ca="1">IFERROR(IF(0=LEN(ReferenceData!$AB$9),"",ReferenceData!$AB$9),"")</f>
        <v>17.63172951</v>
      </c>
      <c r="AC9">
        <f ca="1">IFERROR(IF(0=LEN(ReferenceData!$AC$9),"",ReferenceData!$AC$9),"")</f>
        <v>16.38540471</v>
      </c>
      <c r="AD9">
        <f ca="1">IFERROR(IF(0=LEN(ReferenceData!$AD$9),"",ReferenceData!$AD$9),"")</f>
        <v>17.49819471</v>
      </c>
      <c r="AE9">
        <f ca="1">IFERROR(IF(0=LEN(ReferenceData!$AE$9),"",ReferenceData!$AE$9),"")</f>
        <v>15.83123488</v>
      </c>
      <c r="AF9">
        <f ca="1">IFERROR(IF(0=LEN(ReferenceData!$AF$9),"",ReferenceData!$AF$9),"")</f>
        <v>16.514192309999999</v>
      </c>
      <c r="AG9">
        <f ca="1">IFERROR(IF(0=LEN(ReferenceData!$AG$9),"",ReferenceData!$AG$9),"")</f>
        <v>15.984372240000001</v>
      </c>
      <c r="AH9">
        <f ca="1">IFERROR(IF(0=LEN(ReferenceData!$AH$9),"",ReferenceData!$AH$9),"")</f>
        <v>15.9822708</v>
      </c>
      <c r="AI9">
        <f ca="1">IFERROR(IF(0=LEN(ReferenceData!$AI$9),"",ReferenceData!$AI$9),"")</f>
        <v>15.3740927</v>
      </c>
      <c r="AJ9">
        <f ca="1">IFERROR(IF(0=LEN(ReferenceData!$AJ$9),"",ReferenceData!$AJ$9),"")</f>
        <v>14.77493801</v>
      </c>
      <c r="AK9">
        <f ca="1">IFERROR(IF(0=LEN(ReferenceData!$AK$9),"",ReferenceData!$AK$9),"")</f>
        <v>14.52271653</v>
      </c>
      <c r="AL9">
        <f ca="1">IFERROR(IF(0=LEN(ReferenceData!$AL$9),"",ReferenceData!$AL$9),"")</f>
        <v>14.8461006</v>
      </c>
      <c r="AM9">
        <f ca="1">IFERROR(IF(0=LEN(ReferenceData!$AM$9),"",ReferenceData!$AM$9),"")</f>
        <v>13.45462515</v>
      </c>
      <c r="AN9">
        <f ca="1">IFERROR(IF(0=LEN(ReferenceData!$AN$9),"",ReferenceData!$AN$9),"")</f>
        <v>14.69038462</v>
      </c>
      <c r="AO9">
        <f ca="1">IFERROR(IF(0=LEN(ReferenceData!$AO$9),"",ReferenceData!$AO$9),"")</f>
        <v>14.34807692</v>
      </c>
      <c r="AP9">
        <f ca="1">IFERROR(IF(0=LEN(ReferenceData!$AP$9),"",ReferenceData!$AP$9),"")</f>
        <v>14.859615379999999</v>
      </c>
      <c r="AQ9">
        <f ca="1">IFERROR(IF(0=LEN(ReferenceData!$AQ$9),"",ReferenceData!$AQ$9),"")</f>
        <v>14.23772102</v>
      </c>
      <c r="AR9">
        <f ca="1">IFERROR(IF(0=LEN(ReferenceData!$AR$9),"",ReferenceData!$AR$9),"")</f>
        <v>15.58349705</v>
      </c>
      <c r="AS9">
        <f ca="1">IFERROR(IF(0=LEN(ReferenceData!$AS$9),"",ReferenceData!$AS$9),"")</f>
        <v>14.6719057</v>
      </c>
      <c r="AT9">
        <f ca="1">IFERROR(IF(0=LEN(ReferenceData!$AT$9),"",ReferenceData!$AT$9),"")</f>
        <v>15.70575693</v>
      </c>
      <c r="AU9">
        <f ca="1">IFERROR(IF(0=LEN(ReferenceData!$AU$9),"",ReferenceData!$AU$9),"")</f>
        <v>15.06609808</v>
      </c>
      <c r="AV9">
        <f ca="1">IFERROR(IF(0=LEN(ReferenceData!$AV$9),"",ReferenceData!$AV$9),"")</f>
        <v>13.9978678</v>
      </c>
      <c r="AW9">
        <f ca="1">IFERROR(IF(0=LEN(ReferenceData!$AW$9),"",ReferenceData!$AW$9),"")</f>
        <v>16.035476719999998</v>
      </c>
      <c r="AX9">
        <f ca="1">IFERROR(IF(0=LEN(ReferenceData!$AX$9),"",ReferenceData!$AX$9),"")</f>
        <v>15.50332594</v>
      </c>
      <c r="AY9">
        <f ca="1">IFERROR(IF(0=LEN(ReferenceData!$AY$9),"",ReferenceData!$AY$9),"")</f>
        <v>16.197339249999999</v>
      </c>
      <c r="AZ9">
        <f ca="1">IFERROR(IF(0=LEN(ReferenceData!$AZ$9),"",ReferenceData!$AZ$9),"")</f>
        <v>16.258426969999999</v>
      </c>
      <c r="BA9">
        <f ca="1">IFERROR(IF(0=LEN(ReferenceData!$BA$9),"",ReferenceData!$BA$9),"")</f>
        <v>15.651685390000001</v>
      </c>
      <c r="BB9">
        <f ca="1">IFERROR(IF(0=LEN(ReferenceData!$BB$9),"",ReferenceData!$BB$9),"")</f>
        <v>15.341573029999999</v>
      </c>
      <c r="BC9">
        <f ca="1">IFERROR(IF(0=LEN(ReferenceData!$BC$9),"",ReferenceData!$BC$9),"")</f>
        <v>15.13199105</v>
      </c>
      <c r="BD9">
        <f ca="1">IFERROR(IF(0=LEN(ReferenceData!$BD$9),"",ReferenceData!$BD$9),"")</f>
        <v>14.43847875</v>
      </c>
      <c r="BE9">
        <f ca="1">IFERROR(IF(0=LEN(ReferenceData!$BE$9),"",ReferenceData!$BE$9),"")</f>
        <v>13.58836689</v>
      </c>
      <c r="BF9">
        <f ca="1">IFERROR(IF(0=LEN(ReferenceData!$BF$9),"",ReferenceData!$BF$9),"")</f>
        <v>12.721165940000001</v>
      </c>
      <c r="BG9">
        <f ca="1">IFERROR(IF(0=LEN(ReferenceData!$BG$9),"",ReferenceData!$BG$9),"")</f>
        <v>14.0220023</v>
      </c>
      <c r="BH9">
        <f ca="1">IFERROR(IF(0=LEN(ReferenceData!$BH$9),"",ReferenceData!$BH$9),"")</f>
        <v>13.198420840000001</v>
      </c>
      <c r="BI9">
        <f ca="1">IFERROR(IF(0=LEN(ReferenceData!$BI$9),"",ReferenceData!$BI$9),"")</f>
        <v>13.076261580000001</v>
      </c>
      <c r="BJ9">
        <f ca="1">IFERROR(IF(0=LEN(ReferenceData!$BJ$9),"",ReferenceData!$BJ$9),"")</f>
        <v>14.325356299999999</v>
      </c>
      <c r="BK9">
        <f ca="1">IFERROR(IF(0=LEN(ReferenceData!$BK$9),"",ReferenceData!$BK$9),"")</f>
        <v>14.372011799999999</v>
      </c>
      <c r="BL9">
        <f ca="1">IFERROR(IF(0=LEN(ReferenceData!$BL$9),"",ReferenceData!$BL$9),"")</f>
        <v>14.44505957</v>
      </c>
      <c r="BM9">
        <f ca="1">IFERROR(IF(0=LEN(ReferenceData!$BM$9),"",ReferenceData!$BM$9),"")</f>
        <v>14.606575619999999</v>
      </c>
      <c r="BN9">
        <f ca="1">IFERROR(IF(0=LEN(ReferenceData!$BN$9),"",ReferenceData!$BN$9),"")</f>
        <v>14.67670758</v>
      </c>
      <c r="BO9">
        <f ca="1">IFERROR(IF(0=LEN(ReferenceData!$BO$9),"",ReferenceData!$BO$9),"")</f>
        <v>15.17676539</v>
      </c>
      <c r="BP9">
        <f ca="1">IFERROR(IF(0=LEN(ReferenceData!$BP$9),"",ReferenceData!$BP$9),"")</f>
        <v>14.28722859</v>
      </c>
      <c r="BQ9">
        <f ca="1">IFERROR(IF(0=LEN(ReferenceData!$BQ$9),"",ReferenceData!$BQ$9),"")</f>
        <v>14.151721759999999</v>
      </c>
      <c r="BR9">
        <f ca="1">IFERROR(IF(0=LEN(ReferenceData!$BR$9),"",ReferenceData!$BR$9),"")</f>
        <v>14.06772009</v>
      </c>
      <c r="BS9">
        <f ca="1">IFERROR(IF(0=LEN(ReferenceData!$BS$9),"",ReferenceData!$BS$9),"")</f>
        <v>14.60722348</v>
      </c>
      <c r="BT9">
        <f ca="1">IFERROR(IF(0=LEN(ReferenceData!$BT$9),"",ReferenceData!$BT$9),"")</f>
        <v>14.74266366</v>
      </c>
      <c r="BU9">
        <f ca="1">IFERROR(IF(0=LEN(ReferenceData!$BU$9),"",ReferenceData!$BU$9),"")</f>
        <v>15.74074074</v>
      </c>
      <c r="BV9">
        <f ca="1">IFERROR(IF(0=LEN(ReferenceData!$BV$9),"",ReferenceData!$BV$9),"")</f>
        <v>16.025462959999999</v>
      </c>
      <c r="BW9">
        <f ca="1">IFERROR(IF(0=LEN(ReferenceData!$BW$9),"",ReferenceData!$BW$9),"")</f>
        <v>15.7962963</v>
      </c>
      <c r="BX9">
        <f ca="1">IFERROR(IF(0=LEN(ReferenceData!$BX$9),"",ReferenceData!$BX$9),"")</f>
        <v>16.356796119999998</v>
      </c>
      <c r="BY9">
        <f ca="1">IFERROR(IF(0=LEN(ReferenceData!$BY$9),"",ReferenceData!$BY$9),"")</f>
        <v>16.521844659999999</v>
      </c>
      <c r="BZ9">
        <f ca="1">IFERROR(IF(0=LEN(ReferenceData!$BZ$9),"",ReferenceData!$BZ$9),"")</f>
        <v>16.269417480000001</v>
      </c>
      <c r="CA9">
        <f ca="1">IFERROR(IF(0=LEN(ReferenceData!$CA$9),"",ReferenceData!$CA$9),"")</f>
        <v>15.67085427</v>
      </c>
      <c r="CB9">
        <f ca="1">IFERROR(IF(0=LEN(ReferenceData!$CB$9),"",ReferenceData!$CB$9),"")</f>
        <v>16.060301509999999</v>
      </c>
      <c r="CC9">
        <f ca="1">IFERROR(IF(0=LEN(ReferenceData!$CC$9),"",ReferenceData!$CC$9),"")</f>
        <v>15.716080399999999</v>
      </c>
      <c r="CD9">
        <f ca="1">IFERROR(IF(0=LEN(ReferenceData!$CD$9),"",ReferenceData!$CD$9),"")</f>
        <v>14.849740929999999</v>
      </c>
      <c r="CE9">
        <f ca="1">IFERROR(IF(0=LEN(ReferenceData!$CE$9),"",ReferenceData!$CE$9),"")</f>
        <v>16.165803109999999</v>
      </c>
      <c r="CF9">
        <f ca="1">IFERROR(IF(0=LEN(ReferenceData!$CF$9),"",ReferenceData!$CF$9),"")</f>
        <v>15.60103627</v>
      </c>
      <c r="CG9">
        <f ca="1">IFERROR(IF(0=LEN(ReferenceData!$CG$9),"",ReferenceData!$CG$9),"")</f>
        <v>19.318918920000002</v>
      </c>
      <c r="CH9">
        <f ca="1">IFERROR(IF(0=LEN(ReferenceData!$CH$9),"",ReferenceData!$CH$9),"")</f>
        <v>19.132432430000001</v>
      </c>
      <c r="CI9">
        <f ca="1">IFERROR(IF(0=LEN(ReferenceData!$CI$9),"",ReferenceData!$CI$9),"")</f>
        <v>18.235135140000001</v>
      </c>
      <c r="CJ9">
        <f ca="1">IFERROR(IF(0=LEN(ReferenceData!$CJ$9),"",ReferenceData!$CJ$9),"")</f>
        <v>19.201680669999998</v>
      </c>
      <c r="CK9">
        <f ca="1">IFERROR(IF(0=LEN(ReferenceData!$CK$9),"",ReferenceData!$CK$9),"")</f>
        <v>18.725490199999999</v>
      </c>
    </row>
    <row r="10" spans="1:89">
      <c r="A10" t="str">
        <f>IFERROR(IF(0=LEN(ReferenceData!$A$10),"",ReferenceData!$A$10),"")</f>
        <v xml:space="preserve">    UDR 公司</v>
      </c>
      <c r="B10" t="str">
        <f>IFERROR(IF(0=LEN(ReferenceData!$B$10),"",ReferenceData!$B$10),"")</f>
        <v>UDR US Equity</v>
      </c>
      <c r="C10" t="str">
        <f>IFERROR(IF(0=LEN(ReferenceData!$C$10),"",ReferenceData!$C$10),"")</f>
        <v>RR857</v>
      </c>
      <c r="D10" t="str">
        <f>IFERROR(IF(0=LEN(ReferenceData!$D$10),"",ReferenceData!$D$10),"")</f>
        <v>PX_TO_FFO_RATIO</v>
      </c>
      <c r="E10" t="str">
        <f>IFERROR(IF(0=LEN(ReferenceData!$E$10),"",ReferenceData!$E$10),"")</f>
        <v>动态</v>
      </c>
      <c r="F10">
        <f ca="1">IFERROR(IF(0=LEN(ReferenceData!$F$10),"",ReferenceData!$F$10),"")</f>
        <v>19.456043869999998</v>
      </c>
      <c r="G10">
        <f ca="1">IFERROR(IF(0=LEN(ReferenceData!$G$10),"",ReferenceData!$G$10),"")</f>
        <v>18.472527469999999</v>
      </c>
      <c r="H10">
        <f ca="1">IFERROR(IF(0=LEN(ReferenceData!$H$10),"",ReferenceData!$H$10),"")</f>
        <v>20.071428569999998</v>
      </c>
      <c r="I10">
        <f ca="1">IFERROR(IF(0=LEN(ReferenceData!$I$10),"",ReferenceData!$I$10),"")</f>
        <v>21.164835159999999</v>
      </c>
      <c r="J10">
        <f ca="1">IFERROR(IF(0=LEN(ReferenceData!$J$10),"",ReferenceData!$J$10),"")</f>
        <v>21.491803279999999</v>
      </c>
      <c r="K10">
        <f ca="1">IFERROR(IF(0=LEN(ReferenceData!$K$10),"",ReferenceData!$K$10),"")</f>
        <v>21.196721310000001</v>
      </c>
      <c r="L10">
        <f ca="1">IFERROR(IF(0=LEN(ReferenceData!$L$10),"",ReferenceData!$L$10),"")</f>
        <v>20.78142077</v>
      </c>
      <c r="M10">
        <f ca="1">IFERROR(IF(0=LEN(ReferenceData!$M$10),"",ReferenceData!$M$10),"")</f>
        <v>21.23128316</v>
      </c>
      <c r="N10">
        <f ca="1">IFERROR(IF(0=LEN(ReferenceData!$N$10),"",ReferenceData!$N$10),"")</f>
        <v>21.378950509999999</v>
      </c>
      <c r="O10">
        <f ca="1">IFERROR(IF(0=LEN(ReferenceData!$O$10),"",ReferenceData!$O$10),"")</f>
        <v>21.313320579999999</v>
      </c>
      <c r="P10">
        <f ca="1">IFERROR(IF(0=LEN(ReferenceData!$P$10),"",ReferenceData!$P$10),"")</f>
        <v>21.232555040000001</v>
      </c>
      <c r="Q10">
        <f ca="1">IFERROR(IF(0=LEN(ReferenceData!$Q$10),"",ReferenceData!$Q$10),"")</f>
        <v>20.534151909999999</v>
      </c>
      <c r="R10">
        <f ca="1">IFERROR(IF(0=LEN(ReferenceData!$R$10),"",ReferenceData!$R$10),"")</f>
        <v>19.940234289999999</v>
      </c>
      <c r="S10">
        <f ca="1">IFERROR(IF(0=LEN(ReferenceData!$S$10),"",ReferenceData!$S$10),"")</f>
        <v>20.29543481</v>
      </c>
      <c r="T10">
        <f ca="1">IFERROR(IF(0=LEN(ReferenceData!$T$10),"",ReferenceData!$T$10),"")</f>
        <v>19.433573880000001</v>
      </c>
      <c r="U10">
        <f ca="1">IFERROR(IF(0=LEN(ReferenceData!$U$10),"",ReferenceData!$U$10),"")</f>
        <v>20.28431402</v>
      </c>
      <c r="V10">
        <f ca="1">IFERROR(IF(0=LEN(ReferenceData!$V$10),"",ReferenceData!$V$10),"")</f>
        <v>19.580841150000001</v>
      </c>
      <c r="W10">
        <f ca="1">IFERROR(IF(0=LEN(ReferenceData!$W$10),"",ReferenceData!$W$10),"")</f>
        <v>20.11580537</v>
      </c>
      <c r="X10">
        <f ca="1">IFERROR(IF(0=LEN(ReferenceData!$X$10),"",ReferenceData!$X$10),"")</f>
        <v>20.702540330000001</v>
      </c>
      <c r="Y10">
        <f ca="1">IFERROR(IF(0=LEN(ReferenceData!$Y$10),"",ReferenceData!$Y$10),"")</f>
        <v>21.282352939999999</v>
      </c>
      <c r="Z10">
        <f ca="1">IFERROR(IF(0=LEN(ReferenceData!$Z$10),"",ReferenceData!$Z$10),"")</f>
        <v>21.9</v>
      </c>
      <c r="AA10">
        <f ca="1">IFERROR(IF(0=LEN(ReferenceData!$AA$10),"",ReferenceData!$AA$10),"")</f>
        <v>21.717647060000001</v>
      </c>
      <c r="AB10">
        <f ca="1">IFERROR(IF(0=LEN(ReferenceData!$AB$10),"",ReferenceData!$AB$10),"")</f>
        <v>21.60929578</v>
      </c>
      <c r="AC10">
        <f ca="1">IFERROR(IF(0=LEN(ReferenceData!$AC$10),"",ReferenceData!$AC$10),"")</f>
        <v>20.94356393</v>
      </c>
      <c r="AD10">
        <f ca="1">IFERROR(IF(0=LEN(ReferenceData!$AD$10),"",ReferenceData!$AD$10),"")</f>
        <v>23.108691820000001</v>
      </c>
      <c r="AE10">
        <f ca="1">IFERROR(IF(0=LEN(ReferenceData!$AE$10),"",ReferenceData!$AE$10),"")</f>
        <v>20.589706469999999</v>
      </c>
      <c r="AF10">
        <f ca="1">IFERROR(IF(0=LEN(ReferenceData!$AF$10),"",ReferenceData!$AF$10),"")</f>
        <v>21.345402069999999</v>
      </c>
      <c r="AG10">
        <f ca="1">IFERROR(IF(0=LEN(ReferenceData!$AG$10),"",ReferenceData!$AG$10),"")</f>
        <v>22.532923740000001</v>
      </c>
      <c r="AH10">
        <f ca="1">IFERROR(IF(0=LEN(ReferenceData!$AH$10),"",ReferenceData!$AH$10),"")</f>
        <v>22.270653299999999</v>
      </c>
      <c r="AI10">
        <f ca="1">IFERROR(IF(0=LEN(ReferenceData!$AI$10),"",ReferenceData!$AI$10),"")</f>
        <v>20.792379100000002</v>
      </c>
      <c r="AJ10">
        <f ca="1">IFERROR(IF(0=LEN(ReferenceData!$AJ$10),"",ReferenceData!$AJ$10),"")</f>
        <v>20.804446649999999</v>
      </c>
      <c r="AK10" t="str">
        <f ca="1">IFERROR(IF(0=LEN(ReferenceData!$AK$10),"",ReferenceData!$AK$10),"")</f>
        <v/>
      </c>
      <c r="AL10" t="str">
        <f ca="1">IFERROR(IF(0=LEN(ReferenceData!$AL$10),"",ReferenceData!$AL$10),"")</f>
        <v/>
      </c>
      <c r="AM10" t="str">
        <f ca="1">IFERROR(IF(0=LEN(ReferenceData!$AM$10),"",ReferenceData!$AM$10),"")</f>
        <v/>
      </c>
      <c r="AN10" t="str">
        <f ca="1">IFERROR(IF(0=LEN(ReferenceData!$AN$10),"",ReferenceData!$AN$10),"")</f>
        <v/>
      </c>
      <c r="AO10" t="str">
        <f ca="1">IFERROR(IF(0=LEN(ReferenceData!$AO$10),"",ReferenceData!$AO$10),"")</f>
        <v/>
      </c>
      <c r="AP10" t="str">
        <f ca="1">IFERROR(IF(0=LEN(ReferenceData!$AP$10),"",ReferenceData!$AP$10),"")</f>
        <v/>
      </c>
      <c r="AQ10" t="str">
        <f ca="1">IFERROR(IF(0=LEN(ReferenceData!$AQ$10),"",ReferenceData!$AQ$10),"")</f>
        <v/>
      </c>
      <c r="AR10" t="str">
        <f ca="1">IFERROR(IF(0=LEN(ReferenceData!$AR$10),"",ReferenceData!$AR$10),"")</f>
        <v/>
      </c>
      <c r="AS10" t="str">
        <f ca="1">IFERROR(IF(0=LEN(ReferenceData!$AS$10),"",ReferenceData!$AS$10),"")</f>
        <v/>
      </c>
      <c r="AT10" t="str">
        <f ca="1">IFERROR(IF(0=LEN(ReferenceData!$AT$10),"",ReferenceData!$AT$10),"")</f>
        <v/>
      </c>
      <c r="AU10" t="str">
        <f ca="1">IFERROR(IF(0=LEN(ReferenceData!$AU$10),"",ReferenceData!$AU$10),"")</f>
        <v/>
      </c>
      <c r="AV10" t="str">
        <f ca="1">IFERROR(IF(0=LEN(ReferenceData!$AV$10),"",ReferenceData!$AV$10),"")</f>
        <v/>
      </c>
      <c r="AW10" t="str">
        <f ca="1">IFERROR(IF(0=LEN(ReferenceData!$AW$10),"",ReferenceData!$AW$10),"")</f>
        <v/>
      </c>
      <c r="AX10" t="str">
        <f ca="1">IFERROR(IF(0=LEN(ReferenceData!$AX$10),"",ReferenceData!$AX$10),"")</f>
        <v/>
      </c>
      <c r="AY10" t="str">
        <f ca="1">IFERROR(IF(0=LEN(ReferenceData!$AY$10),"",ReferenceData!$AY$10),"")</f>
        <v/>
      </c>
      <c r="AZ10" t="str">
        <f ca="1">IFERROR(IF(0=LEN(ReferenceData!$AZ$10),"",ReferenceData!$AZ$10),"")</f>
        <v/>
      </c>
      <c r="BA10" t="str">
        <f ca="1">IFERROR(IF(0=LEN(ReferenceData!$BA$10),"",ReferenceData!$BA$10),"")</f>
        <v/>
      </c>
      <c r="BB10" t="str">
        <f ca="1">IFERROR(IF(0=LEN(ReferenceData!$BB$10),"",ReferenceData!$BB$10),"")</f>
        <v/>
      </c>
      <c r="BC10" t="str">
        <f ca="1">IFERROR(IF(0=LEN(ReferenceData!$BC$10),"",ReferenceData!$BC$10),"")</f>
        <v/>
      </c>
      <c r="BD10" t="str">
        <f ca="1">IFERROR(IF(0=LEN(ReferenceData!$BD$10),"",ReferenceData!$BD$10),"")</f>
        <v/>
      </c>
      <c r="BE10">
        <f ca="1">IFERROR(IF(0=LEN(ReferenceData!$BE$10),"",ReferenceData!$BE$10),"")</f>
        <v>16.714285709999999</v>
      </c>
      <c r="BF10">
        <f ca="1">IFERROR(IF(0=LEN(ReferenceData!$BF$10),"",ReferenceData!$BF$10),"")</f>
        <v>16.621428569999999</v>
      </c>
      <c r="BG10">
        <f ca="1">IFERROR(IF(0=LEN(ReferenceData!$BG$10),"",ReferenceData!$BG$10),"")</f>
        <v>17.72142857</v>
      </c>
      <c r="BH10">
        <f ca="1">IFERROR(IF(0=LEN(ReferenceData!$BH$10),"",ReferenceData!$BH$10),"")</f>
        <v>16.928571430000002</v>
      </c>
      <c r="BI10">
        <f ca="1">IFERROR(IF(0=LEN(ReferenceData!$BI$10),"",ReferenceData!$BI$10),"")</f>
        <v>16.610294119999999</v>
      </c>
      <c r="BJ10">
        <f ca="1">IFERROR(IF(0=LEN(ReferenceData!$BJ$10),"",ReferenceData!$BJ$10),"")</f>
        <v>18.41176471</v>
      </c>
      <c r="BK10">
        <f ca="1">IFERROR(IF(0=LEN(ReferenceData!$BK$10),"",ReferenceData!$BK$10),"")</f>
        <v>18.742647059999999</v>
      </c>
      <c r="BL10">
        <f ca="1">IFERROR(IF(0=LEN(ReferenceData!$BL$10),"",ReferenceData!$BL$10),"")</f>
        <v>18.462121209999999</v>
      </c>
      <c r="BM10">
        <f ca="1">IFERROR(IF(0=LEN(ReferenceData!$BM$10),"",ReferenceData!$BM$10),"")</f>
        <v>18.621212119999999</v>
      </c>
      <c r="BN10">
        <f ca="1">IFERROR(IF(0=LEN(ReferenceData!$BN$10),"",ReferenceData!$BN$10),"")</f>
        <v>18.325757580000001</v>
      </c>
      <c r="BO10">
        <f ca="1">IFERROR(IF(0=LEN(ReferenceData!$BO$10),"",ReferenceData!$BO$10),"")</f>
        <v>18.075757580000001</v>
      </c>
      <c r="BP10">
        <f ca="1">IFERROR(IF(0=LEN(ReferenceData!$BP$10),"",ReferenceData!$BP$10),"")</f>
        <v>18.098484849999998</v>
      </c>
      <c r="BQ10">
        <f ca="1">IFERROR(IF(0=LEN(ReferenceData!$BQ$10),"",ReferenceData!$BQ$10),"")</f>
        <v>18.01515152</v>
      </c>
      <c r="BR10">
        <f ca="1">IFERROR(IF(0=LEN(ReferenceData!$BR$10),"",ReferenceData!$BR$10),"")</f>
        <v>16.91911765</v>
      </c>
      <c r="BS10">
        <f ca="1">IFERROR(IF(0=LEN(ReferenceData!$BS$10),"",ReferenceData!$BS$10),"")</f>
        <v>17.845588240000001</v>
      </c>
      <c r="BT10">
        <f ca="1">IFERROR(IF(0=LEN(ReferenceData!$BT$10),"",ReferenceData!$BT$10),"")</f>
        <v>18.25</v>
      </c>
      <c r="BU10">
        <f ca="1">IFERROR(IF(0=LEN(ReferenceData!$BU$10),"",ReferenceData!$BU$10),"")</f>
        <v>18.703703699999998</v>
      </c>
      <c r="BV10">
        <f ca="1">IFERROR(IF(0=LEN(ReferenceData!$BV$10),"",ReferenceData!$BV$10),"")</f>
        <v>19.711111110000001</v>
      </c>
      <c r="BW10">
        <f ca="1">IFERROR(IF(0=LEN(ReferenceData!$BW$10),"",ReferenceData!$BW$10),"")</f>
        <v>19.140740739999998</v>
      </c>
      <c r="BX10">
        <f ca="1">IFERROR(IF(0=LEN(ReferenceData!$BX$10),"",ReferenceData!$BX$10),"")</f>
        <v>19.473684209999998</v>
      </c>
      <c r="BY10">
        <f ca="1">IFERROR(IF(0=LEN(ReferenceData!$BY$10),"",ReferenceData!$BY$10),"")</f>
        <v>19.79699248</v>
      </c>
      <c r="BZ10">
        <f ca="1">IFERROR(IF(0=LEN(ReferenceData!$BZ$10),"",ReferenceData!$BZ$10),"")</f>
        <v>20.082706770000001</v>
      </c>
      <c r="CA10">
        <f ca="1">IFERROR(IF(0=LEN(ReferenceData!$CA$10),"",ReferenceData!$CA$10),"")</f>
        <v>19.546875</v>
      </c>
      <c r="CB10">
        <f ca="1">IFERROR(IF(0=LEN(ReferenceData!$CB$10),"",ReferenceData!$CB$10),"")</f>
        <v>20.328125</v>
      </c>
      <c r="CC10">
        <f ca="1">IFERROR(IF(0=LEN(ReferenceData!$CC$10),"",ReferenceData!$CC$10),"")</f>
        <v>19.609375</v>
      </c>
      <c r="CD10">
        <f ca="1">IFERROR(IF(0=LEN(ReferenceData!$CD$10),"",ReferenceData!$CD$10),"")</f>
        <v>19.421487599999999</v>
      </c>
      <c r="CE10">
        <f ca="1">IFERROR(IF(0=LEN(ReferenceData!$CE$10),"",ReferenceData!$CE$10),"")</f>
        <v>20.60330579</v>
      </c>
      <c r="CF10">
        <f ca="1">IFERROR(IF(0=LEN(ReferenceData!$CF$10),"",ReferenceData!$CF$10),"")</f>
        <v>18.29752066</v>
      </c>
      <c r="CG10">
        <f ca="1">IFERROR(IF(0=LEN(ReferenceData!$CG$10),"",ReferenceData!$CG$10),"")</f>
        <v>23.025862069999999</v>
      </c>
      <c r="CH10">
        <f ca="1">IFERROR(IF(0=LEN(ReferenceData!$CH$10),"",ReferenceData!$CH$10),"")</f>
        <v>22.681034480000001</v>
      </c>
      <c r="CI10">
        <f ca="1">IFERROR(IF(0=LEN(ReferenceData!$CI$10),"",ReferenceData!$CI$10),"")</f>
        <v>21.163793099999999</v>
      </c>
      <c r="CJ10">
        <f ca="1">IFERROR(IF(0=LEN(ReferenceData!$CJ$10),"",ReferenceData!$CJ$10),"")</f>
        <v>23.26785714</v>
      </c>
      <c r="CK10">
        <f ca="1">IFERROR(IF(0=LEN(ReferenceData!$CK$10),"",ReferenceData!$CK$10),"")</f>
        <v>23.116071430000002</v>
      </c>
    </row>
    <row r="11" spans="1:89">
      <c r="A11" t="str">
        <f>IFERROR(IF(0=LEN(ReferenceData!$A$11),"",ReferenceData!$A$11),"")</f>
        <v>价格/未来12个月FFO</v>
      </c>
      <c r="B11" t="str">
        <f>IFERROR(IF(0=LEN(ReferenceData!$B$11),"",ReferenceData!$B$11),"")</f>
        <v>BRFREITV Index</v>
      </c>
      <c r="C11" t="str">
        <f>IFERROR(IF(0=LEN(ReferenceData!$C$11),"",ReferenceData!$C$11),"")</f>
        <v/>
      </c>
      <c r="D11" t="str">
        <f>IFERROR(IF(0=LEN(ReferenceData!$D$11),"",ReferenceData!$D$11),"")</f>
        <v/>
      </c>
      <c r="E11" t="str">
        <f>IFERROR(IF(0=LEN(ReferenceData!$E$11),"",ReferenceData!$E$11),"")</f>
        <v>Median</v>
      </c>
      <c r="F11">
        <f ca="1">IFERROR(IF(0=LEN(ReferenceData!$F$11),"",ReferenceData!$F$11),"")</f>
        <v>17.908273749999999</v>
      </c>
      <c r="G11">
        <f ca="1">IFERROR(IF(0=LEN(ReferenceData!$G$11),"",ReferenceData!$G$11),"")</f>
        <v>17.141802240000001</v>
      </c>
      <c r="H11">
        <f ca="1">IFERROR(IF(0=LEN(ReferenceData!$H$11),"",ReferenceData!$H$11),"")</f>
        <v>18.452351459999999</v>
      </c>
      <c r="I11">
        <f ca="1">IFERROR(IF(0=LEN(ReferenceData!$I$11),"",ReferenceData!$I$11),"")</f>
        <v>19.383414420000001</v>
      </c>
      <c r="J11">
        <f ca="1">IFERROR(IF(0=LEN(ReferenceData!$J$11),"",ReferenceData!$J$11),"")</f>
        <v>19.90548472</v>
      </c>
      <c r="K11">
        <f ca="1">IFERROR(IF(0=LEN(ReferenceData!$K$11),"",ReferenceData!$K$11),"")</f>
        <v>19.944819840000001</v>
      </c>
      <c r="L11">
        <f ca="1">IFERROR(IF(0=LEN(ReferenceData!$L$11),"",ReferenceData!$L$11),"")</f>
        <v>19.653746770000001</v>
      </c>
      <c r="M11">
        <f ca="1">IFERROR(IF(0=LEN(ReferenceData!$M$11),"",ReferenceData!$M$11),"")</f>
        <v>20.141338959999999</v>
      </c>
      <c r="N11">
        <f ca="1">IFERROR(IF(0=LEN(ReferenceData!$N$11),"",ReferenceData!$N$11),"")</f>
        <v>20.390461989999999</v>
      </c>
      <c r="O11">
        <f ca="1">IFERROR(IF(0=LEN(ReferenceData!$O$11),"",ReferenceData!$O$11),"")</f>
        <v>20.440597950000001</v>
      </c>
      <c r="P11">
        <f ca="1">IFERROR(IF(0=LEN(ReferenceData!$P$11),"",ReferenceData!$P$11),"")</f>
        <v>20.35491592</v>
      </c>
      <c r="Q11">
        <f ca="1">IFERROR(IF(0=LEN(ReferenceData!$Q$11),"",ReferenceData!$Q$11),"")</f>
        <v>19.828843370000001</v>
      </c>
      <c r="R11">
        <f ca="1">IFERROR(IF(0=LEN(ReferenceData!$R$11),"",ReferenceData!$R$11),"")</f>
        <v>19.330934289999998</v>
      </c>
      <c r="S11">
        <f ca="1">IFERROR(IF(0=LEN(ReferenceData!$S$11),"",ReferenceData!$S$11),"")</f>
        <v>19.537851320000001</v>
      </c>
      <c r="T11">
        <f ca="1">IFERROR(IF(0=LEN(ReferenceData!$T$11),"",ReferenceData!$T$11),"")</f>
        <v>18.65914051</v>
      </c>
      <c r="U11">
        <f ca="1">IFERROR(IF(0=LEN(ReferenceData!$U$11),"",ReferenceData!$U$11),"")</f>
        <v>19.551404860000002</v>
      </c>
      <c r="V11">
        <f ca="1">IFERROR(IF(0=LEN(ReferenceData!$V$11),"",ReferenceData!$V$11),"")</f>
        <v>18.273220899999998</v>
      </c>
      <c r="W11">
        <f ca="1">IFERROR(IF(0=LEN(ReferenceData!$W$11),"",ReferenceData!$W$11),"")</f>
        <v>18.365203279999999</v>
      </c>
      <c r="X11">
        <f ca="1">IFERROR(IF(0=LEN(ReferenceData!$X$11),"",ReferenceData!$X$11),"")</f>
        <v>19.173069890000001</v>
      </c>
      <c r="Y11">
        <f ca="1">IFERROR(IF(0=LEN(ReferenceData!$Y$11),"",ReferenceData!$Y$11),"")</f>
        <v>19.54619125</v>
      </c>
      <c r="Z11">
        <f ca="1">IFERROR(IF(0=LEN(ReferenceData!$Z$11),"",ReferenceData!$Z$11),"")</f>
        <v>20.204976200000001</v>
      </c>
      <c r="AA11">
        <f ca="1">IFERROR(IF(0=LEN(ReferenceData!$AA$11),"",ReferenceData!$AA$11),"")</f>
        <v>20.000238530000001</v>
      </c>
      <c r="AB11">
        <f ca="1">IFERROR(IF(0=LEN(ReferenceData!$AB$11),"",ReferenceData!$AB$11),"")</f>
        <v>19.709322069999999</v>
      </c>
      <c r="AC11">
        <f ca="1">IFERROR(IF(0=LEN(ReferenceData!$AC$11),"",ReferenceData!$AC$11),"")</f>
        <v>19.208936749999999</v>
      </c>
      <c r="AD11">
        <f ca="1">IFERROR(IF(0=LEN(ReferenceData!$AD$11),"",ReferenceData!$AD$11),"")</f>
        <v>20.830873839999999</v>
      </c>
      <c r="AE11">
        <f ca="1">IFERROR(IF(0=LEN(ReferenceData!$AE$11),"",ReferenceData!$AE$11),"")</f>
        <v>18.739621469999999</v>
      </c>
      <c r="AF11">
        <f ca="1">IFERROR(IF(0=LEN(ReferenceData!$AF$11),"",ReferenceData!$AF$11),"")</f>
        <v>19.401585499999999</v>
      </c>
      <c r="AG11">
        <f ca="1">IFERROR(IF(0=LEN(ReferenceData!$AG$11),"",ReferenceData!$AG$11),"")</f>
        <v>21.00055897</v>
      </c>
      <c r="AH11">
        <f ca="1">IFERROR(IF(0=LEN(ReferenceData!$AH$11),"",ReferenceData!$AH$11),"")</f>
        <v>20.764495329999999</v>
      </c>
      <c r="AI11">
        <f ca="1">IFERROR(IF(0=LEN(ReferenceData!$AI$11),"",ReferenceData!$AI$11),"")</f>
        <v>19.555101579999999</v>
      </c>
      <c r="AJ11">
        <f ca="1">IFERROR(IF(0=LEN(ReferenceData!$AJ$11),"",ReferenceData!$AJ$11),"")</f>
        <v>19.6885148</v>
      </c>
      <c r="AK11">
        <f ca="1">IFERROR(IF(0=LEN(ReferenceData!$AK$11),"",ReferenceData!$AK$11),"")</f>
        <v>18.594788909999998</v>
      </c>
      <c r="AL11">
        <f ca="1">IFERROR(IF(0=LEN(ReferenceData!$AL$11),"",ReferenceData!$AL$11),"")</f>
        <v>19.64871655</v>
      </c>
      <c r="AM11">
        <f ca="1">IFERROR(IF(0=LEN(ReferenceData!$AM$11),"",ReferenceData!$AM$11),"")</f>
        <v>18.768445580000002</v>
      </c>
      <c r="AN11">
        <f ca="1">IFERROR(IF(0=LEN(ReferenceData!$AN$11),"",ReferenceData!$AN$11),"")</f>
        <v>19.257944899999998</v>
      </c>
      <c r="AO11">
        <f ca="1">IFERROR(IF(0=LEN(ReferenceData!$AO$11),"",ReferenceData!$AO$11),"")</f>
        <v>19.541293209999999</v>
      </c>
      <c r="AP11">
        <f ca="1">IFERROR(IF(0=LEN(ReferenceData!$AP$11),"",ReferenceData!$AP$11),"")</f>
        <v>20.48379834</v>
      </c>
      <c r="AQ11">
        <f ca="1">IFERROR(IF(0=LEN(ReferenceData!$AQ$11),"",ReferenceData!$AQ$11),"")</f>
        <v>19.37387872</v>
      </c>
      <c r="AR11">
        <f ca="1">IFERROR(IF(0=LEN(ReferenceData!$AR$11),"",ReferenceData!$AR$11),"")</f>
        <v>20.183075120000002</v>
      </c>
      <c r="AS11">
        <f ca="1">IFERROR(IF(0=LEN(ReferenceData!$AS$11),"",ReferenceData!$AS$11),"")</f>
        <v>18.811536650000001</v>
      </c>
      <c r="AT11">
        <f ca="1">IFERROR(IF(0=LEN(ReferenceData!$AT$11),"",ReferenceData!$AT$11),"")</f>
        <v>18.887803219999999</v>
      </c>
      <c r="AU11">
        <f ca="1">IFERROR(IF(0=LEN(ReferenceData!$AU$11),"",ReferenceData!$AU$11),"")</f>
        <v>18.835477740000002</v>
      </c>
      <c r="AV11">
        <f ca="1">IFERROR(IF(0=LEN(ReferenceData!$AV$11),"",ReferenceData!$AV$11),"")</f>
        <v>17.047293069999998</v>
      </c>
      <c r="AW11">
        <f ca="1">IFERROR(IF(0=LEN(ReferenceData!$AW$11),"",ReferenceData!$AW$11),"")</f>
        <v>18.892864660000001</v>
      </c>
      <c r="AX11">
        <f ca="1">IFERROR(IF(0=LEN(ReferenceData!$AX$11),"",ReferenceData!$AX$11),"")</f>
        <v>18.40421534</v>
      </c>
      <c r="AY11">
        <f ca="1">IFERROR(IF(0=LEN(ReferenceData!$AY$11),"",ReferenceData!$AY$11),"")</f>
        <v>18.40613338</v>
      </c>
      <c r="AZ11">
        <f ca="1">IFERROR(IF(0=LEN(ReferenceData!$AZ$11),"",ReferenceData!$AZ$11),"")</f>
        <v>17.795596369999998</v>
      </c>
      <c r="BA11">
        <f ca="1">IFERROR(IF(0=LEN(ReferenceData!$BA$11),"",ReferenceData!$BA$11),"")</f>
        <v>16.850943350000001</v>
      </c>
      <c r="BB11">
        <f ca="1">IFERROR(IF(0=LEN(ReferenceData!$BB$11),"",ReferenceData!$BB$11),"")</f>
        <v>16.918110049999999</v>
      </c>
      <c r="BC11">
        <f ca="1">IFERROR(IF(0=LEN(ReferenceData!$BC$11),"",ReferenceData!$BC$11),"")</f>
        <v>17.04218771</v>
      </c>
      <c r="BD11">
        <f ca="1">IFERROR(IF(0=LEN(ReferenceData!$BD$11),"",ReferenceData!$BD$11),"")</f>
        <v>16.24591182</v>
      </c>
      <c r="BE11">
        <f ca="1">IFERROR(IF(0=LEN(ReferenceData!$BE$11),"",ReferenceData!$BE$11),"")</f>
        <v>15.68816479</v>
      </c>
      <c r="BF11">
        <f ca="1">IFERROR(IF(0=LEN(ReferenceData!$BF$11),"",ReferenceData!$BF$11),"")</f>
        <v>15.714070510000001</v>
      </c>
      <c r="BG11">
        <f ca="1">IFERROR(IF(0=LEN(ReferenceData!$BG$11),"",ReferenceData!$BG$11),"")</f>
        <v>16.84563095</v>
      </c>
      <c r="BH11">
        <f ca="1">IFERROR(IF(0=LEN(ReferenceData!$BH$11),"",ReferenceData!$BH$11),"")</f>
        <v>16.1880162</v>
      </c>
      <c r="BI11">
        <f ca="1">IFERROR(IF(0=LEN(ReferenceData!$BI$11),"",ReferenceData!$BI$11),"")</f>
        <v>15.48028072</v>
      </c>
      <c r="BJ11">
        <f ca="1">IFERROR(IF(0=LEN(ReferenceData!$BJ$11),"",ReferenceData!$BJ$11),"")</f>
        <v>17.206676850000001</v>
      </c>
      <c r="BK11">
        <f ca="1">IFERROR(IF(0=LEN(ReferenceData!$BK$11),"",ReferenceData!$BK$11),"")</f>
        <v>17.75259831</v>
      </c>
      <c r="BL11">
        <f ca="1">IFERROR(IF(0=LEN(ReferenceData!$BL$11),"",ReferenceData!$BL$11),"")</f>
        <v>17.100092839999999</v>
      </c>
      <c r="BM11">
        <f ca="1">IFERROR(IF(0=LEN(ReferenceData!$BM$11),"",ReferenceData!$BM$11),"")</f>
        <v>17.699642829999998</v>
      </c>
      <c r="BN11">
        <f ca="1">IFERROR(IF(0=LEN(ReferenceData!$BN$11),"",ReferenceData!$BN$11),"")</f>
        <v>17.174251999999999</v>
      </c>
      <c r="BO11">
        <f ca="1">IFERROR(IF(0=LEN(ReferenceData!$BO$11),"",ReferenceData!$BO$11),"")</f>
        <v>17.212292900000001</v>
      </c>
      <c r="BP11">
        <f ca="1">IFERROR(IF(0=LEN(ReferenceData!$BP$11),"",ReferenceData!$BP$11),"")</f>
        <v>17.4928718</v>
      </c>
      <c r="BQ11">
        <f ca="1">IFERROR(IF(0=LEN(ReferenceData!$BQ$11),"",ReferenceData!$BQ$11),"")</f>
        <v>17.241328880000001</v>
      </c>
      <c r="BR11">
        <f ca="1">IFERROR(IF(0=LEN(ReferenceData!$BR$11),"",ReferenceData!$BR$11),"")</f>
        <v>16.720077209999999</v>
      </c>
      <c r="BS11">
        <f ca="1">IFERROR(IF(0=LEN(ReferenceData!$BS$11),"",ReferenceData!$BS$11),"")</f>
        <v>17.1516929</v>
      </c>
      <c r="BT11">
        <f ca="1">IFERROR(IF(0=LEN(ReferenceData!$BT$11),"",ReferenceData!$BT$11),"")</f>
        <v>17.40326426</v>
      </c>
      <c r="BU11">
        <f ca="1">IFERROR(IF(0=LEN(ReferenceData!$BU$11),"",ReferenceData!$BU$11),"")</f>
        <v>18.43398092</v>
      </c>
      <c r="BV11">
        <f ca="1">IFERROR(IF(0=LEN(ReferenceData!$BV$11),"",ReferenceData!$BV$11),"")</f>
        <v>19.192443019999999</v>
      </c>
      <c r="BW11">
        <f ca="1">IFERROR(IF(0=LEN(ReferenceData!$BW$11),"",ReferenceData!$BW$11),"")</f>
        <v>18.374798179999999</v>
      </c>
      <c r="BX11">
        <f ca="1">IFERROR(IF(0=LEN(ReferenceData!$BX$11),"",ReferenceData!$BX$11),"")</f>
        <v>18.259587100000001</v>
      </c>
      <c r="BY11">
        <f ca="1">IFERROR(IF(0=LEN(ReferenceData!$BY$11),"",ReferenceData!$BY$11),"")</f>
        <v>18.80935341</v>
      </c>
      <c r="BZ11">
        <f ca="1">IFERROR(IF(0=LEN(ReferenceData!$BZ$11),"",ReferenceData!$BZ$11),"")</f>
        <v>18.56785344</v>
      </c>
      <c r="CA11">
        <f ca="1">IFERROR(IF(0=LEN(ReferenceData!$CA$11),"",ReferenceData!$CA$11),"")</f>
        <v>17.66960396</v>
      </c>
      <c r="CB11">
        <f ca="1">IFERROR(IF(0=LEN(ReferenceData!$CB$11),"",ReferenceData!$CB$11),"")</f>
        <v>18.73382865</v>
      </c>
      <c r="CC11">
        <f ca="1">IFERROR(IF(0=LEN(ReferenceData!$CC$11),"",ReferenceData!$CC$11),"")</f>
        <v>18.233178880000001</v>
      </c>
      <c r="CD11">
        <f ca="1">IFERROR(IF(0=LEN(ReferenceData!$CD$11),"",ReferenceData!$CD$11),"")</f>
        <v>17.208563059999999</v>
      </c>
      <c r="CE11">
        <f ca="1">IFERROR(IF(0=LEN(ReferenceData!$CE$11),"",ReferenceData!$CE$11),"")</f>
        <v>18.474905809999999</v>
      </c>
      <c r="CF11">
        <f ca="1">IFERROR(IF(0=LEN(ReferenceData!$CF$11),"",ReferenceData!$CF$11),"")</f>
        <v>17.172156619999999</v>
      </c>
      <c r="CG11">
        <f ca="1">IFERROR(IF(0=LEN(ReferenceData!$CG$11),"",ReferenceData!$CG$11),"")</f>
        <v>21.11980505</v>
      </c>
      <c r="CH11">
        <f ca="1">IFERROR(IF(0=LEN(ReferenceData!$CH$11),"",ReferenceData!$CH$11),"")</f>
        <v>21.770265040000002</v>
      </c>
      <c r="CI11">
        <f ca="1">IFERROR(IF(0=LEN(ReferenceData!$CI$11),"",ReferenceData!$CI$11),"")</f>
        <v>21.064007109999999</v>
      </c>
      <c r="CJ11">
        <f ca="1">IFERROR(IF(0=LEN(ReferenceData!$CJ$11),"",ReferenceData!$CJ$11),"")</f>
        <v>20.558601929999998</v>
      </c>
      <c r="CK11">
        <f ca="1">IFERROR(IF(0=LEN(ReferenceData!$CK$11),"",ReferenceData!$CK$11),"")</f>
        <v>20.856503679999999</v>
      </c>
    </row>
    <row r="12" spans="1:89">
      <c r="A12" t="str">
        <f>IFERROR(IF(0=LEN(ReferenceData!$A$12),"",ReferenceData!$A$12),"")</f>
        <v xml:space="preserve">    公寓投资与管理</v>
      </c>
      <c r="B12" t="str">
        <f>IFERROR(IF(0=LEN(ReferenceData!$B$12),"",ReferenceData!$B$12),"")</f>
        <v>AIV US Equity</v>
      </c>
      <c r="C12" t="str">
        <f>IFERROR(IF(0=LEN(ReferenceData!$C$12),"",ReferenceData!$C$12),"")</f>
        <v>BE249</v>
      </c>
      <c r="D12" t="str">
        <f>IFERROR(IF(0=LEN(ReferenceData!$D$12),"",ReferenceData!$D$12),"")</f>
        <v>BEST_PRICE_FFO_RATIO</v>
      </c>
      <c r="E12" t="str">
        <f>IFERROR(IF(0=LEN(ReferenceData!$E$12),"",ReferenceData!$E$12),"")</f>
        <v>动态</v>
      </c>
      <c r="F12">
        <f ca="1">IFERROR(IF(0=LEN(ReferenceData!$F$12),"",ReferenceData!$F$12),"")</f>
        <v>15.926009260000001</v>
      </c>
      <c r="G12">
        <f ca="1">IFERROR(IF(0=LEN(ReferenceData!$G$12),"",ReferenceData!$G$12),"")</f>
        <v>15.32221375</v>
      </c>
      <c r="H12">
        <f ca="1">IFERROR(IF(0=LEN(ReferenceData!$H$12),"",ReferenceData!$H$12),"")</f>
        <v>16.396215139999999</v>
      </c>
      <c r="I12">
        <f ca="1">IFERROR(IF(0=LEN(ReferenceData!$I$12),"",ReferenceData!$I$12),"")</f>
        <v>17.191649739999999</v>
      </c>
      <c r="J12">
        <f ca="1">IFERROR(IF(0=LEN(ReferenceData!$J$12),"",ReferenceData!$J$12),"")</f>
        <v>17.37501529</v>
      </c>
      <c r="K12">
        <f ca="1">IFERROR(IF(0=LEN(ReferenceData!$K$12),"",ReferenceData!$K$12),"")</f>
        <v>17.36704027</v>
      </c>
      <c r="L12">
        <f ca="1">IFERROR(IF(0=LEN(ReferenceData!$L$12),"",ReferenceData!$L$12),"")</f>
        <v>17.396132869999999</v>
      </c>
      <c r="M12">
        <f ca="1">IFERROR(IF(0=LEN(ReferenceData!$M$12),"",ReferenceData!$M$12),"")</f>
        <v>18.023252800000002</v>
      </c>
      <c r="N12">
        <f ca="1">IFERROR(IF(0=LEN(ReferenceData!$N$12),"",ReferenceData!$N$12),"")</f>
        <v>18.211068900000001</v>
      </c>
      <c r="O12">
        <f ca="1">IFERROR(IF(0=LEN(ReferenceData!$O$12),"",ReferenceData!$O$12),"")</f>
        <v>17.225896970000001</v>
      </c>
      <c r="P12">
        <f ca="1">IFERROR(IF(0=LEN(ReferenceData!$P$12),"",ReferenceData!$P$12),"")</f>
        <v>17.266172409999999</v>
      </c>
      <c r="Q12">
        <f ca="1">IFERROR(IF(0=LEN(ReferenceData!$Q$12),"",ReferenceData!$Q$12),"")</f>
        <v>17.552979669999999</v>
      </c>
      <c r="R12">
        <f ca="1">IFERROR(IF(0=LEN(ReferenceData!$R$12),"",ReferenceData!$R$12),"")</f>
        <v>17.8866707</v>
      </c>
      <c r="S12">
        <f ca="1">IFERROR(IF(0=LEN(ReferenceData!$S$12),"",ReferenceData!$S$12),"")</f>
        <v>18.853907920000001</v>
      </c>
      <c r="T12">
        <f ca="1">IFERROR(IF(0=LEN(ReferenceData!$T$12),"",ReferenceData!$T$12),"")</f>
        <v>17.89420544</v>
      </c>
      <c r="U12">
        <f ca="1">IFERROR(IF(0=LEN(ReferenceData!$U$12),"",ReferenceData!$U$12),"")</f>
        <v>18.53614975</v>
      </c>
      <c r="V12">
        <f ca="1">IFERROR(IF(0=LEN(ReferenceData!$V$12),"",ReferenceData!$V$12),"")</f>
        <v>17.23447805</v>
      </c>
      <c r="W12">
        <f ca="1">IFERROR(IF(0=LEN(ReferenceData!$W$12),"",ReferenceData!$W$12),"")</f>
        <v>18.007129419999998</v>
      </c>
      <c r="X12">
        <f ca="1">IFERROR(IF(0=LEN(ReferenceData!$X$12),"",ReferenceData!$X$12),"")</f>
        <v>18.73304091</v>
      </c>
      <c r="Y12">
        <f ca="1">IFERROR(IF(0=LEN(ReferenceData!$Y$12),"",ReferenceData!$Y$12),"")</f>
        <v>18.546798030000001</v>
      </c>
      <c r="Z12">
        <f ca="1">IFERROR(IF(0=LEN(ReferenceData!$Z$12),"",ReferenceData!$Z$12),"")</f>
        <v>19.076211000000001</v>
      </c>
      <c r="AA12">
        <f ca="1">IFERROR(IF(0=LEN(ReferenceData!$AA$12),"",ReferenceData!$AA$12),"")</f>
        <v>18.502585379999999</v>
      </c>
      <c r="AB12">
        <f ca="1">IFERROR(IF(0=LEN(ReferenceData!$AB$12),"",ReferenceData!$AB$12),"")</f>
        <v>17.920687359999999</v>
      </c>
      <c r="AC12">
        <f ca="1">IFERROR(IF(0=LEN(ReferenceData!$AC$12),"",ReferenceData!$AC$12),"")</f>
        <v>17.068877929999999</v>
      </c>
      <c r="AD12">
        <f ca="1">IFERROR(IF(0=LEN(ReferenceData!$AD$12),"",ReferenceData!$AD$12),"")</f>
        <v>17.865417919999999</v>
      </c>
      <c r="AE12">
        <f ca="1">IFERROR(IF(0=LEN(ReferenceData!$AE$12),"",ReferenceData!$AE$12),"")</f>
        <v>15.539655740000001</v>
      </c>
      <c r="AF12">
        <f ca="1">IFERROR(IF(0=LEN(ReferenceData!$AF$12),"",ReferenceData!$AF$12),"")</f>
        <v>16.34235623</v>
      </c>
      <c r="AG12">
        <f ca="1">IFERROR(IF(0=LEN(ReferenceData!$AG$12),"",ReferenceData!$AG$12),"")</f>
        <v>16.784067090000001</v>
      </c>
      <c r="AH12">
        <f ca="1">IFERROR(IF(0=LEN(ReferenceData!$AH$12),"",ReferenceData!$AH$12),"")</f>
        <v>16.074292419999999</v>
      </c>
      <c r="AI12">
        <f ca="1">IFERROR(IF(0=LEN(ReferenceData!$AI$12),"",ReferenceData!$AI$12),"")</f>
        <v>16.673430249999999</v>
      </c>
      <c r="AJ12">
        <f ca="1">IFERROR(IF(0=LEN(ReferenceData!$AJ$12),"",ReferenceData!$AJ$12),"")</f>
        <v>15.85293858</v>
      </c>
      <c r="AK12">
        <f ca="1">IFERROR(IF(0=LEN(ReferenceData!$AK$12),"",ReferenceData!$AK$12),"")</f>
        <v>15.528333050000001</v>
      </c>
      <c r="AL12">
        <f ca="1">IFERROR(IF(0=LEN(ReferenceData!$AL$12),"",ReferenceData!$AL$12),"")</f>
        <v>17.116472129999998</v>
      </c>
      <c r="AM12">
        <f ca="1">IFERROR(IF(0=LEN(ReferenceData!$AM$12),"",ReferenceData!$AM$12),"")</f>
        <v>16.255329870000001</v>
      </c>
      <c r="AN12">
        <f ca="1">IFERROR(IF(0=LEN(ReferenceData!$AN$12),"",ReferenceData!$AN$12),"")</f>
        <v>16.86302405</v>
      </c>
      <c r="AO12">
        <f ca="1">IFERROR(IF(0=LEN(ReferenceData!$AO$12),"",ReferenceData!$AO$12),"")</f>
        <v>16.898233390000001</v>
      </c>
      <c r="AP12">
        <f ca="1">IFERROR(IF(0=LEN(ReferenceData!$AP$12),"",ReferenceData!$AP$12),"")</f>
        <v>17.734150769999999</v>
      </c>
      <c r="AQ12">
        <f ca="1">IFERROR(IF(0=LEN(ReferenceData!$AQ$12),"",ReferenceData!$AQ$12),"")</f>
        <v>17.096039579999999</v>
      </c>
      <c r="AR12">
        <f ca="1">IFERROR(IF(0=LEN(ReferenceData!$AR$12),"",ReferenceData!$AR$12),"")</f>
        <v>18.173815300000001</v>
      </c>
      <c r="AS12">
        <f ca="1">IFERROR(IF(0=LEN(ReferenceData!$AS$12),"",ReferenceData!$AS$12),"")</f>
        <v>16.7302496</v>
      </c>
      <c r="AT12">
        <f ca="1">IFERROR(IF(0=LEN(ReferenceData!$AT$12),"",ReferenceData!$AT$12),"")</f>
        <v>16.835280210000001</v>
      </c>
      <c r="AU12">
        <f ca="1">IFERROR(IF(0=LEN(ReferenceData!$AU$12),"",ReferenceData!$AU$12),"")</f>
        <v>16.297842750000001</v>
      </c>
      <c r="AV12">
        <f ca="1">IFERROR(IF(0=LEN(ReferenceData!$AV$12),"",ReferenceData!$AV$12),"")</f>
        <v>14.53715762</v>
      </c>
      <c r="AW12">
        <f ca="1">IFERROR(IF(0=LEN(ReferenceData!$AW$12),"",ReferenceData!$AW$12),"")</f>
        <v>15.74666871</v>
      </c>
      <c r="AX12">
        <f ca="1">IFERROR(IF(0=LEN(ReferenceData!$AX$12),"",ReferenceData!$AX$12),"")</f>
        <v>15.891868779999999</v>
      </c>
      <c r="AY12">
        <f ca="1">IFERROR(IF(0=LEN(ReferenceData!$AY$12),"",ReferenceData!$AY$12),"")</f>
        <v>15.173325119999999</v>
      </c>
      <c r="AZ12">
        <f ca="1">IFERROR(IF(0=LEN(ReferenceData!$AZ$12),"",ReferenceData!$AZ$12),"")</f>
        <v>14.877748629999999</v>
      </c>
      <c r="BA12">
        <f ca="1">IFERROR(IF(0=LEN(ReferenceData!$BA$12),"",ReferenceData!$BA$12),"")</f>
        <v>14.548815899999999</v>
      </c>
      <c r="BB12">
        <f ca="1">IFERROR(IF(0=LEN(ReferenceData!$BB$12),"",ReferenceData!$BB$12),"")</f>
        <v>14.22415146</v>
      </c>
      <c r="BC12">
        <f ca="1">IFERROR(IF(0=LEN(ReferenceData!$BC$12),"",ReferenceData!$BC$12),"")</f>
        <v>14.03109033</v>
      </c>
      <c r="BD12">
        <f ca="1">IFERROR(IF(0=LEN(ReferenceData!$BD$12),"",ReferenceData!$BD$12),"")</f>
        <v>12.72026335</v>
      </c>
      <c r="BE12">
        <f ca="1">IFERROR(IF(0=LEN(ReferenceData!$BE$12),"",ReferenceData!$BE$12),"")</f>
        <v>11.941083089999999</v>
      </c>
      <c r="BF12">
        <f ca="1">IFERROR(IF(0=LEN(ReferenceData!$BF$12),"",ReferenceData!$BF$12),"")</f>
        <v>11.67226269</v>
      </c>
      <c r="BG12">
        <f ca="1">IFERROR(IF(0=LEN(ReferenceData!$BG$12),"",ReferenceData!$BG$12),"")</f>
        <v>12.876321519999999</v>
      </c>
      <c r="BH12">
        <f ca="1">IFERROR(IF(0=LEN(ReferenceData!$BH$12),"",ReferenceData!$BH$12),"")</f>
        <v>12.89771099</v>
      </c>
      <c r="BI12">
        <f ca="1">IFERROR(IF(0=LEN(ReferenceData!$BI$12),"",ReferenceData!$BI$12),"")</f>
        <v>12.781168340000001</v>
      </c>
      <c r="BJ12">
        <f ca="1">IFERROR(IF(0=LEN(ReferenceData!$BJ$12),"",ReferenceData!$BJ$12),"")</f>
        <v>13.79881342</v>
      </c>
      <c r="BK12">
        <f ca="1">IFERROR(IF(0=LEN(ReferenceData!$BK$12),"",ReferenceData!$BK$12),"")</f>
        <v>14.178866040000001</v>
      </c>
      <c r="BL12">
        <f ca="1">IFERROR(IF(0=LEN(ReferenceData!$BL$12),"",ReferenceData!$BL$12),"")</f>
        <v>14.374561509999999</v>
      </c>
      <c r="BM12">
        <f ca="1">IFERROR(IF(0=LEN(ReferenceData!$BM$12),"",ReferenceData!$BM$12),"")</f>
        <v>14.954664749999999</v>
      </c>
      <c r="BN12">
        <f ca="1">IFERROR(IF(0=LEN(ReferenceData!$BN$12),"",ReferenceData!$BN$12),"")</f>
        <v>14.8432554</v>
      </c>
      <c r="BO12">
        <f ca="1">IFERROR(IF(0=LEN(ReferenceData!$BO$12),"",ReferenceData!$BO$12),"")</f>
        <v>14.392801759999999</v>
      </c>
      <c r="BP12">
        <f ca="1">IFERROR(IF(0=LEN(ReferenceData!$BP$12),"",ReferenceData!$BP$12),"")</f>
        <v>13.249298</v>
      </c>
      <c r="BQ12">
        <f ca="1">IFERROR(IF(0=LEN(ReferenceData!$BQ$12),"",ReferenceData!$BQ$12),"")</f>
        <v>13.383955909999999</v>
      </c>
      <c r="BR12">
        <f ca="1">IFERROR(IF(0=LEN(ReferenceData!$BR$12),"",ReferenceData!$BR$12),"")</f>
        <v>12.522790280000001</v>
      </c>
      <c r="BS12">
        <f ca="1">IFERROR(IF(0=LEN(ReferenceData!$BS$12),"",ReferenceData!$BS$12),"")</f>
        <v>13.464529949999999</v>
      </c>
      <c r="BT12">
        <f ca="1">IFERROR(IF(0=LEN(ReferenceData!$BT$12),"",ReferenceData!$BT$12),"")</f>
        <v>13.396004230000001</v>
      </c>
      <c r="BU12">
        <f ca="1">IFERROR(IF(0=LEN(ReferenceData!$BU$12),"",ReferenceData!$BU$12),"")</f>
        <v>13.742250289999999</v>
      </c>
      <c r="BV12">
        <f ca="1">IFERROR(IF(0=LEN(ReferenceData!$BV$12),"",ReferenceData!$BV$12),"")</f>
        <v>14.42540999</v>
      </c>
      <c r="BW12">
        <f ca="1">IFERROR(IF(0=LEN(ReferenceData!$BW$12),"",ReferenceData!$BW$12),"")</f>
        <v>14.361558649999999</v>
      </c>
      <c r="BX12">
        <f ca="1">IFERROR(IF(0=LEN(ReferenceData!$BX$12),"",ReferenceData!$BX$12),"")</f>
        <v>14.553433679999999</v>
      </c>
      <c r="BY12">
        <f ca="1">IFERROR(IF(0=LEN(ReferenceData!$BY$12),"",ReferenceData!$BY$12),"")</f>
        <v>14.91215148</v>
      </c>
      <c r="BZ12">
        <f ca="1">IFERROR(IF(0=LEN(ReferenceData!$BZ$12),"",ReferenceData!$BZ$12),"")</f>
        <v>14.62484772</v>
      </c>
      <c r="CA12">
        <f ca="1">IFERROR(IF(0=LEN(ReferenceData!$CA$12),"",ReferenceData!$CA$12),"")</f>
        <v>13.882235550000001</v>
      </c>
      <c r="CB12">
        <f ca="1">IFERROR(IF(0=LEN(ReferenceData!$CB$12),"",ReferenceData!$CB$12),"")</f>
        <v>13.81386642</v>
      </c>
      <c r="CC12">
        <f ca="1">IFERROR(IF(0=LEN(ReferenceData!$CC$12),"",ReferenceData!$CC$12),"")</f>
        <v>12.96228632</v>
      </c>
      <c r="CD12">
        <f ca="1">IFERROR(IF(0=LEN(ReferenceData!$CD$12),"",ReferenceData!$CD$12),"")</f>
        <v>12.46017189</v>
      </c>
      <c r="CE12">
        <f ca="1">IFERROR(IF(0=LEN(ReferenceData!$CE$12),"",ReferenceData!$CE$12),"")</f>
        <v>14.09505242</v>
      </c>
      <c r="CF12">
        <f ca="1">IFERROR(IF(0=LEN(ReferenceData!$CF$12),"",ReferenceData!$CF$12),"")</f>
        <v>12.78797514</v>
      </c>
      <c r="CG12">
        <f ca="1">IFERROR(IF(0=LEN(ReferenceData!$CG$12),"",ReferenceData!$CG$12),"")</f>
        <v>15.57998536</v>
      </c>
      <c r="CH12">
        <f ca="1">IFERROR(IF(0=LEN(ReferenceData!$CH$12),"",ReferenceData!$CH$12),"")</f>
        <v>16.864664510000001</v>
      </c>
      <c r="CI12">
        <f ca="1">IFERROR(IF(0=LEN(ReferenceData!$CI$12),"",ReferenceData!$CI$12),"")</f>
        <v>15.842439369999999</v>
      </c>
      <c r="CJ12">
        <f ca="1">IFERROR(IF(0=LEN(ReferenceData!$CJ$12),"",ReferenceData!$CJ$12),"")</f>
        <v>16.679909110000001</v>
      </c>
      <c r="CK12">
        <f ca="1">IFERROR(IF(0=LEN(ReferenceData!$CK$12),"",ReferenceData!$CK$12),"")</f>
        <v>16.794489370000001</v>
      </c>
    </row>
    <row r="13" spans="1:89">
      <c r="A13" t="str">
        <f>IFERROR(IF(0=LEN(ReferenceData!$A$13),"",ReferenceData!$A$13),"")</f>
        <v xml:space="preserve">    AvalonBay社区股份有限公司</v>
      </c>
      <c r="B13" t="str">
        <f>IFERROR(IF(0=LEN(ReferenceData!$B$13),"",ReferenceData!$B$13),"")</f>
        <v>AVB US Equity</v>
      </c>
      <c r="C13" t="str">
        <f>IFERROR(IF(0=LEN(ReferenceData!$C$13),"",ReferenceData!$C$13),"")</f>
        <v>BE249</v>
      </c>
      <c r="D13" t="str">
        <f>IFERROR(IF(0=LEN(ReferenceData!$D$13),"",ReferenceData!$D$13),"")</f>
        <v>BEST_PRICE_FFO_RATIO</v>
      </c>
      <c r="E13" t="str">
        <f>IFERROR(IF(0=LEN(ReferenceData!$E$13),"",ReferenceData!$E$13),"")</f>
        <v>动态</v>
      </c>
      <c r="F13">
        <f ca="1">IFERROR(IF(0=LEN(ReferenceData!$F$13),"",ReferenceData!$F$13),"")</f>
        <v>17.908273749999999</v>
      </c>
      <c r="G13">
        <f ca="1">IFERROR(IF(0=LEN(ReferenceData!$G$13),"",ReferenceData!$G$13),"")</f>
        <v>17.312302970000001</v>
      </c>
      <c r="H13">
        <f ca="1">IFERROR(IF(0=LEN(ReferenceData!$H$13),"",ReferenceData!$H$13),"")</f>
        <v>18.702769350000001</v>
      </c>
      <c r="I13">
        <f ca="1">IFERROR(IF(0=LEN(ReferenceData!$I$13),"",ReferenceData!$I$13),"")</f>
        <v>19.595445560000002</v>
      </c>
      <c r="J13">
        <f ca="1">IFERROR(IF(0=LEN(ReferenceData!$J$13),"",ReferenceData!$J$13),"")</f>
        <v>20.043566590000001</v>
      </c>
      <c r="K13">
        <f ca="1">IFERROR(IF(0=LEN(ReferenceData!$K$13),"",ReferenceData!$K$13),"")</f>
        <v>20.166020769999999</v>
      </c>
      <c r="L13">
        <f ca="1">IFERROR(IF(0=LEN(ReferenceData!$L$13),"",ReferenceData!$L$13),"")</f>
        <v>19.911279749999999</v>
      </c>
      <c r="M13">
        <f ca="1">IFERROR(IF(0=LEN(ReferenceData!$M$13),"",ReferenceData!$M$13),"")</f>
        <v>21.03642232</v>
      </c>
      <c r="N13">
        <f ca="1">IFERROR(IF(0=LEN(ReferenceData!$N$13),"",ReferenceData!$N$13),"")</f>
        <v>21.472142179999999</v>
      </c>
      <c r="O13">
        <f ca="1">IFERROR(IF(0=LEN(ReferenceData!$O$13),"",ReferenceData!$O$13),"")</f>
        <v>21.555804819999999</v>
      </c>
      <c r="P13">
        <f ca="1">IFERROR(IF(0=LEN(ReferenceData!$P$13),"",ReferenceData!$P$13),"")</f>
        <v>21.52112331</v>
      </c>
      <c r="Q13">
        <f ca="1">IFERROR(IF(0=LEN(ReferenceData!$Q$13),"",ReferenceData!$Q$13),"")</f>
        <v>21.449076349999999</v>
      </c>
      <c r="R13">
        <f ca="1">IFERROR(IF(0=LEN(ReferenceData!$R$13),"",ReferenceData!$R$13),"")</f>
        <v>20.831087790000002</v>
      </c>
      <c r="S13">
        <f ca="1">IFERROR(IF(0=LEN(ReferenceData!$S$13),"",ReferenceData!$S$13),"")</f>
        <v>20.969400069999999</v>
      </c>
      <c r="T13">
        <f ca="1">IFERROR(IF(0=LEN(ReferenceData!$T$13),"",ReferenceData!$T$13),"")</f>
        <v>19.745719980000001</v>
      </c>
      <c r="U13">
        <f ca="1">IFERROR(IF(0=LEN(ReferenceData!$U$13),"",ReferenceData!$U$13),"")</f>
        <v>20.288338670000002</v>
      </c>
      <c r="V13">
        <f ca="1">IFERROR(IF(0=LEN(ReferenceData!$V$13),"",ReferenceData!$V$13),"")</f>
        <v>18.907262920000001</v>
      </c>
      <c r="W13">
        <f ca="1">IFERROR(IF(0=LEN(ReferenceData!$W$13),"",ReferenceData!$W$13),"")</f>
        <v>19.690612470000001</v>
      </c>
      <c r="X13">
        <f ca="1">IFERROR(IF(0=LEN(ReferenceData!$X$13),"",ReferenceData!$X$13),"")</f>
        <v>20.411465960000001</v>
      </c>
      <c r="Y13">
        <f ca="1">IFERROR(IF(0=LEN(ReferenceData!$Y$13),"",ReferenceData!$Y$13),"")</f>
        <v>20.202008540000001</v>
      </c>
      <c r="Z13">
        <f ca="1">IFERROR(IF(0=LEN(ReferenceData!$Z$13),"",ReferenceData!$Z$13),"")</f>
        <v>21.429364209999999</v>
      </c>
      <c r="AA13">
        <f ca="1">IFERROR(IF(0=LEN(ReferenceData!$AA$13),"",ReferenceData!$AA$13),"")</f>
        <v>20.91772821</v>
      </c>
      <c r="AB13">
        <f ca="1">IFERROR(IF(0=LEN(ReferenceData!$AB$13),"",ReferenceData!$AB$13),"")</f>
        <v>20.985782910000001</v>
      </c>
      <c r="AC13">
        <f ca="1">IFERROR(IF(0=LEN(ReferenceData!$AC$13),"",ReferenceData!$AC$13),"")</f>
        <v>20.778468149999998</v>
      </c>
      <c r="AD13">
        <f ca="1">IFERROR(IF(0=LEN(ReferenceData!$AD$13),"",ReferenceData!$AD$13),"")</f>
        <v>22.368837859999999</v>
      </c>
      <c r="AE13">
        <f ca="1">IFERROR(IF(0=LEN(ReferenceData!$AE$13),"",ReferenceData!$AE$13),"")</f>
        <v>20.37383994</v>
      </c>
      <c r="AF13">
        <f ca="1">IFERROR(IF(0=LEN(ReferenceData!$AF$13),"",ReferenceData!$AF$13),"")</f>
        <v>20.613112900000001</v>
      </c>
      <c r="AG13">
        <f ca="1">IFERROR(IF(0=LEN(ReferenceData!$AG$13),"",ReferenceData!$AG$13),"")</f>
        <v>22.29446664</v>
      </c>
      <c r="AH13">
        <f ca="1">IFERROR(IF(0=LEN(ReferenceData!$AH$13),"",ReferenceData!$AH$13),"")</f>
        <v>22.177109640000001</v>
      </c>
      <c r="AI13">
        <f ca="1">IFERROR(IF(0=LEN(ReferenceData!$AI$13),"",ReferenceData!$AI$13),"")</f>
        <v>21.54148137</v>
      </c>
      <c r="AJ13">
        <f ca="1">IFERROR(IF(0=LEN(ReferenceData!$AJ$13),"",ReferenceData!$AJ$13),"")</f>
        <v>21.753777700000001</v>
      </c>
      <c r="AK13">
        <f ca="1">IFERROR(IF(0=LEN(ReferenceData!$AK$13),"",ReferenceData!$AK$13),"")</f>
        <v>20.712761950000001</v>
      </c>
      <c r="AL13">
        <f ca="1">IFERROR(IF(0=LEN(ReferenceData!$AL$13),"",ReferenceData!$AL$13),"")</f>
        <v>21.974467319999999</v>
      </c>
      <c r="AM13">
        <f ca="1">IFERROR(IF(0=LEN(ReferenceData!$AM$13),"",ReferenceData!$AM$13),"")</f>
        <v>20.766208039999999</v>
      </c>
      <c r="AN13">
        <f ca="1">IFERROR(IF(0=LEN(ReferenceData!$AN$13),"",ReferenceData!$AN$13),"")</f>
        <v>21.738519109999999</v>
      </c>
      <c r="AO13">
        <f ca="1">IFERROR(IF(0=LEN(ReferenceData!$AO$13),"",ReferenceData!$AO$13),"")</f>
        <v>21.628798100000001</v>
      </c>
      <c r="AP13">
        <f ca="1">IFERROR(IF(0=LEN(ReferenceData!$AP$13),"",ReferenceData!$AP$13),"")</f>
        <v>23.12172541</v>
      </c>
      <c r="AQ13">
        <f ca="1">IFERROR(IF(0=LEN(ReferenceData!$AQ$13),"",ReferenceData!$AQ$13),"")</f>
        <v>22.488453499999999</v>
      </c>
      <c r="AR13">
        <f ca="1">IFERROR(IF(0=LEN(ReferenceData!$AR$13),"",ReferenceData!$AR$13),"")</f>
        <v>23.23148011</v>
      </c>
      <c r="AS13">
        <f ca="1">IFERROR(IF(0=LEN(ReferenceData!$AS$13),"",ReferenceData!$AS$13),"")</f>
        <v>21.992824250000002</v>
      </c>
      <c r="AT13">
        <f ca="1">IFERROR(IF(0=LEN(ReferenceData!$AT$13),"",ReferenceData!$AT$13),"")</f>
        <v>21.773260270000002</v>
      </c>
      <c r="AU13">
        <f ca="1">IFERROR(IF(0=LEN(ReferenceData!$AU$13),"",ReferenceData!$AU$13),"")</f>
        <v>21.249233669999999</v>
      </c>
      <c r="AV13">
        <f ca="1">IFERROR(IF(0=LEN(ReferenceData!$AV$13),"",ReferenceData!$AV$13),"")</f>
        <v>19.30712849</v>
      </c>
      <c r="AW13">
        <f ca="1">IFERROR(IF(0=LEN(ReferenceData!$AW$13),"",ReferenceData!$AW$13),"")</f>
        <v>21.319867179999999</v>
      </c>
      <c r="AX13">
        <f ca="1">IFERROR(IF(0=LEN(ReferenceData!$AX$13),"",ReferenceData!$AX$13),"")</f>
        <v>20.634030320000001</v>
      </c>
      <c r="AY13">
        <f ca="1">IFERROR(IF(0=LEN(ReferenceData!$AY$13),"",ReferenceData!$AY$13),"")</f>
        <v>20.159919819999999</v>
      </c>
      <c r="AZ13">
        <f ca="1">IFERROR(IF(0=LEN(ReferenceData!$AZ$13),"",ReferenceData!$AZ$13),"")</f>
        <v>20.283686929999998</v>
      </c>
      <c r="BA13">
        <f ca="1">IFERROR(IF(0=LEN(ReferenceData!$BA$13),"",ReferenceData!$BA$13),"")</f>
        <v>19.671546159999998</v>
      </c>
      <c r="BB13">
        <f ca="1">IFERROR(IF(0=LEN(ReferenceData!$BB$13),"",ReferenceData!$BB$13),"")</f>
        <v>19.02990805</v>
      </c>
      <c r="BC13">
        <f ca="1">IFERROR(IF(0=LEN(ReferenceData!$BC$13),"",ReferenceData!$BC$13),"")</f>
        <v>18.77176974</v>
      </c>
      <c r="BD13">
        <f ca="1">IFERROR(IF(0=LEN(ReferenceData!$BD$13),"",ReferenceData!$BD$13),"")</f>
        <v>18.063437489999998</v>
      </c>
      <c r="BE13">
        <f ca="1">IFERROR(IF(0=LEN(ReferenceData!$BE$13),"",ReferenceData!$BE$13),"")</f>
        <v>17.375770230000001</v>
      </c>
      <c r="BF13">
        <f ca="1">IFERROR(IF(0=LEN(ReferenceData!$BF$13),"",ReferenceData!$BF$13),"")</f>
        <v>17.786189069999999</v>
      </c>
      <c r="BG13">
        <f ca="1">IFERROR(IF(0=LEN(ReferenceData!$BG$13),"",ReferenceData!$BG$13),"")</f>
        <v>19.141192910000001</v>
      </c>
      <c r="BH13">
        <f ca="1">IFERROR(IF(0=LEN(ReferenceData!$BH$13),"",ReferenceData!$BH$13),"")</f>
        <v>19.718071999999999</v>
      </c>
      <c r="BI13">
        <f ca="1">IFERROR(IF(0=LEN(ReferenceData!$BI$13),"",ReferenceData!$BI$13),"")</f>
        <v>19.485193550000002</v>
      </c>
      <c r="BJ13">
        <f ca="1">IFERROR(IF(0=LEN(ReferenceData!$BJ$13),"",ReferenceData!$BJ$13),"")</f>
        <v>21.529623870000002</v>
      </c>
      <c r="BK13">
        <f ca="1">IFERROR(IF(0=LEN(ReferenceData!$BK$13),"",ReferenceData!$BK$13),"")</f>
        <v>22.088761600000002</v>
      </c>
      <c r="BL13">
        <f ca="1">IFERROR(IF(0=LEN(ReferenceData!$BL$13),"",ReferenceData!$BL$13),"")</f>
        <v>22.58492034</v>
      </c>
      <c r="BM13">
        <f ca="1">IFERROR(IF(0=LEN(ReferenceData!$BM$13),"",ReferenceData!$BM$13),"")</f>
        <v>25.845334869999999</v>
      </c>
      <c r="BN13">
        <f ca="1">IFERROR(IF(0=LEN(ReferenceData!$BN$13),"",ReferenceData!$BN$13),"")</f>
        <v>25.881493119999998</v>
      </c>
      <c r="BO13">
        <f ca="1">IFERROR(IF(0=LEN(ReferenceData!$BO$13),"",ReferenceData!$BO$13),"")</f>
        <v>25.077050020000001</v>
      </c>
      <c r="BP13">
        <f ca="1">IFERROR(IF(0=LEN(ReferenceData!$BP$13),"",ReferenceData!$BP$13),"")</f>
        <v>22.267469760000001</v>
      </c>
      <c r="BQ13">
        <f ca="1">IFERROR(IF(0=LEN(ReferenceData!$BQ$13),"",ReferenceData!$BQ$13),"")</f>
        <v>21.98792276</v>
      </c>
      <c r="BR13">
        <f ca="1">IFERROR(IF(0=LEN(ReferenceData!$BR$13),"",ReferenceData!$BR$13),"")</f>
        <v>21.631869210000001</v>
      </c>
      <c r="BS13">
        <f ca="1">IFERROR(IF(0=LEN(ReferenceData!$BS$13),"",ReferenceData!$BS$13),"")</f>
        <v>22.460620609999999</v>
      </c>
      <c r="BT13">
        <f ca="1">IFERROR(IF(0=LEN(ReferenceData!$BT$13),"",ReferenceData!$BT$13),"")</f>
        <v>22.784942269999998</v>
      </c>
      <c r="BU13">
        <f ca="1">IFERROR(IF(0=LEN(ReferenceData!$BU$13),"",ReferenceData!$BU$13),"")</f>
        <v>23.92810824</v>
      </c>
      <c r="BV13">
        <f ca="1">IFERROR(IF(0=LEN(ReferenceData!$BV$13),"",ReferenceData!$BV$13),"")</f>
        <v>25.10094518</v>
      </c>
      <c r="BW13">
        <f ca="1">IFERROR(IF(0=LEN(ReferenceData!$BW$13),"",ReferenceData!$BW$13),"")</f>
        <v>24.376760669999999</v>
      </c>
      <c r="BX13">
        <f ca="1">IFERROR(IF(0=LEN(ReferenceData!$BX$13),"",ReferenceData!$BX$13),"")</f>
        <v>24.28784035</v>
      </c>
      <c r="BY13">
        <f ca="1">IFERROR(IF(0=LEN(ReferenceData!$BY$13),"",ReferenceData!$BY$13),"")</f>
        <v>25.388289759999999</v>
      </c>
      <c r="BZ13">
        <f ca="1">IFERROR(IF(0=LEN(ReferenceData!$BZ$13),"",ReferenceData!$BZ$13),"")</f>
        <v>25.209144460000001</v>
      </c>
      <c r="CA13">
        <f ca="1">IFERROR(IF(0=LEN(ReferenceData!$CA$13),"",ReferenceData!$CA$13),"")</f>
        <v>23.368045370000001</v>
      </c>
      <c r="CB13">
        <f ca="1">IFERROR(IF(0=LEN(ReferenceData!$CB$13),"",ReferenceData!$CB$13),"")</f>
        <v>24.68369757</v>
      </c>
      <c r="CC13">
        <f ca="1">IFERROR(IF(0=LEN(ReferenceData!$CC$13),"",ReferenceData!$CC$13),"")</f>
        <v>24.026975329999999</v>
      </c>
      <c r="CD13">
        <f ca="1">IFERROR(IF(0=LEN(ReferenceData!$CD$13),"",ReferenceData!$CD$13),"")</f>
        <v>23.29194846</v>
      </c>
      <c r="CE13">
        <f ca="1">IFERROR(IF(0=LEN(ReferenceData!$CE$13),"",ReferenceData!$CE$13),"")</f>
        <v>24.93861248</v>
      </c>
      <c r="CF13">
        <f ca="1">IFERROR(IF(0=LEN(ReferenceData!$CF$13),"",ReferenceData!$CF$13),"")</f>
        <v>21.446032339999999</v>
      </c>
      <c r="CG13">
        <f ca="1">IFERROR(IF(0=LEN(ReferenceData!$CG$13),"",ReferenceData!$CG$13),"")</f>
        <v>26.006505350000001</v>
      </c>
      <c r="CH13">
        <f ca="1">IFERROR(IF(0=LEN(ReferenceData!$CH$13),"",ReferenceData!$CH$13),"")</f>
        <v>25.83921496</v>
      </c>
      <c r="CI13">
        <f ca="1">IFERROR(IF(0=LEN(ReferenceData!$CI$13),"",ReferenceData!$CI$13),"")</f>
        <v>25.00690234</v>
      </c>
      <c r="CJ13">
        <f ca="1">IFERROR(IF(0=LEN(ReferenceData!$CJ$13),"",ReferenceData!$CJ$13),"")</f>
        <v>26.54550854</v>
      </c>
      <c r="CK13">
        <f ca="1">IFERROR(IF(0=LEN(ReferenceData!$CK$13),"",ReferenceData!$CK$13),"")</f>
        <v>25.79746716</v>
      </c>
    </row>
    <row r="14" spans="1:89">
      <c r="A14" t="str">
        <f>IFERROR(IF(0=LEN(ReferenceData!$A$14),"",ReferenceData!$A$14),"")</f>
        <v xml:space="preserve">    Camden 房地产信托公司</v>
      </c>
      <c r="B14" t="str">
        <f>IFERROR(IF(0=LEN(ReferenceData!$B$14),"",ReferenceData!$B$14),"")</f>
        <v>CPT US Equity</v>
      </c>
      <c r="C14" t="str">
        <f>IFERROR(IF(0=LEN(ReferenceData!$C$14),"",ReferenceData!$C$14),"")</f>
        <v>BE249</v>
      </c>
      <c r="D14" t="str">
        <f>IFERROR(IF(0=LEN(ReferenceData!$D$14),"",ReferenceData!$D$14),"")</f>
        <v>BEST_PRICE_FFO_RATIO</v>
      </c>
      <c r="E14" t="str">
        <f>IFERROR(IF(0=LEN(ReferenceData!$E$14),"",ReferenceData!$E$14),"")</f>
        <v>动态</v>
      </c>
      <c r="F14">
        <f ca="1">IFERROR(IF(0=LEN(ReferenceData!$F$14),"",ReferenceData!$F$14),"")</f>
        <v>17.297930579999999</v>
      </c>
      <c r="G14">
        <f ca="1">IFERROR(IF(0=LEN(ReferenceData!$G$14),"",ReferenceData!$G$14),"")</f>
        <v>16.604540239999999</v>
      </c>
      <c r="H14">
        <f ca="1">IFERROR(IF(0=LEN(ReferenceData!$H$14),"",ReferenceData!$H$14),"")</f>
        <v>17.97748374</v>
      </c>
      <c r="I14">
        <f ca="1">IFERROR(IF(0=LEN(ReferenceData!$I$14),"",ReferenceData!$I$14),"")</f>
        <v>19.187176640000001</v>
      </c>
      <c r="J14">
        <f ca="1">IFERROR(IF(0=LEN(ReferenceData!$J$14),"",ReferenceData!$J$14),"")</f>
        <v>19.101194939999999</v>
      </c>
      <c r="K14">
        <f ca="1">IFERROR(IF(0=LEN(ReferenceData!$K$14),"",ReferenceData!$K$14),"")</f>
        <v>19.234144149999999</v>
      </c>
      <c r="L14">
        <f ca="1">IFERROR(IF(0=LEN(ReferenceData!$L$14),"",ReferenceData!$L$14),"")</f>
        <v>19.29630216</v>
      </c>
      <c r="M14">
        <f ca="1">IFERROR(IF(0=LEN(ReferenceData!$M$14),"",ReferenceData!$M$14),"")</f>
        <v>18.8903718</v>
      </c>
      <c r="N14">
        <f ca="1">IFERROR(IF(0=LEN(ReferenceData!$N$14),"",ReferenceData!$N$14),"")</f>
        <v>19.034629779999999</v>
      </c>
      <c r="O14">
        <f ca="1">IFERROR(IF(0=LEN(ReferenceData!$O$14),"",ReferenceData!$O$14),"")</f>
        <v>18.26941566</v>
      </c>
      <c r="P14">
        <f ca="1">IFERROR(IF(0=LEN(ReferenceData!$P$14),"",ReferenceData!$P$14),"")</f>
        <v>17.88300499</v>
      </c>
      <c r="Q14">
        <f ca="1">IFERROR(IF(0=LEN(ReferenceData!$Q$14),"",ReferenceData!$Q$14),"")</f>
        <v>17.787989710000002</v>
      </c>
      <c r="R14">
        <f ca="1">IFERROR(IF(0=LEN(ReferenceData!$R$14),"",ReferenceData!$R$14),"")</f>
        <v>17.451469469999999</v>
      </c>
      <c r="S14">
        <f ca="1">IFERROR(IF(0=LEN(ReferenceData!$S$14),"",ReferenceData!$S$14),"")</f>
        <v>18.412970789999999</v>
      </c>
      <c r="T14">
        <f ca="1">IFERROR(IF(0=LEN(ReferenceData!$T$14),"",ReferenceData!$T$14),"")</f>
        <v>18.125873599999998</v>
      </c>
      <c r="U14">
        <f ca="1">IFERROR(IF(0=LEN(ReferenceData!$U$14),"",ReferenceData!$U$14),"")</f>
        <v>18.28204088</v>
      </c>
      <c r="V14">
        <f ca="1">IFERROR(IF(0=LEN(ReferenceData!$V$14),"",ReferenceData!$V$14),"")</f>
        <v>17.153059290000002</v>
      </c>
      <c r="W14">
        <f ca="1">IFERROR(IF(0=LEN(ReferenceData!$W$14),"",ReferenceData!$W$14),"")</f>
        <v>17.886354820000001</v>
      </c>
      <c r="X14">
        <f ca="1">IFERROR(IF(0=LEN(ReferenceData!$X$14),"",ReferenceData!$X$14),"")</f>
        <v>18.394288849999999</v>
      </c>
      <c r="Y14">
        <f ca="1">IFERROR(IF(0=LEN(ReferenceData!$Y$14),"",ReferenceData!$Y$14),"")</f>
        <v>19.261887340000001</v>
      </c>
      <c r="Z14">
        <f ca="1">IFERROR(IF(0=LEN(ReferenceData!$Z$14),"",ReferenceData!$Z$14),"")</f>
        <v>19.621443129999999</v>
      </c>
      <c r="AA14">
        <f ca="1">IFERROR(IF(0=LEN(ReferenceData!$AA$14),"",ReferenceData!$AA$14),"")</f>
        <v>19.278453689999999</v>
      </c>
      <c r="AB14">
        <f ca="1">IFERROR(IF(0=LEN(ReferenceData!$AB$14),"",ReferenceData!$AB$14),"")</f>
        <v>18.522663390000002</v>
      </c>
      <c r="AC14">
        <f ca="1">IFERROR(IF(0=LEN(ReferenceData!$AC$14),"",ReferenceData!$AC$14),"")</f>
        <v>16.447559680000001</v>
      </c>
      <c r="AD14">
        <f ca="1">IFERROR(IF(0=LEN(ReferenceData!$AD$14),"",ReferenceData!$AD$14),"")</f>
        <v>17.145378189999999</v>
      </c>
      <c r="AE14">
        <f ca="1">IFERROR(IF(0=LEN(ReferenceData!$AE$14),"",ReferenceData!$AE$14),"")</f>
        <v>15.290075910000001</v>
      </c>
      <c r="AF14">
        <f ca="1">IFERROR(IF(0=LEN(ReferenceData!$AF$14),"",ReferenceData!$AF$14),"")</f>
        <v>15.653752069999999</v>
      </c>
      <c r="AG14">
        <f ca="1">IFERROR(IF(0=LEN(ReferenceData!$AG$14),"",ReferenceData!$AG$14),"")</f>
        <v>15.836599959999999</v>
      </c>
      <c r="AH14">
        <f ca="1">IFERROR(IF(0=LEN(ReferenceData!$AH$14),"",ReferenceData!$AH$14),"")</f>
        <v>15.7855852</v>
      </c>
      <c r="AI14">
        <f ca="1">IFERROR(IF(0=LEN(ReferenceData!$AI$14),"",ReferenceData!$AI$14),"")</f>
        <v>15.37666226</v>
      </c>
      <c r="AJ14">
        <f ca="1">IFERROR(IF(0=LEN(ReferenceData!$AJ$14),"",ReferenceData!$AJ$14),"")</f>
        <v>15.482553360000001</v>
      </c>
      <c r="AK14">
        <f ca="1">IFERROR(IF(0=LEN(ReferenceData!$AK$14),"",ReferenceData!$AK$14),"")</f>
        <v>15.18502664</v>
      </c>
      <c r="AL14">
        <f ca="1">IFERROR(IF(0=LEN(ReferenceData!$AL$14),"",ReferenceData!$AL$14),"")</f>
        <v>17.000859739999999</v>
      </c>
      <c r="AM14">
        <f ca="1">IFERROR(IF(0=LEN(ReferenceData!$AM$14),"",ReferenceData!$AM$14),"")</f>
        <v>16.012993810000001</v>
      </c>
      <c r="AN14">
        <f ca="1">IFERROR(IF(0=LEN(ReferenceData!$AN$14),"",ReferenceData!$AN$14),"")</f>
        <v>16.252167530000001</v>
      </c>
      <c r="AO14">
        <f ca="1">IFERROR(IF(0=LEN(ReferenceData!$AO$14),"",ReferenceData!$AO$14),"")</f>
        <v>16.3939594</v>
      </c>
      <c r="AP14">
        <f ca="1">IFERROR(IF(0=LEN(ReferenceData!$AP$14),"",ReferenceData!$AP$14),"")</f>
        <v>17.184214749999999</v>
      </c>
      <c r="AQ14">
        <f ca="1">IFERROR(IF(0=LEN(ReferenceData!$AQ$14),"",ReferenceData!$AQ$14),"")</f>
        <v>16.10760075</v>
      </c>
      <c r="AR14">
        <f ca="1">IFERROR(IF(0=LEN(ReferenceData!$AR$14),"",ReferenceData!$AR$14),"")</f>
        <v>17.064203930000001</v>
      </c>
      <c r="AS14">
        <f ca="1">IFERROR(IF(0=LEN(ReferenceData!$AS$14),"",ReferenceData!$AS$14),"")</f>
        <v>16.303557770000001</v>
      </c>
      <c r="AT14">
        <f ca="1">IFERROR(IF(0=LEN(ReferenceData!$AT$14),"",ReferenceData!$AT$14),"")</f>
        <v>16.949602120000002</v>
      </c>
      <c r="AU14">
        <f ca="1">IFERROR(IF(0=LEN(ReferenceData!$AU$14),"",ReferenceData!$AU$14),"")</f>
        <v>17.080757049999999</v>
      </c>
      <c r="AV14">
        <f ca="1">IFERROR(IF(0=LEN(ReferenceData!$AV$14),"",ReferenceData!$AV$14),"")</f>
        <v>15.369035650000001</v>
      </c>
      <c r="AW14">
        <f ca="1">IFERROR(IF(0=LEN(ReferenceData!$AW$14),"",ReferenceData!$AW$14),"")</f>
        <v>16.871054999999998</v>
      </c>
      <c r="AX14">
        <f ca="1">IFERROR(IF(0=LEN(ReferenceData!$AX$14),"",ReferenceData!$AX$14),"")</f>
        <v>16.423759279999999</v>
      </c>
      <c r="AY14">
        <f ca="1">IFERROR(IF(0=LEN(ReferenceData!$AY$14),"",ReferenceData!$AY$14),"")</f>
        <v>16.276070430000001</v>
      </c>
      <c r="AZ14">
        <f ca="1">IFERROR(IF(0=LEN(ReferenceData!$AZ$14),"",ReferenceData!$AZ$14),"")</f>
        <v>16.170531530000002</v>
      </c>
      <c r="BA14">
        <f ca="1">IFERROR(IF(0=LEN(ReferenceData!$BA$14),"",ReferenceData!$BA$14),"")</f>
        <v>15.878557949999999</v>
      </c>
      <c r="BB14">
        <f ca="1">IFERROR(IF(0=LEN(ReferenceData!$BB$14),"",ReferenceData!$BB$14),"")</f>
        <v>15.720472689999999</v>
      </c>
      <c r="BC14">
        <f ca="1">IFERROR(IF(0=LEN(ReferenceData!$BC$14),"",ReferenceData!$BC$14),"")</f>
        <v>15.61790791</v>
      </c>
      <c r="BD14">
        <f ca="1">IFERROR(IF(0=LEN(ReferenceData!$BD$14),"",ReferenceData!$BD$14),"")</f>
        <v>14.44363968</v>
      </c>
      <c r="BE14">
        <f ca="1">IFERROR(IF(0=LEN(ReferenceData!$BE$14),"",ReferenceData!$BE$14),"")</f>
        <v>13.30862677</v>
      </c>
      <c r="BF14">
        <f ca="1">IFERROR(IF(0=LEN(ReferenceData!$BF$14),"",ReferenceData!$BF$14),"")</f>
        <v>13.56264365</v>
      </c>
      <c r="BG14">
        <f ca="1">IFERROR(IF(0=LEN(ReferenceData!$BG$14),"",ReferenceData!$BG$14),"")</f>
        <v>15.03454872</v>
      </c>
      <c r="BH14">
        <f ca="1">IFERROR(IF(0=LEN(ReferenceData!$BH$14),"",ReferenceData!$BH$14),"")</f>
        <v>14.44385297</v>
      </c>
      <c r="BI14">
        <f ca="1">IFERROR(IF(0=LEN(ReferenceData!$BI$14),"",ReferenceData!$BI$14),"")</f>
        <v>14.59356667</v>
      </c>
      <c r="BJ14">
        <f ca="1">IFERROR(IF(0=LEN(ReferenceData!$BJ$14),"",ReferenceData!$BJ$14),"")</f>
        <v>16.756793160000001</v>
      </c>
      <c r="BK14">
        <f ca="1">IFERROR(IF(0=LEN(ReferenceData!$BK$14),"",ReferenceData!$BK$14),"")</f>
        <v>16.625603009999999</v>
      </c>
      <c r="BL14">
        <f ca="1">IFERROR(IF(0=LEN(ReferenceData!$BL$14),"",ReferenceData!$BL$14),"")</f>
        <v>16.744475860000001</v>
      </c>
      <c r="BM14">
        <f ca="1">IFERROR(IF(0=LEN(ReferenceData!$BM$14),"",ReferenceData!$BM$14),"")</f>
        <v>17.699642829999998</v>
      </c>
      <c r="BN14">
        <f ca="1">IFERROR(IF(0=LEN(ReferenceData!$BN$14),"",ReferenceData!$BN$14),"")</f>
        <v>16.963260269999999</v>
      </c>
      <c r="BO14">
        <f ca="1">IFERROR(IF(0=LEN(ReferenceData!$BO$14),"",ReferenceData!$BO$14),"")</f>
        <v>17.212292900000001</v>
      </c>
      <c r="BP14">
        <f ca="1">IFERROR(IF(0=LEN(ReferenceData!$BP$14),"",ReferenceData!$BP$14),"")</f>
        <v>17.4928718</v>
      </c>
      <c r="BQ14">
        <f ca="1">IFERROR(IF(0=LEN(ReferenceData!$BQ$14),"",ReferenceData!$BQ$14),"")</f>
        <v>17.241328880000001</v>
      </c>
      <c r="BR14">
        <f ca="1">IFERROR(IF(0=LEN(ReferenceData!$BR$14),"",ReferenceData!$BR$14),"")</f>
        <v>16.720077209999999</v>
      </c>
      <c r="BS14">
        <f ca="1">IFERROR(IF(0=LEN(ReferenceData!$BS$14),"",ReferenceData!$BS$14),"")</f>
        <v>17.1516929</v>
      </c>
      <c r="BT14">
        <f ca="1">IFERROR(IF(0=LEN(ReferenceData!$BT$14),"",ReferenceData!$BT$14),"")</f>
        <v>16.98996859</v>
      </c>
      <c r="BU14">
        <f ca="1">IFERROR(IF(0=LEN(ReferenceData!$BU$14),"",ReferenceData!$BU$14),"")</f>
        <v>18.43398092</v>
      </c>
      <c r="BV14">
        <f ca="1">IFERROR(IF(0=LEN(ReferenceData!$BV$14),"",ReferenceData!$BV$14),"")</f>
        <v>19.192443019999999</v>
      </c>
      <c r="BW14">
        <f ca="1">IFERROR(IF(0=LEN(ReferenceData!$BW$14),"",ReferenceData!$BW$14),"")</f>
        <v>18.374798179999999</v>
      </c>
      <c r="BX14">
        <f ca="1">IFERROR(IF(0=LEN(ReferenceData!$BX$14),"",ReferenceData!$BX$14),"")</f>
        <v>17.792970220000001</v>
      </c>
      <c r="BY14">
        <f ca="1">IFERROR(IF(0=LEN(ReferenceData!$BY$14),"",ReferenceData!$BY$14),"")</f>
        <v>18.80935341</v>
      </c>
      <c r="BZ14">
        <f ca="1">IFERROR(IF(0=LEN(ReferenceData!$BZ$14),"",ReferenceData!$BZ$14),"")</f>
        <v>18.555543979999999</v>
      </c>
      <c r="CA14">
        <f ca="1">IFERROR(IF(0=LEN(ReferenceData!$CA$14),"",ReferenceData!$CA$14),"")</f>
        <v>17.66960396</v>
      </c>
      <c r="CB14">
        <f ca="1">IFERROR(IF(0=LEN(ReferenceData!$CB$14),"",ReferenceData!$CB$14),"")</f>
        <v>18.73382865</v>
      </c>
      <c r="CC14">
        <f ca="1">IFERROR(IF(0=LEN(ReferenceData!$CC$14),"",ReferenceData!$CC$14),"")</f>
        <v>18.233178880000001</v>
      </c>
      <c r="CD14">
        <f ca="1">IFERROR(IF(0=LEN(ReferenceData!$CD$14),"",ReferenceData!$CD$14),"")</f>
        <v>17.208563059999999</v>
      </c>
      <c r="CE14">
        <f ca="1">IFERROR(IF(0=LEN(ReferenceData!$CE$14),"",ReferenceData!$CE$14),"")</f>
        <v>18.474905809999999</v>
      </c>
      <c r="CF14">
        <f ca="1">IFERROR(IF(0=LEN(ReferenceData!$CF$14),"",ReferenceData!$CF$14),"")</f>
        <v>17.172156619999999</v>
      </c>
      <c r="CG14">
        <f ca="1">IFERROR(IF(0=LEN(ReferenceData!$CG$14),"",ReferenceData!$CG$14),"")</f>
        <v>21.11980505</v>
      </c>
      <c r="CH14">
        <f ca="1">IFERROR(IF(0=LEN(ReferenceData!$CH$14),"",ReferenceData!$CH$14),"")</f>
        <v>21.770265040000002</v>
      </c>
      <c r="CI14">
        <f ca="1">IFERROR(IF(0=LEN(ReferenceData!$CI$14),"",ReferenceData!$CI$14),"")</f>
        <v>21.064007109999999</v>
      </c>
      <c r="CJ14">
        <f ca="1">IFERROR(IF(0=LEN(ReferenceData!$CJ$14),"",ReferenceData!$CJ$14),"")</f>
        <v>20.558601929999998</v>
      </c>
      <c r="CK14">
        <f ca="1">IFERROR(IF(0=LEN(ReferenceData!$CK$14),"",ReferenceData!$CK$14),"")</f>
        <v>20.856503679999999</v>
      </c>
    </row>
    <row r="15" spans="1:89">
      <c r="A15" t="str">
        <f>IFERROR(IF(0=LEN(ReferenceData!$A$15),"",ReferenceData!$A$15),"")</f>
        <v xml:space="preserve">    公寓物业权益信托</v>
      </c>
      <c r="B15" t="str">
        <f>IFERROR(IF(0=LEN(ReferenceData!$B$15),"",ReferenceData!$B$15),"")</f>
        <v>EQR US Equity</v>
      </c>
      <c r="C15" t="str">
        <f>IFERROR(IF(0=LEN(ReferenceData!$C$15),"",ReferenceData!$C$15),"")</f>
        <v>BE249</v>
      </c>
      <c r="D15" t="str">
        <f>IFERROR(IF(0=LEN(ReferenceData!$D$15),"",ReferenceData!$D$15),"")</f>
        <v>BEST_PRICE_FFO_RATIO</v>
      </c>
      <c r="E15" t="str">
        <f>IFERROR(IF(0=LEN(ReferenceData!$E$15),"",ReferenceData!$E$15),"")</f>
        <v>动态</v>
      </c>
      <c r="F15">
        <f ca="1">IFERROR(IF(0=LEN(ReferenceData!$F$15),"",ReferenceData!$F$15),"")</f>
        <v>18.170994230000002</v>
      </c>
      <c r="G15">
        <f ca="1">IFERROR(IF(0=LEN(ReferenceData!$G$15),"",ReferenceData!$G$15),"")</f>
        <v>17.226115190000002</v>
      </c>
      <c r="H15">
        <f ca="1">IFERROR(IF(0=LEN(ReferenceData!$H$15),"",ReferenceData!$H$15),"")</f>
        <v>18.828381780000001</v>
      </c>
      <c r="I15">
        <f ca="1">IFERROR(IF(0=LEN(ReferenceData!$I$15),"",ReferenceData!$I$15),"")</f>
        <v>19.545705959999999</v>
      </c>
      <c r="J15">
        <f ca="1">IFERROR(IF(0=LEN(ReferenceData!$J$15),"",ReferenceData!$J$15),"")</f>
        <v>20.54902598</v>
      </c>
      <c r="K15">
        <f ca="1">IFERROR(IF(0=LEN(ReferenceData!$K$15),"",ReferenceData!$K$15),"")</f>
        <v>20.743633590000002</v>
      </c>
      <c r="L15">
        <f ca="1">IFERROR(IF(0=LEN(ReferenceData!$L$15),"",ReferenceData!$L$15),"")</f>
        <v>20.397555879999999</v>
      </c>
      <c r="M15">
        <f ca="1">IFERROR(IF(0=LEN(ReferenceData!$M$15),"",ReferenceData!$M$15),"")</f>
        <v>20.843695029999999</v>
      </c>
      <c r="N15">
        <f ca="1">IFERROR(IF(0=LEN(ReferenceData!$N$15),"",ReferenceData!$N$15),"")</f>
        <v>21.23714348</v>
      </c>
      <c r="O15">
        <f ca="1">IFERROR(IF(0=LEN(ReferenceData!$O$15),"",ReferenceData!$O$15),"")</f>
        <v>20.71754524</v>
      </c>
      <c r="P15">
        <f ca="1">IFERROR(IF(0=LEN(ReferenceData!$P$15),"",ReferenceData!$P$15),"")</f>
        <v>20.585247339999999</v>
      </c>
      <c r="Q15">
        <f ca="1">IFERROR(IF(0=LEN(ReferenceData!$Q$15),"",ReferenceData!$Q$15),"")</f>
        <v>20.540586829999999</v>
      </c>
      <c r="R15">
        <f ca="1">IFERROR(IF(0=LEN(ReferenceData!$R$15),"",ReferenceData!$R$15),"")</f>
        <v>19.747679120000001</v>
      </c>
      <c r="S15">
        <f ca="1">IFERROR(IF(0=LEN(ReferenceData!$S$15),"",ReferenceData!$S$15),"")</f>
        <v>20.000668260000001</v>
      </c>
      <c r="T15">
        <f ca="1">IFERROR(IF(0=LEN(ReferenceData!$T$15),"",ReferenceData!$T$15),"")</f>
        <v>19.044987129999999</v>
      </c>
      <c r="U15">
        <f ca="1">IFERROR(IF(0=LEN(ReferenceData!$U$15),"",ReferenceData!$U$15),"")</f>
        <v>20.313961379999999</v>
      </c>
      <c r="V15">
        <f ca="1">IFERROR(IF(0=LEN(ReferenceData!$V$15),"",ReferenceData!$V$15),"")</f>
        <v>18.980058509999999</v>
      </c>
      <c r="W15">
        <f ca="1">IFERROR(IF(0=LEN(ReferenceData!$W$15),"",ReferenceData!$W$15),"")</f>
        <v>19.565098630000001</v>
      </c>
      <c r="X15">
        <f ca="1">IFERROR(IF(0=LEN(ReferenceData!$X$15),"",ReferenceData!$X$15),"")</f>
        <v>20.453064139999999</v>
      </c>
      <c r="Y15">
        <f ca="1">IFERROR(IF(0=LEN(ReferenceData!$Y$15),"",ReferenceData!$Y$15),"")</f>
        <v>20.674598960000001</v>
      </c>
      <c r="Z15">
        <f ca="1">IFERROR(IF(0=LEN(ReferenceData!$Z$15),"",ReferenceData!$Z$15),"")</f>
        <v>21.65949887</v>
      </c>
      <c r="AA15">
        <f ca="1">IFERROR(IF(0=LEN(ReferenceData!$AA$15),"",ReferenceData!$AA$15),"")</f>
        <v>21.844719649999998</v>
      </c>
      <c r="AB15">
        <f ca="1">IFERROR(IF(0=LEN(ReferenceData!$AB$15),"",ReferenceData!$AB$15),"")</f>
        <v>22.139382510000001</v>
      </c>
      <c r="AC15">
        <f ca="1">IFERROR(IF(0=LEN(ReferenceData!$AC$15),"",ReferenceData!$AC$15),"")</f>
        <v>21.625630810000001</v>
      </c>
      <c r="AD15">
        <f ca="1">IFERROR(IF(0=LEN(ReferenceData!$AD$15),"",ReferenceData!$AD$15),"")</f>
        <v>23.547385569999999</v>
      </c>
      <c r="AE15">
        <f ca="1">IFERROR(IF(0=LEN(ReferenceData!$AE$15),"",ReferenceData!$AE$15),"")</f>
        <v>23.351770309999999</v>
      </c>
      <c r="AF15">
        <f ca="1">IFERROR(IF(0=LEN(ReferenceData!$AF$15),"",ReferenceData!$AF$15),"")</f>
        <v>23.189790819999999</v>
      </c>
      <c r="AG15">
        <f ca="1">IFERROR(IF(0=LEN(ReferenceData!$AG$15),"",ReferenceData!$AG$15),"")</f>
        <v>24.494145899999999</v>
      </c>
      <c r="AH15">
        <f ca="1">IFERROR(IF(0=LEN(ReferenceData!$AH$15),"",ReferenceData!$AH$15),"")</f>
        <v>23.341916550000001</v>
      </c>
      <c r="AI15">
        <f ca="1">IFERROR(IF(0=LEN(ReferenceData!$AI$15),"",ReferenceData!$AI$15),"")</f>
        <v>21.919636430000001</v>
      </c>
      <c r="AJ15">
        <f ca="1">IFERROR(IF(0=LEN(ReferenceData!$AJ$15),"",ReferenceData!$AJ$15),"")</f>
        <v>20.498382540000001</v>
      </c>
      <c r="AK15">
        <f ca="1">IFERROR(IF(0=LEN(ReferenceData!$AK$15),"",ReferenceData!$AK$15),"")</f>
        <v>19.589006019999999</v>
      </c>
      <c r="AL15">
        <f ca="1">IFERROR(IF(0=LEN(ReferenceData!$AL$15),"",ReferenceData!$AL$15),"")</f>
        <v>20.820840319999999</v>
      </c>
      <c r="AM15">
        <f ca="1">IFERROR(IF(0=LEN(ReferenceData!$AM$15),"",ReferenceData!$AM$15),"")</f>
        <v>19.730135220000001</v>
      </c>
      <c r="AN15">
        <f ca="1">IFERROR(IF(0=LEN(ReferenceData!$AN$15),"",ReferenceData!$AN$15),"")</f>
        <v>21.022718619999999</v>
      </c>
      <c r="AO15">
        <f ca="1">IFERROR(IF(0=LEN(ReferenceData!$AO$15),"",ReferenceData!$AO$15),"")</f>
        <v>21.02836585</v>
      </c>
      <c r="AP15">
        <f ca="1">IFERROR(IF(0=LEN(ReferenceData!$AP$15),"",ReferenceData!$AP$15),"")</f>
        <v>22.307625850000001</v>
      </c>
      <c r="AQ15">
        <f ca="1">IFERROR(IF(0=LEN(ReferenceData!$AQ$15),"",ReferenceData!$AQ$15),"")</f>
        <v>22.25078714</v>
      </c>
      <c r="AR15">
        <f ca="1">IFERROR(IF(0=LEN(ReferenceData!$AR$15),"",ReferenceData!$AR$15),"")</f>
        <v>22.720015490000002</v>
      </c>
      <c r="AS15">
        <f ca="1">IFERROR(IF(0=LEN(ReferenceData!$AS$15),"",ReferenceData!$AS$15),"")</f>
        <v>21.180274019999999</v>
      </c>
      <c r="AT15">
        <f ca="1">IFERROR(IF(0=LEN(ReferenceData!$AT$15),"",ReferenceData!$AT$15),"")</f>
        <v>21.044645490000001</v>
      </c>
      <c r="AU15">
        <f ca="1">IFERROR(IF(0=LEN(ReferenceData!$AU$15),"",ReferenceData!$AU$15),"")</f>
        <v>20.899461729999999</v>
      </c>
      <c r="AV15">
        <f ca="1">IFERROR(IF(0=LEN(ReferenceData!$AV$15),"",ReferenceData!$AV$15),"")</f>
        <v>18.736898060000001</v>
      </c>
      <c r="AW15">
        <f ca="1">IFERROR(IF(0=LEN(ReferenceData!$AW$15),"",ReferenceData!$AW$15),"")</f>
        <v>20.389570549999998</v>
      </c>
      <c r="AX15">
        <f ca="1">IFERROR(IF(0=LEN(ReferenceData!$AX$15),"",ReferenceData!$AX$15),"")</f>
        <v>20.08413994</v>
      </c>
      <c r="AY15">
        <f ca="1">IFERROR(IF(0=LEN(ReferenceData!$AY$15),"",ReferenceData!$AY$15),"")</f>
        <v>19.774938760000001</v>
      </c>
      <c r="AZ15">
        <f ca="1">IFERROR(IF(0=LEN(ReferenceData!$AZ$15),"",ReferenceData!$AZ$15),"")</f>
        <v>19.482172869999999</v>
      </c>
      <c r="BA15">
        <f ca="1">IFERROR(IF(0=LEN(ReferenceData!$BA$15),"",ReferenceData!$BA$15),"")</f>
        <v>18.782957379999999</v>
      </c>
      <c r="BB15">
        <f ca="1">IFERROR(IF(0=LEN(ReferenceData!$BB$15),"",ReferenceData!$BB$15),"")</f>
        <v>18.41810392</v>
      </c>
      <c r="BC15">
        <f ca="1">IFERROR(IF(0=LEN(ReferenceData!$BC$15),"",ReferenceData!$BC$15),"")</f>
        <v>18.692547179999998</v>
      </c>
      <c r="BD15">
        <f ca="1">IFERROR(IF(0=LEN(ReferenceData!$BD$15),"",ReferenceData!$BD$15),"")</f>
        <v>17.754114609999998</v>
      </c>
      <c r="BE15">
        <f ca="1">IFERROR(IF(0=LEN(ReferenceData!$BE$15),"",ReferenceData!$BE$15),"")</f>
        <v>16.744426799999999</v>
      </c>
      <c r="BF15">
        <f ca="1">IFERROR(IF(0=LEN(ReferenceData!$BF$15),"",ReferenceData!$BF$15),"")</f>
        <v>16.74422092</v>
      </c>
      <c r="BG15">
        <f ca="1">IFERROR(IF(0=LEN(ReferenceData!$BG$15),"",ReferenceData!$BG$15),"")</f>
        <v>17.23124177</v>
      </c>
      <c r="BH15">
        <f ca="1">IFERROR(IF(0=LEN(ReferenceData!$BH$15),"",ReferenceData!$BH$15),"")</f>
        <v>17.786067559999999</v>
      </c>
      <c r="BI15">
        <f ca="1">IFERROR(IF(0=LEN(ReferenceData!$BI$15),"",ReferenceData!$BI$15),"")</f>
        <v>17.396669750000001</v>
      </c>
      <c r="BJ15">
        <f ca="1">IFERROR(IF(0=LEN(ReferenceData!$BJ$15),"",ReferenceData!$BJ$15),"")</f>
        <v>18.98125121</v>
      </c>
      <c r="BK15">
        <f ca="1">IFERROR(IF(0=LEN(ReferenceData!$BK$15),"",ReferenceData!$BK$15),"")</f>
        <v>19.9573766</v>
      </c>
      <c r="BL15">
        <f ca="1">IFERROR(IF(0=LEN(ReferenceData!$BL$15),"",ReferenceData!$BL$15),"")</f>
        <v>19.654525230000001</v>
      </c>
      <c r="BM15">
        <f ca="1">IFERROR(IF(0=LEN(ReferenceData!$BM$15),"",ReferenceData!$BM$15),"")</f>
        <v>19.971953760000002</v>
      </c>
      <c r="BN15">
        <f ca="1">IFERROR(IF(0=LEN(ReferenceData!$BN$15),"",ReferenceData!$BN$15),"")</f>
        <v>18.56121899</v>
      </c>
      <c r="BO15">
        <f ca="1">IFERROR(IF(0=LEN(ReferenceData!$BO$15),"",ReferenceData!$BO$15),"")</f>
        <v>19.000271139999999</v>
      </c>
      <c r="BP15">
        <f ca="1">IFERROR(IF(0=LEN(ReferenceData!$BP$15),"",ReferenceData!$BP$15),"")</f>
        <v>18.31607954</v>
      </c>
      <c r="BQ15">
        <f ca="1">IFERROR(IF(0=LEN(ReferenceData!$BQ$15),"",ReferenceData!$BQ$15),"")</f>
        <v>18.752933540000001</v>
      </c>
      <c r="BR15">
        <f ca="1">IFERROR(IF(0=LEN(ReferenceData!$BR$15),"",ReferenceData!$BR$15),"")</f>
        <v>18.423121890000001</v>
      </c>
      <c r="BS15">
        <f ca="1">IFERROR(IF(0=LEN(ReferenceData!$BS$15),"",ReferenceData!$BS$15),"")</f>
        <v>19.14123807</v>
      </c>
      <c r="BT15">
        <f ca="1">IFERROR(IF(0=LEN(ReferenceData!$BT$15),"",ReferenceData!$BT$15),"")</f>
        <v>19.393174049999999</v>
      </c>
      <c r="BU15">
        <f ca="1">IFERROR(IF(0=LEN(ReferenceData!$BU$15),"",ReferenceData!$BU$15),"")</f>
        <v>20.471970580000001</v>
      </c>
      <c r="BV15">
        <f ca="1">IFERROR(IF(0=LEN(ReferenceData!$BV$15),"",ReferenceData!$BV$15),"")</f>
        <v>21.625663540000001</v>
      </c>
      <c r="BW15">
        <f ca="1">IFERROR(IF(0=LEN(ReferenceData!$BW$15),"",ReferenceData!$BW$15),"")</f>
        <v>21.80897642</v>
      </c>
      <c r="BX15">
        <f ca="1">IFERROR(IF(0=LEN(ReferenceData!$BX$15),"",ReferenceData!$BX$15),"")</f>
        <v>21.513242829999999</v>
      </c>
      <c r="BY15">
        <f ca="1">IFERROR(IF(0=LEN(ReferenceData!$BY$15),"",ReferenceData!$BY$15),"")</f>
        <v>21.670141910000002</v>
      </c>
      <c r="BZ15">
        <f ca="1">IFERROR(IF(0=LEN(ReferenceData!$BZ$15),"",ReferenceData!$BZ$15),"")</f>
        <v>22.350408810000001</v>
      </c>
      <c r="CA15">
        <f ca="1">IFERROR(IF(0=LEN(ReferenceData!$CA$15),"",ReferenceData!$CA$15),"")</f>
        <v>20.493515850000001</v>
      </c>
      <c r="CB15">
        <f ca="1">IFERROR(IF(0=LEN(ReferenceData!$CB$15),"",ReferenceData!$CB$15),"")</f>
        <v>21.408577099999999</v>
      </c>
      <c r="CC15">
        <f ca="1">IFERROR(IF(0=LEN(ReferenceData!$CC$15),"",ReferenceData!$CC$15),"")</f>
        <v>20.60383509</v>
      </c>
      <c r="CD15">
        <f ca="1">IFERROR(IF(0=LEN(ReferenceData!$CD$15),"",ReferenceData!$CD$15),"")</f>
        <v>20.169082530000001</v>
      </c>
      <c r="CE15">
        <f ca="1">IFERROR(IF(0=LEN(ReferenceData!$CE$15),"",ReferenceData!$CE$15),"")</f>
        <v>21.657956049999999</v>
      </c>
      <c r="CF15">
        <f ca="1">IFERROR(IF(0=LEN(ReferenceData!$CF$15),"",ReferenceData!$CF$15),"")</f>
        <v>19.269991640000001</v>
      </c>
      <c r="CG15">
        <f ca="1">IFERROR(IF(0=LEN(ReferenceData!$CG$15),"",ReferenceData!$CG$15),"")</f>
        <v>22.98456526</v>
      </c>
      <c r="CH15">
        <f ca="1">IFERROR(IF(0=LEN(ReferenceData!$CH$15),"",ReferenceData!$CH$15),"")</f>
        <v>23.403710069999999</v>
      </c>
      <c r="CI15">
        <f ca="1">IFERROR(IF(0=LEN(ReferenceData!$CI$15),"",ReferenceData!$CI$15),"")</f>
        <v>22.771822270000001</v>
      </c>
      <c r="CJ15">
        <f ca="1">IFERROR(IF(0=LEN(ReferenceData!$CJ$15),"",ReferenceData!$CJ$15),"")</f>
        <v>23.771312349999999</v>
      </c>
      <c r="CK15">
        <f ca="1">IFERROR(IF(0=LEN(ReferenceData!$CK$15),"",ReferenceData!$CK$15),"")</f>
        <v>23.27578973</v>
      </c>
    </row>
    <row r="16" spans="1:89">
      <c r="A16" t="str">
        <f>IFERROR(IF(0=LEN(ReferenceData!$A$16),"",ReferenceData!$A$16),"")</f>
        <v xml:space="preserve">    埃塞克斯房地产信托公司</v>
      </c>
      <c r="B16" t="str">
        <f>IFERROR(IF(0=LEN(ReferenceData!$B$16),"",ReferenceData!$B$16),"")</f>
        <v>ESS US Equity</v>
      </c>
      <c r="C16" t="str">
        <f>IFERROR(IF(0=LEN(ReferenceData!$C$16),"",ReferenceData!$C$16),"")</f>
        <v>BE249</v>
      </c>
      <c r="D16" t="str">
        <f>IFERROR(IF(0=LEN(ReferenceData!$D$16),"",ReferenceData!$D$16),"")</f>
        <v>BEST_PRICE_FFO_RATIO</v>
      </c>
      <c r="E16" t="str">
        <f>IFERROR(IF(0=LEN(ReferenceData!$E$16),"",ReferenceData!$E$16),"")</f>
        <v>动态</v>
      </c>
      <c r="F16">
        <f ca="1">IFERROR(IF(0=LEN(ReferenceData!$F$16),"",ReferenceData!$F$16),"")</f>
        <v>19.002397420000001</v>
      </c>
      <c r="G16">
        <f ca="1">IFERROR(IF(0=LEN(ReferenceData!$G$16),"",ReferenceData!$G$16),"")</f>
        <v>17.837613789999999</v>
      </c>
      <c r="H16">
        <f ca="1">IFERROR(IF(0=LEN(ReferenceData!$H$16),"",ReferenceData!$H$16),"")</f>
        <v>18.657025569999998</v>
      </c>
      <c r="I16">
        <f ca="1">IFERROR(IF(0=LEN(ReferenceData!$I$16),"",ReferenceData!$I$16),"")</f>
        <v>19.383414420000001</v>
      </c>
      <c r="J16">
        <f ca="1">IFERROR(IF(0=LEN(ReferenceData!$J$16),"",ReferenceData!$J$16),"")</f>
        <v>19.90548472</v>
      </c>
      <c r="K16">
        <f ca="1">IFERROR(IF(0=LEN(ReferenceData!$K$16),"",ReferenceData!$K$16),"")</f>
        <v>21.214517279999999</v>
      </c>
      <c r="L16">
        <f ca="1">IFERROR(IF(0=LEN(ReferenceData!$L$16),"",ReferenceData!$L$16),"")</f>
        <v>20.615553169999998</v>
      </c>
      <c r="M16">
        <f ca="1">IFERROR(IF(0=LEN(ReferenceData!$M$16),"",ReferenceData!$M$16),"")</f>
        <v>21.699593069999999</v>
      </c>
      <c r="N16">
        <f ca="1">IFERROR(IF(0=LEN(ReferenceData!$N$16),"",ReferenceData!$N$16),"")</f>
        <v>21.454943289999999</v>
      </c>
      <c r="O16">
        <f ca="1">IFERROR(IF(0=LEN(ReferenceData!$O$16),"",ReferenceData!$O$16),"")</f>
        <v>21.222520110000001</v>
      </c>
      <c r="P16">
        <f ca="1">IFERROR(IF(0=LEN(ReferenceData!$P$16),"",ReferenceData!$P$16),"")</f>
        <v>21.330317780000001</v>
      </c>
      <c r="Q16">
        <f ca="1">IFERROR(IF(0=LEN(ReferenceData!$Q$16),"",ReferenceData!$Q$16),"")</f>
        <v>20.52346588</v>
      </c>
      <c r="R16">
        <f ca="1">IFERROR(IF(0=LEN(ReferenceData!$R$16),"",ReferenceData!$R$16),"")</f>
        <v>19.500136860000001</v>
      </c>
      <c r="S16">
        <f ca="1">IFERROR(IF(0=LEN(ReferenceData!$S$16),"",ReferenceData!$S$16),"")</f>
        <v>19.85533929</v>
      </c>
      <c r="T16">
        <f ca="1">IFERROR(IF(0=LEN(ReferenceData!$T$16),"",ReferenceData!$T$16),"")</f>
        <v>18.963703779999999</v>
      </c>
      <c r="U16">
        <f ca="1">IFERROR(IF(0=LEN(ReferenceData!$U$16),"",ReferenceData!$U$16),"")</f>
        <v>19.742756109999998</v>
      </c>
      <c r="V16">
        <f ca="1">IFERROR(IF(0=LEN(ReferenceData!$V$16),"",ReferenceData!$V$16),"")</f>
        <v>18.38722023</v>
      </c>
      <c r="W16">
        <f ca="1">IFERROR(IF(0=LEN(ReferenceData!$W$16),"",ReferenceData!$W$16),"")</f>
        <v>18.365203279999999</v>
      </c>
      <c r="X16">
        <f ca="1">IFERROR(IF(0=LEN(ReferenceData!$X$16),"",ReferenceData!$X$16),"")</f>
        <v>19.173069890000001</v>
      </c>
      <c r="Y16">
        <f ca="1">IFERROR(IF(0=LEN(ReferenceData!$Y$16),"",ReferenceData!$Y$16),"")</f>
        <v>19.663472639999998</v>
      </c>
      <c r="Z16">
        <f ca="1">IFERROR(IF(0=LEN(ReferenceData!$Z$16),"",ReferenceData!$Z$16),"")</f>
        <v>20.405569109999998</v>
      </c>
      <c r="AA16">
        <f ca="1">IFERROR(IF(0=LEN(ReferenceData!$AA$16),"",ReferenceData!$AA$16),"")</f>
        <v>20.000238530000001</v>
      </c>
      <c r="AB16">
        <f ca="1">IFERROR(IF(0=LEN(ReferenceData!$AB$16),"",ReferenceData!$AB$16),"")</f>
        <v>20.020872579999999</v>
      </c>
      <c r="AC16">
        <f ca="1">IFERROR(IF(0=LEN(ReferenceData!$AC$16),"",ReferenceData!$AC$16),"")</f>
        <v>19.533682200000001</v>
      </c>
      <c r="AD16">
        <f ca="1">IFERROR(IF(0=LEN(ReferenceData!$AD$16),"",ReferenceData!$AD$16),"")</f>
        <v>20.830873839999999</v>
      </c>
      <c r="AE16">
        <f ca="1">IFERROR(IF(0=LEN(ReferenceData!$AE$16),"",ReferenceData!$AE$16),"")</f>
        <v>18.739621469999999</v>
      </c>
      <c r="AF16">
        <f ca="1">IFERROR(IF(0=LEN(ReferenceData!$AF$16),"",ReferenceData!$AF$16),"")</f>
        <v>19.401585499999999</v>
      </c>
      <c r="AG16">
        <f ca="1">IFERROR(IF(0=LEN(ReferenceData!$AG$16),"",ReferenceData!$AG$16),"")</f>
        <v>21.96825106</v>
      </c>
      <c r="AH16">
        <f ca="1">IFERROR(IF(0=LEN(ReferenceData!$AH$16),"",ReferenceData!$AH$16),"")</f>
        <v>21.424413779999998</v>
      </c>
      <c r="AI16">
        <f ca="1">IFERROR(IF(0=LEN(ReferenceData!$AI$16),"",ReferenceData!$AI$16),"")</f>
        <v>20.78684367</v>
      </c>
      <c r="AJ16">
        <f ca="1">IFERROR(IF(0=LEN(ReferenceData!$AJ$16),"",ReferenceData!$AJ$16),"")</f>
        <v>21.32452705</v>
      </c>
      <c r="AK16">
        <f ca="1">IFERROR(IF(0=LEN(ReferenceData!$AK$16),"",ReferenceData!$AK$16),"")</f>
        <v>20.69722947</v>
      </c>
      <c r="AL16">
        <f ca="1">IFERROR(IF(0=LEN(ReferenceData!$AL$16),"",ReferenceData!$AL$16),"")</f>
        <v>22.144892370000001</v>
      </c>
      <c r="AM16">
        <f ca="1">IFERROR(IF(0=LEN(ReferenceData!$AM$16),"",ReferenceData!$AM$16),"")</f>
        <v>21.225194070000001</v>
      </c>
      <c r="AN16">
        <f ca="1">IFERROR(IF(0=LEN(ReferenceData!$AN$16),"",ReferenceData!$AN$16),"")</f>
        <v>22.494803919999999</v>
      </c>
      <c r="AO16">
        <f ca="1">IFERROR(IF(0=LEN(ReferenceData!$AO$16),"",ReferenceData!$AO$16),"")</f>
        <v>22.737538579999999</v>
      </c>
      <c r="AP16">
        <f ca="1">IFERROR(IF(0=LEN(ReferenceData!$AP$16),"",ReferenceData!$AP$16),"")</f>
        <v>23.838910899999998</v>
      </c>
      <c r="AQ16">
        <f ca="1">IFERROR(IF(0=LEN(ReferenceData!$AQ$16),"",ReferenceData!$AQ$16),"")</f>
        <v>23.368461029999999</v>
      </c>
      <c r="AR16">
        <f ca="1">IFERROR(IF(0=LEN(ReferenceData!$AR$16),"",ReferenceData!$AR$16),"")</f>
        <v>23.953645519999998</v>
      </c>
      <c r="AS16">
        <f ca="1">IFERROR(IF(0=LEN(ReferenceData!$AS$16),"",ReferenceData!$AS$16),"")</f>
        <v>22.162188820000001</v>
      </c>
      <c r="AT16">
        <f ca="1">IFERROR(IF(0=LEN(ReferenceData!$AT$16),"",ReferenceData!$AT$16),"")</f>
        <v>21.923904180000001</v>
      </c>
      <c r="AU16">
        <f ca="1">IFERROR(IF(0=LEN(ReferenceData!$AU$16),"",ReferenceData!$AU$16),"")</f>
        <v>22.310876260000001</v>
      </c>
      <c r="AV16">
        <f ca="1">IFERROR(IF(0=LEN(ReferenceData!$AV$16),"",ReferenceData!$AV$16),"")</f>
        <v>20.159722169999998</v>
      </c>
      <c r="AW16">
        <f ca="1">IFERROR(IF(0=LEN(ReferenceData!$AW$16),"",ReferenceData!$AW$16),"")</f>
        <v>21.838193789999998</v>
      </c>
      <c r="AX16">
        <f ca="1">IFERROR(IF(0=LEN(ReferenceData!$AX$16),"",ReferenceData!$AX$16),"")</f>
        <v>22.033099230000001</v>
      </c>
      <c r="AY16">
        <f ca="1">IFERROR(IF(0=LEN(ReferenceData!$AY$16),"",ReferenceData!$AY$16),"")</f>
        <v>21.660591929999999</v>
      </c>
      <c r="AZ16">
        <f ca="1">IFERROR(IF(0=LEN(ReferenceData!$AZ$16),"",ReferenceData!$AZ$16),"")</f>
        <v>21.585593459999998</v>
      </c>
      <c r="BA16">
        <f ca="1">IFERROR(IF(0=LEN(ReferenceData!$BA$16),"",ReferenceData!$BA$16),"")</f>
        <v>20.234414050000002</v>
      </c>
      <c r="BB16">
        <f ca="1">IFERROR(IF(0=LEN(ReferenceData!$BB$16),"",ReferenceData!$BB$16),"")</f>
        <v>20.05036642</v>
      </c>
      <c r="BC16">
        <f ca="1">IFERROR(IF(0=LEN(ReferenceData!$BC$16),"",ReferenceData!$BC$16),"")</f>
        <v>19.882529160000001</v>
      </c>
      <c r="BD16">
        <f ca="1">IFERROR(IF(0=LEN(ReferenceData!$BD$16),"",ReferenceData!$BD$16),"")</f>
        <v>19.13593156</v>
      </c>
      <c r="BE16">
        <f ca="1">IFERROR(IF(0=LEN(ReferenceData!$BE$16),"",ReferenceData!$BE$16),"")</f>
        <v>17.358013069999998</v>
      </c>
      <c r="BF16">
        <f ca="1">IFERROR(IF(0=LEN(ReferenceData!$BF$16),"",ReferenceData!$BF$16),"")</f>
        <v>18.461459309999999</v>
      </c>
      <c r="BG16">
        <f ca="1">IFERROR(IF(0=LEN(ReferenceData!$BG$16),"",ReferenceData!$BG$16),"")</f>
        <v>19.671518729999999</v>
      </c>
      <c r="BH16">
        <f ca="1">IFERROR(IF(0=LEN(ReferenceData!$BH$16),"",ReferenceData!$BH$16),"")</f>
        <v>18.1384319</v>
      </c>
      <c r="BI16">
        <f ca="1">IFERROR(IF(0=LEN(ReferenceData!$BI$16),"",ReferenceData!$BI$16),"")</f>
        <v>17.66980848</v>
      </c>
      <c r="BJ16">
        <f ca="1">IFERROR(IF(0=LEN(ReferenceData!$BJ$16),"",ReferenceData!$BJ$16),"")</f>
        <v>20.008740849999999</v>
      </c>
      <c r="BK16">
        <f ca="1">IFERROR(IF(0=LEN(ReferenceData!$BK$16),"",ReferenceData!$BK$16),"")</f>
        <v>19.829573700000001</v>
      </c>
      <c r="BL16">
        <f ca="1">IFERROR(IF(0=LEN(ReferenceData!$BL$16),"",ReferenceData!$BL$16),"")</f>
        <v>19.715903829999998</v>
      </c>
      <c r="BM16">
        <f ca="1">IFERROR(IF(0=LEN(ReferenceData!$BM$16),"",ReferenceData!$BM$16),"")</f>
        <v>19.881723529999999</v>
      </c>
      <c r="BN16">
        <f ca="1">IFERROR(IF(0=LEN(ReferenceData!$BN$16),"",ReferenceData!$BN$16),"")</f>
        <v>19.18943333</v>
      </c>
      <c r="BO16">
        <f ca="1">IFERROR(IF(0=LEN(ReferenceData!$BO$16),"",ReferenceData!$BO$16),"")</f>
        <v>19.22447811</v>
      </c>
      <c r="BP16">
        <f ca="1">IFERROR(IF(0=LEN(ReferenceData!$BP$16),"",ReferenceData!$BP$16),"")</f>
        <v>20.199018039999999</v>
      </c>
      <c r="BQ16">
        <f ca="1">IFERROR(IF(0=LEN(ReferenceData!$BQ$16),"",ReferenceData!$BQ$16),"")</f>
        <v>19.477889470000001</v>
      </c>
      <c r="BR16">
        <f ca="1">IFERROR(IF(0=LEN(ReferenceData!$BR$16),"",ReferenceData!$BR$16),"")</f>
        <v>18.86147678</v>
      </c>
      <c r="BS16">
        <f ca="1">IFERROR(IF(0=LEN(ReferenceData!$BS$16),"",ReferenceData!$BS$16),"")</f>
        <v>20.412664299999999</v>
      </c>
      <c r="BT16">
        <f ca="1">IFERROR(IF(0=LEN(ReferenceData!$BT$16),"",ReferenceData!$BT$16),"")</f>
        <v>20.336850989999999</v>
      </c>
      <c r="BU16">
        <f ca="1">IFERROR(IF(0=LEN(ReferenceData!$BU$16),"",ReferenceData!$BU$16),"")</f>
        <v>21.003772730000001</v>
      </c>
      <c r="BV16">
        <f ca="1">IFERROR(IF(0=LEN(ReferenceData!$BV$16),"",ReferenceData!$BV$16),"")</f>
        <v>22.07450334</v>
      </c>
      <c r="BW16">
        <f ca="1">IFERROR(IF(0=LEN(ReferenceData!$BW$16),"",ReferenceData!$BW$16),"")</f>
        <v>21.778990530000002</v>
      </c>
      <c r="BX16">
        <f ca="1">IFERROR(IF(0=LEN(ReferenceData!$BX$16),"",ReferenceData!$BX$16),"")</f>
        <v>21.456270419999999</v>
      </c>
      <c r="BY16">
        <f ca="1">IFERROR(IF(0=LEN(ReferenceData!$BY$16),"",ReferenceData!$BY$16),"")</f>
        <v>22.85733214</v>
      </c>
      <c r="BZ16">
        <f ca="1">IFERROR(IF(0=LEN(ReferenceData!$BZ$16),"",ReferenceData!$BZ$16),"")</f>
        <v>22.136046499999999</v>
      </c>
      <c r="CA16">
        <f ca="1">IFERROR(IF(0=LEN(ReferenceData!$CA$16),"",ReferenceData!$CA$16),"")</f>
        <v>20.645719239999998</v>
      </c>
      <c r="CB16">
        <f ca="1">IFERROR(IF(0=LEN(ReferenceData!$CB$16),"",ReferenceData!$CB$16),"")</f>
        <v>21.592763949999998</v>
      </c>
      <c r="CC16">
        <f ca="1">IFERROR(IF(0=LEN(ReferenceData!$CC$16),"",ReferenceData!$CC$16),"")</f>
        <v>21.668428540000001</v>
      </c>
      <c r="CD16">
        <f ca="1">IFERROR(IF(0=LEN(ReferenceData!$CD$16),"",ReferenceData!$CD$16),"")</f>
        <v>20.698240869999999</v>
      </c>
      <c r="CE16">
        <f ca="1">IFERROR(IF(0=LEN(ReferenceData!$CE$16),"",ReferenceData!$CE$16),"")</f>
        <v>22.567128589999999</v>
      </c>
      <c r="CF16">
        <f ca="1">IFERROR(IF(0=LEN(ReferenceData!$CF$16),"",ReferenceData!$CF$16),"")</f>
        <v>19.17342171</v>
      </c>
      <c r="CG16">
        <f ca="1">IFERROR(IF(0=LEN(ReferenceData!$CG$16),"",ReferenceData!$CG$16),"")</f>
        <v>23.1694861</v>
      </c>
      <c r="CH16">
        <f ca="1">IFERROR(IF(0=LEN(ReferenceData!$CH$16),"",ReferenceData!$CH$16),"")</f>
        <v>23.30325728</v>
      </c>
      <c r="CI16">
        <f ca="1">IFERROR(IF(0=LEN(ReferenceData!$CI$16),"",ReferenceData!$CI$16),"")</f>
        <v>22.656930339999999</v>
      </c>
      <c r="CJ16">
        <f ca="1">IFERROR(IF(0=LEN(ReferenceData!$CJ$16),"",ReferenceData!$CJ$16),"")</f>
        <v>23.311830100000002</v>
      </c>
      <c r="CK16">
        <f ca="1">IFERROR(IF(0=LEN(ReferenceData!$CK$16),"",ReferenceData!$CK$16),"")</f>
        <v>23.68435916</v>
      </c>
    </row>
    <row r="17" spans="1:89">
      <c r="A17" t="str">
        <f>IFERROR(IF(0=LEN(ReferenceData!$A$17),"",ReferenceData!$A$17),"")</f>
        <v xml:space="preserve">    Mid-America Apartment Communities股份有限公司</v>
      </c>
      <c r="B17" t="str">
        <f>IFERROR(IF(0=LEN(ReferenceData!$B$17),"",ReferenceData!$B$17),"")</f>
        <v>MAA US Equity</v>
      </c>
      <c r="C17" t="str">
        <f>IFERROR(IF(0=LEN(ReferenceData!$C$17),"",ReferenceData!$C$17),"")</f>
        <v>BE249</v>
      </c>
      <c r="D17" t="str">
        <f>IFERROR(IF(0=LEN(ReferenceData!$D$17),"",ReferenceData!$D$17),"")</f>
        <v>BEST_PRICE_FFO_RATIO</v>
      </c>
      <c r="E17" t="str">
        <f>IFERROR(IF(0=LEN(ReferenceData!$E$17),"",ReferenceData!$E$17),"")</f>
        <v>动态</v>
      </c>
      <c r="F17">
        <f ca="1">IFERROR(IF(0=LEN(ReferenceData!$F$17),"",ReferenceData!$F$17),"")</f>
        <v>14.649075420000001</v>
      </c>
      <c r="G17">
        <f ca="1">IFERROR(IF(0=LEN(ReferenceData!$G$17),"",ReferenceData!$G$17),"")</f>
        <v>14.02659032</v>
      </c>
      <c r="H17">
        <f ca="1">IFERROR(IF(0=LEN(ReferenceData!$H$17),"",ReferenceData!$H$17),"")</f>
        <v>15.464214</v>
      </c>
      <c r="I17">
        <f ca="1">IFERROR(IF(0=LEN(ReferenceData!$I$17),"",ReferenceData!$I$17),"")</f>
        <v>16.247447999999999</v>
      </c>
      <c r="J17">
        <f ca="1">IFERROR(IF(0=LEN(ReferenceData!$J$17),"",ReferenceData!$J$17),"")</f>
        <v>16.465193620000001</v>
      </c>
      <c r="K17">
        <f ca="1">IFERROR(IF(0=LEN(ReferenceData!$K$17),"",ReferenceData!$K$17),"")</f>
        <v>16.418322790000001</v>
      </c>
      <c r="L17">
        <f ca="1">IFERROR(IF(0=LEN(ReferenceData!$L$17),"",ReferenceData!$L$17),"")</f>
        <v>17.10969704</v>
      </c>
      <c r="M17">
        <f ca="1">IFERROR(IF(0=LEN(ReferenceData!$M$17),"",ReferenceData!$M$17),"")</f>
        <v>17.170097670000001</v>
      </c>
      <c r="N17">
        <f ca="1">IFERROR(IF(0=LEN(ReferenceData!$N$17),"",ReferenceData!$N$17),"")</f>
        <v>16.807560420000001</v>
      </c>
      <c r="O17">
        <f ca="1">IFERROR(IF(0=LEN(ReferenceData!$O$17),"",ReferenceData!$O$17),"")</f>
        <v>17.160071649999999</v>
      </c>
      <c r="P17">
        <f ca="1">IFERROR(IF(0=LEN(ReferenceData!$P$17),"",ReferenceData!$P$17),"")</f>
        <v>16.71166435</v>
      </c>
      <c r="Q17">
        <f ca="1">IFERROR(IF(0=LEN(ReferenceData!$Q$17),"",ReferenceData!$Q$17),"")</f>
        <v>16.446861689999999</v>
      </c>
      <c r="R17">
        <f ca="1">IFERROR(IF(0=LEN(ReferenceData!$R$17),"",ReferenceData!$R$17),"")</f>
        <v>16.992066810000001</v>
      </c>
      <c r="S17">
        <f ca="1">IFERROR(IF(0=LEN(ReferenceData!$S$17),"",ReferenceData!$S$17),"")</f>
        <v>17.255967900000002</v>
      </c>
      <c r="T17">
        <f ca="1">IFERROR(IF(0=LEN(ReferenceData!$T$17),"",ReferenceData!$T$17),"")</f>
        <v>15.874549679999999</v>
      </c>
      <c r="U17">
        <f ca="1">IFERROR(IF(0=LEN(ReferenceData!$U$17),"",ReferenceData!$U$17),"")</f>
        <v>16.42670012</v>
      </c>
      <c r="V17">
        <f ca="1">IFERROR(IF(0=LEN(ReferenceData!$V$17),"",ReferenceData!$V$17),"")</f>
        <v>14.90775002</v>
      </c>
      <c r="W17">
        <f ca="1">IFERROR(IF(0=LEN(ReferenceData!$W$17),"",ReferenceData!$W$17),"")</f>
        <v>15.16025902</v>
      </c>
      <c r="X17">
        <f ca="1">IFERROR(IF(0=LEN(ReferenceData!$X$17),"",ReferenceData!$X$17),"")</f>
        <v>15.355961280000001</v>
      </c>
      <c r="Y17">
        <f ca="1">IFERROR(IF(0=LEN(ReferenceData!$Y$17),"",ReferenceData!$Y$17),"")</f>
        <v>15.459729149999999</v>
      </c>
      <c r="Z17">
        <f ca="1">IFERROR(IF(0=LEN(ReferenceData!$Z$17),"",ReferenceData!$Z$17),"")</f>
        <v>17.258668400000001</v>
      </c>
      <c r="AA17">
        <f ca="1">IFERROR(IF(0=LEN(ReferenceData!$AA$17),"",ReferenceData!$AA$17),"")</f>
        <v>17.421667930000002</v>
      </c>
      <c r="AB17">
        <f ca="1">IFERROR(IF(0=LEN(ReferenceData!$AB$17),"",ReferenceData!$AB$17),"")</f>
        <v>16.9245546</v>
      </c>
      <c r="AC17">
        <f ca="1">IFERROR(IF(0=LEN(ReferenceData!$AC$17),"",ReferenceData!$AC$17),"")</f>
        <v>15.892375879999999</v>
      </c>
      <c r="AD17">
        <f ca="1">IFERROR(IF(0=LEN(ReferenceData!$AD$17),"",ReferenceData!$AD$17),"")</f>
        <v>17.000607970000001</v>
      </c>
      <c r="AE17">
        <f ca="1">IFERROR(IF(0=LEN(ReferenceData!$AE$17),"",ReferenceData!$AE$17),"")</f>
        <v>15.002588380000001</v>
      </c>
      <c r="AF17">
        <f ca="1">IFERROR(IF(0=LEN(ReferenceData!$AF$17),"",ReferenceData!$AF$17),"")</f>
        <v>15.96100242</v>
      </c>
      <c r="AG17">
        <f ca="1">IFERROR(IF(0=LEN(ReferenceData!$AG$17),"",ReferenceData!$AG$17),"")</f>
        <v>15.48073645</v>
      </c>
      <c r="AH17">
        <f ca="1">IFERROR(IF(0=LEN(ReferenceData!$AH$17),"",ReferenceData!$AH$17),"")</f>
        <v>15.14447902</v>
      </c>
      <c r="AI17">
        <f ca="1">IFERROR(IF(0=LEN(ReferenceData!$AI$17),"",ReferenceData!$AI$17),"")</f>
        <v>14.76685734</v>
      </c>
      <c r="AJ17">
        <f ca="1">IFERROR(IF(0=LEN(ReferenceData!$AJ$17),"",ReferenceData!$AJ$17),"")</f>
        <v>14.411795529999999</v>
      </c>
      <c r="AK17">
        <f ca="1">IFERROR(IF(0=LEN(ReferenceData!$AK$17),"",ReferenceData!$AK$17),"")</f>
        <v>13.97548149</v>
      </c>
      <c r="AL17">
        <f ca="1">IFERROR(IF(0=LEN(ReferenceData!$AL$17),"",ReferenceData!$AL$17),"")</f>
        <v>14.38766465</v>
      </c>
      <c r="AM17">
        <f ca="1">IFERROR(IF(0=LEN(ReferenceData!$AM$17),"",ReferenceData!$AM$17),"")</f>
        <v>13.23217638</v>
      </c>
      <c r="AN17">
        <f ca="1">IFERROR(IF(0=LEN(ReferenceData!$AN$17),"",ReferenceData!$AN$17),"")</f>
        <v>13.955040670000001</v>
      </c>
      <c r="AO17">
        <f ca="1">IFERROR(IF(0=LEN(ReferenceData!$AO$17),"",ReferenceData!$AO$17),"")</f>
        <v>13.714204219999999</v>
      </c>
      <c r="AP17">
        <f ca="1">IFERROR(IF(0=LEN(ReferenceData!$AP$17),"",ReferenceData!$AP$17),"")</f>
        <v>14.24816978</v>
      </c>
      <c r="AQ17">
        <f ca="1">IFERROR(IF(0=LEN(ReferenceData!$AQ$17),"",ReferenceData!$AQ$17),"")</f>
        <v>13.292050959999999</v>
      </c>
      <c r="AR17">
        <f ca="1">IFERROR(IF(0=LEN(ReferenceData!$AR$17),"",ReferenceData!$AR$17),"")</f>
        <v>14.65723594</v>
      </c>
      <c r="AS17">
        <f ca="1">IFERROR(IF(0=LEN(ReferenceData!$AS$17),"",ReferenceData!$AS$17),"")</f>
        <v>13.855977019999999</v>
      </c>
      <c r="AT17">
        <f ca="1">IFERROR(IF(0=LEN(ReferenceData!$AT$17),"",ReferenceData!$AT$17),"")</f>
        <v>13.672516679999999</v>
      </c>
      <c r="AU17">
        <f ca="1">IFERROR(IF(0=LEN(ReferenceData!$AU$17),"",ReferenceData!$AU$17),"")</f>
        <v>13.23470721</v>
      </c>
      <c r="AV17">
        <f ca="1">IFERROR(IF(0=LEN(ReferenceData!$AV$17),"",ReferenceData!$AV$17),"")</f>
        <v>12.54381457</v>
      </c>
      <c r="AW17">
        <f ca="1">IFERROR(IF(0=LEN(ReferenceData!$AW$17),"",ReferenceData!$AW$17),"")</f>
        <v>13.73860182</v>
      </c>
      <c r="AX17">
        <f ca="1">IFERROR(IF(0=LEN(ReferenceData!$AX$17),"",ReferenceData!$AX$17),"")</f>
        <v>13.226261879999999</v>
      </c>
      <c r="AY17">
        <f ca="1">IFERROR(IF(0=LEN(ReferenceData!$AY$17),"",ReferenceData!$AY$17),"")</f>
        <v>13.91477315</v>
      </c>
      <c r="AZ17">
        <f ca="1">IFERROR(IF(0=LEN(ReferenceData!$AZ$17),"",ReferenceData!$AZ$17),"")</f>
        <v>13.867775829999999</v>
      </c>
      <c r="BA17">
        <f ca="1">IFERROR(IF(0=LEN(ReferenceData!$BA$17),"",ReferenceData!$BA$17),"")</f>
        <v>13.67103601</v>
      </c>
      <c r="BB17">
        <f ca="1">IFERROR(IF(0=LEN(ReferenceData!$BB$17),"",ReferenceData!$BB$17),"")</f>
        <v>13.399159279999999</v>
      </c>
      <c r="BC17">
        <f ca="1">IFERROR(IF(0=LEN(ReferenceData!$BC$17),"",ReferenceData!$BC$17),"")</f>
        <v>13.41887359</v>
      </c>
      <c r="BD17">
        <f ca="1">IFERROR(IF(0=LEN(ReferenceData!$BD$17),"",ReferenceData!$BD$17),"")</f>
        <v>12.391063880000001</v>
      </c>
      <c r="BE17">
        <f ca="1">IFERROR(IF(0=LEN(ReferenceData!$BE$17),"",ReferenceData!$BE$17),"")</f>
        <v>11.728210929999999</v>
      </c>
      <c r="BF17">
        <f ca="1">IFERROR(IF(0=LEN(ReferenceData!$BF$17),"",ReferenceData!$BF$17),"")</f>
        <v>11.687416239999999</v>
      </c>
      <c r="BG17">
        <f ca="1">IFERROR(IF(0=LEN(ReferenceData!$BG$17),"",ReferenceData!$BG$17),"")</f>
        <v>12.80928574</v>
      </c>
      <c r="BH17">
        <f ca="1">IFERROR(IF(0=LEN(ReferenceData!$BH$17),"",ReferenceData!$BH$17),"")</f>
        <v>12.11164767</v>
      </c>
      <c r="BI17">
        <f ca="1">IFERROR(IF(0=LEN(ReferenceData!$BI$17),"",ReferenceData!$BI$17),"")</f>
        <v>11.884276939999999</v>
      </c>
      <c r="BJ17">
        <f ca="1">IFERROR(IF(0=LEN(ReferenceData!$BJ$17),"",ReferenceData!$BJ$17),"")</f>
        <v>13.1617826</v>
      </c>
      <c r="BK17">
        <f ca="1">IFERROR(IF(0=LEN(ReferenceData!$BK$17),"",ReferenceData!$BK$17),"")</f>
        <v>13.267223850000001</v>
      </c>
      <c r="BL17">
        <f ca="1">IFERROR(IF(0=LEN(ReferenceData!$BL$17),"",ReferenceData!$BL$17),"")</f>
        <v>13.457274099999999</v>
      </c>
      <c r="BM17">
        <f ca="1">IFERROR(IF(0=LEN(ReferenceData!$BM$17),"",ReferenceData!$BM$17),"")</f>
        <v>13.78249986</v>
      </c>
      <c r="BN17">
        <f ca="1">IFERROR(IF(0=LEN(ReferenceData!$BN$17),"",ReferenceData!$BN$17),"")</f>
        <v>13.90651079</v>
      </c>
      <c r="BO17">
        <f ca="1">IFERROR(IF(0=LEN(ReferenceData!$BO$17),"",ReferenceData!$BO$17),"")</f>
        <v>14.069338139999999</v>
      </c>
      <c r="BP17">
        <f ca="1">IFERROR(IF(0=LEN(ReferenceData!$BP$17),"",ReferenceData!$BP$17),"")</f>
        <v>13.432117760000001</v>
      </c>
      <c r="BQ17">
        <f ca="1">IFERROR(IF(0=LEN(ReferenceData!$BQ$17),"",ReferenceData!$BQ$17),"")</f>
        <v>13.40234188</v>
      </c>
      <c r="BR17">
        <f ca="1">IFERROR(IF(0=LEN(ReferenceData!$BR$17),"",ReferenceData!$BR$17),"")</f>
        <v>13.011232420000001</v>
      </c>
      <c r="BS17">
        <f ca="1">IFERROR(IF(0=LEN(ReferenceData!$BS$17),"",ReferenceData!$BS$17),"")</f>
        <v>13.604897319999999</v>
      </c>
      <c r="BT17">
        <f ca="1">IFERROR(IF(0=LEN(ReferenceData!$BT$17),"",ReferenceData!$BT$17),"")</f>
        <v>13.74591199</v>
      </c>
      <c r="BU17">
        <f ca="1">IFERROR(IF(0=LEN(ReferenceData!$BU$17),"",ReferenceData!$BU$17),"")</f>
        <v>14.373014879999999</v>
      </c>
      <c r="BV17">
        <f ca="1">IFERROR(IF(0=LEN(ReferenceData!$BV$17),"",ReferenceData!$BV$17),"")</f>
        <v>15.00209227</v>
      </c>
      <c r="BW17">
        <f ca="1">IFERROR(IF(0=LEN(ReferenceData!$BW$17),"",ReferenceData!$BW$17),"")</f>
        <v>14.86789974</v>
      </c>
      <c r="BX17">
        <f ca="1">IFERROR(IF(0=LEN(ReferenceData!$BX$17),"",ReferenceData!$BX$17),"")</f>
        <v>14.78021013</v>
      </c>
      <c r="BY17">
        <f ca="1">IFERROR(IF(0=LEN(ReferenceData!$BY$17),"",ReferenceData!$BY$17),"")</f>
        <v>15.06645217</v>
      </c>
      <c r="BZ17">
        <f ca="1">IFERROR(IF(0=LEN(ReferenceData!$BZ$17),"",ReferenceData!$BZ$17),"")</f>
        <v>14.970433310000001</v>
      </c>
      <c r="CA17">
        <f ca="1">IFERROR(IF(0=LEN(ReferenceData!$CA$17),"",ReferenceData!$CA$17),"")</f>
        <v>14.06185861</v>
      </c>
      <c r="CB17">
        <f ca="1">IFERROR(IF(0=LEN(ReferenceData!$CB$17),"",ReferenceData!$CB$17),"")</f>
        <v>14.53346281</v>
      </c>
      <c r="CC17">
        <f ca="1">IFERROR(IF(0=LEN(ReferenceData!$CC$17),"",ReferenceData!$CC$17),"")</f>
        <v>14.330723949999999</v>
      </c>
      <c r="CD17">
        <f ca="1">IFERROR(IF(0=LEN(ReferenceData!$CD$17),"",ReferenceData!$CD$17),"")</f>
        <v>13.23605519</v>
      </c>
      <c r="CE17">
        <f ca="1">IFERROR(IF(0=LEN(ReferenceData!$CE$17),"",ReferenceData!$CE$17),"")</f>
        <v>14.479368709999999</v>
      </c>
      <c r="CF17">
        <f ca="1">IFERROR(IF(0=LEN(ReferenceData!$CF$17),"",ReferenceData!$CF$17),"")</f>
        <v>14.053675610000001</v>
      </c>
      <c r="CG17">
        <f ca="1">IFERROR(IF(0=LEN(ReferenceData!$CG$17),"",ReferenceData!$CG$17),"")</f>
        <v>16.759311790000002</v>
      </c>
      <c r="CH17">
        <f ca="1">IFERROR(IF(0=LEN(ReferenceData!$CH$17),"",ReferenceData!$CH$17),"")</f>
        <v>16.866964200000002</v>
      </c>
      <c r="CI17">
        <f ca="1">IFERROR(IF(0=LEN(ReferenceData!$CI$17),"",ReferenceData!$CI$17),"")</f>
        <v>16.152815279999999</v>
      </c>
      <c r="CJ17">
        <f ca="1">IFERROR(IF(0=LEN(ReferenceData!$CJ$17),"",ReferenceData!$CJ$17),"")</f>
        <v>16.504168289999999</v>
      </c>
      <c r="CK17">
        <f ca="1">IFERROR(IF(0=LEN(ReferenceData!$CK$17),"",ReferenceData!$CK$17),"")</f>
        <v>16.263837030000001</v>
      </c>
    </row>
    <row r="18" spans="1:89">
      <c r="A18" t="str">
        <f>IFERROR(IF(0=LEN(ReferenceData!$A$18),"",ReferenceData!$A$18),"")</f>
        <v xml:space="preserve">    UDR 公司</v>
      </c>
      <c r="B18" t="str">
        <f>IFERROR(IF(0=LEN(ReferenceData!$B$18),"",ReferenceData!$B$18),"")</f>
        <v>UDR US Equity</v>
      </c>
      <c r="C18" t="str">
        <f>IFERROR(IF(0=LEN(ReferenceData!$C$18),"",ReferenceData!$C$18),"")</f>
        <v>BE249</v>
      </c>
      <c r="D18" t="str">
        <f>IFERROR(IF(0=LEN(ReferenceData!$D$18),"",ReferenceData!$D$18),"")</f>
        <v>BEST_PRICE_FFO_RATIO</v>
      </c>
      <c r="E18" t="str">
        <f>IFERROR(IF(0=LEN(ReferenceData!$E$18),"",ReferenceData!$E$18),"")</f>
        <v>动态</v>
      </c>
      <c r="F18">
        <f ca="1">IFERROR(IF(0=LEN(ReferenceData!$F$18),"",ReferenceData!$F$18),"")</f>
        <v>18.001089459999999</v>
      </c>
      <c r="G18">
        <f ca="1">IFERROR(IF(0=LEN(ReferenceData!$G$18),"",ReferenceData!$G$18),"")</f>
        <v>17.141802240000001</v>
      </c>
      <c r="H18">
        <f ca="1">IFERROR(IF(0=LEN(ReferenceData!$H$18),"",ReferenceData!$H$18),"")</f>
        <v>18.452351459999999</v>
      </c>
      <c r="I18">
        <f ca="1">IFERROR(IF(0=LEN(ReferenceData!$I$18),"",ReferenceData!$I$18),"")</f>
        <v>19.568827590000001</v>
      </c>
      <c r="J18">
        <f ca="1">IFERROR(IF(0=LEN(ReferenceData!$J$18),"",ReferenceData!$J$18),"")</f>
        <v>20.097559539999999</v>
      </c>
      <c r="K18">
        <f ca="1">IFERROR(IF(0=LEN(ReferenceData!$K$18),"",ReferenceData!$K$18),"")</f>
        <v>19.944819840000001</v>
      </c>
      <c r="L18">
        <f ca="1">IFERROR(IF(0=LEN(ReferenceData!$L$18),"",ReferenceData!$L$18),"")</f>
        <v>19.653746770000001</v>
      </c>
      <c r="M18">
        <f ca="1">IFERROR(IF(0=LEN(ReferenceData!$M$18),"",ReferenceData!$M$18),"")</f>
        <v>20.141338959999999</v>
      </c>
      <c r="N18">
        <f ca="1">IFERROR(IF(0=LEN(ReferenceData!$N$18),"",ReferenceData!$N$18),"")</f>
        <v>20.390461989999999</v>
      </c>
      <c r="O18">
        <f ca="1">IFERROR(IF(0=LEN(ReferenceData!$O$18),"",ReferenceData!$O$18),"")</f>
        <v>20.440597950000001</v>
      </c>
      <c r="P18">
        <f ca="1">IFERROR(IF(0=LEN(ReferenceData!$P$18),"",ReferenceData!$P$18),"")</f>
        <v>20.35491592</v>
      </c>
      <c r="Q18">
        <f ca="1">IFERROR(IF(0=LEN(ReferenceData!$Q$18),"",ReferenceData!$Q$18),"")</f>
        <v>19.828843370000001</v>
      </c>
      <c r="R18">
        <f ca="1">IFERROR(IF(0=LEN(ReferenceData!$R$18),"",ReferenceData!$R$18),"")</f>
        <v>19.330934289999998</v>
      </c>
      <c r="S18">
        <f ca="1">IFERROR(IF(0=LEN(ReferenceData!$S$18),"",ReferenceData!$S$18),"")</f>
        <v>19.537851320000001</v>
      </c>
      <c r="T18">
        <f ca="1">IFERROR(IF(0=LEN(ReferenceData!$T$18),"",ReferenceData!$T$18),"")</f>
        <v>18.65914051</v>
      </c>
      <c r="U18">
        <f ca="1">IFERROR(IF(0=LEN(ReferenceData!$U$18),"",ReferenceData!$U$18),"")</f>
        <v>19.551404860000002</v>
      </c>
      <c r="V18">
        <f ca="1">IFERROR(IF(0=LEN(ReferenceData!$V$18),"",ReferenceData!$V$18),"")</f>
        <v>18.273220899999998</v>
      </c>
      <c r="W18">
        <f ca="1">IFERROR(IF(0=LEN(ReferenceData!$W$18),"",ReferenceData!$W$18),"")</f>
        <v>18.84836507</v>
      </c>
      <c r="X18">
        <f ca="1">IFERROR(IF(0=LEN(ReferenceData!$X$18),"",ReferenceData!$X$18),"")</f>
        <v>19.388552189999999</v>
      </c>
      <c r="Y18">
        <f ca="1">IFERROR(IF(0=LEN(ReferenceData!$Y$18),"",ReferenceData!$Y$18),"")</f>
        <v>19.54619125</v>
      </c>
      <c r="Z18">
        <f ca="1">IFERROR(IF(0=LEN(ReferenceData!$Z$18),"",ReferenceData!$Z$18),"")</f>
        <v>20.204976200000001</v>
      </c>
      <c r="AA18">
        <f ca="1">IFERROR(IF(0=LEN(ReferenceData!$AA$18),"",ReferenceData!$AA$18),"")</f>
        <v>20.16633461</v>
      </c>
      <c r="AB18">
        <f ca="1">IFERROR(IF(0=LEN(ReferenceData!$AB$18),"",ReferenceData!$AB$18),"")</f>
        <v>19.709322069999999</v>
      </c>
      <c r="AC18">
        <f ca="1">IFERROR(IF(0=LEN(ReferenceData!$AC$18),"",ReferenceData!$AC$18),"")</f>
        <v>19.208936749999999</v>
      </c>
      <c r="AD18">
        <f ca="1">IFERROR(IF(0=LEN(ReferenceData!$AD$18),"",ReferenceData!$AD$18),"")</f>
        <v>21.215348980000002</v>
      </c>
      <c r="AE18">
        <f ca="1">IFERROR(IF(0=LEN(ReferenceData!$AE$18),"",ReferenceData!$AE$18),"")</f>
        <v>19.035512610000001</v>
      </c>
      <c r="AF18">
        <f ca="1">IFERROR(IF(0=LEN(ReferenceData!$AF$18),"",ReferenceData!$AF$18),"")</f>
        <v>19.82474934</v>
      </c>
      <c r="AG18">
        <f ca="1">IFERROR(IF(0=LEN(ReferenceData!$AG$18),"",ReferenceData!$AG$18),"")</f>
        <v>21.00055897</v>
      </c>
      <c r="AH18">
        <f ca="1">IFERROR(IF(0=LEN(ReferenceData!$AH$18),"",ReferenceData!$AH$18),"")</f>
        <v>20.764495329999999</v>
      </c>
      <c r="AI18">
        <f ca="1">IFERROR(IF(0=LEN(ReferenceData!$AI$18),"",ReferenceData!$AI$18),"")</f>
        <v>19.555101579999999</v>
      </c>
      <c r="AJ18">
        <f ca="1">IFERROR(IF(0=LEN(ReferenceData!$AJ$18),"",ReferenceData!$AJ$18),"")</f>
        <v>19.6885148</v>
      </c>
      <c r="AK18">
        <f ca="1">IFERROR(IF(0=LEN(ReferenceData!$AK$18),"",ReferenceData!$AK$18),"")</f>
        <v>18.594788909999998</v>
      </c>
      <c r="AL18">
        <f ca="1">IFERROR(IF(0=LEN(ReferenceData!$AL$18),"",ReferenceData!$AL$18),"")</f>
        <v>19.64871655</v>
      </c>
      <c r="AM18">
        <f ca="1">IFERROR(IF(0=LEN(ReferenceData!$AM$18),"",ReferenceData!$AM$18),"")</f>
        <v>18.768445580000002</v>
      </c>
      <c r="AN18">
        <f ca="1">IFERROR(IF(0=LEN(ReferenceData!$AN$18),"",ReferenceData!$AN$18),"")</f>
        <v>19.257944899999998</v>
      </c>
      <c r="AO18">
        <f ca="1">IFERROR(IF(0=LEN(ReferenceData!$AO$18),"",ReferenceData!$AO$18),"")</f>
        <v>19.541293209999999</v>
      </c>
      <c r="AP18">
        <f ca="1">IFERROR(IF(0=LEN(ReferenceData!$AP$18),"",ReferenceData!$AP$18),"")</f>
        <v>20.48379834</v>
      </c>
      <c r="AQ18">
        <f ca="1">IFERROR(IF(0=LEN(ReferenceData!$AQ$18),"",ReferenceData!$AQ$18),"")</f>
        <v>19.37387872</v>
      </c>
      <c r="AR18">
        <f ca="1">IFERROR(IF(0=LEN(ReferenceData!$AR$18),"",ReferenceData!$AR$18),"")</f>
        <v>20.183075120000002</v>
      </c>
      <c r="AS18">
        <f ca="1">IFERROR(IF(0=LEN(ReferenceData!$AS$18),"",ReferenceData!$AS$18),"")</f>
        <v>18.811536650000001</v>
      </c>
      <c r="AT18">
        <f ca="1">IFERROR(IF(0=LEN(ReferenceData!$AT$18),"",ReferenceData!$AT$18),"")</f>
        <v>18.887803219999999</v>
      </c>
      <c r="AU18">
        <f ca="1">IFERROR(IF(0=LEN(ReferenceData!$AU$18),"",ReferenceData!$AU$18),"")</f>
        <v>18.835477740000002</v>
      </c>
      <c r="AV18">
        <f ca="1">IFERROR(IF(0=LEN(ReferenceData!$AV$18),"",ReferenceData!$AV$18),"")</f>
        <v>17.047293069999998</v>
      </c>
      <c r="AW18">
        <f ca="1">IFERROR(IF(0=LEN(ReferenceData!$AW$18),"",ReferenceData!$AW$18),"")</f>
        <v>18.892864660000001</v>
      </c>
      <c r="AX18">
        <f ca="1">IFERROR(IF(0=LEN(ReferenceData!$AX$18),"",ReferenceData!$AX$18),"")</f>
        <v>18.40421534</v>
      </c>
      <c r="AY18">
        <f ca="1">IFERROR(IF(0=LEN(ReferenceData!$AY$18),"",ReferenceData!$AY$18),"")</f>
        <v>18.40613338</v>
      </c>
      <c r="AZ18">
        <f ca="1">IFERROR(IF(0=LEN(ReferenceData!$AZ$18),"",ReferenceData!$AZ$18),"")</f>
        <v>17.795596369999998</v>
      </c>
      <c r="BA18">
        <f ca="1">IFERROR(IF(0=LEN(ReferenceData!$BA$18),"",ReferenceData!$BA$18),"")</f>
        <v>16.850943350000001</v>
      </c>
      <c r="BB18">
        <f ca="1">IFERROR(IF(0=LEN(ReferenceData!$BB$18),"",ReferenceData!$BB$18),"")</f>
        <v>16.918110049999999</v>
      </c>
      <c r="BC18">
        <f ca="1">IFERROR(IF(0=LEN(ReferenceData!$BC$18),"",ReferenceData!$BC$18),"")</f>
        <v>17.04218771</v>
      </c>
      <c r="BD18">
        <f ca="1">IFERROR(IF(0=LEN(ReferenceData!$BD$18),"",ReferenceData!$BD$18),"")</f>
        <v>16.24591182</v>
      </c>
      <c r="BE18">
        <f ca="1">IFERROR(IF(0=LEN(ReferenceData!$BE$18),"",ReferenceData!$BE$18),"")</f>
        <v>15.68816479</v>
      </c>
      <c r="BF18">
        <f ca="1">IFERROR(IF(0=LEN(ReferenceData!$BF$18),"",ReferenceData!$BF$18),"")</f>
        <v>15.714070510000001</v>
      </c>
      <c r="BG18">
        <f ca="1">IFERROR(IF(0=LEN(ReferenceData!$BG$18),"",ReferenceData!$BG$18),"")</f>
        <v>16.84563095</v>
      </c>
      <c r="BH18">
        <f ca="1">IFERROR(IF(0=LEN(ReferenceData!$BH$18),"",ReferenceData!$BH$18),"")</f>
        <v>16.1880162</v>
      </c>
      <c r="BI18">
        <f ca="1">IFERROR(IF(0=LEN(ReferenceData!$BI$18),"",ReferenceData!$BI$18),"")</f>
        <v>15.48028072</v>
      </c>
      <c r="BJ18">
        <f ca="1">IFERROR(IF(0=LEN(ReferenceData!$BJ$18),"",ReferenceData!$BJ$18),"")</f>
        <v>17.206676850000001</v>
      </c>
      <c r="BK18">
        <f ca="1">IFERROR(IF(0=LEN(ReferenceData!$BK$18),"",ReferenceData!$BK$18),"")</f>
        <v>17.75259831</v>
      </c>
      <c r="BL18">
        <f ca="1">IFERROR(IF(0=LEN(ReferenceData!$BL$18),"",ReferenceData!$BL$18),"")</f>
        <v>17.100092839999999</v>
      </c>
      <c r="BM18">
        <f ca="1">IFERROR(IF(0=LEN(ReferenceData!$BM$18),"",ReferenceData!$BM$18),"")</f>
        <v>17.395800850000001</v>
      </c>
      <c r="BN18">
        <f ca="1">IFERROR(IF(0=LEN(ReferenceData!$BN$18),"",ReferenceData!$BN$18),"")</f>
        <v>17.174251999999999</v>
      </c>
      <c r="BO18">
        <f ca="1">IFERROR(IF(0=LEN(ReferenceData!$BO$18),"",ReferenceData!$BO$18),"")</f>
        <v>16.866209680000001</v>
      </c>
      <c r="BP18">
        <f ca="1">IFERROR(IF(0=LEN(ReferenceData!$BP$18),"",ReferenceData!$BP$18),"")</f>
        <v>16.515530760000001</v>
      </c>
      <c r="BQ18">
        <f ca="1">IFERROR(IF(0=LEN(ReferenceData!$BQ$18),"",ReferenceData!$BQ$18),"")</f>
        <v>16.555118109999999</v>
      </c>
      <c r="BR18">
        <f ca="1">IFERROR(IF(0=LEN(ReferenceData!$BR$18),"",ReferenceData!$BR$18),"")</f>
        <v>15.995059189999999</v>
      </c>
      <c r="BS18">
        <f ca="1">IFERROR(IF(0=LEN(ReferenceData!$BS$18),"",ReferenceData!$BS$18),"")</f>
        <v>16.899085209999999</v>
      </c>
      <c r="BT18">
        <f ca="1">IFERROR(IF(0=LEN(ReferenceData!$BT$18),"",ReferenceData!$BT$18),"")</f>
        <v>17.40326426</v>
      </c>
      <c r="BU18">
        <f ca="1">IFERROR(IF(0=LEN(ReferenceData!$BU$18),"",ReferenceData!$BU$18),"")</f>
        <v>17.785865229999999</v>
      </c>
      <c r="BV18">
        <f ca="1">IFERROR(IF(0=LEN(ReferenceData!$BV$18),"",ReferenceData!$BV$18),"")</f>
        <v>18.823390710000002</v>
      </c>
      <c r="BW18">
        <f ca="1">IFERROR(IF(0=LEN(ReferenceData!$BW$18),"",ReferenceData!$BW$18),"")</f>
        <v>18.298439089999999</v>
      </c>
      <c r="BX18">
        <f ca="1">IFERROR(IF(0=LEN(ReferenceData!$BX$18),"",ReferenceData!$BX$18),"")</f>
        <v>18.259587100000001</v>
      </c>
      <c r="BY18">
        <f ca="1">IFERROR(IF(0=LEN(ReferenceData!$BY$18),"",ReferenceData!$BY$18),"")</f>
        <v>18.38839669</v>
      </c>
      <c r="BZ18">
        <f ca="1">IFERROR(IF(0=LEN(ReferenceData!$BZ$18),"",ReferenceData!$BZ$18),"")</f>
        <v>18.56785344</v>
      </c>
      <c r="CA18">
        <f ca="1">IFERROR(IF(0=LEN(ReferenceData!$CA$18),"",ReferenceData!$CA$18),"")</f>
        <v>17.507667720000001</v>
      </c>
      <c r="CB18">
        <f ca="1">IFERROR(IF(0=LEN(ReferenceData!$CB$18),"",ReferenceData!$CB$18),"")</f>
        <v>18.310261659999998</v>
      </c>
      <c r="CC18">
        <f ca="1">IFERROR(IF(0=LEN(ReferenceData!$CC$18),"",ReferenceData!$CC$18),"")</f>
        <v>17.676151359999999</v>
      </c>
      <c r="CD18">
        <f ca="1">IFERROR(IF(0=LEN(ReferenceData!$CD$18),"",ReferenceData!$CD$18),"")</f>
        <v>16.705284809999998</v>
      </c>
      <c r="CE18">
        <f ca="1">IFERROR(IF(0=LEN(ReferenceData!$CE$18),"",ReferenceData!$CE$18),"")</f>
        <v>17.909777399999999</v>
      </c>
      <c r="CF18">
        <f ca="1">IFERROR(IF(0=LEN(ReferenceData!$CF$18),"",ReferenceData!$CF$18),"")</f>
        <v>16.034763720000001</v>
      </c>
      <c r="CG18">
        <f ca="1">IFERROR(IF(0=LEN(ReferenceData!$CG$18),"",ReferenceData!$CG$18),"")</f>
        <v>19.512604530000001</v>
      </c>
      <c r="CH18">
        <f ca="1">IFERROR(IF(0=LEN(ReferenceData!$CH$18),"",ReferenceData!$CH$18),"")</f>
        <v>19.575332670000002</v>
      </c>
      <c r="CI18">
        <f ca="1">IFERROR(IF(0=LEN(ReferenceData!$CI$18),"",ReferenceData!$CI$18),"")</f>
        <v>18.616316569999999</v>
      </c>
      <c r="CJ18">
        <f ca="1">IFERROR(IF(0=LEN(ReferenceData!$CJ$18),"",ReferenceData!$CJ$18),"")</f>
        <v>19.969407060000002</v>
      </c>
      <c r="CK18">
        <f ca="1">IFERROR(IF(0=LEN(ReferenceData!$CK$18),"",ReferenceData!$CK$18),"")</f>
        <v>20.171406309999998</v>
      </c>
    </row>
    <row r="19" spans="1:89">
      <c r="A19" t="str">
        <f>IFERROR(IF(0=LEN(ReferenceData!$A$19),"",ReferenceData!$A$19),"")</f>
        <v>2017年预测P/FFO</v>
      </c>
      <c r="B19" t="str">
        <f>IFERROR(IF(0=LEN(ReferenceData!$B$19),"",ReferenceData!$B$19),"")</f>
        <v>BRFREITV Index</v>
      </c>
      <c r="C19" t="str">
        <f>IFERROR(IF(0=LEN(ReferenceData!$C$19),"",ReferenceData!$C$19),"")</f>
        <v/>
      </c>
      <c r="D19" t="str">
        <f>IFERROR(IF(0=LEN(ReferenceData!$D$19),"",ReferenceData!$D$19),"")</f>
        <v/>
      </c>
      <c r="E19" t="str">
        <f>IFERROR(IF(0=LEN(ReferenceData!$E$19),"",ReferenceData!$E$19),"")</f>
        <v>Median</v>
      </c>
      <c r="F19">
        <f ca="1">IFERROR(IF(0=LEN(ReferenceData!$F$19),"",ReferenceData!$F$19),"")</f>
        <v>18.827505049999999</v>
      </c>
      <c r="G19">
        <f ca="1">IFERROR(IF(0=LEN(ReferenceData!$G$19),"",ReferenceData!$G$19),"")</f>
        <v>17.987843890000001</v>
      </c>
      <c r="H19">
        <f ca="1">IFERROR(IF(0=LEN(ReferenceData!$H$19),"",ReferenceData!$H$19),"")</f>
        <v>19.591321900000001</v>
      </c>
      <c r="I19">
        <f ca="1">IFERROR(IF(0=LEN(ReferenceData!$I$19),"",ReferenceData!$I$19),"")</f>
        <v>20.317810640000001</v>
      </c>
      <c r="J19">
        <f ca="1">IFERROR(IF(0=LEN(ReferenceData!$J$19),"",ReferenceData!$J$19),"")</f>
        <v>20.78340626</v>
      </c>
      <c r="K19">
        <f ca="1">IFERROR(IF(0=LEN(ReferenceData!$K$19),"",ReferenceData!$K$19),"")</f>
        <v>20.877287410000001</v>
      </c>
      <c r="L19">
        <f ca="1">IFERROR(IF(0=LEN(ReferenceData!$L$19),"",ReferenceData!$L$19),"")</f>
        <v>20.41331186</v>
      </c>
      <c r="M19">
        <f ca="1">IFERROR(IF(0=LEN(ReferenceData!$M$19),"",ReferenceData!$M$19),"")</f>
        <v>20.859752820000001</v>
      </c>
      <c r="N19">
        <f ca="1">IFERROR(IF(0=LEN(ReferenceData!$N$19),"",ReferenceData!$N$19),"")</f>
        <v>21.016129029999998</v>
      </c>
      <c r="O19">
        <f ca="1">IFERROR(IF(0=LEN(ReferenceData!$O$19),"",ReferenceData!$O$19),"")</f>
        <v>20.974165769999999</v>
      </c>
      <c r="P19">
        <f ca="1">IFERROR(IF(0=LEN(ReferenceData!$P$19),"",ReferenceData!$P$19),"")</f>
        <v>20.780409039999999</v>
      </c>
      <c r="Q19">
        <f ca="1">IFERROR(IF(0=LEN(ReferenceData!$Q$19),"",ReferenceData!$Q$19),"")</f>
        <v>20.129380050000002</v>
      </c>
      <c r="R19">
        <f ca="1">IFERROR(IF(0=LEN(ReferenceData!$R$19),"",ReferenceData!$R$19),"")</f>
        <v>19.55771305</v>
      </c>
      <c r="S19">
        <f ca="1">IFERROR(IF(0=LEN(ReferenceData!$S$19),"",ReferenceData!$S$19),"")</f>
        <v>19.68716289</v>
      </c>
      <c r="T19">
        <f ca="1">IFERROR(IF(0=LEN(ReferenceData!$T$19),"",ReferenceData!$T$19),"")</f>
        <v>18.75</v>
      </c>
      <c r="U19">
        <f ca="1">IFERROR(IF(0=LEN(ReferenceData!$U$19),"",ReferenceData!$U$19),"")</f>
        <v>19.560321720000001</v>
      </c>
      <c r="V19">
        <f ca="1">IFERROR(IF(0=LEN(ReferenceData!$V$19),"",ReferenceData!$V$19),"")</f>
        <v>18.20320856</v>
      </c>
      <c r="W19">
        <f ca="1">IFERROR(IF(0=LEN(ReferenceData!$W$19),"",ReferenceData!$W$19),"")</f>
        <v>18.164771760000001</v>
      </c>
      <c r="X19">
        <f ca="1">IFERROR(IF(0=LEN(ReferenceData!$X$19),"",ReferenceData!$X$19),"")</f>
        <v>18.84892086</v>
      </c>
      <c r="Y19">
        <f ca="1">IFERROR(IF(0=LEN(ReferenceData!$Y$19),"",ReferenceData!$Y$19),"")</f>
        <v>19.218075649999999</v>
      </c>
      <c r="Z19">
        <f ca="1">IFERROR(IF(0=LEN(ReferenceData!$Z$19),"",ReferenceData!$Z$19),"")</f>
        <v>19.698412699999999</v>
      </c>
      <c r="AA19">
        <f ca="1">IFERROR(IF(0=LEN(ReferenceData!$AA$19),"",ReferenceData!$AA$19),"")</f>
        <v>19.275754249999999</v>
      </c>
      <c r="AB19">
        <f ca="1">IFERROR(IF(0=LEN(ReferenceData!$AB$19),"",ReferenceData!$AB$19),"")</f>
        <v>18.973143759999999</v>
      </c>
      <c r="AC19">
        <f ca="1">IFERROR(IF(0=LEN(ReferenceData!$AC$19),"",ReferenceData!$AC$19),"")</f>
        <v>18.39831401</v>
      </c>
      <c r="AD19">
        <f ca="1">IFERROR(IF(0=LEN(ReferenceData!$AD$19),"",ReferenceData!$AD$19),"")</f>
        <v>19.60596915</v>
      </c>
      <c r="AE19">
        <f ca="1">IFERROR(IF(0=LEN(ReferenceData!$AE$19),"",ReferenceData!$AE$19),"")</f>
        <v>17.614678900000001</v>
      </c>
      <c r="AF19">
        <f ca="1">IFERROR(IF(0=LEN(ReferenceData!$AF$19),"",ReferenceData!$AF$19),"")</f>
        <v>18.002196319999999</v>
      </c>
      <c r="AG19">
        <f ca="1">IFERROR(IF(0=LEN(ReferenceData!$AG$19),"",ReferenceData!$AG$19),"")</f>
        <v>19.527027029999999</v>
      </c>
      <c r="AH19">
        <f ca="1">IFERROR(IF(0=LEN(ReferenceData!$AH$19),"",ReferenceData!$AH$19),"")</f>
        <v>19.203954209999999</v>
      </c>
      <c r="AI19">
        <f ca="1">IFERROR(IF(0=LEN(ReferenceData!$AI$19),"",ReferenceData!$AI$19),"")</f>
        <v>18.051335779999999</v>
      </c>
      <c r="AJ19">
        <f ca="1">IFERROR(IF(0=LEN(ReferenceData!$AJ$19),"",ReferenceData!$AJ$19),"")</f>
        <v>18.340425530000001</v>
      </c>
      <c r="AK19">
        <f ca="1">IFERROR(IF(0=LEN(ReferenceData!$AK$19),"",ReferenceData!$AK$19),"")</f>
        <v>17.21748401</v>
      </c>
      <c r="AL19">
        <f ca="1">IFERROR(IF(0=LEN(ReferenceData!$AL$19),"",ReferenceData!$AL$19),"")</f>
        <v>18.167651800000002</v>
      </c>
      <c r="AM19">
        <f ca="1">IFERROR(IF(0=LEN(ReferenceData!$AM$19),"",ReferenceData!$AM$19),"")</f>
        <v>17.332251079999999</v>
      </c>
      <c r="AN19">
        <f ca="1">IFERROR(IF(0=LEN(ReferenceData!$AN$19),"",ReferenceData!$AN$19),"")</f>
        <v>17.792349730000002</v>
      </c>
      <c r="AO19">
        <f ca="1">IFERROR(IF(0=LEN(ReferenceData!$AO$19),"",ReferenceData!$AO$19),"")</f>
        <v>17.936507939999998</v>
      </c>
      <c r="AP19">
        <f ca="1">IFERROR(IF(0=LEN(ReferenceData!$AP$19),"",ReferenceData!$AP$19),"")</f>
        <v>19.19648067</v>
      </c>
      <c r="AQ19">
        <f ca="1">IFERROR(IF(0=LEN(ReferenceData!$AQ$19),"",ReferenceData!$AQ$19),"")</f>
        <v>18.553064294999999</v>
      </c>
      <c r="AR19">
        <f ca="1">IFERROR(IF(0=LEN(ReferenceData!$AR$19),"",ReferenceData!$AR$19),"")</f>
        <v>17.760417605000001</v>
      </c>
      <c r="AS19" t="str">
        <f ca="1">IFERROR(IF(0=LEN(ReferenceData!$AS$19),"",ReferenceData!$AS$19),"")</f>
        <v/>
      </c>
      <c r="AT19" t="str">
        <f ca="1">IFERROR(IF(0=LEN(ReferenceData!$AT$19),"",ReferenceData!$AT$19),"")</f>
        <v/>
      </c>
      <c r="AU19" t="str">
        <f ca="1">IFERROR(IF(0=LEN(ReferenceData!$AU$19),"",ReferenceData!$AU$19),"")</f>
        <v/>
      </c>
      <c r="AV19" t="str">
        <f ca="1">IFERROR(IF(0=LEN(ReferenceData!$AV$19),"",ReferenceData!$AV$19),"")</f>
        <v/>
      </c>
      <c r="AW19" t="str">
        <f ca="1">IFERROR(IF(0=LEN(ReferenceData!$AW$19),"",ReferenceData!$AW$19),"")</f>
        <v/>
      </c>
      <c r="AX19" t="str">
        <f ca="1">IFERROR(IF(0=LEN(ReferenceData!$AX$19),"",ReferenceData!$AX$19),"")</f>
        <v/>
      </c>
      <c r="AY19" t="str">
        <f ca="1">IFERROR(IF(0=LEN(ReferenceData!$AY$19),"",ReferenceData!$AY$19),"")</f>
        <v/>
      </c>
      <c r="AZ19" t="str">
        <f ca="1">IFERROR(IF(0=LEN(ReferenceData!$AZ$19),"",ReferenceData!$AZ$19),"")</f>
        <v/>
      </c>
      <c r="BA19" t="str">
        <f ca="1">IFERROR(IF(0=LEN(ReferenceData!$BA$19),"",ReferenceData!$BA$19),"")</f>
        <v/>
      </c>
      <c r="BB19" t="str">
        <f ca="1">IFERROR(IF(0=LEN(ReferenceData!$BB$19),"",ReferenceData!$BB$19),"")</f>
        <v/>
      </c>
      <c r="BC19" t="str">
        <f ca="1">IFERROR(IF(0=LEN(ReferenceData!$BC$19),"",ReferenceData!$BC$19),"")</f>
        <v/>
      </c>
      <c r="BD19" t="str">
        <f ca="1">IFERROR(IF(0=LEN(ReferenceData!$BD$19),"",ReferenceData!$BD$19),"")</f>
        <v/>
      </c>
      <c r="BE19" t="str">
        <f ca="1">IFERROR(IF(0=LEN(ReferenceData!$BE$19),"",ReferenceData!$BE$19),"")</f>
        <v/>
      </c>
      <c r="BF19" t="str">
        <f ca="1">IFERROR(IF(0=LEN(ReferenceData!$BF$19),"",ReferenceData!$BF$19),"")</f>
        <v/>
      </c>
      <c r="BG19" t="str">
        <f ca="1">IFERROR(IF(0=LEN(ReferenceData!$BG$19),"",ReferenceData!$BG$19),"")</f>
        <v/>
      </c>
      <c r="BH19" t="str">
        <f ca="1">IFERROR(IF(0=LEN(ReferenceData!$BH$19),"",ReferenceData!$BH$19),"")</f>
        <v/>
      </c>
      <c r="BI19" t="str">
        <f ca="1">IFERROR(IF(0=LEN(ReferenceData!$BI$19),"",ReferenceData!$BI$19),"")</f>
        <v/>
      </c>
      <c r="BJ19" t="str">
        <f ca="1">IFERROR(IF(0=LEN(ReferenceData!$BJ$19),"",ReferenceData!$BJ$19),"")</f>
        <v/>
      </c>
      <c r="BK19" t="str">
        <f ca="1">IFERROR(IF(0=LEN(ReferenceData!$BK$19),"",ReferenceData!$BK$19),"")</f>
        <v/>
      </c>
      <c r="BL19" t="str">
        <f ca="1">IFERROR(IF(0=LEN(ReferenceData!$BL$19),"",ReferenceData!$BL$19),"")</f>
        <v/>
      </c>
      <c r="BM19" t="str">
        <f ca="1">IFERROR(IF(0=LEN(ReferenceData!$BM$19),"",ReferenceData!$BM$19),"")</f>
        <v/>
      </c>
      <c r="BN19" t="str">
        <f ca="1">IFERROR(IF(0=LEN(ReferenceData!$BN$19),"",ReferenceData!$BN$19),"")</f>
        <v/>
      </c>
      <c r="BO19" t="str">
        <f ca="1">IFERROR(IF(0=LEN(ReferenceData!$BO$19),"",ReferenceData!$BO$19),"")</f>
        <v/>
      </c>
      <c r="BP19" t="str">
        <f ca="1">IFERROR(IF(0=LEN(ReferenceData!$BP$19),"",ReferenceData!$BP$19),"")</f>
        <v/>
      </c>
      <c r="BQ19" t="str">
        <f ca="1">IFERROR(IF(0=LEN(ReferenceData!$BQ$19),"",ReferenceData!$BQ$19),"")</f>
        <v/>
      </c>
      <c r="BR19" t="str">
        <f ca="1">IFERROR(IF(0=LEN(ReferenceData!$BR$19),"",ReferenceData!$BR$19),"")</f>
        <v/>
      </c>
      <c r="BS19" t="str">
        <f ca="1">IFERROR(IF(0=LEN(ReferenceData!$BS$19),"",ReferenceData!$BS$19),"")</f>
        <v/>
      </c>
      <c r="BT19" t="str">
        <f ca="1">IFERROR(IF(0=LEN(ReferenceData!$BT$19),"",ReferenceData!$BT$19),"")</f>
        <v/>
      </c>
      <c r="BU19" t="str">
        <f ca="1">IFERROR(IF(0=LEN(ReferenceData!$BU$19),"",ReferenceData!$BU$19),"")</f>
        <v/>
      </c>
      <c r="BV19" t="str">
        <f ca="1">IFERROR(IF(0=LEN(ReferenceData!$BV$19),"",ReferenceData!$BV$19),"")</f>
        <v/>
      </c>
      <c r="BW19" t="str">
        <f ca="1">IFERROR(IF(0=LEN(ReferenceData!$BW$19),"",ReferenceData!$BW$19),"")</f>
        <v/>
      </c>
      <c r="BX19" t="str">
        <f ca="1">IFERROR(IF(0=LEN(ReferenceData!$BX$19),"",ReferenceData!$BX$19),"")</f>
        <v/>
      </c>
      <c r="BY19" t="str">
        <f ca="1">IFERROR(IF(0=LEN(ReferenceData!$BY$19),"",ReferenceData!$BY$19),"")</f>
        <v/>
      </c>
      <c r="BZ19" t="str">
        <f ca="1">IFERROR(IF(0=LEN(ReferenceData!$BZ$19),"",ReferenceData!$BZ$19),"")</f>
        <v/>
      </c>
      <c r="CA19" t="str">
        <f ca="1">IFERROR(IF(0=LEN(ReferenceData!$CA$19),"",ReferenceData!$CA$19),"")</f>
        <v/>
      </c>
      <c r="CB19" t="str">
        <f ca="1">IFERROR(IF(0=LEN(ReferenceData!$CB$19),"",ReferenceData!$CB$19),"")</f>
        <v/>
      </c>
      <c r="CC19" t="str">
        <f ca="1">IFERROR(IF(0=LEN(ReferenceData!$CC$19),"",ReferenceData!$CC$19),"")</f>
        <v/>
      </c>
      <c r="CD19" t="str">
        <f ca="1">IFERROR(IF(0=LEN(ReferenceData!$CD$19),"",ReferenceData!$CD$19),"")</f>
        <v/>
      </c>
      <c r="CE19" t="str">
        <f ca="1">IFERROR(IF(0=LEN(ReferenceData!$CE$19),"",ReferenceData!$CE$19),"")</f>
        <v/>
      </c>
      <c r="CF19" t="str">
        <f ca="1">IFERROR(IF(0=LEN(ReferenceData!$CF$19),"",ReferenceData!$CF$19),"")</f>
        <v/>
      </c>
      <c r="CG19" t="str">
        <f ca="1">IFERROR(IF(0=LEN(ReferenceData!$CG$19),"",ReferenceData!$CG$19),"")</f>
        <v/>
      </c>
      <c r="CH19" t="str">
        <f ca="1">IFERROR(IF(0=LEN(ReferenceData!$CH$19),"",ReferenceData!$CH$19),"")</f>
        <v/>
      </c>
      <c r="CI19" t="str">
        <f ca="1">IFERROR(IF(0=LEN(ReferenceData!$CI$19),"",ReferenceData!$CI$19),"")</f>
        <v/>
      </c>
      <c r="CJ19" t="str">
        <f ca="1">IFERROR(IF(0=LEN(ReferenceData!$CJ$19),"",ReferenceData!$CJ$19),"")</f>
        <v/>
      </c>
      <c r="CK19" t="str">
        <f ca="1">IFERROR(IF(0=LEN(ReferenceData!$CK$19),"",ReferenceData!$CK$19),"")</f>
        <v/>
      </c>
    </row>
    <row r="20" spans="1:89">
      <c r="A20" t="str">
        <f>IFERROR(IF(0=LEN(ReferenceData!$A$20),"",ReferenceData!$A$20),"")</f>
        <v xml:space="preserve">    公寓投资与管理</v>
      </c>
      <c r="B20" t="str">
        <f>IFERROR(IF(0=LEN(ReferenceData!$B$20),"",ReferenceData!$B$20),"")</f>
        <v>AIV US Equity</v>
      </c>
      <c r="C20" t="str">
        <f>IFERROR(IF(0=LEN(ReferenceData!$C$20),"",ReferenceData!$C$20),"")</f>
        <v>BE249</v>
      </c>
      <c r="D20" t="str">
        <f>IFERROR(IF(0=LEN(ReferenceData!$D$20),"",ReferenceData!$D$20),"")</f>
        <v>BEST_PRICE_FFO_RATIO</v>
      </c>
      <c r="E20" t="str">
        <f>IFERROR(IF(0=LEN(ReferenceData!$E$20),"",ReferenceData!$E$20),"")</f>
        <v>动态</v>
      </c>
      <c r="F20">
        <f ca="1">IFERROR(IF(0=LEN(ReferenceData!$F$20),"",ReferenceData!$F$20),"")</f>
        <v>16.373670990000001</v>
      </c>
      <c r="G20">
        <f ca="1">IFERROR(IF(0=LEN(ReferenceData!$G$20),"",ReferenceData!$G$20),"")</f>
        <v>15.805396569999999</v>
      </c>
      <c r="H20">
        <f ca="1">IFERROR(IF(0=LEN(ReferenceData!$H$20),"",ReferenceData!$H$20),"")</f>
        <v>17.10547833</v>
      </c>
      <c r="I20">
        <f ca="1">IFERROR(IF(0=LEN(ReferenceData!$I$20),"",ReferenceData!$I$20),"")</f>
        <v>17.869991819999999</v>
      </c>
      <c r="J20">
        <f ca="1">IFERROR(IF(0=LEN(ReferenceData!$J$20),"",ReferenceData!$J$20),"")</f>
        <v>18.062269560000001</v>
      </c>
      <c r="K20">
        <f ca="1">IFERROR(IF(0=LEN(ReferenceData!$K$20),"",ReferenceData!$K$20),"")</f>
        <v>18.039376539999999</v>
      </c>
      <c r="L20">
        <f ca="1">IFERROR(IF(0=LEN(ReferenceData!$L$20),"",ReferenceData!$L$20),"")</f>
        <v>17.968045879999998</v>
      </c>
      <c r="M20">
        <f ca="1">IFERROR(IF(0=LEN(ReferenceData!$M$20),"",ReferenceData!$M$20),"")</f>
        <v>18.562653560000001</v>
      </c>
      <c r="N20">
        <f ca="1">IFERROR(IF(0=LEN(ReferenceData!$N$20),"",ReferenceData!$N$20),"")</f>
        <v>18.698686370000001</v>
      </c>
      <c r="O20">
        <f ca="1">IFERROR(IF(0=LEN(ReferenceData!$O$20),"",ReferenceData!$O$20),"")</f>
        <v>17.639573070000001</v>
      </c>
      <c r="P20">
        <f ca="1">IFERROR(IF(0=LEN(ReferenceData!$P$20),"",ReferenceData!$P$20),"")</f>
        <v>17.63352506</v>
      </c>
      <c r="Q20">
        <f ca="1">IFERROR(IF(0=LEN(ReferenceData!$Q$20),"",ReferenceData!$Q$20),"")</f>
        <v>17.838499179999999</v>
      </c>
      <c r="R20">
        <f ca="1">IFERROR(IF(0=LEN(ReferenceData!$R$20),"",ReferenceData!$R$20),"")</f>
        <v>18.116830069999999</v>
      </c>
      <c r="S20">
        <f ca="1">IFERROR(IF(0=LEN(ReferenceData!$S$20),"",ReferenceData!$S$20),"")</f>
        <v>19.01512056</v>
      </c>
      <c r="T20">
        <f ca="1">IFERROR(IF(0=LEN(ReferenceData!$T$20),"",ReferenceData!$T$20),"")</f>
        <v>17.980416160000001</v>
      </c>
      <c r="U20">
        <f ca="1">IFERROR(IF(0=LEN(ReferenceData!$U$20),"",ReferenceData!$U$20),"")</f>
        <v>18.543451650000002</v>
      </c>
      <c r="V20">
        <f ca="1">IFERROR(IF(0=LEN(ReferenceData!$V$20),"",ReferenceData!$V$20),"")</f>
        <v>17.148676170000002</v>
      </c>
      <c r="W20">
        <f ca="1">IFERROR(IF(0=LEN(ReferenceData!$W$20),"",ReferenceData!$W$20),"")</f>
        <v>17.813257879999998</v>
      </c>
      <c r="X20">
        <f ca="1">IFERROR(IF(0=LEN(ReferenceData!$X$20),"",ReferenceData!$X$20),"")</f>
        <v>18.400801600000001</v>
      </c>
      <c r="Y20">
        <f ca="1">IFERROR(IF(0=LEN(ReferenceData!$Y$20),"",ReferenceData!$Y$20),"")</f>
        <v>18.108216429999999</v>
      </c>
      <c r="Z20">
        <f ca="1">IFERROR(IF(0=LEN(ReferenceData!$Z$20),"",ReferenceData!$Z$20),"")</f>
        <v>18.513894480000001</v>
      </c>
      <c r="AA20">
        <f ca="1">IFERROR(IF(0=LEN(ReferenceData!$AA$20),"",ReferenceData!$AA$20),"")</f>
        <v>17.90028375</v>
      </c>
      <c r="AB20">
        <f ca="1">IFERROR(IF(0=LEN(ReferenceData!$AB$20),"",ReferenceData!$AB$20),"")</f>
        <v>17.20451795</v>
      </c>
      <c r="AC20">
        <f ca="1">IFERROR(IF(0=LEN(ReferenceData!$AC$20),"",ReferenceData!$AC$20),"")</f>
        <v>16.311074919999999</v>
      </c>
      <c r="AD20">
        <f ca="1">IFERROR(IF(0=LEN(ReferenceData!$AD$20),"",ReferenceData!$AD$20),"")</f>
        <v>16.931174089999999</v>
      </c>
      <c r="AE20">
        <f ca="1">IFERROR(IF(0=LEN(ReferenceData!$AE$20),"",ReferenceData!$AE$20),"")</f>
        <v>14.69690887</v>
      </c>
      <c r="AF20">
        <f ca="1">IFERROR(IF(0=LEN(ReferenceData!$AF$20),"",ReferenceData!$AF$20),"")</f>
        <v>15.37102473</v>
      </c>
      <c r="AG20">
        <f ca="1">IFERROR(IF(0=LEN(ReferenceData!$AG$20),"",ReferenceData!$AG$20),"")</f>
        <v>15.60623782</v>
      </c>
      <c r="AH20">
        <f ca="1">IFERROR(IF(0=LEN(ReferenceData!$AH$20),"",ReferenceData!$AH$20),"")</f>
        <v>14.84612388</v>
      </c>
      <c r="AI20">
        <f ca="1">IFERROR(IF(0=LEN(ReferenceData!$AI$20),"",ReferenceData!$AI$20),"")</f>
        <v>15.178156469999999</v>
      </c>
      <c r="AJ20">
        <f ca="1">IFERROR(IF(0=LEN(ReferenceData!$AJ$20),"",ReferenceData!$AJ$20),"")</f>
        <v>14.40466926</v>
      </c>
      <c r="AK20">
        <f ca="1">IFERROR(IF(0=LEN(ReferenceData!$AK$20),"",ReferenceData!$AK$20),"")</f>
        <v>14.01945525</v>
      </c>
      <c r="AL20">
        <f ca="1">IFERROR(IF(0=LEN(ReferenceData!$AL$20),"",ReferenceData!$AL$20),"")</f>
        <v>15.50793651</v>
      </c>
      <c r="AM20">
        <f ca="1">IFERROR(IF(0=LEN(ReferenceData!$AM$20),"",ReferenceData!$AM$20),"")</f>
        <v>14.672228840000001</v>
      </c>
      <c r="AN20">
        <f ca="1">IFERROR(IF(0=LEN(ReferenceData!$AN$20),"",ReferenceData!$AN$20),"")</f>
        <v>15.525992629999999</v>
      </c>
      <c r="AO20">
        <f ca="1">IFERROR(IF(0=LEN(ReferenceData!$AO$20),"",ReferenceData!$AO$20),"")</f>
        <v>15.31871701</v>
      </c>
      <c r="AP20">
        <f ca="1">IFERROR(IF(0=LEN(ReferenceData!$AP$20),"",ReferenceData!$AP$20),"")</f>
        <v>16.197530860000001</v>
      </c>
      <c r="AQ20">
        <f ca="1">IFERROR(IF(0=LEN(ReferenceData!$AQ$20),"",ReferenceData!$AQ$20),"")</f>
        <v>15.19354839</v>
      </c>
      <c r="AR20" t="str">
        <f ca="1">IFERROR(IF(0=LEN(ReferenceData!$AR$20),"",ReferenceData!$AR$20),"")</f>
        <v/>
      </c>
      <c r="AS20" t="str">
        <f ca="1">IFERROR(IF(0=LEN(ReferenceData!$AS$20),"",ReferenceData!$AS$20),"")</f>
        <v/>
      </c>
      <c r="AT20" t="str">
        <f ca="1">IFERROR(IF(0=LEN(ReferenceData!$AT$20),"",ReferenceData!$AT$20),"")</f>
        <v/>
      </c>
      <c r="AU20" t="str">
        <f ca="1">IFERROR(IF(0=LEN(ReferenceData!$AU$20),"",ReferenceData!$AU$20),"")</f>
        <v/>
      </c>
      <c r="AV20" t="str">
        <f ca="1">IFERROR(IF(0=LEN(ReferenceData!$AV$20),"",ReferenceData!$AV$20),"")</f>
        <v/>
      </c>
      <c r="AW20" t="str">
        <f ca="1">IFERROR(IF(0=LEN(ReferenceData!$AW$20),"",ReferenceData!$AW$20),"")</f>
        <v/>
      </c>
      <c r="AX20" t="str">
        <f ca="1">IFERROR(IF(0=LEN(ReferenceData!$AX$20),"",ReferenceData!$AX$20),"")</f>
        <v/>
      </c>
      <c r="AY20" t="str">
        <f ca="1">IFERROR(IF(0=LEN(ReferenceData!$AY$20),"",ReferenceData!$AY$20),"")</f>
        <v/>
      </c>
      <c r="AZ20" t="str">
        <f ca="1">IFERROR(IF(0=LEN(ReferenceData!$AZ$20),"",ReferenceData!$AZ$20),"")</f>
        <v/>
      </c>
      <c r="BA20" t="str">
        <f ca="1">IFERROR(IF(0=LEN(ReferenceData!$BA$20),"",ReferenceData!$BA$20),"")</f>
        <v/>
      </c>
      <c r="BB20" t="str">
        <f ca="1">IFERROR(IF(0=LEN(ReferenceData!$BB$20),"",ReferenceData!$BB$20),"")</f>
        <v/>
      </c>
      <c r="BC20" t="str">
        <f ca="1">IFERROR(IF(0=LEN(ReferenceData!$BC$20),"",ReferenceData!$BC$20),"")</f>
        <v/>
      </c>
      <c r="BD20" t="str">
        <f ca="1">IFERROR(IF(0=LEN(ReferenceData!$BD$20),"",ReferenceData!$BD$20),"")</f>
        <v/>
      </c>
      <c r="BE20" t="str">
        <f ca="1">IFERROR(IF(0=LEN(ReferenceData!$BE$20),"",ReferenceData!$BE$20),"")</f>
        <v/>
      </c>
      <c r="BF20" t="str">
        <f ca="1">IFERROR(IF(0=LEN(ReferenceData!$BF$20),"",ReferenceData!$BF$20),"")</f>
        <v/>
      </c>
      <c r="BG20" t="str">
        <f ca="1">IFERROR(IF(0=LEN(ReferenceData!$BG$20),"",ReferenceData!$BG$20),"")</f>
        <v/>
      </c>
      <c r="BH20" t="str">
        <f ca="1">IFERROR(IF(0=LEN(ReferenceData!$BH$20),"",ReferenceData!$BH$20),"")</f>
        <v/>
      </c>
      <c r="BI20" t="str">
        <f ca="1">IFERROR(IF(0=LEN(ReferenceData!$BI$20),"",ReferenceData!$BI$20),"")</f>
        <v/>
      </c>
      <c r="BJ20" t="str">
        <f ca="1">IFERROR(IF(0=LEN(ReferenceData!$BJ$20),"",ReferenceData!$BJ$20),"")</f>
        <v/>
      </c>
      <c r="BK20" t="str">
        <f ca="1">IFERROR(IF(0=LEN(ReferenceData!$BK$20),"",ReferenceData!$BK$20),"")</f>
        <v/>
      </c>
      <c r="BL20" t="str">
        <f ca="1">IFERROR(IF(0=LEN(ReferenceData!$BL$20),"",ReferenceData!$BL$20),"")</f>
        <v/>
      </c>
      <c r="BM20" t="str">
        <f ca="1">IFERROR(IF(0=LEN(ReferenceData!$BM$20),"",ReferenceData!$BM$20),"")</f>
        <v/>
      </c>
      <c r="BN20" t="str">
        <f ca="1">IFERROR(IF(0=LEN(ReferenceData!$BN$20),"",ReferenceData!$BN$20),"")</f>
        <v/>
      </c>
      <c r="BO20" t="str">
        <f ca="1">IFERROR(IF(0=LEN(ReferenceData!$BO$20),"",ReferenceData!$BO$20),"")</f>
        <v/>
      </c>
      <c r="BP20" t="str">
        <f ca="1">IFERROR(IF(0=LEN(ReferenceData!$BP$20),"",ReferenceData!$BP$20),"")</f>
        <v/>
      </c>
      <c r="BQ20" t="str">
        <f ca="1">IFERROR(IF(0=LEN(ReferenceData!$BQ$20),"",ReferenceData!$BQ$20),"")</f>
        <v/>
      </c>
      <c r="BR20" t="str">
        <f ca="1">IFERROR(IF(0=LEN(ReferenceData!$BR$20),"",ReferenceData!$BR$20),"")</f>
        <v/>
      </c>
      <c r="BS20" t="str">
        <f ca="1">IFERROR(IF(0=LEN(ReferenceData!$BS$20),"",ReferenceData!$BS$20),"")</f>
        <v/>
      </c>
      <c r="BT20" t="str">
        <f ca="1">IFERROR(IF(0=LEN(ReferenceData!$BT$20),"",ReferenceData!$BT$20),"")</f>
        <v/>
      </c>
      <c r="BU20" t="str">
        <f ca="1">IFERROR(IF(0=LEN(ReferenceData!$BU$20),"",ReferenceData!$BU$20),"")</f>
        <v/>
      </c>
      <c r="BV20" t="str">
        <f ca="1">IFERROR(IF(0=LEN(ReferenceData!$BV$20),"",ReferenceData!$BV$20),"")</f>
        <v/>
      </c>
      <c r="BW20" t="str">
        <f ca="1">IFERROR(IF(0=LEN(ReferenceData!$BW$20),"",ReferenceData!$BW$20),"")</f>
        <v/>
      </c>
      <c r="BX20" t="str">
        <f ca="1">IFERROR(IF(0=LEN(ReferenceData!$BX$20),"",ReferenceData!$BX$20),"")</f>
        <v/>
      </c>
      <c r="BY20" t="str">
        <f ca="1">IFERROR(IF(0=LEN(ReferenceData!$BY$20),"",ReferenceData!$BY$20),"")</f>
        <v/>
      </c>
      <c r="BZ20" t="str">
        <f ca="1">IFERROR(IF(0=LEN(ReferenceData!$BZ$20),"",ReferenceData!$BZ$20),"")</f>
        <v/>
      </c>
      <c r="CA20" t="str">
        <f ca="1">IFERROR(IF(0=LEN(ReferenceData!$CA$20),"",ReferenceData!$CA$20),"")</f>
        <v/>
      </c>
      <c r="CB20" t="str">
        <f ca="1">IFERROR(IF(0=LEN(ReferenceData!$CB$20),"",ReferenceData!$CB$20),"")</f>
        <v/>
      </c>
      <c r="CC20" t="str">
        <f ca="1">IFERROR(IF(0=LEN(ReferenceData!$CC$20),"",ReferenceData!$CC$20),"")</f>
        <v/>
      </c>
      <c r="CD20" t="str">
        <f ca="1">IFERROR(IF(0=LEN(ReferenceData!$CD$20),"",ReferenceData!$CD$20),"")</f>
        <v/>
      </c>
      <c r="CE20" t="str">
        <f ca="1">IFERROR(IF(0=LEN(ReferenceData!$CE$20),"",ReferenceData!$CE$20),"")</f>
        <v/>
      </c>
      <c r="CF20" t="str">
        <f ca="1">IFERROR(IF(0=LEN(ReferenceData!$CF$20),"",ReferenceData!$CF$20),"")</f>
        <v/>
      </c>
      <c r="CG20" t="str">
        <f ca="1">IFERROR(IF(0=LEN(ReferenceData!$CG$20),"",ReferenceData!$CG$20),"")</f>
        <v/>
      </c>
      <c r="CH20" t="str">
        <f ca="1">IFERROR(IF(0=LEN(ReferenceData!$CH$20),"",ReferenceData!$CH$20),"")</f>
        <v/>
      </c>
      <c r="CI20" t="str">
        <f ca="1">IFERROR(IF(0=LEN(ReferenceData!$CI$20),"",ReferenceData!$CI$20),"")</f>
        <v/>
      </c>
      <c r="CJ20" t="str">
        <f ca="1">IFERROR(IF(0=LEN(ReferenceData!$CJ$20),"",ReferenceData!$CJ$20),"")</f>
        <v/>
      </c>
      <c r="CK20" t="str">
        <f ca="1">IFERROR(IF(0=LEN(ReferenceData!$CK$20),"",ReferenceData!$CK$20),"")</f>
        <v/>
      </c>
    </row>
    <row r="21" spans="1:89">
      <c r="A21" t="str">
        <f>IFERROR(IF(0=LEN(ReferenceData!$A$21),"",ReferenceData!$A$21),"")</f>
        <v xml:space="preserve">    AvalonBay社区股份有限公司</v>
      </c>
      <c r="B21" t="str">
        <f>IFERROR(IF(0=LEN(ReferenceData!$B$21),"",ReferenceData!$B$21),"")</f>
        <v>AVB US Equity</v>
      </c>
      <c r="C21" t="str">
        <f>IFERROR(IF(0=LEN(ReferenceData!$C$21),"",ReferenceData!$C$21),"")</f>
        <v>BE249</v>
      </c>
      <c r="D21" t="str">
        <f>IFERROR(IF(0=LEN(ReferenceData!$D$21),"",ReferenceData!$D$21),"")</f>
        <v>BEST_PRICE_FFO_RATIO</v>
      </c>
      <c r="E21" t="str">
        <f>IFERROR(IF(0=LEN(ReferenceData!$E$21),"",ReferenceData!$E$21),"")</f>
        <v>动态</v>
      </c>
      <c r="F21">
        <f ca="1">IFERROR(IF(0=LEN(ReferenceData!$F$21),"",ReferenceData!$F$21),"")</f>
        <v>18.827505049999999</v>
      </c>
      <c r="G21">
        <f ca="1">IFERROR(IF(0=LEN(ReferenceData!$G$21),"",ReferenceData!$G$21),"")</f>
        <v>18.184149179999999</v>
      </c>
      <c r="H21">
        <f ca="1">IFERROR(IF(0=LEN(ReferenceData!$H$21),"",ReferenceData!$H$21),"")</f>
        <v>19.86013986</v>
      </c>
      <c r="I21">
        <f ca="1">IFERROR(IF(0=LEN(ReferenceData!$I$21),"",ReferenceData!$I$21),"")</f>
        <v>20.77433628</v>
      </c>
      <c r="J21">
        <f ca="1">IFERROR(IF(0=LEN(ReferenceData!$J$21),"",ReferenceData!$J$21),"")</f>
        <v>21.200748279999999</v>
      </c>
      <c r="K21">
        <f ca="1">IFERROR(IF(0=LEN(ReferenceData!$K$21),"",ReferenceData!$K$21),"")</f>
        <v>21.220596839999999</v>
      </c>
      <c r="L21">
        <f ca="1">IFERROR(IF(0=LEN(ReferenceData!$L$21),"",ReferenceData!$L$21),"")</f>
        <v>20.862956029999999</v>
      </c>
      <c r="M21">
        <f ca="1">IFERROR(IF(0=LEN(ReferenceData!$M$21),"",ReferenceData!$M$21),"")</f>
        <v>21.915713289999999</v>
      </c>
      <c r="N21">
        <f ca="1">IFERROR(IF(0=LEN(ReferenceData!$N$21),"",ReferenceData!$N$21),"")</f>
        <v>22.30144928</v>
      </c>
      <c r="O21">
        <f ca="1">IFERROR(IF(0=LEN(ReferenceData!$O$21),"",ReferenceData!$O$21),"")</f>
        <v>22.247047930000001</v>
      </c>
      <c r="P21">
        <f ca="1">IFERROR(IF(0=LEN(ReferenceData!$P$21),"",ReferenceData!$P$21),"")</f>
        <v>22.047498269999998</v>
      </c>
      <c r="Q21">
        <f ca="1">IFERROR(IF(0=LEN(ReferenceData!$Q$21),"",ReferenceData!$Q$21),"")</f>
        <v>21.860893600000001</v>
      </c>
      <c r="R21">
        <f ca="1">IFERROR(IF(0=LEN(ReferenceData!$R$21),"",ReferenceData!$R$21),"")</f>
        <v>21.130164579999999</v>
      </c>
      <c r="S21">
        <f ca="1">IFERROR(IF(0=LEN(ReferenceData!$S$21),"",ReferenceData!$S$21),"")</f>
        <v>21.17037208</v>
      </c>
      <c r="T21">
        <f ca="1">IFERROR(IF(0=LEN(ReferenceData!$T$21),"",ReferenceData!$T$21),"")</f>
        <v>19.84314174</v>
      </c>
      <c r="U21">
        <f ca="1">IFERROR(IF(0=LEN(ReferenceData!$U$21),"",ReferenceData!$U$21),"")</f>
        <v>20.2967461</v>
      </c>
      <c r="V21">
        <f ca="1">IFERROR(IF(0=LEN(ReferenceData!$V$21),"",ReferenceData!$V$21),"")</f>
        <v>18.811756630000001</v>
      </c>
      <c r="W21">
        <f ca="1">IFERROR(IF(0=LEN(ReferenceData!$W$21),"",ReferenceData!$W$21),"")</f>
        <v>19.48992372</v>
      </c>
      <c r="X21">
        <f ca="1">IFERROR(IF(0=LEN(ReferenceData!$X$21),"",ReferenceData!$X$21),"")</f>
        <v>20.081300809999998</v>
      </c>
      <c r="Y21">
        <f ca="1">IFERROR(IF(0=LEN(ReferenceData!$Y$21),"",ReferenceData!$Y$21),"")</f>
        <v>19.768440080000001</v>
      </c>
      <c r="Z21">
        <f ca="1">IFERROR(IF(0=LEN(ReferenceData!$Z$21),"",ReferenceData!$Z$21),"")</f>
        <v>20.81044726</v>
      </c>
      <c r="AA21">
        <f ca="1">IFERROR(IF(0=LEN(ReferenceData!$AA$21),"",ReferenceData!$AA$21),"")</f>
        <v>20.173339299999999</v>
      </c>
      <c r="AB21">
        <f ca="1">IFERROR(IF(0=LEN(ReferenceData!$AB$21),"",ReferenceData!$AB$21),"")</f>
        <v>20.11630508</v>
      </c>
      <c r="AC21">
        <f ca="1">IFERROR(IF(0=LEN(ReferenceData!$AC$21),"",ReferenceData!$AC$21),"")</f>
        <v>19.799529620000001</v>
      </c>
      <c r="AD21">
        <f ca="1">IFERROR(IF(0=LEN(ReferenceData!$AD$21),"",ReferenceData!$AD$21),"")</f>
        <v>21.196924110000001</v>
      </c>
      <c r="AE21">
        <f ca="1">IFERROR(IF(0=LEN(ReferenceData!$AE$21),"",ReferenceData!$AE$21),"")</f>
        <v>19.113585749999999</v>
      </c>
      <c r="AF21">
        <f ca="1">IFERROR(IF(0=LEN(ReferenceData!$AF$21),"",ReferenceData!$AF$21),"")</f>
        <v>19.163034979999999</v>
      </c>
      <c r="AG21">
        <f ca="1">IFERROR(IF(0=LEN(ReferenceData!$AG$21),"",ReferenceData!$AG$21),"")</f>
        <v>20.541053099999999</v>
      </c>
      <c r="AH21">
        <f ca="1">IFERROR(IF(0=LEN(ReferenceData!$AH$21),"",ReferenceData!$AH$21),"")</f>
        <v>20.361783150000001</v>
      </c>
      <c r="AI21">
        <f ca="1">IFERROR(IF(0=LEN(ReferenceData!$AI$21),"",ReferenceData!$AI$21),"")</f>
        <v>19.674769300000001</v>
      </c>
      <c r="AJ21">
        <f ca="1">IFERROR(IF(0=LEN(ReferenceData!$AJ$21),"",ReferenceData!$AJ$21),"")</f>
        <v>19.811876699999999</v>
      </c>
      <c r="AK21">
        <f ca="1">IFERROR(IF(0=LEN(ReferenceData!$AK$21),"",ReferenceData!$AK$21),"")</f>
        <v>18.70580236</v>
      </c>
      <c r="AL21">
        <f ca="1">IFERROR(IF(0=LEN(ReferenceData!$AL$21),"",ReferenceData!$AL$21),"")</f>
        <v>19.857126399999999</v>
      </c>
      <c r="AM21">
        <f ca="1">IFERROR(IF(0=LEN(ReferenceData!$AM$21),"",ReferenceData!$AM$21),"")</f>
        <v>18.578733289999999</v>
      </c>
      <c r="AN21">
        <f ca="1">IFERROR(IF(0=LEN(ReferenceData!$AN$21),"",ReferenceData!$AN$21),"")</f>
        <v>19.396551720000001</v>
      </c>
      <c r="AO21">
        <f ca="1">IFERROR(IF(0=LEN(ReferenceData!$AO$21),"",ReferenceData!$AO$21),"")</f>
        <v>19.198598130000001</v>
      </c>
      <c r="AP21">
        <f ca="1">IFERROR(IF(0=LEN(ReferenceData!$AP$21),"",ReferenceData!$AP$21),"")</f>
        <v>20.524146049999999</v>
      </c>
      <c r="AQ21">
        <f ca="1">IFERROR(IF(0=LEN(ReferenceData!$AQ$21),"",ReferenceData!$AQ$21),"")</f>
        <v>19.604052639999999</v>
      </c>
      <c r="AR21">
        <f ca="1">IFERROR(IF(0=LEN(ReferenceData!$AR$21),"",ReferenceData!$AR$21),"")</f>
        <v>20.54513064</v>
      </c>
      <c r="AS21" t="str">
        <f ca="1">IFERROR(IF(0=LEN(ReferenceData!$AS$21),"",ReferenceData!$AS$21),"")</f>
        <v/>
      </c>
      <c r="AT21" t="str">
        <f ca="1">IFERROR(IF(0=LEN(ReferenceData!$AT$21),"",ReferenceData!$AT$21),"")</f>
        <v/>
      </c>
      <c r="AU21" t="str">
        <f ca="1">IFERROR(IF(0=LEN(ReferenceData!$AU$21),"",ReferenceData!$AU$21),"")</f>
        <v/>
      </c>
      <c r="AV21" t="str">
        <f ca="1">IFERROR(IF(0=LEN(ReferenceData!$AV$21),"",ReferenceData!$AV$21),"")</f>
        <v/>
      </c>
      <c r="AW21" t="str">
        <f ca="1">IFERROR(IF(0=LEN(ReferenceData!$AW$21),"",ReferenceData!$AW$21),"")</f>
        <v/>
      </c>
      <c r="AX21" t="str">
        <f ca="1">IFERROR(IF(0=LEN(ReferenceData!$AX$21),"",ReferenceData!$AX$21),"")</f>
        <v/>
      </c>
      <c r="AY21" t="str">
        <f ca="1">IFERROR(IF(0=LEN(ReferenceData!$AY$21),"",ReferenceData!$AY$21),"")</f>
        <v/>
      </c>
      <c r="AZ21" t="str">
        <f ca="1">IFERROR(IF(0=LEN(ReferenceData!$AZ$21),"",ReferenceData!$AZ$21),"")</f>
        <v/>
      </c>
      <c r="BA21" t="str">
        <f ca="1">IFERROR(IF(0=LEN(ReferenceData!$BA$21),"",ReferenceData!$BA$21),"")</f>
        <v/>
      </c>
      <c r="BB21" t="str">
        <f ca="1">IFERROR(IF(0=LEN(ReferenceData!$BB$21),"",ReferenceData!$BB$21),"")</f>
        <v/>
      </c>
      <c r="BC21" t="str">
        <f ca="1">IFERROR(IF(0=LEN(ReferenceData!$BC$21),"",ReferenceData!$BC$21),"")</f>
        <v/>
      </c>
      <c r="BD21" t="str">
        <f ca="1">IFERROR(IF(0=LEN(ReferenceData!$BD$21),"",ReferenceData!$BD$21),"")</f>
        <v/>
      </c>
      <c r="BE21" t="str">
        <f ca="1">IFERROR(IF(0=LEN(ReferenceData!$BE$21),"",ReferenceData!$BE$21),"")</f>
        <v/>
      </c>
      <c r="BF21" t="str">
        <f ca="1">IFERROR(IF(0=LEN(ReferenceData!$BF$21),"",ReferenceData!$BF$21),"")</f>
        <v/>
      </c>
      <c r="BG21" t="str">
        <f ca="1">IFERROR(IF(0=LEN(ReferenceData!$BG$21),"",ReferenceData!$BG$21),"")</f>
        <v/>
      </c>
      <c r="BH21" t="str">
        <f ca="1">IFERROR(IF(0=LEN(ReferenceData!$BH$21),"",ReferenceData!$BH$21),"")</f>
        <v/>
      </c>
      <c r="BI21" t="str">
        <f ca="1">IFERROR(IF(0=LEN(ReferenceData!$BI$21),"",ReferenceData!$BI$21),"")</f>
        <v/>
      </c>
      <c r="BJ21" t="str">
        <f ca="1">IFERROR(IF(0=LEN(ReferenceData!$BJ$21),"",ReferenceData!$BJ$21),"")</f>
        <v/>
      </c>
      <c r="BK21" t="str">
        <f ca="1">IFERROR(IF(0=LEN(ReferenceData!$BK$21),"",ReferenceData!$BK$21),"")</f>
        <v/>
      </c>
      <c r="BL21" t="str">
        <f ca="1">IFERROR(IF(0=LEN(ReferenceData!$BL$21),"",ReferenceData!$BL$21),"")</f>
        <v/>
      </c>
      <c r="BM21" t="str">
        <f ca="1">IFERROR(IF(0=LEN(ReferenceData!$BM$21),"",ReferenceData!$BM$21),"")</f>
        <v/>
      </c>
      <c r="BN21" t="str">
        <f ca="1">IFERROR(IF(0=LEN(ReferenceData!$BN$21),"",ReferenceData!$BN$21),"")</f>
        <v/>
      </c>
      <c r="BO21" t="str">
        <f ca="1">IFERROR(IF(0=LEN(ReferenceData!$BO$21),"",ReferenceData!$BO$21),"")</f>
        <v/>
      </c>
      <c r="BP21" t="str">
        <f ca="1">IFERROR(IF(0=LEN(ReferenceData!$BP$21),"",ReferenceData!$BP$21),"")</f>
        <v/>
      </c>
      <c r="BQ21" t="str">
        <f ca="1">IFERROR(IF(0=LEN(ReferenceData!$BQ$21),"",ReferenceData!$BQ$21),"")</f>
        <v/>
      </c>
      <c r="BR21" t="str">
        <f ca="1">IFERROR(IF(0=LEN(ReferenceData!$BR$21),"",ReferenceData!$BR$21),"")</f>
        <v/>
      </c>
      <c r="BS21" t="str">
        <f ca="1">IFERROR(IF(0=LEN(ReferenceData!$BS$21),"",ReferenceData!$BS$21),"")</f>
        <v/>
      </c>
      <c r="BT21" t="str">
        <f ca="1">IFERROR(IF(0=LEN(ReferenceData!$BT$21),"",ReferenceData!$BT$21),"")</f>
        <v/>
      </c>
      <c r="BU21" t="str">
        <f ca="1">IFERROR(IF(0=LEN(ReferenceData!$BU$21),"",ReferenceData!$BU$21),"")</f>
        <v/>
      </c>
      <c r="BV21" t="str">
        <f ca="1">IFERROR(IF(0=LEN(ReferenceData!$BV$21),"",ReferenceData!$BV$21),"")</f>
        <v/>
      </c>
      <c r="BW21" t="str">
        <f ca="1">IFERROR(IF(0=LEN(ReferenceData!$BW$21),"",ReferenceData!$BW$21),"")</f>
        <v/>
      </c>
      <c r="BX21" t="str">
        <f ca="1">IFERROR(IF(0=LEN(ReferenceData!$BX$21),"",ReferenceData!$BX$21),"")</f>
        <v/>
      </c>
      <c r="BY21" t="str">
        <f ca="1">IFERROR(IF(0=LEN(ReferenceData!$BY$21),"",ReferenceData!$BY$21),"")</f>
        <v/>
      </c>
      <c r="BZ21" t="str">
        <f ca="1">IFERROR(IF(0=LEN(ReferenceData!$BZ$21),"",ReferenceData!$BZ$21),"")</f>
        <v/>
      </c>
      <c r="CA21" t="str">
        <f ca="1">IFERROR(IF(0=LEN(ReferenceData!$CA$21),"",ReferenceData!$CA$21),"")</f>
        <v/>
      </c>
      <c r="CB21" t="str">
        <f ca="1">IFERROR(IF(0=LEN(ReferenceData!$CB$21),"",ReferenceData!$CB$21),"")</f>
        <v/>
      </c>
      <c r="CC21" t="str">
        <f ca="1">IFERROR(IF(0=LEN(ReferenceData!$CC$21),"",ReferenceData!$CC$21),"")</f>
        <v/>
      </c>
      <c r="CD21" t="str">
        <f ca="1">IFERROR(IF(0=LEN(ReferenceData!$CD$21),"",ReferenceData!$CD$21),"")</f>
        <v/>
      </c>
      <c r="CE21" t="str">
        <f ca="1">IFERROR(IF(0=LEN(ReferenceData!$CE$21),"",ReferenceData!$CE$21),"")</f>
        <v/>
      </c>
      <c r="CF21" t="str">
        <f ca="1">IFERROR(IF(0=LEN(ReferenceData!$CF$21),"",ReferenceData!$CF$21),"")</f>
        <v/>
      </c>
      <c r="CG21" t="str">
        <f ca="1">IFERROR(IF(0=LEN(ReferenceData!$CG$21),"",ReferenceData!$CG$21),"")</f>
        <v/>
      </c>
      <c r="CH21" t="str">
        <f ca="1">IFERROR(IF(0=LEN(ReferenceData!$CH$21),"",ReferenceData!$CH$21),"")</f>
        <v/>
      </c>
      <c r="CI21" t="str">
        <f ca="1">IFERROR(IF(0=LEN(ReferenceData!$CI$21),"",ReferenceData!$CI$21),"")</f>
        <v/>
      </c>
      <c r="CJ21" t="str">
        <f ca="1">IFERROR(IF(0=LEN(ReferenceData!$CJ$21),"",ReferenceData!$CJ$21),"")</f>
        <v/>
      </c>
      <c r="CK21" t="str">
        <f ca="1">IFERROR(IF(0=LEN(ReferenceData!$CK$21),"",ReferenceData!$CK$21),"")</f>
        <v/>
      </c>
    </row>
    <row r="22" spans="1:89">
      <c r="A22" t="str">
        <f>IFERROR(IF(0=LEN(ReferenceData!$A$22),"",ReferenceData!$A$22),"")</f>
        <v xml:space="preserve">    Camden 房地产信托公司</v>
      </c>
      <c r="B22" t="str">
        <f>IFERROR(IF(0=LEN(ReferenceData!$B$22),"",ReferenceData!$B$22),"")</f>
        <v>CPT US Equity</v>
      </c>
      <c r="C22" t="str">
        <f>IFERROR(IF(0=LEN(ReferenceData!$C$22),"",ReferenceData!$C$22),"")</f>
        <v>BE249</v>
      </c>
      <c r="D22" t="str">
        <f>IFERROR(IF(0=LEN(ReferenceData!$D$22),"",ReferenceData!$D$22),"")</f>
        <v>BEST_PRICE_FFO_RATIO</v>
      </c>
      <c r="E22" t="str">
        <f>IFERROR(IF(0=LEN(ReferenceData!$E$22),"",ReferenceData!$E$22),"")</f>
        <v>动态</v>
      </c>
      <c r="F22">
        <f ca="1">IFERROR(IF(0=LEN(ReferenceData!$F$22),"",ReferenceData!$F$22),"")</f>
        <v>18.344736869999998</v>
      </c>
      <c r="G22">
        <f ca="1">IFERROR(IF(0=LEN(ReferenceData!$G$22),"",ReferenceData!$G$22),"")</f>
        <v>17.592143010000001</v>
      </c>
      <c r="H22">
        <f ca="1">IFERROR(IF(0=LEN(ReferenceData!$H$22),"",ReferenceData!$H$22),"")</f>
        <v>19.108167770000001</v>
      </c>
      <c r="I22">
        <f ca="1">IFERROR(IF(0=LEN(ReferenceData!$I$22),"",ReferenceData!$I$22),"")</f>
        <v>20.317810640000001</v>
      </c>
      <c r="J22">
        <f ca="1">IFERROR(IF(0=LEN(ReferenceData!$J$22),"",ReferenceData!$J$22),"")</f>
        <v>20.123456789999999</v>
      </c>
      <c r="K22">
        <f ca="1">IFERROR(IF(0=LEN(ReferenceData!$K$22),"",ReferenceData!$K$22),"")</f>
        <v>20.12351125</v>
      </c>
      <c r="L22">
        <f ca="1">IFERROR(IF(0=LEN(ReferenceData!$L$22),"",ReferenceData!$L$22),"")</f>
        <v>20.05482456</v>
      </c>
      <c r="M22">
        <f ca="1">IFERROR(IF(0=LEN(ReferenceData!$M$22),"",ReferenceData!$M$22),"")</f>
        <v>19.469103570000001</v>
      </c>
      <c r="N22">
        <f ca="1">IFERROR(IF(0=LEN(ReferenceData!$N$22),"",ReferenceData!$N$22),"")</f>
        <v>19.546742210000001</v>
      </c>
      <c r="O22">
        <f ca="1">IFERROR(IF(0=LEN(ReferenceData!$O$22),"",ReferenceData!$O$22),"")</f>
        <v>18.68662587</v>
      </c>
      <c r="P22">
        <f ca="1">IFERROR(IF(0=LEN(ReferenceData!$P$22),"",ReferenceData!$P$22),"")</f>
        <v>18.217800130000001</v>
      </c>
      <c r="Q22">
        <f ca="1">IFERROR(IF(0=LEN(ReferenceData!$Q$22),"",ReferenceData!$Q$22),"")</f>
        <v>18.03900088</v>
      </c>
      <c r="R22">
        <f ca="1">IFERROR(IF(0=LEN(ReferenceData!$R$22),"",ReferenceData!$R$22),"")</f>
        <v>17.633136090000001</v>
      </c>
      <c r="S22">
        <f ca="1">IFERROR(IF(0=LEN(ReferenceData!$S$22),"",ReferenceData!$S$22),"")</f>
        <v>18.539202800000002</v>
      </c>
      <c r="T22">
        <f ca="1">IFERROR(IF(0=LEN(ReferenceData!$T$22),"",ReferenceData!$T$22),"")</f>
        <v>18.19507947</v>
      </c>
      <c r="U22">
        <f ca="1">IFERROR(IF(0=LEN(ReferenceData!$U$22),"",ReferenceData!$U$22),"")</f>
        <v>18.288013920000001</v>
      </c>
      <c r="V22">
        <f ca="1">IFERROR(IF(0=LEN(ReferenceData!$V$22),"",ReferenceData!$V$22),"")</f>
        <v>17.159363419999998</v>
      </c>
      <c r="W22">
        <f ca="1">IFERROR(IF(0=LEN(ReferenceData!$W$22),"",ReferenceData!$W$22),"")</f>
        <v>17.89496814</v>
      </c>
      <c r="X22">
        <f ca="1">IFERROR(IF(0=LEN(ReferenceData!$X$22),"",ReferenceData!$X$22),"")</f>
        <v>18.384193190000001</v>
      </c>
      <c r="Y22">
        <f ca="1">IFERROR(IF(0=LEN(ReferenceData!$Y$22),"",ReferenceData!$Y$22),"")</f>
        <v>19.24780702</v>
      </c>
      <c r="Z22">
        <f ca="1">IFERROR(IF(0=LEN(ReferenceData!$Z$22),"",ReferenceData!$Z$22),"")</f>
        <v>19.599649970000002</v>
      </c>
      <c r="AA22">
        <f ca="1">IFERROR(IF(0=LEN(ReferenceData!$AA$22),"",ReferenceData!$AA$22),"")</f>
        <v>19.242655060000001</v>
      </c>
      <c r="AB22">
        <f ca="1">IFERROR(IF(0=LEN(ReferenceData!$AB$22),"",ReferenceData!$AB$22),"")</f>
        <v>18.503800219999999</v>
      </c>
      <c r="AC22">
        <f ca="1">IFERROR(IF(0=LEN(ReferenceData!$AC$22),"",ReferenceData!$AC$22),"")</f>
        <v>15.98930481</v>
      </c>
      <c r="AD22">
        <f ca="1">IFERROR(IF(0=LEN(ReferenceData!$AD$22),"",ReferenceData!$AD$22),"")</f>
        <v>16.559669159999999</v>
      </c>
      <c r="AE22">
        <f ca="1">IFERROR(IF(0=LEN(ReferenceData!$AE$22),"",ReferenceData!$AE$22),"")</f>
        <v>14.69235306</v>
      </c>
      <c r="AF22">
        <f ca="1">IFERROR(IF(0=LEN(ReferenceData!$AF$22),"",ReferenceData!$AF$22),"")</f>
        <v>14.94613124</v>
      </c>
      <c r="AG22">
        <f ca="1">IFERROR(IF(0=LEN(ReferenceData!$AG$22),"",ReferenceData!$AG$22),"")</f>
        <v>14.93966524</v>
      </c>
      <c r="AH22">
        <f ca="1">IFERROR(IF(0=LEN(ReferenceData!$AH$22),"",ReferenceData!$AH$22),"")</f>
        <v>14.7908598</v>
      </c>
      <c r="AI22">
        <f ca="1">IFERROR(IF(0=LEN(ReferenceData!$AI$22),"",ReferenceData!$AI$22),"")</f>
        <v>14.31148177</v>
      </c>
      <c r="AJ22">
        <f ca="1">IFERROR(IF(0=LEN(ReferenceData!$AJ$22),"",ReferenceData!$AJ$22),"")</f>
        <v>14.349514559999999</v>
      </c>
      <c r="AK22">
        <f ca="1">IFERROR(IF(0=LEN(ReferenceData!$AK$22),"",ReferenceData!$AK$22),"")</f>
        <v>13.98640777</v>
      </c>
      <c r="AL22">
        <f ca="1">IFERROR(IF(0=LEN(ReferenceData!$AL$22),"",ReferenceData!$AL$22),"")</f>
        <v>15.699921140000001</v>
      </c>
      <c r="AM22">
        <f ca="1">IFERROR(IF(0=LEN(ReferenceData!$AM$22),"",ReferenceData!$AM$22),"")</f>
        <v>14.691455700000001</v>
      </c>
      <c r="AN22">
        <f ca="1">IFERROR(IF(0=LEN(ReferenceData!$AN$22),"",ReferenceData!$AN$22),"")</f>
        <v>14.82990506</v>
      </c>
      <c r="AO22">
        <f ca="1">IFERROR(IF(0=LEN(ReferenceData!$AO$22),"",ReferenceData!$AO$22),"")</f>
        <v>14.96810207</v>
      </c>
      <c r="AP22">
        <f ca="1">IFERROR(IF(0=LEN(ReferenceData!$AP$22),"",ReferenceData!$AP$22),"")</f>
        <v>15.538981700000001</v>
      </c>
      <c r="AQ22">
        <f ca="1">IFERROR(IF(0=LEN(ReferenceData!$AQ$22),"",ReferenceData!$AQ$22),"")</f>
        <v>14.476929200000001</v>
      </c>
      <c r="AR22">
        <f ca="1">IFERROR(IF(0=LEN(ReferenceData!$AR$22),"",ReferenceData!$AR$22),"")</f>
        <v>14.97570457</v>
      </c>
      <c r="AS22" t="str">
        <f ca="1">IFERROR(IF(0=LEN(ReferenceData!$AS$22),"",ReferenceData!$AS$22),"")</f>
        <v/>
      </c>
      <c r="AT22" t="str">
        <f ca="1">IFERROR(IF(0=LEN(ReferenceData!$AT$22),"",ReferenceData!$AT$22),"")</f>
        <v/>
      </c>
      <c r="AU22" t="str">
        <f ca="1">IFERROR(IF(0=LEN(ReferenceData!$AU$22),"",ReferenceData!$AU$22),"")</f>
        <v/>
      </c>
      <c r="AV22" t="str">
        <f ca="1">IFERROR(IF(0=LEN(ReferenceData!$AV$22),"",ReferenceData!$AV$22),"")</f>
        <v/>
      </c>
      <c r="AW22" t="str">
        <f ca="1">IFERROR(IF(0=LEN(ReferenceData!$AW$22),"",ReferenceData!$AW$22),"")</f>
        <v/>
      </c>
      <c r="AX22" t="str">
        <f ca="1">IFERROR(IF(0=LEN(ReferenceData!$AX$22),"",ReferenceData!$AX$22),"")</f>
        <v/>
      </c>
      <c r="AY22" t="str">
        <f ca="1">IFERROR(IF(0=LEN(ReferenceData!$AY$22),"",ReferenceData!$AY$22),"")</f>
        <v/>
      </c>
      <c r="AZ22" t="str">
        <f ca="1">IFERROR(IF(0=LEN(ReferenceData!$AZ$22),"",ReferenceData!$AZ$22),"")</f>
        <v/>
      </c>
      <c r="BA22" t="str">
        <f ca="1">IFERROR(IF(0=LEN(ReferenceData!$BA$22),"",ReferenceData!$BA$22),"")</f>
        <v/>
      </c>
      <c r="BB22" t="str">
        <f ca="1">IFERROR(IF(0=LEN(ReferenceData!$BB$22),"",ReferenceData!$BB$22),"")</f>
        <v/>
      </c>
      <c r="BC22" t="str">
        <f ca="1">IFERROR(IF(0=LEN(ReferenceData!$BC$22),"",ReferenceData!$BC$22),"")</f>
        <v/>
      </c>
      <c r="BD22" t="str">
        <f ca="1">IFERROR(IF(0=LEN(ReferenceData!$BD$22),"",ReferenceData!$BD$22),"")</f>
        <v/>
      </c>
      <c r="BE22" t="str">
        <f ca="1">IFERROR(IF(0=LEN(ReferenceData!$BE$22),"",ReferenceData!$BE$22),"")</f>
        <v/>
      </c>
      <c r="BF22" t="str">
        <f ca="1">IFERROR(IF(0=LEN(ReferenceData!$BF$22),"",ReferenceData!$BF$22),"")</f>
        <v/>
      </c>
      <c r="BG22" t="str">
        <f ca="1">IFERROR(IF(0=LEN(ReferenceData!$BG$22),"",ReferenceData!$BG$22),"")</f>
        <v/>
      </c>
      <c r="BH22" t="str">
        <f ca="1">IFERROR(IF(0=LEN(ReferenceData!$BH$22),"",ReferenceData!$BH$22),"")</f>
        <v/>
      </c>
      <c r="BI22" t="str">
        <f ca="1">IFERROR(IF(0=LEN(ReferenceData!$BI$22),"",ReferenceData!$BI$22),"")</f>
        <v/>
      </c>
      <c r="BJ22" t="str">
        <f ca="1">IFERROR(IF(0=LEN(ReferenceData!$BJ$22),"",ReferenceData!$BJ$22),"")</f>
        <v/>
      </c>
      <c r="BK22" t="str">
        <f ca="1">IFERROR(IF(0=LEN(ReferenceData!$BK$22),"",ReferenceData!$BK$22),"")</f>
        <v/>
      </c>
      <c r="BL22" t="str">
        <f ca="1">IFERROR(IF(0=LEN(ReferenceData!$BL$22),"",ReferenceData!$BL$22),"")</f>
        <v/>
      </c>
      <c r="BM22" t="str">
        <f ca="1">IFERROR(IF(0=LEN(ReferenceData!$BM$22),"",ReferenceData!$BM$22),"")</f>
        <v/>
      </c>
      <c r="BN22" t="str">
        <f ca="1">IFERROR(IF(0=LEN(ReferenceData!$BN$22),"",ReferenceData!$BN$22),"")</f>
        <v/>
      </c>
      <c r="BO22" t="str">
        <f ca="1">IFERROR(IF(0=LEN(ReferenceData!$BO$22),"",ReferenceData!$BO$22),"")</f>
        <v/>
      </c>
      <c r="BP22" t="str">
        <f ca="1">IFERROR(IF(0=LEN(ReferenceData!$BP$22),"",ReferenceData!$BP$22),"")</f>
        <v/>
      </c>
      <c r="BQ22" t="str">
        <f ca="1">IFERROR(IF(0=LEN(ReferenceData!$BQ$22),"",ReferenceData!$BQ$22),"")</f>
        <v/>
      </c>
      <c r="BR22" t="str">
        <f ca="1">IFERROR(IF(0=LEN(ReferenceData!$BR$22),"",ReferenceData!$BR$22),"")</f>
        <v/>
      </c>
      <c r="BS22" t="str">
        <f ca="1">IFERROR(IF(0=LEN(ReferenceData!$BS$22),"",ReferenceData!$BS$22),"")</f>
        <v/>
      </c>
      <c r="BT22" t="str">
        <f ca="1">IFERROR(IF(0=LEN(ReferenceData!$BT$22),"",ReferenceData!$BT$22),"")</f>
        <v/>
      </c>
      <c r="BU22" t="str">
        <f ca="1">IFERROR(IF(0=LEN(ReferenceData!$BU$22),"",ReferenceData!$BU$22),"")</f>
        <v/>
      </c>
      <c r="BV22" t="str">
        <f ca="1">IFERROR(IF(0=LEN(ReferenceData!$BV$22),"",ReferenceData!$BV$22),"")</f>
        <v/>
      </c>
      <c r="BW22" t="str">
        <f ca="1">IFERROR(IF(0=LEN(ReferenceData!$BW$22),"",ReferenceData!$BW$22),"")</f>
        <v/>
      </c>
      <c r="BX22" t="str">
        <f ca="1">IFERROR(IF(0=LEN(ReferenceData!$BX$22),"",ReferenceData!$BX$22),"")</f>
        <v/>
      </c>
      <c r="BY22" t="str">
        <f ca="1">IFERROR(IF(0=LEN(ReferenceData!$BY$22),"",ReferenceData!$BY$22),"")</f>
        <v/>
      </c>
      <c r="BZ22" t="str">
        <f ca="1">IFERROR(IF(0=LEN(ReferenceData!$BZ$22),"",ReferenceData!$BZ$22),"")</f>
        <v/>
      </c>
      <c r="CA22" t="str">
        <f ca="1">IFERROR(IF(0=LEN(ReferenceData!$CA$22),"",ReferenceData!$CA$22),"")</f>
        <v/>
      </c>
      <c r="CB22" t="str">
        <f ca="1">IFERROR(IF(0=LEN(ReferenceData!$CB$22),"",ReferenceData!$CB$22),"")</f>
        <v/>
      </c>
      <c r="CC22" t="str">
        <f ca="1">IFERROR(IF(0=LEN(ReferenceData!$CC$22),"",ReferenceData!$CC$22),"")</f>
        <v/>
      </c>
      <c r="CD22" t="str">
        <f ca="1">IFERROR(IF(0=LEN(ReferenceData!$CD$22),"",ReferenceData!$CD$22),"")</f>
        <v/>
      </c>
      <c r="CE22" t="str">
        <f ca="1">IFERROR(IF(0=LEN(ReferenceData!$CE$22),"",ReferenceData!$CE$22),"")</f>
        <v/>
      </c>
      <c r="CF22" t="str">
        <f ca="1">IFERROR(IF(0=LEN(ReferenceData!$CF$22),"",ReferenceData!$CF$22),"")</f>
        <v/>
      </c>
      <c r="CG22" t="str">
        <f ca="1">IFERROR(IF(0=LEN(ReferenceData!$CG$22),"",ReferenceData!$CG$22),"")</f>
        <v/>
      </c>
      <c r="CH22" t="str">
        <f ca="1">IFERROR(IF(0=LEN(ReferenceData!$CH$22),"",ReferenceData!$CH$22),"")</f>
        <v/>
      </c>
      <c r="CI22" t="str">
        <f ca="1">IFERROR(IF(0=LEN(ReferenceData!$CI$22),"",ReferenceData!$CI$22),"")</f>
        <v/>
      </c>
      <c r="CJ22" t="str">
        <f ca="1">IFERROR(IF(0=LEN(ReferenceData!$CJ$22),"",ReferenceData!$CJ$22),"")</f>
        <v/>
      </c>
      <c r="CK22" t="str">
        <f ca="1">IFERROR(IF(0=LEN(ReferenceData!$CK$22),"",ReferenceData!$CK$22),"")</f>
        <v/>
      </c>
    </row>
    <row r="23" spans="1:89">
      <c r="A23" t="str">
        <f>IFERROR(IF(0=LEN(ReferenceData!$A$23),"",ReferenceData!$A$23),"")</f>
        <v xml:space="preserve">    公寓物业权益信托</v>
      </c>
      <c r="B23" t="str">
        <f>IFERROR(IF(0=LEN(ReferenceData!$B$23),"",ReferenceData!$B$23),"")</f>
        <v>EQR US Equity</v>
      </c>
      <c r="C23" t="str">
        <f>IFERROR(IF(0=LEN(ReferenceData!$C$23),"",ReferenceData!$C$23),"")</f>
        <v>BE249</v>
      </c>
      <c r="D23" t="str">
        <f>IFERROR(IF(0=LEN(ReferenceData!$D$23),"",ReferenceData!$D$23),"")</f>
        <v>BEST_PRICE_FFO_RATIO</v>
      </c>
      <c r="E23" t="str">
        <f>IFERROR(IF(0=LEN(ReferenceData!$E$23),"",ReferenceData!$E$23),"")</f>
        <v>动态</v>
      </c>
      <c r="F23">
        <f ca="1">IFERROR(IF(0=LEN(ReferenceData!$F$23),"",ReferenceData!$F$23),"")</f>
        <v>18.992322120000001</v>
      </c>
      <c r="G23">
        <f ca="1">IFERROR(IF(0=LEN(ReferenceData!$G$23),"",ReferenceData!$G$23),"")</f>
        <v>17.987843890000001</v>
      </c>
      <c r="H23">
        <f ca="1">IFERROR(IF(0=LEN(ReferenceData!$H$23),"",ReferenceData!$H$23),"")</f>
        <v>19.708893150000002</v>
      </c>
      <c r="I23">
        <f ca="1">IFERROR(IF(0=LEN(ReferenceData!$I$23),"",ReferenceData!$I$23),"")</f>
        <v>20.406400000000001</v>
      </c>
      <c r="J23">
        <f ca="1">IFERROR(IF(0=LEN(ReferenceData!$J$23),"",ReferenceData!$J$23),"")</f>
        <v>21.396093499999999</v>
      </c>
      <c r="K23">
        <f ca="1">IFERROR(IF(0=LEN(ReferenceData!$K$23),"",ReferenceData!$K$23),"")</f>
        <v>21.536983670000001</v>
      </c>
      <c r="L23">
        <f ca="1">IFERROR(IF(0=LEN(ReferenceData!$L$23),"",ReferenceData!$L$23),"")</f>
        <v>21.158536590000001</v>
      </c>
      <c r="M23">
        <f ca="1">IFERROR(IF(0=LEN(ReferenceData!$M$23),"",ReferenceData!$M$23),"")</f>
        <v>21.54315047</v>
      </c>
      <c r="N23">
        <f ca="1">IFERROR(IF(0=LEN(ReferenceData!$N$23),"",ReferenceData!$N$23),"")</f>
        <v>21.8772099</v>
      </c>
      <c r="O23">
        <f ca="1">IFERROR(IF(0=LEN(ReferenceData!$O$23),"",ReferenceData!$O$23),"")</f>
        <v>21.20128824</v>
      </c>
      <c r="P23">
        <f ca="1">IFERROR(IF(0=LEN(ReferenceData!$P$23),"",ReferenceData!$P$23),"")</f>
        <v>20.990003219999998</v>
      </c>
      <c r="Q23">
        <f ca="1">IFERROR(IF(0=LEN(ReferenceData!$Q$23),"",ReferenceData!$Q$23),"")</f>
        <v>20.872656760000002</v>
      </c>
      <c r="R23">
        <f ca="1">IFERROR(IF(0=LEN(ReferenceData!$R$23),"",ReferenceData!$R$23),"")</f>
        <v>19.97431782</v>
      </c>
      <c r="S23">
        <f ca="1">IFERROR(IF(0=LEN(ReferenceData!$S$23),"",ReferenceData!$S$23),"")</f>
        <v>20.150159739999999</v>
      </c>
      <c r="T23">
        <f ca="1">IFERROR(IF(0=LEN(ReferenceData!$T$23),"",ReferenceData!$T$23),"")</f>
        <v>19.12208936</v>
      </c>
      <c r="U23">
        <f ca="1">IFERROR(IF(0=LEN(ReferenceData!$U$23),"",ReferenceData!$U$23),"")</f>
        <v>20.322071359999999</v>
      </c>
      <c r="V23">
        <f ca="1">IFERROR(IF(0=LEN(ReferenceData!$V$23),"",ReferenceData!$V$23),"")</f>
        <v>18.930599369999999</v>
      </c>
      <c r="W23">
        <f ca="1">IFERROR(IF(0=LEN(ReferenceData!$W$23),"",ReferenceData!$W$23),"")</f>
        <v>19.454946440000001</v>
      </c>
      <c r="X23">
        <f ca="1">IFERROR(IF(0=LEN(ReferenceData!$X$23),"",ReferenceData!$X$23),"")</f>
        <v>20.267800879999999</v>
      </c>
      <c r="Y23">
        <f ca="1">IFERROR(IF(0=LEN(ReferenceData!$Y$23),"",ReferenceData!$Y$23),"")</f>
        <v>20.431496060000001</v>
      </c>
      <c r="Z23">
        <f ca="1">IFERROR(IF(0=LEN(ReferenceData!$Z$23),"",ReferenceData!$Z$23),"")</f>
        <v>21.193890270000001</v>
      </c>
      <c r="AA23">
        <f ca="1">IFERROR(IF(0=LEN(ReferenceData!$AA$23),"",ReferenceData!$AA$23),"")</f>
        <v>21.25269978</v>
      </c>
      <c r="AB23">
        <f ca="1">IFERROR(IF(0=LEN(ReferenceData!$AB$23),"",ReferenceData!$AB$23),"")</f>
        <v>21.132824429999999</v>
      </c>
      <c r="AC23">
        <f ca="1">IFERROR(IF(0=LEN(ReferenceData!$AC$23),"",ReferenceData!$AC$23),"")</f>
        <v>20.696260259999999</v>
      </c>
      <c r="AD23">
        <f ca="1">IFERROR(IF(0=LEN(ReferenceData!$AD$23),"",ReferenceData!$AD$23),"")</f>
        <v>22.66082754</v>
      </c>
      <c r="AE23">
        <f ca="1">IFERROR(IF(0=LEN(ReferenceData!$AE$23),"",ReferenceData!$AE$23),"")</f>
        <v>22.403007519999999</v>
      </c>
      <c r="AF23">
        <f ca="1">IFERROR(IF(0=LEN(ReferenceData!$AF$23),"",ReferenceData!$AF$23),"")</f>
        <v>21.975484609999999</v>
      </c>
      <c r="AG23">
        <f ca="1">IFERROR(IF(0=LEN(ReferenceData!$AG$23),"",ReferenceData!$AG$23),"")</f>
        <v>23.358144859999999</v>
      </c>
      <c r="AH23">
        <f ca="1">IFERROR(IF(0=LEN(ReferenceData!$AH$23),"",ReferenceData!$AH$23),"")</f>
        <v>22.147613759999999</v>
      </c>
      <c r="AI23">
        <f ca="1">IFERROR(IF(0=LEN(ReferenceData!$AI$23),"",ReferenceData!$AI$23),"")</f>
        <v>20.299291149999998</v>
      </c>
      <c r="AJ23">
        <f ca="1">IFERROR(IF(0=LEN(ReferenceData!$AJ$23),"",ReferenceData!$AJ$23),"")</f>
        <v>18.733167080000001</v>
      </c>
      <c r="AK23">
        <f ca="1">IFERROR(IF(0=LEN(ReferenceData!$AK$23),"",ReferenceData!$AK$23),"")</f>
        <v>17.75922233</v>
      </c>
      <c r="AL23">
        <f ca="1">IFERROR(IF(0=LEN(ReferenceData!$AL$23),"",ReferenceData!$AL$23),"")</f>
        <v>18.73059589</v>
      </c>
      <c r="AM23">
        <f ca="1">IFERROR(IF(0=LEN(ReferenceData!$AM$23),"",ReferenceData!$AM$23),"")</f>
        <v>17.742098609999999</v>
      </c>
      <c r="AN23">
        <f ca="1">IFERROR(IF(0=LEN(ReferenceData!$AN$23),"",ReferenceData!$AN$23),"")</f>
        <v>18.762938649999999</v>
      </c>
      <c r="AO23">
        <f ca="1">IFERROR(IF(0=LEN(ReferenceData!$AO$23),"",ReferenceData!$AO$23),"")</f>
        <v>18.774783930000002</v>
      </c>
      <c r="AP23">
        <f ca="1">IFERROR(IF(0=LEN(ReferenceData!$AP$23),"",ReferenceData!$AP$23),"")</f>
        <v>19.746386000000001</v>
      </c>
      <c r="AQ23">
        <f ca="1">IFERROR(IF(0=LEN(ReferenceData!$AQ$23),"",ReferenceData!$AQ$23),"")</f>
        <v>19.5855581</v>
      </c>
      <c r="AR23" t="str">
        <f ca="1">IFERROR(IF(0=LEN(ReferenceData!$AR$23),"",ReferenceData!$AR$23),"")</f>
        <v/>
      </c>
      <c r="AS23" t="str">
        <f ca="1">IFERROR(IF(0=LEN(ReferenceData!$AS$23),"",ReferenceData!$AS$23),"")</f>
        <v/>
      </c>
      <c r="AT23" t="str">
        <f ca="1">IFERROR(IF(0=LEN(ReferenceData!$AT$23),"",ReferenceData!$AT$23),"")</f>
        <v/>
      </c>
      <c r="AU23" t="str">
        <f ca="1">IFERROR(IF(0=LEN(ReferenceData!$AU$23),"",ReferenceData!$AU$23),"")</f>
        <v/>
      </c>
      <c r="AV23" t="str">
        <f ca="1">IFERROR(IF(0=LEN(ReferenceData!$AV$23),"",ReferenceData!$AV$23),"")</f>
        <v/>
      </c>
      <c r="AW23" t="str">
        <f ca="1">IFERROR(IF(0=LEN(ReferenceData!$AW$23),"",ReferenceData!$AW$23),"")</f>
        <v/>
      </c>
      <c r="AX23" t="str">
        <f ca="1">IFERROR(IF(0=LEN(ReferenceData!$AX$23),"",ReferenceData!$AX$23),"")</f>
        <v/>
      </c>
      <c r="AY23" t="str">
        <f ca="1">IFERROR(IF(0=LEN(ReferenceData!$AY$23),"",ReferenceData!$AY$23),"")</f>
        <v/>
      </c>
      <c r="AZ23" t="str">
        <f ca="1">IFERROR(IF(0=LEN(ReferenceData!$AZ$23),"",ReferenceData!$AZ$23),"")</f>
        <v/>
      </c>
      <c r="BA23" t="str">
        <f ca="1">IFERROR(IF(0=LEN(ReferenceData!$BA$23),"",ReferenceData!$BA$23),"")</f>
        <v/>
      </c>
      <c r="BB23" t="str">
        <f ca="1">IFERROR(IF(0=LEN(ReferenceData!$BB$23),"",ReferenceData!$BB$23),"")</f>
        <v/>
      </c>
      <c r="BC23" t="str">
        <f ca="1">IFERROR(IF(0=LEN(ReferenceData!$BC$23),"",ReferenceData!$BC$23),"")</f>
        <v/>
      </c>
      <c r="BD23" t="str">
        <f ca="1">IFERROR(IF(0=LEN(ReferenceData!$BD$23),"",ReferenceData!$BD$23),"")</f>
        <v/>
      </c>
      <c r="BE23" t="str">
        <f ca="1">IFERROR(IF(0=LEN(ReferenceData!$BE$23),"",ReferenceData!$BE$23),"")</f>
        <v/>
      </c>
      <c r="BF23" t="str">
        <f ca="1">IFERROR(IF(0=LEN(ReferenceData!$BF$23),"",ReferenceData!$BF$23),"")</f>
        <v/>
      </c>
      <c r="BG23" t="str">
        <f ca="1">IFERROR(IF(0=LEN(ReferenceData!$BG$23),"",ReferenceData!$BG$23),"")</f>
        <v/>
      </c>
      <c r="BH23" t="str">
        <f ca="1">IFERROR(IF(0=LEN(ReferenceData!$BH$23),"",ReferenceData!$BH$23),"")</f>
        <v/>
      </c>
      <c r="BI23" t="str">
        <f ca="1">IFERROR(IF(0=LEN(ReferenceData!$BI$23),"",ReferenceData!$BI$23),"")</f>
        <v/>
      </c>
      <c r="BJ23" t="str">
        <f ca="1">IFERROR(IF(0=LEN(ReferenceData!$BJ$23),"",ReferenceData!$BJ$23),"")</f>
        <v/>
      </c>
      <c r="BK23" t="str">
        <f ca="1">IFERROR(IF(0=LEN(ReferenceData!$BK$23),"",ReferenceData!$BK$23),"")</f>
        <v/>
      </c>
      <c r="BL23" t="str">
        <f ca="1">IFERROR(IF(0=LEN(ReferenceData!$BL$23),"",ReferenceData!$BL$23),"")</f>
        <v/>
      </c>
      <c r="BM23" t="str">
        <f ca="1">IFERROR(IF(0=LEN(ReferenceData!$BM$23),"",ReferenceData!$BM$23),"")</f>
        <v/>
      </c>
      <c r="BN23" t="str">
        <f ca="1">IFERROR(IF(0=LEN(ReferenceData!$BN$23),"",ReferenceData!$BN$23),"")</f>
        <v/>
      </c>
      <c r="BO23" t="str">
        <f ca="1">IFERROR(IF(0=LEN(ReferenceData!$BO$23),"",ReferenceData!$BO$23),"")</f>
        <v/>
      </c>
      <c r="BP23" t="str">
        <f ca="1">IFERROR(IF(0=LEN(ReferenceData!$BP$23),"",ReferenceData!$BP$23),"")</f>
        <v/>
      </c>
      <c r="BQ23" t="str">
        <f ca="1">IFERROR(IF(0=LEN(ReferenceData!$BQ$23),"",ReferenceData!$BQ$23),"")</f>
        <v/>
      </c>
      <c r="BR23" t="str">
        <f ca="1">IFERROR(IF(0=LEN(ReferenceData!$BR$23),"",ReferenceData!$BR$23),"")</f>
        <v/>
      </c>
      <c r="BS23" t="str">
        <f ca="1">IFERROR(IF(0=LEN(ReferenceData!$BS$23),"",ReferenceData!$BS$23),"")</f>
        <v/>
      </c>
      <c r="BT23" t="str">
        <f ca="1">IFERROR(IF(0=LEN(ReferenceData!$BT$23),"",ReferenceData!$BT$23),"")</f>
        <v/>
      </c>
      <c r="BU23" t="str">
        <f ca="1">IFERROR(IF(0=LEN(ReferenceData!$BU$23),"",ReferenceData!$BU$23),"")</f>
        <v/>
      </c>
      <c r="BV23" t="str">
        <f ca="1">IFERROR(IF(0=LEN(ReferenceData!$BV$23),"",ReferenceData!$BV$23),"")</f>
        <v/>
      </c>
      <c r="BW23" t="str">
        <f ca="1">IFERROR(IF(0=LEN(ReferenceData!$BW$23),"",ReferenceData!$BW$23),"")</f>
        <v/>
      </c>
      <c r="BX23" t="str">
        <f ca="1">IFERROR(IF(0=LEN(ReferenceData!$BX$23),"",ReferenceData!$BX$23),"")</f>
        <v/>
      </c>
      <c r="BY23" t="str">
        <f ca="1">IFERROR(IF(0=LEN(ReferenceData!$BY$23),"",ReferenceData!$BY$23),"")</f>
        <v/>
      </c>
      <c r="BZ23" t="str">
        <f ca="1">IFERROR(IF(0=LEN(ReferenceData!$BZ$23),"",ReferenceData!$BZ$23),"")</f>
        <v/>
      </c>
      <c r="CA23" t="str">
        <f ca="1">IFERROR(IF(0=LEN(ReferenceData!$CA$23),"",ReferenceData!$CA$23),"")</f>
        <v/>
      </c>
      <c r="CB23" t="str">
        <f ca="1">IFERROR(IF(0=LEN(ReferenceData!$CB$23),"",ReferenceData!$CB$23),"")</f>
        <v/>
      </c>
      <c r="CC23" t="str">
        <f ca="1">IFERROR(IF(0=LEN(ReferenceData!$CC$23),"",ReferenceData!$CC$23),"")</f>
        <v/>
      </c>
      <c r="CD23" t="str">
        <f ca="1">IFERROR(IF(0=LEN(ReferenceData!$CD$23),"",ReferenceData!$CD$23),"")</f>
        <v/>
      </c>
      <c r="CE23" t="str">
        <f ca="1">IFERROR(IF(0=LEN(ReferenceData!$CE$23),"",ReferenceData!$CE$23),"")</f>
        <v/>
      </c>
      <c r="CF23" t="str">
        <f ca="1">IFERROR(IF(0=LEN(ReferenceData!$CF$23),"",ReferenceData!$CF$23),"")</f>
        <v/>
      </c>
      <c r="CG23" t="str">
        <f ca="1">IFERROR(IF(0=LEN(ReferenceData!$CG$23),"",ReferenceData!$CG$23),"")</f>
        <v/>
      </c>
      <c r="CH23" t="str">
        <f ca="1">IFERROR(IF(0=LEN(ReferenceData!$CH$23),"",ReferenceData!$CH$23),"")</f>
        <v/>
      </c>
      <c r="CI23" t="str">
        <f ca="1">IFERROR(IF(0=LEN(ReferenceData!$CI$23),"",ReferenceData!$CI$23),"")</f>
        <v/>
      </c>
      <c r="CJ23" t="str">
        <f ca="1">IFERROR(IF(0=LEN(ReferenceData!$CJ$23),"",ReferenceData!$CJ$23),"")</f>
        <v/>
      </c>
      <c r="CK23" t="str">
        <f ca="1">IFERROR(IF(0=LEN(ReferenceData!$CK$23),"",ReferenceData!$CK$23),"")</f>
        <v/>
      </c>
    </row>
    <row r="24" spans="1:89">
      <c r="A24" t="str">
        <f>IFERROR(IF(0=LEN(ReferenceData!$A$24),"",ReferenceData!$A$24),"")</f>
        <v xml:space="preserve">    埃塞克斯房地产信托公司</v>
      </c>
      <c r="B24" t="str">
        <f>IFERROR(IF(0=LEN(ReferenceData!$B$24),"",ReferenceData!$B$24),"")</f>
        <v>ESS US Equity</v>
      </c>
      <c r="C24" t="str">
        <f>IFERROR(IF(0=LEN(ReferenceData!$C$24),"",ReferenceData!$C$24),"")</f>
        <v>BE249</v>
      </c>
      <c r="D24" t="str">
        <f>IFERROR(IF(0=LEN(ReferenceData!$D$24),"",ReferenceData!$D$24),"")</f>
        <v>BEST_PRICE_FFO_RATIO</v>
      </c>
      <c r="E24" t="str">
        <f>IFERROR(IF(0=LEN(ReferenceData!$E$24),"",ReferenceData!$E$24),"")</f>
        <v>动态</v>
      </c>
      <c r="F24">
        <f ca="1">IFERROR(IF(0=LEN(ReferenceData!$F$24),"",ReferenceData!$F$24),"")</f>
        <v>20.01765919</v>
      </c>
      <c r="G24">
        <f ca="1">IFERROR(IF(0=LEN(ReferenceData!$G$24),"",ReferenceData!$G$24),"")</f>
        <v>18.821897069999999</v>
      </c>
      <c r="H24">
        <f ca="1">IFERROR(IF(0=LEN(ReferenceData!$H$24),"",ReferenceData!$H$24),"")</f>
        <v>19.591321900000001</v>
      </c>
      <c r="I24">
        <f ca="1">IFERROR(IF(0=LEN(ReferenceData!$I$24),"",ReferenceData!$I$24),"")</f>
        <v>20.296838210000001</v>
      </c>
      <c r="J24">
        <f ca="1">IFERROR(IF(0=LEN(ReferenceData!$J$24),"",ReferenceData!$J$24),"")</f>
        <v>20.78340626</v>
      </c>
      <c r="K24">
        <f ca="1">IFERROR(IF(0=LEN(ReferenceData!$K$24),"",ReferenceData!$K$24),"")</f>
        <v>22.099368420000001</v>
      </c>
      <c r="L24">
        <f ca="1">IFERROR(IF(0=LEN(ReferenceData!$L$24),"",ReferenceData!$L$24),"")</f>
        <v>21.384796699999999</v>
      </c>
      <c r="M24">
        <f ca="1">IFERROR(IF(0=LEN(ReferenceData!$M$24),"",ReferenceData!$M$24),"")</f>
        <v>22.418240050000001</v>
      </c>
      <c r="N24">
        <f ca="1">IFERROR(IF(0=LEN(ReferenceData!$N$24),"",ReferenceData!$N$24),"")</f>
        <v>22.110510309999999</v>
      </c>
      <c r="O24">
        <f ca="1">IFERROR(IF(0=LEN(ReferenceData!$O$24),"",ReferenceData!$O$24),"")</f>
        <v>21.789616330000001</v>
      </c>
      <c r="P24">
        <f ca="1">IFERROR(IF(0=LEN(ReferenceData!$P$24),"",ReferenceData!$P$24),"")</f>
        <v>21.785805140000001</v>
      </c>
      <c r="Q24">
        <f ca="1">IFERROR(IF(0=LEN(ReferenceData!$Q$24),"",ReferenceData!$Q$24),"")</f>
        <v>20.875245499999998</v>
      </c>
      <c r="R24">
        <f ca="1">IFERROR(IF(0=LEN(ReferenceData!$R$24),"",ReferenceData!$R$24),"")</f>
        <v>19.74837939</v>
      </c>
      <c r="S24">
        <f ca="1">IFERROR(IF(0=LEN(ReferenceData!$S$24),"",ReferenceData!$S$24),"")</f>
        <v>20.025597269999999</v>
      </c>
      <c r="T24">
        <f ca="1">IFERROR(IF(0=LEN(ReferenceData!$T$24),"",ReferenceData!$T$24),"")</f>
        <v>19.068264899999999</v>
      </c>
      <c r="U24">
        <f ca="1">IFERROR(IF(0=LEN(ReferenceData!$U$24),"",ReferenceData!$U$24),"")</f>
        <v>19.751932719999999</v>
      </c>
      <c r="V24">
        <f ca="1">IFERROR(IF(0=LEN(ReferenceData!$V$24),"",ReferenceData!$V$24),"")</f>
        <v>18.287456590000001</v>
      </c>
      <c r="W24">
        <f ca="1">IFERROR(IF(0=LEN(ReferenceData!$W$24),"",ReferenceData!$W$24),"")</f>
        <v>18.164771760000001</v>
      </c>
      <c r="X24">
        <f ca="1">IFERROR(IF(0=LEN(ReferenceData!$X$24),"",ReferenceData!$X$24),"")</f>
        <v>18.84892086</v>
      </c>
      <c r="Y24">
        <f ca="1">IFERROR(IF(0=LEN(ReferenceData!$Y$24),"",ReferenceData!$Y$24),"")</f>
        <v>19.218075649999999</v>
      </c>
      <c r="Z24">
        <f ca="1">IFERROR(IF(0=LEN(ReferenceData!$Z$24),"",ReferenceData!$Z$24),"")</f>
        <v>19.796851190000002</v>
      </c>
      <c r="AA24">
        <f ca="1">IFERROR(IF(0=LEN(ReferenceData!$AA$24),"",ReferenceData!$AA$24),"")</f>
        <v>19.275754249999999</v>
      </c>
      <c r="AB24">
        <f ca="1">IFERROR(IF(0=LEN(ReferenceData!$AB$24),"",ReferenceData!$AB$24),"")</f>
        <v>19.156128809999998</v>
      </c>
      <c r="AC24">
        <f ca="1">IFERROR(IF(0=LEN(ReferenceData!$AC$24),"",ReferenceData!$AC$24),"")</f>
        <v>18.495679169999999</v>
      </c>
      <c r="AD24">
        <f ca="1">IFERROR(IF(0=LEN(ReferenceData!$AD$24),"",ReferenceData!$AD$24),"")</f>
        <v>19.60596915</v>
      </c>
      <c r="AE24">
        <f ca="1">IFERROR(IF(0=LEN(ReferenceData!$AE$24),"",ReferenceData!$AE$24),"")</f>
        <v>17.614678900000001</v>
      </c>
      <c r="AF24">
        <f ca="1">IFERROR(IF(0=LEN(ReferenceData!$AF$24),"",ReferenceData!$AF$24),"")</f>
        <v>18.002196319999999</v>
      </c>
      <c r="AG24">
        <f ca="1">IFERROR(IF(0=LEN(ReferenceData!$AG$24),"",ReferenceData!$AG$24),"")</f>
        <v>20.11172715</v>
      </c>
      <c r="AH24">
        <f ca="1">IFERROR(IF(0=LEN(ReferenceData!$AH$24),"",ReferenceData!$AH$24),"")</f>
        <v>19.423497730000001</v>
      </c>
      <c r="AI24">
        <f ca="1">IFERROR(IF(0=LEN(ReferenceData!$AI$24),"",ReferenceData!$AI$24),"")</f>
        <v>18.733746920000002</v>
      </c>
      <c r="AJ24">
        <f ca="1">IFERROR(IF(0=LEN(ReferenceData!$AJ$24),"",ReferenceData!$AJ$24),"")</f>
        <v>19.11206159</v>
      </c>
      <c r="AK24">
        <f ca="1">IFERROR(IF(0=LEN(ReferenceData!$AK$24),"",ReferenceData!$AK$24),"")</f>
        <v>18.35928144</v>
      </c>
      <c r="AL24">
        <f ca="1">IFERROR(IF(0=LEN(ReferenceData!$AL$24),"",ReferenceData!$AL$24),"")</f>
        <v>19.62222998</v>
      </c>
      <c r="AM24">
        <f ca="1">IFERROR(IF(0=LEN(ReferenceData!$AM$24),"",ReferenceData!$AM$24),"")</f>
        <v>18.64035088</v>
      </c>
      <c r="AN24">
        <f ca="1">IFERROR(IF(0=LEN(ReferenceData!$AN$24),"",ReferenceData!$AN$24),"")</f>
        <v>19.662603780000001</v>
      </c>
      <c r="AO24">
        <f ca="1">IFERROR(IF(0=LEN(ReferenceData!$AO$24),"",ReferenceData!$AO$24),"")</f>
        <v>19.87374642</v>
      </c>
      <c r="AP24">
        <f ca="1">IFERROR(IF(0=LEN(ReferenceData!$AP$24),"",ReferenceData!$AP$24),"")</f>
        <v>20.569025679999999</v>
      </c>
      <c r="AQ24">
        <f ca="1">IFERROR(IF(0=LEN(ReferenceData!$AQ$24),"",ReferenceData!$AQ$24),"")</f>
        <v>20.31324201</v>
      </c>
      <c r="AR24" t="str">
        <f ca="1">IFERROR(IF(0=LEN(ReferenceData!$AR$24),"",ReferenceData!$AR$24),"")</f>
        <v/>
      </c>
      <c r="AS24" t="str">
        <f ca="1">IFERROR(IF(0=LEN(ReferenceData!$AS$24),"",ReferenceData!$AS$24),"")</f>
        <v/>
      </c>
      <c r="AT24" t="str">
        <f ca="1">IFERROR(IF(0=LEN(ReferenceData!$AT$24),"",ReferenceData!$AT$24),"")</f>
        <v/>
      </c>
      <c r="AU24" t="str">
        <f ca="1">IFERROR(IF(0=LEN(ReferenceData!$AU$24),"",ReferenceData!$AU$24),"")</f>
        <v/>
      </c>
      <c r="AV24" t="str">
        <f ca="1">IFERROR(IF(0=LEN(ReferenceData!$AV$24),"",ReferenceData!$AV$24),"")</f>
        <v/>
      </c>
      <c r="AW24" t="str">
        <f ca="1">IFERROR(IF(0=LEN(ReferenceData!$AW$24),"",ReferenceData!$AW$24),"")</f>
        <v/>
      </c>
      <c r="AX24" t="str">
        <f ca="1">IFERROR(IF(0=LEN(ReferenceData!$AX$24),"",ReferenceData!$AX$24),"")</f>
        <v/>
      </c>
      <c r="AY24" t="str">
        <f ca="1">IFERROR(IF(0=LEN(ReferenceData!$AY$24),"",ReferenceData!$AY$24),"")</f>
        <v/>
      </c>
      <c r="AZ24" t="str">
        <f ca="1">IFERROR(IF(0=LEN(ReferenceData!$AZ$24),"",ReferenceData!$AZ$24),"")</f>
        <v/>
      </c>
      <c r="BA24" t="str">
        <f ca="1">IFERROR(IF(0=LEN(ReferenceData!$BA$24),"",ReferenceData!$BA$24),"")</f>
        <v/>
      </c>
      <c r="BB24" t="str">
        <f ca="1">IFERROR(IF(0=LEN(ReferenceData!$BB$24),"",ReferenceData!$BB$24),"")</f>
        <v/>
      </c>
      <c r="BC24" t="str">
        <f ca="1">IFERROR(IF(0=LEN(ReferenceData!$BC$24),"",ReferenceData!$BC$24),"")</f>
        <v/>
      </c>
      <c r="BD24" t="str">
        <f ca="1">IFERROR(IF(0=LEN(ReferenceData!$BD$24),"",ReferenceData!$BD$24),"")</f>
        <v/>
      </c>
      <c r="BE24" t="str">
        <f ca="1">IFERROR(IF(0=LEN(ReferenceData!$BE$24),"",ReferenceData!$BE$24),"")</f>
        <v/>
      </c>
      <c r="BF24" t="str">
        <f ca="1">IFERROR(IF(0=LEN(ReferenceData!$BF$24),"",ReferenceData!$BF$24),"")</f>
        <v/>
      </c>
      <c r="BG24" t="str">
        <f ca="1">IFERROR(IF(0=LEN(ReferenceData!$BG$24),"",ReferenceData!$BG$24),"")</f>
        <v/>
      </c>
      <c r="BH24" t="str">
        <f ca="1">IFERROR(IF(0=LEN(ReferenceData!$BH$24),"",ReferenceData!$BH$24),"")</f>
        <v/>
      </c>
      <c r="BI24" t="str">
        <f ca="1">IFERROR(IF(0=LEN(ReferenceData!$BI$24),"",ReferenceData!$BI$24),"")</f>
        <v/>
      </c>
      <c r="BJ24" t="str">
        <f ca="1">IFERROR(IF(0=LEN(ReferenceData!$BJ$24),"",ReferenceData!$BJ$24),"")</f>
        <v/>
      </c>
      <c r="BK24" t="str">
        <f ca="1">IFERROR(IF(0=LEN(ReferenceData!$BK$24),"",ReferenceData!$BK$24),"")</f>
        <v/>
      </c>
      <c r="BL24" t="str">
        <f ca="1">IFERROR(IF(0=LEN(ReferenceData!$BL$24),"",ReferenceData!$BL$24),"")</f>
        <v/>
      </c>
      <c r="BM24" t="str">
        <f ca="1">IFERROR(IF(0=LEN(ReferenceData!$BM$24),"",ReferenceData!$BM$24),"")</f>
        <v/>
      </c>
      <c r="BN24" t="str">
        <f ca="1">IFERROR(IF(0=LEN(ReferenceData!$BN$24),"",ReferenceData!$BN$24),"")</f>
        <v/>
      </c>
      <c r="BO24" t="str">
        <f ca="1">IFERROR(IF(0=LEN(ReferenceData!$BO$24),"",ReferenceData!$BO$24),"")</f>
        <v/>
      </c>
      <c r="BP24" t="str">
        <f ca="1">IFERROR(IF(0=LEN(ReferenceData!$BP$24),"",ReferenceData!$BP$24),"")</f>
        <v/>
      </c>
      <c r="BQ24" t="str">
        <f ca="1">IFERROR(IF(0=LEN(ReferenceData!$BQ$24),"",ReferenceData!$BQ$24),"")</f>
        <v/>
      </c>
      <c r="BR24" t="str">
        <f ca="1">IFERROR(IF(0=LEN(ReferenceData!$BR$24),"",ReferenceData!$BR$24),"")</f>
        <v/>
      </c>
      <c r="BS24" t="str">
        <f ca="1">IFERROR(IF(0=LEN(ReferenceData!$BS$24),"",ReferenceData!$BS$24),"")</f>
        <v/>
      </c>
      <c r="BT24" t="str">
        <f ca="1">IFERROR(IF(0=LEN(ReferenceData!$BT$24),"",ReferenceData!$BT$24),"")</f>
        <v/>
      </c>
      <c r="BU24" t="str">
        <f ca="1">IFERROR(IF(0=LEN(ReferenceData!$BU$24),"",ReferenceData!$BU$24),"")</f>
        <v/>
      </c>
      <c r="BV24" t="str">
        <f ca="1">IFERROR(IF(0=LEN(ReferenceData!$BV$24),"",ReferenceData!$BV$24),"")</f>
        <v/>
      </c>
      <c r="BW24" t="str">
        <f ca="1">IFERROR(IF(0=LEN(ReferenceData!$BW$24),"",ReferenceData!$BW$24),"")</f>
        <v/>
      </c>
      <c r="BX24" t="str">
        <f ca="1">IFERROR(IF(0=LEN(ReferenceData!$BX$24),"",ReferenceData!$BX$24),"")</f>
        <v/>
      </c>
      <c r="BY24" t="str">
        <f ca="1">IFERROR(IF(0=LEN(ReferenceData!$BY$24),"",ReferenceData!$BY$24),"")</f>
        <v/>
      </c>
      <c r="BZ24" t="str">
        <f ca="1">IFERROR(IF(0=LEN(ReferenceData!$BZ$24),"",ReferenceData!$BZ$24),"")</f>
        <v/>
      </c>
      <c r="CA24" t="str">
        <f ca="1">IFERROR(IF(0=LEN(ReferenceData!$CA$24),"",ReferenceData!$CA$24),"")</f>
        <v/>
      </c>
      <c r="CB24" t="str">
        <f ca="1">IFERROR(IF(0=LEN(ReferenceData!$CB$24),"",ReferenceData!$CB$24),"")</f>
        <v/>
      </c>
      <c r="CC24" t="str">
        <f ca="1">IFERROR(IF(0=LEN(ReferenceData!$CC$24),"",ReferenceData!$CC$24),"")</f>
        <v/>
      </c>
      <c r="CD24" t="str">
        <f ca="1">IFERROR(IF(0=LEN(ReferenceData!$CD$24),"",ReferenceData!$CD$24),"")</f>
        <v/>
      </c>
      <c r="CE24" t="str">
        <f ca="1">IFERROR(IF(0=LEN(ReferenceData!$CE$24),"",ReferenceData!$CE$24),"")</f>
        <v/>
      </c>
      <c r="CF24" t="str">
        <f ca="1">IFERROR(IF(0=LEN(ReferenceData!$CF$24),"",ReferenceData!$CF$24),"")</f>
        <v/>
      </c>
      <c r="CG24" t="str">
        <f ca="1">IFERROR(IF(0=LEN(ReferenceData!$CG$24),"",ReferenceData!$CG$24),"")</f>
        <v/>
      </c>
      <c r="CH24" t="str">
        <f ca="1">IFERROR(IF(0=LEN(ReferenceData!$CH$24),"",ReferenceData!$CH$24),"")</f>
        <v/>
      </c>
      <c r="CI24" t="str">
        <f ca="1">IFERROR(IF(0=LEN(ReferenceData!$CI$24),"",ReferenceData!$CI$24),"")</f>
        <v/>
      </c>
      <c r="CJ24" t="str">
        <f ca="1">IFERROR(IF(0=LEN(ReferenceData!$CJ$24),"",ReferenceData!$CJ$24),"")</f>
        <v/>
      </c>
      <c r="CK24" t="str">
        <f ca="1">IFERROR(IF(0=LEN(ReferenceData!$CK$24),"",ReferenceData!$CK$24),"")</f>
        <v/>
      </c>
    </row>
    <row r="25" spans="1:89">
      <c r="A25" t="str">
        <f>IFERROR(IF(0=LEN(ReferenceData!$A$25),"",ReferenceData!$A$25),"")</f>
        <v xml:space="preserve">    Mid-America Apartment Communities股份有限公司</v>
      </c>
      <c r="B25" t="str">
        <f>IFERROR(IF(0=LEN(ReferenceData!$B$25),"",ReferenceData!$B$25),"")</f>
        <v>MAA US Equity</v>
      </c>
      <c r="C25" t="str">
        <f>IFERROR(IF(0=LEN(ReferenceData!$C$25),"",ReferenceData!$C$25),"")</f>
        <v>BE249</v>
      </c>
      <c r="D25" t="str">
        <f>IFERROR(IF(0=LEN(ReferenceData!$D$25),"",ReferenceData!$D$25),"")</f>
        <v>BEST_PRICE_FFO_RATIO</v>
      </c>
      <c r="E25" t="str">
        <f>IFERROR(IF(0=LEN(ReferenceData!$E$25),"",ReferenceData!$E$25),"")</f>
        <v>动态</v>
      </c>
      <c r="F25">
        <f ca="1">IFERROR(IF(0=LEN(ReferenceData!$F$25),"",ReferenceData!$F$25),"")</f>
        <v>15.149001220000001</v>
      </c>
      <c r="G25">
        <f ca="1">IFERROR(IF(0=LEN(ReferenceData!$G$25),"",ReferenceData!$G$25),"")</f>
        <v>14.53098544</v>
      </c>
      <c r="H25">
        <f ca="1">IFERROR(IF(0=LEN(ReferenceData!$H$25),"",ReferenceData!$H$25),"")</f>
        <v>16.1479851</v>
      </c>
      <c r="I25">
        <f ca="1">IFERROR(IF(0=LEN(ReferenceData!$I$25),"",ReferenceData!$I$25),"")</f>
        <v>16.9979716</v>
      </c>
      <c r="J25">
        <f ca="1">IFERROR(IF(0=LEN(ReferenceData!$J$25),"",ReferenceData!$J$25),"")</f>
        <v>17.304054050000001</v>
      </c>
      <c r="K25">
        <f ca="1">IFERROR(IF(0=LEN(ReferenceData!$K$25),"",ReferenceData!$K$25),"")</f>
        <v>17.291772259999998</v>
      </c>
      <c r="L25">
        <f ca="1">IFERROR(IF(0=LEN(ReferenceData!$L$25),"",ReferenceData!$L$25),"")</f>
        <v>18.03881857</v>
      </c>
      <c r="M25">
        <f ca="1">IFERROR(IF(0=LEN(ReferenceData!$M$25),"",ReferenceData!$M$25),"")</f>
        <v>18.007442489999999</v>
      </c>
      <c r="N25">
        <f ca="1">IFERROR(IF(0=LEN(ReferenceData!$N$25),"",ReferenceData!$N$25),"")</f>
        <v>17.56830137</v>
      </c>
      <c r="O25">
        <f ca="1">IFERROR(IF(0=LEN(ReferenceData!$O$25),"",ReferenceData!$O$25),"")</f>
        <v>17.82174869</v>
      </c>
      <c r="P25">
        <f ca="1">IFERROR(IF(0=LEN(ReferenceData!$P$25),"",ReferenceData!$P$25),"")</f>
        <v>17.24289581</v>
      </c>
      <c r="Q25">
        <f ca="1">IFERROR(IF(0=LEN(ReferenceData!$Q$25),"",ReferenceData!$Q$25),"")</f>
        <v>16.85238661</v>
      </c>
      <c r="R25">
        <f ca="1">IFERROR(IF(0=LEN(ReferenceData!$R$25),"",ReferenceData!$R$25),"")</f>
        <v>17.323344120000002</v>
      </c>
      <c r="S25">
        <f ca="1">IFERROR(IF(0=LEN(ReferenceData!$S$25),"",ReferenceData!$S$25),"")</f>
        <v>17.474060210000001</v>
      </c>
      <c r="T25">
        <f ca="1">IFERROR(IF(0=LEN(ReferenceData!$T$25),"",ReferenceData!$T$25),"")</f>
        <v>15.98215789</v>
      </c>
      <c r="U25">
        <f ca="1">IFERROR(IF(0=LEN(ReferenceData!$U$25),"",ReferenceData!$U$25),"")</f>
        <v>16.43504532</v>
      </c>
      <c r="V25">
        <f ca="1">IFERROR(IF(0=LEN(ReferenceData!$V$25),"",ReferenceData!$V$25),"")</f>
        <v>14.865347180000001</v>
      </c>
      <c r="W25">
        <f ca="1">IFERROR(IF(0=LEN(ReferenceData!$W$25),"",ReferenceData!$W$25),"")</f>
        <v>15.08130081</v>
      </c>
      <c r="X25">
        <f ca="1">IFERROR(IF(0=LEN(ReferenceData!$X$25),"",ReferenceData!$X$25),"")</f>
        <v>15.201358559999999</v>
      </c>
      <c r="Y25">
        <f ca="1">IFERROR(IF(0=LEN(ReferenceData!$Y$25),"",ReferenceData!$Y$25),"")</f>
        <v>15.27795839</v>
      </c>
      <c r="Z25">
        <f ca="1">IFERROR(IF(0=LEN(ReferenceData!$Z$25),"",ReferenceData!$Z$25),"")</f>
        <v>16.866051540000001</v>
      </c>
      <c r="AA25">
        <f ca="1">IFERROR(IF(0=LEN(ReferenceData!$AA$25),"",ReferenceData!$AA$25),"")</f>
        <v>16.939977710000001</v>
      </c>
      <c r="AB25">
        <f ca="1">IFERROR(IF(0=LEN(ReferenceData!$AB$25),"",ReferenceData!$AB$25),"")</f>
        <v>16.415365000000001</v>
      </c>
      <c r="AC25">
        <f ca="1">IFERROR(IF(0=LEN(ReferenceData!$AC$25),"",ReferenceData!$AC$25),"")</f>
        <v>15.28425423</v>
      </c>
      <c r="AD25">
        <f ca="1">IFERROR(IF(0=LEN(ReferenceData!$AD$25),"",ReferenceData!$AD$25),"")</f>
        <v>16.2341169</v>
      </c>
      <c r="AE25">
        <f ca="1">IFERROR(IF(0=LEN(ReferenceData!$AE$25),"",ReferenceData!$AE$25),"")</f>
        <v>14.29434202</v>
      </c>
      <c r="AF25">
        <f ca="1">IFERROR(IF(0=LEN(ReferenceData!$AF$25),"",ReferenceData!$AF$25),"")</f>
        <v>15.124939550000001</v>
      </c>
      <c r="AG25">
        <f ca="1">IFERROR(IF(0=LEN(ReferenceData!$AG$25),"",ReferenceData!$AG$25),"")</f>
        <v>14.501756629999999</v>
      </c>
      <c r="AH25">
        <f ca="1">IFERROR(IF(0=LEN(ReferenceData!$AH$25),"",ReferenceData!$AH$25),"")</f>
        <v>14.10415671</v>
      </c>
      <c r="AI25">
        <f ca="1">IFERROR(IF(0=LEN(ReferenceData!$AI$25),"",ReferenceData!$AI$25),"")</f>
        <v>13.599936140000001</v>
      </c>
      <c r="AJ25">
        <f ca="1">IFERROR(IF(0=LEN(ReferenceData!$AJ$25),"",ReferenceData!$AJ$25),"")</f>
        <v>13.436730669999999</v>
      </c>
      <c r="AK25">
        <f ca="1">IFERROR(IF(0=LEN(ReferenceData!$AK$25),"",ReferenceData!$AK$25),"")</f>
        <v>12.898408010000001</v>
      </c>
      <c r="AL25">
        <f ca="1">IFERROR(IF(0=LEN(ReferenceData!$AL$25),"",ReferenceData!$AL$25),"")</f>
        <v>13.0528026</v>
      </c>
      <c r="AM25">
        <f ca="1">IFERROR(IF(0=LEN(ReferenceData!$AM$25),"",ReferenceData!$AM$25),"")</f>
        <v>11.7815534</v>
      </c>
      <c r="AN25">
        <f ca="1">IFERROR(IF(0=LEN(ReferenceData!$AN$25),"",ReferenceData!$AN$25),"")</f>
        <v>12.574485599999999</v>
      </c>
      <c r="AO25">
        <f ca="1">IFERROR(IF(0=LEN(ReferenceData!$AO$25),"",ReferenceData!$AO$25),"")</f>
        <v>13.02094241</v>
      </c>
      <c r="AP25" t="str">
        <f ca="1">IFERROR(IF(0=LEN(ReferenceData!$AP$25),"",ReferenceData!$AP$25),"")</f>
        <v/>
      </c>
      <c r="AQ25" t="str">
        <f ca="1">IFERROR(IF(0=LEN(ReferenceData!$AQ$25),"",ReferenceData!$AQ$25),"")</f>
        <v/>
      </c>
      <c r="AR25" t="str">
        <f ca="1">IFERROR(IF(0=LEN(ReferenceData!$AR$25),"",ReferenceData!$AR$25),"")</f>
        <v/>
      </c>
      <c r="AS25" t="str">
        <f ca="1">IFERROR(IF(0=LEN(ReferenceData!$AS$25),"",ReferenceData!$AS$25),"")</f>
        <v/>
      </c>
      <c r="AT25" t="str">
        <f ca="1">IFERROR(IF(0=LEN(ReferenceData!$AT$25),"",ReferenceData!$AT$25),"")</f>
        <v/>
      </c>
      <c r="AU25" t="str">
        <f ca="1">IFERROR(IF(0=LEN(ReferenceData!$AU$25),"",ReferenceData!$AU$25),"")</f>
        <v/>
      </c>
      <c r="AV25" t="str">
        <f ca="1">IFERROR(IF(0=LEN(ReferenceData!$AV$25),"",ReferenceData!$AV$25),"")</f>
        <v/>
      </c>
      <c r="AW25" t="str">
        <f ca="1">IFERROR(IF(0=LEN(ReferenceData!$AW$25),"",ReferenceData!$AW$25),"")</f>
        <v/>
      </c>
      <c r="AX25" t="str">
        <f ca="1">IFERROR(IF(0=LEN(ReferenceData!$AX$25),"",ReferenceData!$AX$25),"")</f>
        <v/>
      </c>
      <c r="AY25" t="str">
        <f ca="1">IFERROR(IF(0=LEN(ReferenceData!$AY$25),"",ReferenceData!$AY$25),"")</f>
        <v/>
      </c>
      <c r="AZ25" t="str">
        <f ca="1">IFERROR(IF(0=LEN(ReferenceData!$AZ$25),"",ReferenceData!$AZ$25),"")</f>
        <v/>
      </c>
      <c r="BA25" t="str">
        <f ca="1">IFERROR(IF(0=LEN(ReferenceData!$BA$25),"",ReferenceData!$BA$25),"")</f>
        <v/>
      </c>
      <c r="BB25" t="str">
        <f ca="1">IFERROR(IF(0=LEN(ReferenceData!$BB$25),"",ReferenceData!$BB$25),"")</f>
        <v/>
      </c>
      <c r="BC25" t="str">
        <f ca="1">IFERROR(IF(0=LEN(ReferenceData!$BC$25),"",ReferenceData!$BC$25),"")</f>
        <v/>
      </c>
      <c r="BD25" t="str">
        <f ca="1">IFERROR(IF(0=LEN(ReferenceData!$BD$25),"",ReferenceData!$BD$25),"")</f>
        <v/>
      </c>
      <c r="BE25" t="str">
        <f ca="1">IFERROR(IF(0=LEN(ReferenceData!$BE$25),"",ReferenceData!$BE$25),"")</f>
        <v/>
      </c>
      <c r="BF25" t="str">
        <f ca="1">IFERROR(IF(0=LEN(ReferenceData!$BF$25),"",ReferenceData!$BF$25),"")</f>
        <v/>
      </c>
      <c r="BG25" t="str">
        <f ca="1">IFERROR(IF(0=LEN(ReferenceData!$BG$25),"",ReferenceData!$BG$25),"")</f>
        <v/>
      </c>
      <c r="BH25" t="str">
        <f ca="1">IFERROR(IF(0=LEN(ReferenceData!$BH$25),"",ReferenceData!$BH$25),"")</f>
        <v/>
      </c>
      <c r="BI25" t="str">
        <f ca="1">IFERROR(IF(0=LEN(ReferenceData!$BI$25),"",ReferenceData!$BI$25),"")</f>
        <v/>
      </c>
      <c r="BJ25" t="str">
        <f ca="1">IFERROR(IF(0=LEN(ReferenceData!$BJ$25),"",ReferenceData!$BJ$25),"")</f>
        <v/>
      </c>
      <c r="BK25" t="str">
        <f ca="1">IFERROR(IF(0=LEN(ReferenceData!$BK$25),"",ReferenceData!$BK$25),"")</f>
        <v/>
      </c>
      <c r="BL25" t="str">
        <f ca="1">IFERROR(IF(0=LEN(ReferenceData!$BL$25),"",ReferenceData!$BL$25),"")</f>
        <v/>
      </c>
      <c r="BM25" t="str">
        <f ca="1">IFERROR(IF(0=LEN(ReferenceData!$BM$25),"",ReferenceData!$BM$25),"")</f>
        <v/>
      </c>
      <c r="BN25" t="str">
        <f ca="1">IFERROR(IF(0=LEN(ReferenceData!$BN$25),"",ReferenceData!$BN$25),"")</f>
        <v/>
      </c>
      <c r="BO25" t="str">
        <f ca="1">IFERROR(IF(0=LEN(ReferenceData!$BO$25),"",ReferenceData!$BO$25),"")</f>
        <v/>
      </c>
      <c r="BP25" t="str">
        <f ca="1">IFERROR(IF(0=LEN(ReferenceData!$BP$25),"",ReferenceData!$BP$25),"")</f>
        <v/>
      </c>
      <c r="BQ25" t="str">
        <f ca="1">IFERROR(IF(0=LEN(ReferenceData!$BQ$25),"",ReferenceData!$BQ$25),"")</f>
        <v/>
      </c>
      <c r="BR25" t="str">
        <f ca="1">IFERROR(IF(0=LEN(ReferenceData!$BR$25),"",ReferenceData!$BR$25),"")</f>
        <v/>
      </c>
      <c r="BS25" t="str">
        <f ca="1">IFERROR(IF(0=LEN(ReferenceData!$BS$25),"",ReferenceData!$BS$25),"")</f>
        <v/>
      </c>
      <c r="BT25" t="str">
        <f ca="1">IFERROR(IF(0=LEN(ReferenceData!$BT$25),"",ReferenceData!$BT$25),"")</f>
        <v/>
      </c>
      <c r="BU25" t="str">
        <f ca="1">IFERROR(IF(0=LEN(ReferenceData!$BU$25),"",ReferenceData!$BU$25),"")</f>
        <v/>
      </c>
      <c r="BV25" t="str">
        <f ca="1">IFERROR(IF(0=LEN(ReferenceData!$BV$25),"",ReferenceData!$BV$25),"")</f>
        <v/>
      </c>
      <c r="BW25" t="str">
        <f ca="1">IFERROR(IF(0=LEN(ReferenceData!$BW$25),"",ReferenceData!$BW$25),"")</f>
        <v/>
      </c>
      <c r="BX25" t="str">
        <f ca="1">IFERROR(IF(0=LEN(ReferenceData!$BX$25),"",ReferenceData!$BX$25),"")</f>
        <v/>
      </c>
      <c r="BY25" t="str">
        <f ca="1">IFERROR(IF(0=LEN(ReferenceData!$BY$25),"",ReferenceData!$BY$25),"")</f>
        <v/>
      </c>
      <c r="BZ25" t="str">
        <f ca="1">IFERROR(IF(0=LEN(ReferenceData!$BZ$25),"",ReferenceData!$BZ$25),"")</f>
        <v/>
      </c>
      <c r="CA25" t="str">
        <f ca="1">IFERROR(IF(0=LEN(ReferenceData!$CA$25),"",ReferenceData!$CA$25),"")</f>
        <v/>
      </c>
      <c r="CB25" t="str">
        <f ca="1">IFERROR(IF(0=LEN(ReferenceData!$CB$25),"",ReferenceData!$CB$25),"")</f>
        <v/>
      </c>
      <c r="CC25" t="str">
        <f ca="1">IFERROR(IF(0=LEN(ReferenceData!$CC$25),"",ReferenceData!$CC$25),"")</f>
        <v/>
      </c>
      <c r="CD25" t="str">
        <f ca="1">IFERROR(IF(0=LEN(ReferenceData!$CD$25),"",ReferenceData!$CD$25),"")</f>
        <v/>
      </c>
      <c r="CE25" t="str">
        <f ca="1">IFERROR(IF(0=LEN(ReferenceData!$CE$25),"",ReferenceData!$CE$25),"")</f>
        <v/>
      </c>
      <c r="CF25" t="str">
        <f ca="1">IFERROR(IF(0=LEN(ReferenceData!$CF$25),"",ReferenceData!$CF$25),"")</f>
        <v/>
      </c>
      <c r="CG25" t="str">
        <f ca="1">IFERROR(IF(0=LEN(ReferenceData!$CG$25),"",ReferenceData!$CG$25),"")</f>
        <v/>
      </c>
      <c r="CH25" t="str">
        <f ca="1">IFERROR(IF(0=LEN(ReferenceData!$CH$25),"",ReferenceData!$CH$25),"")</f>
        <v/>
      </c>
      <c r="CI25" t="str">
        <f ca="1">IFERROR(IF(0=LEN(ReferenceData!$CI$25),"",ReferenceData!$CI$25),"")</f>
        <v/>
      </c>
      <c r="CJ25" t="str">
        <f ca="1">IFERROR(IF(0=LEN(ReferenceData!$CJ$25),"",ReferenceData!$CJ$25),"")</f>
        <v/>
      </c>
      <c r="CK25" t="str">
        <f ca="1">IFERROR(IF(0=LEN(ReferenceData!$CK$25),"",ReferenceData!$CK$25),"")</f>
        <v/>
      </c>
    </row>
    <row r="26" spans="1:89">
      <c r="A26" t="str">
        <f>IFERROR(IF(0=LEN(ReferenceData!$A$26),"",ReferenceData!$A$26),"")</f>
        <v xml:space="preserve">    UDR 公司</v>
      </c>
      <c r="B26" t="str">
        <f>IFERROR(IF(0=LEN(ReferenceData!$B$26),"",ReferenceData!$B$26),"")</f>
        <v>UDR US Equity</v>
      </c>
      <c r="C26" t="str">
        <f>IFERROR(IF(0=LEN(ReferenceData!$C$26),"",ReferenceData!$C$26),"")</f>
        <v>BE249</v>
      </c>
      <c r="D26" t="str">
        <f>IFERROR(IF(0=LEN(ReferenceData!$D$26),"",ReferenceData!$D$26),"")</f>
        <v>BEST_PRICE_FFO_RATIO</v>
      </c>
      <c r="E26" t="str">
        <f>IFERROR(IF(0=LEN(ReferenceData!$E$26),"",ReferenceData!$E$26),"")</f>
        <v>动态</v>
      </c>
      <c r="F26">
        <f ca="1">IFERROR(IF(0=LEN(ReferenceData!$F$26),"",ReferenceData!$F$26),"")</f>
        <v>18.94849769</v>
      </c>
      <c r="G26">
        <f ca="1">IFERROR(IF(0=LEN(ReferenceData!$G$26),"",ReferenceData!$G$26),"")</f>
        <v>18.036480690000001</v>
      </c>
      <c r="H26">
        <f ca="1">IFERROR(IF(0=LEN(ReferenceData!$H$26),"",ReferenceData!$H$26),"")</f>
        <v>19.597639480000002</v>
      </c>
      <c r="I26">
        <f ca="1">IFERROR(IF(0=LEN(ReferenceData!$I$26),"",ReferenceData!$I$26),"")</f>
        <v>20.643086820000001</v>
      </c>
      <c r="J26">
        <f ca="1">IFERROR(IF(0=LEN(ReferenceData!$J$26),"",ReferenceData!$J$26),"")</f>
        <v>21.088471850000001</v>
      </c>
      <c r="K26">
        <f ca="1">IFERROR(IF(0=LEN(ReferenceData!$K$26),"",ReferenceData!$K$26),"")</f>
        <v>20.877287410000001</v>
      </c>
      <c r="L26">
        <f ca="1">IFERROR(IF(0=LEN(ReferenceData!$L$26),"",ReferenceData!$L$26),"")</f>
        <v>20.41331186</v>
      </c>
      <c r="M26">
        <f ca="1">IFERROR(IF(0=LEN(ReferenceData!$M$26),"",ReferenceData!$M$26),"")</f>
        <v>20.859752820000001</v>
      </c>
      <c r="N26">
        <f ca="1">IFERROR(IF(0=LEN(ReferenceData!$N$26),"",ReferenceData!$N$26),"")</f>
        <v>21.016129029999998</v>
      </c>
      <c r="O26">
        <f ca="1">IFERROR(IF(0=LEN(ReferenceData!$O$26),"",ReferenceData!$O$26),"")</f>
        <v>20.974165769999999</v>
      </c>
      <c r="P26">
        <f ca="1">IFERROR(IF(0=LEN(ReferenceData!$P$26),"",ReferenceData!$P$26),"")</f>
        <v>20.780409039999999</v>
      </c>
      <c r="Q26">
        <f ca="1">IFERROR(IF(0=LEN(ReferenceData!$Q$26),"",ReferenceData!$Q$26),"")</f>
        <v>20.129380050000002</v>
      </c>
      <c r="R26">
        <f ca="1">IFERROR(IF(0=LEN(ReferenceData!$R$26),"",ReferenceData!$R$26),"")</f>
        <v>19.55771305</v>
      </c>
      <c r="S26">
        <f ca="1">IFERROR(IF(0=LEN(ReferenceData!$S$26),"",ReferenceData!$S$26),"")</f>
        <v>19.68716289</v>
      </c>
      <c r="T26">
        <f ca="1">IFERROR(IF(0=LEN(ReferenceData!$T$26),"",ReferenceData!$T$26),"")</f>
        <v>18.75</v>
      </c>
      <c r="U26">
        <f ca="1">IFERROR(IF(0=LEN(ReferenceData!$U$26),"",ReferenceData!$U$26),"")</f>
        <v>19.560321720000001</v>
      </c>
      <c r="V26">
        <f ca="1">IFERROR(IF(0=LEN(ReferenceData!$V$26),"",ReferenceData!$V$26),"")</f>
        <v>18.20320856</v>
      </c>
      <c r="W26">
        <f ca="1">IFERROR(IF(0=LEN(ReferenceData!$W$26),"",ReferenceData!$W$26),"")</f>
        <v>18.70053476</v>
      </c>
      <c r="X26">
        <f ca="1">IFERROR(IF(0=LEN(ReferenceData!$X$26),"",ReferenceData!$X$26),"")</f>
        <v>19.12327311</v>
      </c>
      <c r="Y26">
        <f ca="1">IFERROR(IF(0=LEN(ReferenceData!$Y$26),"",ReferenceData!$Y$26),"")</f>
        <v>19.173290940000001</v>
      </c>
      <c r="Z26">
        <f ca="1">IFERROR(IF(0=LEN(ReferenceData!$Z$26),"",ReferenceData!$Z$26),"")</f>
        <v>19.698412699999999</v>
      </c>
      <c r="AA26">
        <f ca="1">IFERROR(IF(0=LEN(ReferenceData!$AA$26),"",ReferenceData!$AA$26),"")</f>
        <v>19.534391530000001</v>
      </c>
      <c r="AB26">
        <f ca="1">IFERROR(IF(0=LEN(ReferenceData!$AB$26),"",ReferenceData!$AB$26),"")</f>
        <v>18.973143759999999</v>
      </c>
      <c r="AC26">
        <f ca="1">IFERROR(IF(0=LEN(ReferenceData!$AC$26),"",ReferenceData!$AC$26),"")</f>
        <v>18.39831401</v>
      </c>
      <c r="AD26">
        <f ca="1">IFERROR(IF(0=LEN(ReferenceData!$AD$26),"",ReferenceData!$AD$26),"")</f>
        <v>20.236344540000001</v>
      </c>
      <c r="AE26">
        <f ca="1">IFERROR(IF(0=LEN(ReferenceData!$AE$26),"",ReferenceData!$AE$26),"")</f>
        <v>18.020997380000001</v>
      </c>
      <c r="AF26">
        <f ca="1">IFERROR(IF(0=LEN(ReferenceData!$AF$26),"",ReferenceData!$AF$26),"")</f>
        <v>18.555787280000001</v>
      </c>
      <c r="AG26">
        <f ca="1">IFERROR(IF(0=LEN(ReferenceData!$AG$26),"",ReferenceData!$AG$26),"")</f>
        <v>19.527027029999999</v>
      </c>
      <c r="AH26">
        <f ca="1">IFERROR(IF(0=LEN(ReferenceData!$AH$26),"",ReferenceData!$AH$26),"")</f>
        <v>19.203954209999999</v>
      </c>
      <c r="AI26">
        <f ca="1">IFERROR(IF(0=LEN(ReferenceData!$AI$26),"",ReferenceData!$AI$26),"")</f>
        <v>18.051335779999999</v>
      </c>
      <c r="AJ26">
        <f ca="1">IFERROR(IF(0=LEN(ReferenceData!$AJ$26),"",ReferenceData!$AJ$26),"")</f>
        <v>18.340425530000001</v>
      </c>
      <c r="AK26">
        <f ca="1">IFERROR(IF(0=LEN(ReferenceData!$AK$26),"",ReferenceData!$AK$26),"")</f>
        <v>17.21748401</v>
      </c>
      <c r="AL26">
        <f ca="1">IFERROR(IF(0=LEN(ReferenceData!$AL$26),"",ReferenceData!$AL$26),"")</f>
        <v>18.167651800000002</v>
      </c>
      <c r="AM26">
        <f ca="1">IFERROR(IF(0=LEN(ReferenceData!$AM$26),"",ReferenceData!$AM$26),"")</f>
        <v>17.332251079999999</v>
      </c>
      <c r="AN26">
        <f ca="1">IFERROR(IF(0=LEN(ReferenceData!$AN$26),"",ReferenceData!$AN$26),"")</f>
        <v>17.792349730000002</v>
      </c>
      <c r="AO26">
        <f ca="1">IFERROR(IF(0=LEN(ReferenceData!$AO$26),"",ReferenceData!$AO$26),"")</f>
        <v>17.936507939999998</v>
      </c>
      <c r="AP26">
        <f ca="1">IFERROR(IF(0=LEN(ReferenceData!$AP$26),"",ReferenceData!$AP$26),"")</f>
        <v>18.646575339999998</v>
      </c>
      <c r="AQ26">
        <f ca="1">IFERROR(IF(0=LEN(ReferenceData!$AQ$26),"",ReferenceData!$AQ$26),"")</f>
        <v>17.520570490000001</v>
      </c>
      <c r="AR26" t="str">
        <f ca="1">IFERROR(IF(0=LEN(ReferenceData!$AR$26),"",ReferenceData!$AR$26),"")</f>
        <v/>
      </c>
      <c r="AS26" t="str">
        <f ca="1">IFERROR(IF(0=LEN(ReferenceData!$AS$26),"",ReferenceData!$AS$26),"")</f>
        <v/>
      </c>
      <c r="AT26" t="str">
        <f ca="1">IFERROR(IF(0=LEN(ReferenceData!$AT$26),"",ReferenceData!$AT$26),"")</f>
        <v/>
      </c>
      <c r="AU26" t="str">
        <f ca="1">IFERROR(IF(0=LEN(ReferenceData!$AU$26),"",ReferenceData!$AU$26),"")</f>
        <v/>
      </c>
      <c r="AV26" t="str">
        <f ca="1">IFERROR(IF(0=LEN(ReferenceData!$AV$26),"",ReferenceData!$AV$26),"")</f>
        <v/>
      </c>
      <c r="AW26" t="str">
        <f ca="1">IFERROR(IF(0=LEN(ReferenceData!$AW$26),"",ReferenceData!$AW$26),"")</f>
        <v/>
      </c>
      <c r="AX26" t="str">
        <f ca="1">IFERROR(IF(0=LEN(ReferenceData!$AX$26),"",ReferenceData!$AX$26),"")</f>
        <v/>
      </c>
      <c r="AY26" t="str">
        <f ca="1">IFERROR(IF(0=LEN(ReferenceData!$AY$26),"",ReferenceData!$AY$26),"")</f>
        <v/>
      </c>
      <c r="AZ26" t="str">
        <f ca="1">IFERROR(IF(0=LEN(ReferenceData!$AZ$26),"",ReferenceData!$AZ$26),"")</f>
        <v/>
      </c>
      <c r="BA26" t="str">
        <f ca="1">IFERROR(IF(0=LEN(ReferenceData!$BA$26),"",ReferenceData!$BA$26),"")</f>
        <v/>
      </c>
      <c r="BB26" t="str">
        <f ca="1">IFERROR(IF(0=LEN(ReferenceData!$BB$26),"",ReferenceData!$BB$26),"")</f>
        <v/>
      </c>
      <c r="BC26" t="str">
        <f ca="1">IFERROR(IF(0=LEN(ReferenceData!$BC$26),"",ReferenceData!$BC$26),"")</f>
        <v/>
      </c>
      <c r="BD26" t="str">
        <f ca="1">IFERROR(IF(0=LEN(ReferenceData!$BD$26),"",ReferenceData!$BD$26),"")</f>
        <v/>
      </c>
      <c r="BE26" t="str">
        <f ca="1">IFERROR(IF(0=LEN(ReferenceData!$BE$26),"",ReferenceData!$BE$26),"")</f>
        <v/>
      </c>
      <c r="BF26" t="str">
        <f ca="1">IFERROR(IF(0=LEN(ReferenceData!$BF$26),"",ReferenceData!$BF$26),"")</f>
        <v/>
      </c>
      <c r="BG26" t="str">
        <f ca="1">IFERROR(IF(0=LEN(ReferenceData!$BG$26),"",ReferenceData!$BG$26),"")</f>
        <v/>
      </c>
      <c r="BH26" t="str">
        <f ca="1">IFERROR(IF(0=LEN(ReferenceData!$BH$26),"",ReferenceData!$BH$26),"")</f>
        <v/>
      </c>
      <c r="BI26" t="str">
        <f ca="1">IFERROR(IF(0=LEN(ReferenceData!$BI$26),"",ReferenceData!$BI$26),"")</f>
        <v/>
      </c>
      <c r="BJ26" t="str">
        <f ca="1">IFERROR(IF(0=LEN(ReferenceData!$BJ$26),"",ReferenceData!$BJ$26),"")</f>
        <v/>
      </c>
      <c r="BK26" t="str">
        <f ca="1">IFERROR(IF(0=LEN(ReferenceData!$BK$26),"",ReferenceData!$BK$26),"")</f>
        <v/>
      </c>
      <c r="BL26" t="str">
        <f ca="1">IFERROR(IF(0=LEN(ReferenceData!$BL$26),"",ReferenceData!$BL$26),"")</f>
        <v/>
      </c>
      <c r="BM26" t="str">
        <f ca="1">IFERROR(IF(0=LEN(ReferenceData!$BM$26),"",ReferenceData!$BM$26),"")</f>
        <v/>
      </c>
      <c r="BN26" t="str">
        <f ca="1">IFERROR(IF(0=LEN(ReferenceData!$BN$26),"",ReferenceData!$BN$26),"")</f>
        <v/>
      </c>
      <c r="BO26" t="str">
        <f ca="1">IFERROR(IF(0=LEN(ReferenceData!$BO$26),"",ReferenceData!$BO$26),"")</f>
        <v/>
      </c>
      <c r="BP26" t="str">
        <f ca="1">IFERROR(IF(0=LEN(ReferenceData!$BP$26),"",ReferenceData!$BP$26),"")</f>
        <v/>
      </c>
      <c r="BQ26" t="str">
        <f ca="1">IFERROR(IF(0=LEN(ReferenceData!$BQ$26),"",ReferenceData!$BQ$26),"")</f>
        <v/>
      </c>
      <c r="BR26" t="str">
        <f ca="1">IFERROR(IF(0=LEN(ReferenceData!$BR$26),"",ReferenceData!$BR$26),"")</f>
        <v/>
      </c>
      <c r="BS26" t="str">
        <f ca="1">IFERROR(IF(0=LEN(ReferenceData!$BS$26),"",ReferenceData!$BS$26),"")</f>
        <v/>
      </c>
      <c r="BT26" t="str">
        <f ca="1">IFERROR(IF(0=LEN(ReferenceData!$BT$26),"",ReferenceData!$BT$26),"")</f>
        <v/>
      </c>
      <c r="BU26" t="str">
        <f ca="1">IFERROR(IF(0=LEN(ReferenceData!$BU$26),"",ReferenceData!$BU$26),"")</f>
        <v/>
      </c>
      <c r="BV26" t="str">
        <f ca="1">IFERROR(IF(0=LEN(ReferenceData!$BV$26),"",ReferenceData!$BV$26),"")</f>
        <v/>
      </c>
      <c r="BW26" t="str">
        <f ca="1">IFERROR(IF(0=LEN(ReferenceData!$BW$26),"",ReferenceData!$BW$26),"")</f>
        <v/>
      </c>
      <c r="BX26" t="str">
        <f ca="1">IFERROR(IF(0=LEN(ReferenceData!$BX$26),"",ReferenceData!$BX$26),"")</f>
        <v/>
      </c>
      <c r="BY26" t="str">
        <f ca="1">IFERROR(IF(0=LEN(ReferenceData!$BY$26),"",ReferenceData!$BY$26),"")</f>
        <v/>
      </c>
      <c r="BZ26" t="str">
        <f ca="1">IFERROR(IF(0=LEN(ReferenceData!$BZ$26),"",ReferenceData!$BZ$26),"")</f>
        <v/>
      </c>
      <c r="CA26" t="str">
        <f ca="1">IFERROR(IF(0=LEN(ReferenceData!$CA$26),"",ReferenceData!$CA$26),"")</f>
        <v/>
      </c>
      <c r="CB26" t="str">
        <f ca="1">IFERROR(IF(0=LEN(ReferenceData!$CB$26),"",ReferenceData!$CB$26),"")</f>
        <v/>
      </c>
      <c r="CC26" t="str">
        <f ca="1">IFERROR(IF(0=LEN(ReferenceData!$CC$26),"",ReferenceData!$CC$26),"")</f>
        <v/>
      </c>
      <c r="CD26" t="str">
        <f ca="1">IFERROR(IF(0=LEN(ReferenceData!$CD$26),"",ReferenceData!$CD$26),"")</f>
        <v/>
      </c>
      <c r="CE26" t="str">
        <f ca="1">IFERROR(IF(0=LEN(ReferenceData!$CE$26),"",ReferenceData!$CE$26),"")</f>
        <v/>
      </c>
      <c r="CF26" t="str">
        <f ca="1">IFERROR(IF(0=LEN(ReferenceData!$CF$26),"",ReferenceData!$CF$26),"")</f>
        <v/>
      </c>
      <c r="CG26" t="str">
        <f ca="1">IFERROR(IF(0=LEN(ReferenceData!$CG$26),"",ReferenceData!$CG$26),"")</f>
        <v/>
      </c>
      <c r="CH26" t="str">
        <f ca="1">IFERROR(IF(0=LEN(ReferenceData!$CH$26),"",ReferenceData!$CH$26),"")</f>
        <v/>
      </c>
      <c r="CI26" t="str">
        <f ca="1">IFERROR(IF(0=LEN(ReferenceData!$CI$26),"",ReferenceData!$CI$26),"")</f>
        <v/>
      </c>
      <c r="CJ26" t="str">
        <f ca="1">IFERROR(IF(0=LEN(ReferenceData!$CJ$26),"",ReferenceData!$CJ$26),"")</f>
        <v/>
      </c>
      <c r="CK26" t="str">
        <f ca="1">IFERROR(IF(0=LEN(ReferenceData!$CK$26),"",ReferenceData!$CK$26),"")</f>
        <v/>
      </c>
    </row>
    <row r="27" spans="1:89">
      <c r="A27" t="str">
        <f>IFERROR(IF(0=LEN(ReferenceData!$A$27),"",ReferenceData!$A$27),"")</f>
        <v>2018年预测P/FFO</v>
      </c>
      <c r="B27" t="str">
        <f>IFERROR(IF(0=LEN(ReferenceData!$B$27),"",ReferenceData!$B$27),"")</f>
        <v>BRFREITV Index</v>
      </c>
      <c r="C27" t="str">
        <f>IFERROR(IF(0=LEN(ReferenceData!$C$27),"",ReferenceData!$C$27),"")</f>
        <v/>
      </c>
      <c r="D27" t="str">
        <f>IFERROR(IF(0=LEN(ReferenceData!$D$27),"",ReferenceData!$D$27),"")</f>
        <v/>
      </c>
      <c r="E27" t="str">
        <f>IFERROR(IF(0=LEN(ReferenceData!$E$27),"",ReferenceData!$E$27),"")</f>
        <v>Median</v>
      </c>
      <c r="F27">
        <f ca="1">IFERROR(IF(0=LEN(ReferenceData!$F$27),"",ReferenceData!$F$27),"")</f>
        <v>18.067114570000001</v>
      </c>
      <c r="G27">
        <f ca="1">IFERROR(IF(0=LEN(ReferenceData!$G$27),"",ReferenceData!$G$27),"")</f>
        <v>17.303139479999999</v>
      </c>
      <c r="H27">
        <f ca="1">IFERROR(IF(0=LEN(ReferenceData!$H$27),"",ReferenceData!$H$27),"")</f>
        <v>18.543147210000001</v>
      </c>
      <c r="I27">
        <f ca="1">IFERROR(IF(0=LEN(ReferenceData!$I$27),"",ReferenceData!$I$27),"")</f>
        <v>19.387148589999999</v>
      </c>
      <c r="J27">
        <f ca="1">IFERROR(IF(0=LEN(ReferenceData!$J$27),"",ReferenceData!$J$27),"")</f>
        <v>19.83218243</v>
      </c>
      <c r="K27">
        <f ca="1">IFERROR(IF(0=LEN(ReferenceData!$K$27),"",ReferenceData!$K$27),"")</f>
        <v>19.770642200000001</v>
      </c>
      <c r="L27">
        <f ca="1">IFERROR(IF(0=LEN(ReferenceData!$L$27),"",ReferenceData!$L$27),"")</f>
        <v>19.412965799999998</v>
      </c>
      <c r="M27">
        <f ca="1">IFERROR(IF(0=LEN(ReferenceData!$M$27),"",ReferenceData!$M$27),"")</f>
        <v>19.80612245</v>
      </c>
      <c r="N27">
        <f ca="1">IFERROR(IF(0=LEN(ReferenceData!$N$27),"",ReferenceData!$N$27),"")</f>
        <v>19.96424923</v>
      </c>
      <c r="O27">
        <f ca="1">IFERROR(IF(0=LEN(ReferenceData!$O$27),"",ReferenceData!$O$27),"")</f>
        <v>19.93350384</v>
      </c>
      <c r="P27">
        <f ca="1">IFERROR(IF(0=LEN(ReferenceData!$P$27),"",ReferenceData!$P$27),"")</f>
        <v>19.78985136</v>
      </c>
      <c r="Q27">
        <f ca="1">IFERROR(IF(0=LEN(ReferenceData!$Q$27),"",ReferenceData!$Q$27),"")</f>
        <v>19.237506440000001</v>
      </c>
      <c r="R27">
        <f ca="1">IFERROR(IF(0=LEN(ReferenceData!$R$27),"",ReferenceData!$R$27),"")</f>
        <v>18.68109222</v>
      </c>
      <c r="S27">
        <f ca="1">IFERROR(IF(0=LEN(ReferenceData!$S$27),"",ReferenceData!$S$27),"")</f>
        <v>18.81443299</v>
      </c>
      <c r="T27">
        <f ca="1">IFERROR(IF(0=LEN(ReferenceData!$T$27),"",ReferenceData!$T$27),"")</f>
        <v>17.768174890000001</v>
      </c>
      <c r="U27">
        <f ca="1">IFERROR(IF(0=LEN(ReferenceData!$U$27),"",ReferenceData!$U$27),"")</f>
        <v>18.46153846</v>
      </c>
      <c r="V27">
        <f ca="1">IFERROR(IF(0=LEN(ReferenceData!$V$27),"",ReferenceData!$V$27),"")</f>
        <v>17.237745489999998</v>
      </c>
      <c r="W27">
        <f ca="1">IFERROR(IF(0=LEN(ReferenceData!$W$27),"",ReferenceData!$W$27),"")</f>
        <v>17.14091273</v>
      </c>
      <c r="X27">
        <f ca="1">IFERROR(IF(0=LEN(ReferenceData!$X$27),"",ReferenceData!$X$27),"")</f>
        <v>17.769089600000001</v>
      </c>
      <c r="Y27">
        <f ca="1">IFERROR(IF(0=LEN(ReferenceData!$Y$27),"",ReferenceData!$Y$27),"")</f>
        <v>18.09994421</v>
      </c>
      <c r="Z27">
        <f ca="1">IFERROR(IF(0=LEN(ReferenceData!$Z$27),"",ReferenceData!$Z$27),"")</f>
        <v>18.531607770000001</v>
      </c>
      <c r="AA27">
        <f ca="1">IFERROR(IF(0=LEN(ReferenceData!$AA$27),"",ReferenceData!$AA$27),"")</f>
        <v>18.223099699999999</v>
      </c>
      <c r="AB27">
        <f ca="1">IFERROR(IF(0=LEN(ReferenceData!$AB$27),"",ReferenceData!$AB$27),"")</f>
        <v>17.740029539999998</v>
      </c>
      <c r="AC27">
        <f ca="1">IFERROR(IF(0=LEN(ReferenceData!$AC$27),"",ReferenceData!$AC$27),"")</f>
        <v>17.126320700000001</v>
      </c>
      <c r="AD27">
        <f ca="1">IFERROR(IF(0=LEN(ReferenceData!$AD$27),"",ReferenceData!$AD$27),"")</f>
        <v>18.081026749999999</v>
      </c>
      <c r="AE27">
        <f ca="1">IFERROR(IF(0=LEN(ReferenceData!$AE$27),"",ReferenceData!$AE$27),"")</f>
        <v>16.329588009999998</v>
      </c>
      <c r="AF27">
        <f ca="1">IFERROR(IF(0=LEN(ReferenceData!$AF$27),"",ReferenceData!$AF$27),"")</f>
        <v>15.63904629</v>
      </c>
      <c r="AG27">
        <f ca="1">IFERROR(IF(0=LEN(ReferenceData!$AG$27),"",ReferenceData!$AG$27),"")</f>
        <v>16.039167150000001</v>
      </c>
      <c r="AH27">
        <f ca="1">IFERROR(IF(0=LEN(ReferenceData!$AH$27),"",ReferenceData!$AH$27),"")</f>
        <v>18.97117154</v>
      </c>
      <c r="AI27">
        <f ca="1">IFERROR(IF(0=LEN(ReferenceData!$AI$27),"",ReferenceData!$AI$27),"")</f>
        <v>16.331775700000001</v>
      </c>
      <c r="AJ27">
        <f ca="1">IFERROR(IF(0=LEN(ReferenceData!$AJ$27),"",ReferenceData!$AJ$27),"")</f>
        <v>16.11214953</v>
      </c>
      <c r="AK27">
        <f ca="1">IFERROR(IF(0=LEN(ReferenceData!$AK$27),"",ReferenceData!$AK$27),"")</f>
        <v>15.914772724999999</v>
      </c>
      <c r="AL27">
        <f ca="1">IFERROR(IF(0=LEN(ReferenceData!$AL$27),"",ReferenceData!$AL$27),"")</f>
        <v>16.51599702</v>
      </c>
      <c r="AM27" t="str">
        <f ca="1">IFERROR(IF(0=LEN(ReferenceData!$AM$27),"",ReferenceData!$AM$27),"")</f>
        <v/>
      </c>
      <c r="AN27" t="str">
        <f ca="1">IFERROR(IF(0=LEN(ReferenceData!$AN$27),"",ReferenceData!$AN$27),"")</f>
        <v/>
      </c>
      <c r="AO27" t="str">
        <f ca="1">IFERROR(IF(0=LEN(ReferenceData!$AO$27),"",ReferenceData!$AO$27),"")</f>
        <v/>
      </c>
      <c r="AP27" t="str">
        <f ca="1">IFERROR(IF(0=LEN(ReferenceData!$AP$27),"",ReferenceData!$AP$27),"")</f>
        <v/>
      </c>
      <c r="AQ27" t="str">
        <f ca="1">IFERROR(IF(0=LEN(ReferenceData!$AQ$27),"",ReferenceData!$AQ$27),"")</f>
        <v/>
      </c>
      <c r="AR27" t="str">
        <f ca="1">IFERROR(IF(0=LEN(ReferenceData!$AR$27),"",ReferenceData!$AR$27),"")</f>
        <v/>
      </c>
      <c r="AS27" t="str">
        <f ca="1">IFERROR(IF(0=LEN(ReferenceData!$AS$27),"",ReferenceData!$AS$27),"")</f>
        <v/>
      </c>
      <c r="AT27" t="str">
        <f ca="1">IFERROR(IF(0=LEN(ReferenceData!$AT$27),"",ReferenceData!$AT$27),"")</f>
        <v/>
      </c>
      <c r="AU27" t="str">
        <f ca="1">IFERROR(IF(0=LEN(ReferenceData!$AU$27),"",ReferenceData!$AU$27),"")</f>
        <v/>
      </c>
      <c r="AV27" t="str">
        <f ca="1">IFERROR(IF(0=LEN(ReferenceData!$AV$27),"",ReferenceData!$AV$27),"")</f>
        <v/>
      </c>
      <c r="AW27" t="str">
        <f ca="1">IFERROR(IF(0=LEN(ReferenceData!$AW$27),"",ReferenceData!$AW$27),"")</f>
        <v/>
      </c>
      <c r="AX27" t="str">
        <f ca="1">IFERROR(IF(0=LEN(ReferenceData!$AX$27),"",ReferenceData!$AX$27),"")</f>
        <v/>
      </c>
      <c r="AY27" t="str">
        <f ca="1">IFERROR(IF(0=LEN(ReferenceData!$AY$27),"",ReferenceData!$AY$27),"")</f>
        <v/>
      </c>
      <c r="AZ27" t="str">
        <f ca="1">IFERROR(IF(0=LEN(ReferenceData!$AZ$27),"",ReferenceData!$AZ$27),"")</f>
        <v/>
      </c>
      <c r="BA27" t="str">
        <f ca="1">IFERROR(IF(0=LEN(ReferenceData!$BA$27),"",ReferenceData!$BA$27),"")</f>
        <v/>
      </c>
      <c r="BB27" t="str">
        <f ca="1">IFERROR(IF(0=LEN(ReferenceData!$BB$27),"",ReferenceData!$BB$27),"")</f>
        <v/>
      </c>
      <c r="BC27" t="str">
        <f ca="1">IFERROR(IF(0=LEN(ReferenceData!$BC$27),"",ReferenceData!$BC$27),"")</f>
        <v/>
      </c>
      <c r="BD27" t="str">
        <f ca="1">IFERROR(IF(0=LEN(ReferenceData!$BD$27),"",ReferenceData!$BD$27),"")</f>
        <v/>
      </c>
      <c r="BE27" t="str">
        <f ca="1">IFERROR(IF(0=LEN(ReferenceData!$BE$27),"",ReferenceData!$BE$27),"")</f>
        <v/>
      </c>
      <c r="BF27" t="str">
        <f ca="1">IFERROR(IF(0=LEN(ReferenceData!$BF$27),"",ReferenceData!$BF$27),"")</f>
        <v/>
      </c>
      <c r="BG27" t="str">
        <f ca="1">IFERROR(IF(0=LEN(ReferenceData!$BG$27),"",ReferenceData!$BG$27),"")</f>
        <v/>
      </c>
      <c r="BH27" t="str">
        <f ca="1">IFERROR(IF(0=LEN(ReferenceData!$BH$27),"",ReferenceData!$BH$27),"")</f>
        <v/>
      </c>
      <c r="BI27" t="str">
        <f ca="1">IFERROR(IF(0=LEN(ReferenceData!$BI$27),"",ReferenceData!$BI$27),"")</f>
        <v/>
      </c>
      <c r="BJ27" t="str">
        <f ca="1">IFERROR(IF(0=LEN(ReferenceData!$BJ$27),"",ReferenceData!$BJ$27),"")</f>
        <v/>
      </c>
      <c r="BK27" t="str">
        <f ca="1">IFERROR(IF(0=LEN(ReferenceData!$BK$27),"",ReferenceData!$BK$27),"")</f>
        <v/>
      </c>
      <c r="BL27" t="str">
        <f ca="1">IFERROR(IF(0=LEN(ReferenceData!$BL$27),"",ReferenceData!$BL$27),"")</f>
        <v/>
      </c>
      <c r="BM27" t="str">
        <f ca="1">IFERROR(IF(0=LEN(ReferenceData!$BM$27),"",ReferenceData!$BM$27),"")</f>
        <v/>
      </c>
      <c r="BN27" t="str">
        <f ca="1">IFERROR(IF(0=LEN(ReferenceData!$BN$27),"",ReferenceData!$BN$27),"")</f>
        <v/>
      </c>
      <c r="BO27" t="str">
        <f ca="1">IFERROR(IF(0=LEN(ReferenceData!$BO$27),"",ReferenceData!$BO$27),"")</f>
        <v/>
      </c>
      <c r="BP27" t="str">
        <f ca="1">IFERROR(IF(0=LEN(ReferenceData!$BP$27),"",ReferenceData!$BP$27),"")</f>
        <v/>
      </c>
      <c r="BQ27" t="str">
        <f ca="1">IFERROR(IF(0=LEN(ReferenceData!$BQ$27),"",ReferenceData!$BQ$27),"")</f>
        <v/>
      </c>
      <c r="BR27" t="str">
        <f ca="1">IFERROR(IF(0=LEN(ReferenceData!$BR$27),"",ReferenceData!$BR$27),"")</f>
        <v/>
      </c>
      <c r="BS27" t="str">
        <f ca="1">IFERROR(IF(0=LEN(ReferenceData!$BS$27),"",ReferenceData!$BS$27),"")</f>
        <v/>
      </c>
      <c r="BT27" t="str">
        <f ca="1">IFERROR(IF(0=LEN(ReferenceData!$BT$27),"",ReferenceData!$BT$27),"")</f>
        <v/>
      </c>
      <c r="BU27" t="str">
        <f ca="1">IFERROR(IF(0=LEN(ReferenceData!$BU$27),"",ReferenceData!$BU$27),"")</f>
        <v/>
      </c>
      <c r="BV27" t="str">
        <f ca="1">IFERROR(IF(0=LEN(ReferenceData!$BV$27),"",ReferenceData!$BV$27),"")</f>
        <v/>
      </c>
      <c r="BW27" t="str">
        <f ca="1">IFERROR(IF(0=LEN(ReferenceData!$BW$27),"",ReferenceData!$BW$27),"")</f>
        <v/>
      </c>
      <c r="BX27" t="str">
        <f ca="1">IFERROR(IF(0=LEN(ReferenceData!$BX$27),"",ReferenceData!$BX$27),"")</f>
        <v/>
      </c>
      <c r="BY27" t="str">
        <f ca="1">IFERROR(IF(0=LEN(ReferenceData!$BY$27),"",ReferenceData!$BY$27),"")</f>
        <v/>
      </c>
      <c r="BZ27" t="str">
        <f ca="1">IFERROR(IF(0=LEN(ReferenceData!$BZ$27),"",ReferenceData!$BZ$27),"")</f>
        <v/>
      </c>
      <c r="CA27" t="str">
        <f ca="1">IFERROR(IF(0=LEN(ReferenceData!$CA$27),"",ReferenceData!$CA$27),"")</f>
        <v/>
      </c>
      <c r="CB27" t="str">
        <f ca="1">IFERROR(IF(0=LEN(ReferenceData!$CB$27),"",ReferenceData!$CB$27),"")</f>
        <v/>
      </c>
      <c r="CC27" t="str">
        <f ca="1">IFERROR(IF(0=LEN(ReferenceData!$CC$27),"",ReferenceData!$CC$27),"")</f>
        <v/>
      </c>
      <c r="CD27" t="str">
        <f ca="1">IFERROR(IF(0=LEN(ReferenceData!$CD$27),"",ReferenceData!$CD$27),"")</f>
        <v/>
      </c>
      <c r="CE27" t="str">
        <f ca="1">IFERROR(IF(0=LEN(ReferenceData!$CE$27),"",ReferenceData!$CE$27),"")</f>
        <v/>
      </c>
      <c r="CF27" t="str">
        <f ca="1">IFERROR(IF(0=LEN(ReferenceData!$CF$27),"",ReferenceData!$CF$27),"")</f>
        <v/>
      </c>
      <c r="CG27" t="str">
        <f ca="1">IFERROR(IF(0=LEN(ReferenceData!$CG$27),"",ReferenceData!$CG$27),"")</f>
        <v/>
      </c>
      <c r="CH27" t="str">
        <f ca="1">IFERROR(IF(0=LEN(ReferenceData!$CH$27),"",ReferenceData!$CH$27),"")</f>
        <v/>
      </c>
      <c r="CI27" t="str">
        <f ca="1">IFERROR(IF(0=LEN(ReferenceData!$CI$27),"",ReferenceData!$CI$27),"")</f>
        <v/>
      </c>
      <c r="CJ27" t="str">
        <f ca="1">IFERROR(IF(0=LEN(ReferenceData!$CJ$27),"",ReferenceData!$CJ$27),"")</f>
        <v/>
      </c>
      <c r="CK27" t="str">
        <f ca="1">IFERROR(IF(0=LEN(ReferenceData!$CK$27),"",ReferenceData!$CK$27),"")</f>
        <v/>
      </c>
    </row>
    <row r="28" spans="1:89">
      <c r="A28" t="str">
        <f>IFERROR(IF(0=LEN(ReferenceData!$A$28),"",ReferenceData!$A$28),"")</f>
        <v xml:space="preserve">    公寓投资与管理</v>
      </c>
      <c r="B28" t="str">
        <f>IFERROR(IF(0=LEN(ReferenceData!$B$28),"",ReferenceData!$B$28),"")</f>
        <v>AIV US Equity</v>
      </c>
      <c r="C28" t="str">
        <f>IFERROR(IF(0=LEN(ReferenceData!$C$28),"",ReferenceData!$C$28),"")</f>
        <v>BE249</v>
      </c>
      <c r="D28" t="str">
        <f>IFERROR(IF(0=LEN(ReferenceData!$D$28),"",ReferenceData!$D$28),"")</f>
        <v>BEST_PRICE_FFO_RATIO</v>
      </c>
      <c r="E28" t="str">
        <f>IFERROR(IF(0=LEN(ReferenceData!$E$28),"",ReferenceData!$E$28),"")</f>
        <v>动态</v>
      </c>
      <c r="F28">
        <f ca="1">IFERROR(IF(0=LEN(ReferenceData!$F$28),"",ReferenceData!$F$28),"")</f>
        <v>16.054531239999999</v>
      </c>
      <c r="G28">
        <f ca="1">IFERROR(IF(0=LEN(ReferenceData!$G$28),"",ReferenceData!$G$28),"")</f>
        <v>15.426975260000001</v>
      </c>
      <c r="H28">
        <f ca="1">IFERROR(IF(0=LEN(ReferenceData!$H$28),"",ReferenceData!$H$28),"")</f>
        <v>16.472440939999998</v>
      </c>
      <c r="I28">
        <f ca="1">IFERROR(IF(0=LEN(ReferenceData!$I$28),"",ReferenceData!$I$28),"")</f>
        <v>17.195121950000001</v>
      </c>
      <c r="J28">
        <f ca="1">IFERROR(IF(0=LEN(ReferenceData!$J$28),"",ReferenceData!$J$28),"")</f>
        <v>17.317360570000002</v>
      </c>
      <c r="K28">
        <f ca="1">IFERROR(IF(0=LEN(ReferenceData!$K$28),"",ReferenceData!$K$28),"")</f>
        <v>17.24029792</v>
      </c>
      <c r="L28">
        <f ca="1">IFERROR(IF(0=LEN(ReferenceData!$L$28),"",ReferenceData!$L$28),"")</f>
        <v>17.21350078</v>
      </c>
      <c r="M28">
        <f ca="1">IFERROR(IF(0=LEN(ReferenceData!$M$28),"",ReferenceData!$M$28),"")</f>
        <v>17.769502159999998</v>
      </c>
      <c r="N28">
        <f ca="1">IFERROR(IF(0=LEN(ReferenceData!$N$28),"",ReferenceData!$N$28),"")</f>
        <v>17.87676609</v>
      </c>
      <c r="O28">
        <f ca="1">IFERROR(IF(0=LEN(ReferenceData!$O$28),"",ReferenceData!$O$28),"")</f>
        <v>16.83117901</v>
      </c>
      <c r="P28">
        <f ca="1">IFERROR(IF(0=LEN(ReferenceData!$P$28),"",ReferenceData!$P$28),"")</f>
        <v>16.778733389999999</v>
      </c>
      <c r="Q28">
        <f ca="1">IFERROR(IF(0=LEN(ReferenceData!$Q$28),"",ReferenceData!$Q$28),"")</f>
        <v>16.993006990000001</v>
      </c>
      <c r="R28">
        <f ca="1">IFERROR(IF(0=LEN(ReferenceData!$R$28),"",ReferenceData!$R$28),"")</f>
        <v>17.229992230000001</v>
      </c>
      <c r="S28">
        <f ca="1">IFERROR(IF(0=LEN(ReferenceData!$S$28),"",ReferenceData!$S$28),"")</f>
        <v>18.07692308</v>
      </c>
      <c r="T28">
        <f ca="1">IFERROR(IF(0=LEN(ReferenceData!$T$28),"",ReferenceData!$T$28),"")</f>
        <v>17.048355900000001</v>
      </c>
      <c r="U28">
        <f ca="1">IFERROR(IF(0=LEN(ReferenceData!$U$28),"",ReferenceData!$U$28),"")</f>
        <v>17.636786959999998</v>
      </c>
      <c r="V28">
        <f ca="1">IFERROR(IF(0=LEN(ReferenceData!$V$28),"",ReferenceData!$V$28),"")</f>
        <v>16.217257320000002</v>
      </c>
      <c r="W28">
        <f ca="1">IFERROR(IF(0=LEN(ReferenceData!$W$28),"",ReferenceData!$W$28),"")</f>
        <v>16.782178219999999</v>
      </c>
      <c r="X28">
        <f ca="1">IFERROR(IF(0=LEN(ReferenceData!$X$28),"",ReferenceData!$X$28),"")</f>
        <v>17.220555139999998</v>
      </c>
      <c r="Y28">
        <f ca="1">IFERROR(IF(0=LEN(ReferenceData!$Y$28),"",ReferenceData!$Y$28),"")</f>
        <v>16.946736680000001</v>
      </c>
      <c r="Z28">
        <f ca="1">IFERROR(IF(0=LEN(ReferenceData!$Z$28),"",ReferenceData!$Z$28),"")</f>
        <v>17.512380950000001</v>
      </c>
      <c r="AA28">
        <f ca="1">IFERROR(IF(0=LEN(ReferenceData!$AA$28),"",ReferenceData!$AA$28),"")</f>
        <v>16.835684329999999</v>
      </c>
      <c r="AB28">
        <f ca="1">IFERROR(IF(0=LEN(ReferenceData!$AB$28),"",ReferenceData!$AB$28),"")</f>
        <v>16.26000762</v>
      </c>
      <c r="AC28">
        <f ca="1">IFERROR(IF(0=LEN(ReferenceData!$AC$28),"",ReferenceData!$AC$28),"")</f>
        <v>15.485117900000001</v>
      </c>
      <c r="AD28">
        <f ca="1">IFERROR(IF(0=LEN(ReferenceData!$AD$28),"",ReferenceData!$AD$28),"")</f>
        <v>16.165442599999999</v>
      </c>
      <c r="AE28">
        <f ca="1">IFERROR(IF(0=LEN(ReferenceData!$AE$28),"",ReferenceData!$AE$28),"")</f>
        <v>14.28404214</v>
      </c>
      <c r="AF28" t="str">
        <f ca="1">IFERROR(IF(0=LEN(ReferenceData!$AF$28),"",ReferenceData!$AF$28),"")</f>
        <v/>
      </c>
      <c r="AG28" t="str">
        <f ca="1">IFERROR(IF(0=LEN(ReferenceData!$AG$28),"",ReferenceData!$AG$28),"")</f>
        <v/>
      </c>
      <c r="AH28" t="str">
        <f ca="1">IFERROR(IF(0=LEN(ReferenceData!$AH$28),"",ReferenceData!$AH$28),"")</f>
        <v/>
      </c>
      <c r="AI28">
        <f ca="1">IFERROR(IF(0=LEN(ReferenceData!$AI$28),"",ReferenceData!$AI$28),"")</f>
        <v>13.956678699999999</v>
      </c>
      <c r="AJ28">
        <f ca="1">IFERROR(IF(0=LEN(ReferenceData!$AJ$28),"",ReferenceData!$AJ$28),"")</f>
        <v>13.36462094</v>
      </c>
      <c r="AK28">
        <f ca="1">IFERROR(IF(0=LEN(ReferenceData!$AK$28),"",ReferenceData!$AK$28),"")</f>
        <v>13.007220220000001</v>
      </c>
      <c r="AL28">
        <f ca="1">IFERROR(IF(0=LEN(ReferenceData!$AL$28),"",ReferenceData!$AL$28),"")</f>
        <v>14.42066421</v>
      </c>
      <c r="AM28" t="str">
        <f ca="1">IFERROR(IF(0=LEN(ReferenceData!$AM$28),"",ReferenceData!$AM$28),"")</f>
        <v/>
      </c>
      <c r="AN28" t="str">
        <f ca="1">IFERROR(IF(0=LEN(ReferenceData!$AN$28),"",ReferenceData!$AN$28),"")</f>
        <v/>
      </c>
      <c r="AO28" t="str">
        <f ca="1">IFERROR(IF(0=LEN(ReferenceData!$AO$28),"",ReferenceData!$AO$28),"")</f>
        <v/>
      </c>
      <c r="AP28" t="str">
        <f ca="1">IFERROR(IF(0=LEN(ReferenceData!$AP$28),"",ReferenceData!$AP$28),"")</f>
        <v/>
      </c>
      <c r="AQ28" t="str">
        <f ca="1">IFERROR(IF(0=LEN(ReferenceData!$AQ$28),"",ReferenceData!$AQ$28),"")</f>
        <v/>
      </c>
      <c r="AR28" t="str">
        <f ca="1">IFERROR(IF(0=LEN(ReferenceData!$AR$28),"",ReferenceData!$AR$28),"")</f>
        <v/>
      </c>
      <c r="AS28" t="str">
        <f ca="1">IFERROR(IF(0=LEN(ReferenceData!$AS$28),"",ReferenceData!$AS$28),"")</f>
        <v/>
      </c>
      <c r="AT28" t="str">
        <f ca="1">IFERROR(IF(0=LEN(ReferenceData!$AT$28),"",ReferenceData!$AT$28),"")</f>
        <v/>
      </c>
      <c r="AU28" t="str">
        <f ca="1">IFERROR(IF(0=LEN(ReferenceData!$AU$28),"",ReferenceData!$AU$28),"")</f>
        <v/>
      </c>
      <c r="AV28" t="str">
        <f ca="1">IFERROR(IF(0=LEN(ReferenceData!$AV$28),"",ReferenceData!$AV$28),"")</f>
        <v/>
      </c>
      <c r="AW28" t="str">
        <f ca="1">IFERROR(IF(0=LEN(ReferenceData!$AW$28),"",ReferenceData!$AW$28),"")</f>
        <v/>
      </c>
      <c r="AX28" t="str">
        <f ca="1">IFERROR(IF(0=LEN(ReferenceData!$AX$28),"",ReferenceData!$AX$28),"")</f>
        <v/>
      </c>
      <c r="AY28" t="str">
        <f ca="1">IFERROR(IF(0=LEN(ReferenceData!$AY$28),"",ReferenceData!$AY$28),"")</f>
        <v/>
      </c>
      <c r="AZ28" t="str">
        <f ca="1">IFERROR(IF(0=LEN(ReferenceData!$AZ$28),"",ReferenceData!$AZ$28),"")</f>
        <v/>
      </c>
      <c r="BA28" t="str">
        <f ca="1">IFERROR(IF(0=LEN(ReferenceData!$BA$28),"",ReferenceData!$BA$28),"")</f>
        <v/>
      </c>
      <c r="BB28" t="str">
        <f ca="1">IFERROR(IF(0=LEN(ReferenceData!$BB$28),"",ReferenceData!$BB$28),"")</f>
        <v/>
      </c>
      <c r="BC28" t="str">
        <f ca="1">IFERROR(IF(0=LEN(ReferenceData!$BC$28),"",ReferenceData!$BC$28),"")</f>
        <v/>
      </c>
      <c r="BD28" t="str">
        <f ca="1">IFERROR(IF(0=LEN(ReferenceData!$BD$28),"",ReferenceData!$BD$28),"")</f>
        <v/>
      </c>
      <c r="BE28" t="str">
        <f ca="1">IFERROR(IF(0=LEN(ReferenceData!$BE$28),"",ReferenceData!$BE$28),"")</f>
        <v/>
      </c>
      <c r="BF28" t="str">
        <f ca="1">IFERROR(IF(0=LEN(ReferenceData!$BF$28),"",ReferenceData!$BF$28),"")</f>
        <v/>
      </c>
      <c r="BG28" t="str">
        <f ca="1">IFERROR(IF(0=LEN(ReferenceData!$BG$28),"",ReferenceData!$BG$28),"")</f>
        <v/>
      </c>
      <c r="BH28" t="str">
        <f ca="1">IFERROR(IF(0=LEN(ReferenceData!$BH$28),"",ReferenceData!$BH$28),"")</f>
        <v/>
      </c>
      <c r="BI28" t="str">
        <f ca="1">IFERROR(IF(0=LEN(ReferenceData!$BI$28),"",ReferenceData!$BI$28),"")</f>
        <v/>
      </c>
      <c r="BJ28" t="str">
        <f ca="1">IFERROR(IF(0=LEN(ReferenceData!$BJ$28),"",ReferenceData!$BJ$28),"")</f>
        <v/>
      </c>
      <c r="BK28" t="str">
        <f ca="1">IFERROR(IF(0=LEN(ReferenceData!$BK$28),"",ReferenceData!$BK$28),"")</f>
        <v/>
      </c>
      <c r="BL28" t="str">
        <f ca="1">IFERROR(IF(0=LEN(ReferenceData!$BL$28),"",ReferenceData!$BL$28),"")</f>
        <v/>
      </c>
      <c r="BM28" t="str">
        <f ca="1">IFERROR(IF(0=LEN(ReferenceData!$BM$28),"",ReferenceData!$BM$28),"")</f>
        <v/>
      </c>
      <c r="BN28" t="str">
        <f ca="1">IFERROR(IF(0=LEN(ReferenceData!$BN$28),"",ReferenceData!$BN$28),"")</f>
        <v/>
      </c>
      <c r="BO28" t="str">
        <f ca="1">IFERROR(IF(0=LEN(ReferenceData!$BO$28),"",ReferenceData!$BO$28),"")</f>
        <v/>
      </c>
      <c r="BP28" t="str">
        <f ca="1">IFERROR(IF(0=LEN(ReferenceData!$BP$28),"",ReferenceData!$BP$28),"")</f>
        <v/>
      </c>
      <c r="BQ28" t="str">
        <f ca="1">IFERROR(IF(0=LEN(ReferenceData!$BQ$28),"",ReferenceData!$BQ$28),"")</f>
        <v/>
      </c>
      <c r="BR28" t="str">
        <f ca="1">IFERROR(IF(0=LEN(ReferenceData!$BR$28),"",ReferenceData!$BR$28),"")</f>
        <v/>
      </c>
      <c r="BS28" t="str">
        <f ca="1">IFERROR(IF(0=LEN(ReferenceData!$BS$28),"",ReferenceData!$BS$28),"")</f>
        <v/>
      </c>
      <c r="BT28" t="str">
        <f ca="1">IFERROR(IF(0=LEN(ReferenceData!$BT$28),"",ReferenceData!$BT$28),"")</f>
        <v/>
      </c>
      <c r="BU28" t="str">
        <f ca="1">IFERROR(IF(0=LEN(ReferenceData!$BU$28),"",ReferenceData!$BU$28),"")</f>
        <v/>
      </c>
      <c r="BV28" t="str">
        <f ca="1">IFERROR(IF(0=LEN(ReferenceData!$BV$28),"",ReferenceData!$BV$28),"")</f>
        <v/>
      </c>
      <c r="BW28" t="str">
        <f ca="1">IFERROR(IF(0=LEN(ReferenceData!$BW$28),"",ReferenceData!$BW$28),"")</f>
        <v/>
      </c>
      <c r="BX28" t="str">
        <f ca="1">IFERROR(IF(0=LEN(ReferenceData!$BX$28),"",ReferenceData!$BX$28),"")</f>
        <v/>
      </c>
      <c r="BY28" t="str">
        <f ca="1">IFERROR(IF(0=LEN(ReferenceData!$BY$28),"",ReferenceData!$BY$28),"")</f>
        <v/>
      </c>
      <c r="BZ28" t="str">
        <f ca="1">IFERROR(IF(0=LEN(ReferenceData!$BZ$28),"",ReferenceData!$BZ$28),"")</f>
        <v/>
      </c>
      <c r="CA28" t="str">
        <f ca="1">IFERROR(IF(0=LEN(ReferenceData!$CA$28),"",ReferenceData!$CA$28),"")</f>
        <v/>
      </c>
      <c r="CB28" t="str">
        <f ca="1">IFERROR(IF(0=LEN(ReferenceData!$CB$28),"",ReferenceData!$CB$28),"")</f>
        <v/>
      </c>
      <c r="CC28" t="str">
        <f ca="1">IFERROR(IF(0=LEN(ReferenceData!$CC$28),"",ReferenceData!$CC$28),"")</f>
        <v/>
      </c>
      <c r="CD28" t="str">
        <f ca="1">IFERROR(IF(0=LEN(ReferenceData!$CD$28),"",ReferenceData!$CD$28),"")</f>
        <v/>
      </c>
      <c r="CE28" t="str">
        <f ca="1">IFERROR(IF(0=LEN(ReferenceData!$CE$28),"",ReferenceData!$CE$28),"")</f>
        <v/>
      </c>
      <c r="CF28" t="str">
        <f ca="1">IFERROR(IF(0=LEN(ReferenceData!$CF$28),"",ReferenceData!$CF$28),"")</f>
        <v/>
      </c>
      <c r="CG28" t="str">
        <f ca="1">IFERROR(IF(0=LEN(ReferenceData!$CG$28),"",ReferenceData!$CG$28),"")</f>
        <v/>
      </c>
      <c r="CH28" t="str">
        <f ca="1">IFERROR(IF(0=LEN(ReferenceData!$CH$28),"",ReferenceData!$CH$28),"")</f>
        <v/>
      </c>
      <c r="CI28" t="str">
        <f ca="1">IFERROR(IF(0=LEN(ReferenceData!$CI$28),"",ReferenceData!$CI$28),"")</f>
        <v/>
      </c>
      <c r="CJ28" t="str">
        <f ca="1">IFERROR(IF(0=LEN(ReferenceData!$CJ$28),"",ReferenceData!$CJ$28),"")</f>
        <v/>
      </c>
      <c r="CK28" t="str">
        <f ca="1">IFERROR(IF(0=LEN(ReferenceData!$CK$28),"",ReferenceData!$CK$28),"")</f>
        <v/>
      </c>
    </row>
    <row r="29" spans="1:89">
      <c r="A29" t="str">
        <f>IFERROR(IF(0=LEN(ReferenceData!$A$29),"",ReferenceData!$A$29),"")</f>
        <v xml:space="preserve">    AvalonBay社区股份有限公司</v>
      </c>
      <c r="B29" t="str">
        <f>IFERROR(IF(0=LEN(ReferenceData!$B$29),"",ReferenceData!$B$29),"")</f>
        <v>AVB US Equity</v>
      </c>
      <c r="C29" t="str">
        <f>IFERROR(IF(0=LEN(ReferenceData!$C$29),"",ReferenceData!$C$29),"")</f>
        <v>BE249</v>
      </c>
      <c r="D29" t="str">
        <f>IFERROR(IF(0=LEN(ReferenceData!$D$29),"",ReferenceData!$D$29),"")</f>
        <v>BEST_PRICE_FFO_RATIO</v>
      </c>
      <c r="E29" t="str">
        <f>IFERROR(IF(0=LEN(ReferenceData!$E$29),"",ReferenceData!$E$29),"")</f>
        <v>动态</v>
      </c>
      <c r="F29">
        <f ca="1">IFERROR(IF(0=LEN(ReferenceData!$F$29),"",ReferenceData!$F$29),"")</f>
        <v>18.067114570000001</v>
      </c>
      <c r="G29">
        <f ca="1">IFERROR(IF(0=LEN(ReferenceData!$G$29),"",ReferenceData!$G$29),"")</f>
        <v>17.436298610000001</v>
      </c>
      <c r="H29">
        <f ca="1">IFERROR(IF(0=LEN(ReferenceData!$H$29),"",ReferenceData!$H$29),"")</f>
        <v>18.783068780000001</v>
      </c>
      <c r="I29">
        <f ca="1">IFERROR(IF(0=LEN(ReferenceData!$I$29),"",ReferenceData!$I$29),"")</f>
        <v>19.599033290000001</v>
      </c>
      <c r="J29">
        <f ca="1">IFERROR(IF(0=LEN(ReferenceData!$J$29),"",ReferenceData!$J$29),"")</f>
        <v>19.948294829999998</v>
      </c>
      <c r="K29">
        <f ca="1">IFERROR(IF(0=LEN(ReferenceData!$K$29),"",ReferenceData!$K$29),"")</f>
        <v>19.970264319999998</v>
      </c>
      <c r="L29">
        <f ca="1">IFERROR(IF(0=LEN(ReferenceData!$L$29),"",ReferenceData!$L$29),"")</f>
        <v>19.613059249999999</v>
      </c>
      <c r="M29">
        <f ca="1">IFERROR(IF(0=LEN(ReferenceData!$M$29),"",ReferenceData!$M$29),"")</f>
        <v>20.62967033</v>
      </c>
      <c r="N29">
        <f ca="1">IFERROR(IF(0=LEN(ReferenceData!$N$29),"",ReferenceData!$N$29),"")</f>
        <v>20.914428619999999</v>
      </c>
      <c r="O29">
        <f ca="1">IFERROR(IF(0=LEN(ReferenceData!$O$29),"",ReferenceData!$O$29),"")</f>
        <v>20.906222799999998</v>
      </c>
      <c r="P29">
        <f ca="1">IFERROR(IF(0=LEN(ReferenceData!$P$29),"",ReferenceData!$P$29),"")</f>
        <v>20.827706379999999</v>
      </c>
      <c r="Q29">
        <f ca="1">IFERROR(IF(0=LEN(ReferenceData!$Q$29),"",ReferenceData!$Q$29),"")</f>
        <v>20.648248859999999</v>
      </c>
      <c r="R29">
        <f ca="1">IFERROR(IF(0=LEN(ReferenceData!$R$29),"",ReferenceData!$R$29),"")</f>
        <v>19.98258598</v>
      </c>
      <c r="S29">
        <f ca="1">IFERROR(IF(0=LEN(ReferenceData!$S$29),"",ReferenceData!$S$29),"")</f>
        <v>20.006531679999998</v>
      </c>
      <c r="T29">
        <f ca="1">IFERROR(IF(0=LEN(ReferenceData!$T$29),"",ReferenceData!$T$29),"")</f>
        <v>18.791065809999999</v>
      </c>
      <c r="U29">
        <f ca="1">IFERROR(IF(0=LEN(ReferenceData!$U$29),"",ReferenceData!$U$29),"")</f>
        <v>19.255434780000002</v>
      </c>
      <c r="V29">
        <f ca="1">IFERROR(IF(0=LEN(ReferenceData!$V$29),"",ReferenceData!$V$29),"")</f>
        <v>17.750080929999999</v>
      </c>
      <c r="W29">
        <f ca="1">IFERROR(IF(0=LEN(ReferenceData!$W$29),"",ReferenceData!$W$29),"")</f>
        <v>18.487957659999999</v>
      </c>
      <c r="X29">
        <f ca="1">IFERROR(IF(0=LEN(ReferenceData!$X$29),"",ReferenceData!$X$29),"")</f>
        <v>18.785254040000002</v>
      </c>
      <c r="Y29">
        <f ca="1">IFERROR(IF(0=LEN(ReferenceData!$Y$29),"",ReferenceData!$Y$29),"")</f>
        <v>18.494135050000001</v>
      </c>
      <c r="Z29">
        <f ca="1">IFERROR(IF(0=LEN(ReferenceData!$Z$29),"",ReferenceData!$Z$29),"")</f>
        <v>19.372847749999998</v>
      </c>
      <c r="AA29">
        <f ca="1">IFERROR(IF(0=LEN(ReferenceData!$AA$29),"",ReferenceData!$AA$29),"")</f>
        <v>18.741818179999999</v>
      </c>
      <c r="AB29">
        <f ca="1">IFERROR(IF(0=LEN(ReferenceData!$AB$29),"",ReferenceData!$AB$29),"")</f>
        <v>18.65975104</v>
      </c>
      <c r="AC29">
        <f ca="1">IFERROR(IF(0=LEN(ReferenceData!$AC$29),"",ReferenceData!$AC$29),"")</f>
        <v>18.282316439999999</v>
      </c>
      <c r="AD29">
        <f ca="1">IFERROR(IF(0=LEN(ReferenceData!$AD$29),"",ReferenceData!$AD$29),"")</f>
        <v>19.582003499999999</v>
      </c>
      <c r="AE29">
        <f ca="1">IFERROR(IF(0=LEN(ReferenceData!$AE$29),"",ReferenceData!$AE$29),"")</f>
        <v>17.694845359999999</v>
      </c>
      <c r="AF29">
        <f ca="1">IFERROR(IF(0=LEN(ReferenceData!$AF$29),"",ReferenceData!$AF$29),"")</f>
        <v>17.200601809999998</v>
      </c>
      <c r="AG29">
        <f ca="1">IFERROR(IF(0=LEN(ReferenceData!$AG$29),"",ReferenceData!$AG$29),"")</f>
        <v>18.468405220000001</v>
      </c>
      <c r="AH29">
        <f ca="1">IFERROR(IF(0=LEN(ReferenceData!$AH$29),"",ReferenceData!$AH$29),"")</f>
        <v>18.233701100000001</v>
      </c>
      <c r="AI29">
        <f ca="1">IFERROR(IF(0=LEN(ReferenceData!$AI$29),"",ReferenceData!$AI$29),"")</f>
        <v>17.631944440000002</v>
      </c>
      <c r="AJ29">
        <f ca="1">IFERROR(IF(0=LEN(ReferenceData!$AJ$29),"",ReferenceData!$AJ$29),"")</f>
        <v>17.343253969999999</v>
      </c>
      <c r="AK29">
        <f ca="1">IFERROR(IF(0=LEN(ReferenceData!$AK$29),"",ReferenceData!$AK$29),"")</f>
        <v>16.375</v>
      </c>
      <c r="AL29">
        <f ca="1">IFERROR(IF(0=LEN(ReferenceData!$AL$29),"",ReferenceData!$AL$29),"")</f>
        <v>17.803719009999998</v>
      </c>
      <c r="AM29" t="str">
        <f ca="1">IFERROR(IF(0=LEN(ReferenceData!$AM$29),"",ReferenceData!$AM$29),"")</f>
        <v/>
      </c>
      <c r="AN29" t="str">
        <f ca="1">IFERROR(IF(0=LEN(ReferenceData!$AN$29),"",ReferenceData!$AN$29),"")</f>
        <v/>
      </c>
      <c r="AO29" t="str">
        <f ca="1">IFERROR(IF(0=LEN(ReferenceData!$AO$29),"",ReferenceData!$AO$29),"")</f>
        <v/>
      </c>
      <c r="AP29" t="str">
        <f ca="1">IFERROR(IF(0=LEN(ReferenceData!$AP$29),"",ReferenceData!$AP$29),"")</f>
        <v/>
      </c>
      <c r="AQ29" t="str">
        <f ca="1">IFERROR(IF(0=LEN(ReferenceData!$AQ$29),"",ReferenceData!$AQ$29),"")</f>
        <v/>
      </c>
      <c r="AR29" t="str">
        <f ca="1">IFERROR(IF(0=LEN(ReferenceData!$AR$29),"",ReferenceData!$AR$29),"")</f>
        <v/>
      </c>
      <c r="AS29" t="str">
        <f ca="1">IFERROR(IF(0=LEN(ReferenceData!$AS$29),"",ReferenceData!$AS$29),"")</f>
        <v/>
      </c>
      <c r="AT29" t="str">
        <f ca="1">IFERROR(IF(0=LEN(ReferenceData!$AT$29),"",ReferenceData!$AT$29),"")</f>
        <v/>
      </c>
      <c r="AU29" t="str">
        <f ca="1">IFERROR(IF(0=LEN(ReferenceData!$AU$29),"",ReferenceData!$AU$29),"")</f>
        <v/>
      </c>
      <c r="AV29" t="str">
        <f ca="1">IFERROR(IF(0=LEN(ReferenceData!$AV$29),"",ReferenceData!$AV$29),"")</f>
        <v/>
      </c>
      <c r="AW29" t="str">
        <f ca="1">IFERROR(IF(0=LEN(ReferenceData!$AW$29),"",ReferenceData!$AW$29),"")</f>
        <v/>
      </c>
      <c r="AX29" t="str">
        <f ca="1">IFERROR(IF(0=LEN(ReferenceData!$AX$29),"",ReferenceData!$AX$29),"")</f>
        <v/>
      </c>
      <c r="AY29" t="str">
        <f ca="1">IFERROR(IF(0=LEN(ReferenceData!$AY$29),"",ReferenceData!$AY$29),"")</f>
        <v/>
      </c>
      <c r="AZ29" t="str">
        <f ca="1">IFERROR(IF(0=LEN(ReferenceData!$AZ$29),"",ReferenceData!$AZ$29),"")</f>
        <v/>
      </c>
      <c r="BA29" t="str">
        <f ca="1">IFERROR(IF(0=LEN(ReferenceData!$BA$29),"",ReferenceData!$BA$29),"")</f>
        <v/>
      </c>
      <c r="BB29" t="str">
        <f ca="1">IFERROR(IF(0=LEN(ReferenceData!$BB$29),"",ReferenceData!$BB$29),"")</f>
        <v/>
      </c>
      <c r="BC29" t="str">
        <f ca="1">IFERROR(IF(0=LEN(ReferenceData!$BC$29),"",ReferenceData!$BC$29),"")</f>
        <v/>
      </c>
      <c r="BD29" t="str">
        <f ca="1">IFERROR(IF(0=LEN(ReferenceData!$BD$29),"",ReferenceData!$BD$29),"")</f>
        <v/>
      </c>
      <c r="BE29" t="str">
        <f ca="1">IFERROR(IF(0=LEN(ReferenceData!$BE$29),"",ReferenceData!$BE$29),"")</f>
        <v/>
      </c>
      <c r="BF29" t="str">
        <f ca="1">IFERROR(IF(0=LEN(ReferenceData!$BF$29),"",ReferenceData!$BF$29),"")</f>
        <v/>
      </c>
      <c r="BG29" t="str">
        <f ca="1">IFERROR(IF(0=LEN(ReferenceData!$BG$29),"",ReferenceData!$BG$29),"")</f>
        <v/>
      </c>
      <c r="BH29" t="str">
        <f ca="1">IFERROR(IF(0=LEN(ReferenceData!$BH$29),"",ReferenceData!$BH$29),"")</f>
        <v/>
      </c>
      <c r="BI29" t="str">
        <f ca="1">IFERROR(IF(0=LEN(ReferenceData!$BI$29),"",ReferenceData!$BI$29),"")</f>
        <v/>
      </c>
      <c r="BJ29" t="str">
        <f ca="1">IFERROR(IF(0=LEN(ReferenceData!$BJ$29),"",ReferenceData!$BJ$29),"")</f>
        <v/>
      </c>
      <c r="BK29" t="str">
        <f ca="1">IFERROR(IF(0=LEN(ReferenceData!$BK$29),"",ReferenceData!$BK$29),"")</f>
        <v/>
      </c>
      <c r="BL29" t="str">
        <f ca="1">IFERROR(IF(0=LEN(ReferenceData!$BL$29),"",ReferenceData!$BL$29),"")</f>
        <v/>
      </c>
      <c r="BM29" t="str">
        <f ca="1">IFERROR(IF(0=LEN(ReferenceData!$BM$29),"",ReferenceData!$BM$29),"")</f>
        <v/>
      </c>
      <c r="BN29" t="str">
        <f ca="1">IFERROR(IF(0=LEN(ReferenceData!$BN$29),"",ReferenceData!$BN$29),"")</f>
        <v/>
      </c>
      <c r="BO29" t="str">
        <f ca="1">IFERROR(IF(0=LEN(ReferenceData!$BO$29),"",ReferenceData!$BO$29),"")</f>
        <v/>
      </c>
      <c r="BP29" t="str">
        <f ca="1">IFERROR(IF(0=LEN(ReferenceData!$BP$29),"",ReferenceData!$BP$29),"")</f>
        <v/>
      </c>
      <c r="BQ29" t="str">
        <f ca="1">IFERROR(IF(0=LEN(ReferenceData!$BQ$29),"",ReferenceData!$BQ$29),"")</f>
        <v/>
      </c>
      <c r="BR29" t="str">
        <f ca="1">IFERROR(IF(0=LEN(ReferenceData!$BR$29),"",ReferenceData!$BR$29),"")</f>
        <v/>
      </c>
      <c r="BS29" t="str">
        <f ca="1">IFERROR(IF(0=LEN(ReferenceData!$BS$29),"",ReferenceData!$BS$29),"")</f>
        <v/>
      </c>
      <c r="BT29" t="str">
        <f ca="1">IFERROR(IF(0=LEN(ReferenceData!$BT$29),"",ReferenceData!$BT$29),"")</f>
        <v/>
      </c>
      <c r="BU29" t="str">
        <f ca="1">IFERROR(IF(0=LEN(ReferenceData!$BU$29),"",ReferenceData!$BU$29),"")</f>
        <v/>
      </c>
      <c r="BV29" t="str">
        <f ca="1">IFERROR(IF(0=LEN(ReferenceData!$BV$29),"",ReferenceData!$BV$29),"")</f>
        <v/>
      </c>
      <c r="BW29" t="str">
        <f ca="1">IFERROR(IF(0=LEN(ReferenceData!$BW$29),"",ReferenceData!$BW$29),"")</f>
        <v/>
      </c>
      <c r="BX29" t="str">
        <f ca="1">IFERROR(IF(0=LEN(ReferenceData!$BX$29),"",ReferenceData!$BX$29),"")</f>
        <v/>
      </c>
      <c r="BY29" t="str">
        <f ca="1">IFERROR(IF(0=LEN(ReferenceData!$BY$29),"",ReferenceData!$BY$29),"")</f>
        <v/>
      </c>
      <c r="BZ29" t="str">
        <f ca="1">IFERROR(IF(0=LEN(ReferenceData!$BZ$29),"",ReferenceData!$BZ$29),"")</f>
        <v/>
      </c>
      <c r="CA29" t="str">
        <f ca="1">IFERROR(IF(0=LEN(ReferenceData!$CA$29),"",ReferenceData!$CA$29),"")</f>
        <v/>
      </c>
      <c r="CB29" t="str">
        <f ca="1">IFERROR(IF(0=LEN(ReferenceData!$CB$29),"",ReferenceData!$CB$29),"")</f>
        <v/>
      </c>
      <c r="CC29" t="str">
        <f ca="1">IFERROR(IF(0=LEN(ReferenceData!$CC$29),"",ReferenceData!$CC$29),"")</f>
        <v/>
      </c>
      <c r="CD29" t="str">
        <f ca="1">IFERROR(IF(0=LEN(ReferenceData!$CD$29),"",ReferenceData!$CD$29),"")</f>
        <v/>
      </c>
      <c r="CE29" t="str">
        <f ca="1">IFERROR(IF(0=LEN(ReferenceData!$CE$29),"",ReferenceData!$CE$29),"")</f>
        <v/>
      </c>
      <c r="CF29" t="str">
        <f ca="1">IFERROR(IF(0=LEN(ReferenceData!$CF$29),"",ReferenceData!$CF$29),"")</f>
        <v/>
      </c>
      <c r="CG29" t="str">
        <f ca="1">IFERROR(IF(0=LEN(ReferenceData!$CG$29),"",ReferenceData!$CG$29),"")</f>
        <v/>
      </c>
      <c r="CH29" t="str">
        <f ca="1">IFERROR(IF(0=LEN(ReferenceData!$CH$29),"",ReferenceData!$CH$29),"")</f>
        <v/>
      </c>
      <c r="CI29" t="str">
        <f ca="1">IFERROR(IF(0=LEN(ReferenceData!$CI$29),"",ReferenceData!$CI$29),"")</f>
        <v/>
      </c>
      <c r="CJ29" t="str">
        <f ca="1">IFERROR(IF(0=LEN(ReferenceData!$CJ$29),"",ReferenceData!$CJ$29),"")</f>
        <v/>
      </c>
      <c r="CK29" t="str">
        <f ca="1">IFERROR(IF(0=LEN(ReferenceData!$CK$29),"",ReferenceData!$CK$29),"")</f>
        <v/>
      </c>
    </row>
    <row r="30" spans="1:89">
      <c r="A30" t="str">
        <f>IFERROR(IF(0=LEN(ReferenceData!$A$30),"",ReferenceData!$A$30),"")</f>
        <v xml:space="preserve">    Camden 房地产信托公司</v>
      </c>
      <c r="B30" t="str">
        <f>IFERROR(IF(0=LEN(ReferenceData!$B$30),"",ReferenceData!$B$30),"")</f>
        <v>CPT US Equity</v>
      </c>
      <c r="C30" t="str">
        <f>IFERROR(IF(0=LEN(ReferenceData!$C$30),"",ReferenceData!$C$30),"")</f>
        <v>BE249</v>
      </c>
      <c r="D30" t="str">
        <f>IFERROR(IF(0=LEN(ReferenceData!$D$30),"",ReferenceData!$D$30),"")</f>
        <v>BEST_PRICE_FFO_RATIO</v>
      </c>
      <c r="E30" t="str">
        <f>IFERROR(IF(0=LEN(ReferenceData!$E$30),"",ReferenceData!$E$30),"")</f>
        <v>动态</v>
      </c>
      <c r="F30">
        <f ca="1">IFERROR(IF(0=LEN(ReferenceData!$F$30),"",ReferenceData!$F$30),"")</f>
        <v>17.48790296</v>
      </c>
      <c r="G30">
        <f ca="1">IFERROR(IF(0=LEN(ReferenceData!$G$30),"",ReferenceData!$G$30),"")</f>
        <v>16.75635905</v>
      </c>
      <c r="H30">
        <f ca="1">IFERROR(IF(0=LEN(ReferenceData!$H$30),"",ReferenceData!$H$30),"")</f>
        <v>18.063439070000001</v>
      </c>
      <c r="I30">
        <f ca="1">IFERROR(IF(0=LEN(ReferenceData!$I$30),"",ReferenceData!$I$30),"")</f>
        <v>19.191161139999998</v>
      </c>
      <c r="J30">
        <f ca="1">IFERROR(IF(0=LEN(ReferenceData!$J$30),"",ReferenceData!$J$30),"")</f>
        <v>19.016666669999999</v>
      </c>
      <c r="K30">
        <f ca="1">IFERROR(IF(0=LEN(ReferenceData!$K$30),"",ReferenceData!$K$30),"")</f>
        <v>19.06792059</v>
      </c>
      <c r="L30">
        <f ca="1">IFERROR(IF(0=LEN(ReferenceData!$L$30),"",ReferenceData!$L$30),"")</f>
        <v>19.056053339999998</v>
      </c>
      <c r="M30">
        <f ca="1">IFERROR(IF(0=LEN(ReferenceData!$M$30),"",ReferenceData!$M$30),"")</f>
        <v>18.61839367</v>
      </c>
      <c r="N30">
        <f ca="1">IFERROR(IF(0=LEN(ReferenceData!$N$30),"",ReferenceData!$N$30),"")</f>
        <v>18.68360758</v>
      </c>
      <c r="O30">
        <f ca="1">IFERROR(IF(0=LEN(ReferenceData!$O$30),"",ReferenceData!$O$30),"")</f>
        <v>17.87042842</v>
      </c>
      <c r="P30">
        <f ca="1">IFERROR(IF(0=LEN(ReferenceData!$P$30),"",ReferenceData!$P$30),"")</f>
        <v>17.436165760000002</v>
      </c>
      <c r="Q30">
        <f ca="1">IFERROR(IF(0=LEN(ReferenceData!$Q$30),"",ReferenceData!$Q$30),"")</f>
        <v>17.292585590000002</v>
      </c>
      <c r="R30">
        <f ca="1">IFERROR(IF(0=LEN(ReferenceData!$R$30),"",ReferenceData!$R$30),"")</f>
        <v>16.928255839999998</v>
      </c>
      <c r="S30">
        <f ca="1">IFERROR(IF(0=LEN(ReferenceData!$S$30),"",ReferenceData!$S$30),"")</f>
        <v>17.798570229999999</v>
      </c>
      <c r="T30">
        <f ca="1">IFERROR(IF(0=LEN(ReferenceData!$T$30),"",ReferenceData!$T$30),"")</f>
        <v>17.439482470000002</v>
      </c>
      <c r="U30">
        <f ca="1">IFERROR(IF(0=LEN(ReferenceData!$U$30),"",ReferenceData!$U$30),"")</f>
        <v>17.54016274</v>
      </c>
      <c r="V30">
        <f ca="1">IFERROR(IF(0=LEN(ReferenceData!$V$30),"",ReferenceData!$V$30),"")</f>
        <v>16.435581540000001</v>
      </c>
      <c r="W30">
        <f ca="1">IFERROR(IF(0=LEN(ReferenceData!$W$30),"",ReferenceData!$W$30),"")</f>
        <v>17.094878250000001</v>
      </c>
      <c r="X30">
        <f ca="1">IFERROR(IF(0=LEN(ReferenceData!$X$30),"",ReferenceData!$X$30),"")</f>
        <v>17.49686586</v>
      </c>
      <c r="Y30">
        <f ca="1">IFERROR(IF(0=LEN(ReferenceData!$Y$30),"",ReferenceData!$Y$30),"")</f>
        <v>18.22466777</v>
      </c>
      <c r="Z30">
        <f ca="1">IFERROR(IF(0=LEN(ReferenceData!$Z$30),"",ReferenceData!$Z$30),"")</f>
        <v>18.90882229</v>
      </c>
      <c r="AA30">
        <f ca="1">IFERROR(IF(0=LEN(ReferenceData!$AA$30),"",ReferenceData!$AA$30),"")</f>
        <v>18.34059324</v>
      </c>
      <c r="AB30">
        <f ca="1">IFERROR(IF(0=LEN(ReferenceData!$AB$30),"",ReferenceData!$AB$30),"")</f>
        <v>17.627223829999998</v>
      </c>
      <c r="AC30">
        <f ca="1">IFERROR(IF(0=LEN(ReferenceData!$AC$30),"",ReferenceData!$AC$30),"")</f>
        <v>15.33916017</v>
      </c>
      <c r="AD30">
        <f ca="1">IFERROR(IF(0=LEN(ReferenceData!$AD$30),"",ReferenceData!$AD$30),"")</f>
        <v>15.82423786</v>
      </c>
      <c r="AE30">
        <f ca="1">IFERROR(IF(0=LEN(ReferenceData!$AE$30),"",ReferenceData!$AE$30),"")</f>
        <v>14.04887218</v>
      </c>
      <c r="AF30">
        <f ca="1">IFERROR(IF(0=LEN(ReferenceData!$AF$30),"",ReferenceData!$AF$30),"")</f>
        <v>14.077490770000001</v>
      </c>
      <c r="AG30">
        <f ca="1">IFERROR(IF(0=LEN(ReferenceData!$AG$30),"",ReferenceData!$AG$30),"")</f>
        <v>13.609929080000001</v>
      </c>
      <c r="AH30" t="str">
        <f ca="1">IFERROR(IF(0=LEN(ReferenceData!$AH$30),"",ReferenceData!$AH$30),"")</f>
        <v/>
      </c>
      <c r="AI30" t="str">
        <f ca="1">IFERROR(IF(0=LEN(ReferenceData!$AI$30),"",ReferenceData!$AI$30),"")</f>
        <v/>
      </c>
      <c r="AJ30" t="str">
        <f ca="1">IFERROR(IF(0=LEN(ReferenceData!$AJ$30),"",ReferenceData!$AJ$30),"")</f>
        <v/>
      </c>
      <c r="AK30" t="str">
        <f ca="1">IFERROR(IF(0=LEN(ReferenceData!$AK$30),"",ReferenceData!$AK$30),"")</f>
        <v/>
      </c>
      <c r="AL30" t="str">
        <f ca="1">IFERROR(IF(0=LEN(ReferenceData!$AL$30),"",ReferenceData!$AL$30),"")</f>
        <v/>
      </c>
      <c r="AM30" t="str">
        <f ca="1">IFERROR(IF(0=LEN(ReferenceData!$AM$30),"",ReferenceData!$AM$30),"")</f>
        <v/>
      </c>
      <c r="AN30" t="str">
        <f ca="1">IFERROR(IF(0=LEN(ReferenceData!$AN$30),"",ReferenceData!$AN$30),"")</f>
        <v/>
      </c>
      <c r="AO30" t="str">
        <f ca="1">IFERROR(IF(0=LEN(ReferenceData!$AO$30),"",ReferenceData!$AO$30),"")</f>
        <v/>
      </c>
      <c r="AP30" t="str">
        <f ca="1">IFERROR(IF(0=LEN(ReferenceData!$AP$30),"",ReferenceData!$AP$30),"")</f>
        <v/>
      </c>
      <c r="AQ30" t="str">
        <f ca="1">IFERROR(IF(0=LEN(ReferenceData!$AQ$30),"",ReferenceData!$AQ$30),"")</f>
        <v/>
      </c>
      <c r="AR30" t="str">
        <f ca="1">IFERROR(IF(0=LEN(ReferenceData!$AR$30),"",ReferenceData!$AR$30),"")</f>
        <v/>
      </c>
      <c r="AS30" t="str">
        <f ca="1">IFERROR(IF(0=LEN(ReferenceData!$AS$30),"",ReferenceData!$AS$30),"")</f>
        <v/>
      </c>
      <c r="AT30" t="str">
        <f ca="1">IFERROR(IF(0=LEN(ReferenceData!$AT$30),"",ReferenceData!$AT$30),"")</f>
        <v/>
      </c>
      <c r="AU30" t="str">
        <f ca="1">IFERROR(IF(0=LEN(ReferenceData!$AU$30),"",ReferenceData!$AU$30),"")</f>
        <v/>
      </c>
      <c r="AV30" t="str">
        <f ca="1">IFERROR(IF(0=LEN(ReferenceData!$AV$30),"",ReferenceData!$AV$30),"")</f>
        <v/>
      </c>
      <c r="AW30" t="str">
        <f ca="1">IFERROR(IF(0=LEN(ReferenceData!$AW$30),"",ReferenceData!$AW$30),"")</f>
        <v/>
      </c>
      <c r="AX30" t="str">
        <f ca="1">IFERROR(IF(0=LEN(ReferenceData!$AX$30),"",ReferenceData!$AX$30),"")</f>
        <v/>
      </c>
      <c r="AY30" t="str">
        <f ca="1">IFERROR(IF(0=LEN(ReferenceData!$AY$30),"",ReferenceData!$AY$30),"")</f>
        <v/>
      </c>
      <c r="AZ30" t="str">
        <f ca="1">IFERROR(IF(0=LEN(ReferenceData!$AZ$30),"",ReferenceData!$AZ$30),"")</f>
        <v/>
      </c>
      <c r="BA30" t="str">
        <f ca="1">IFERROR(IF(0=LEN(ReferenceData!$BA$30),"",ReferenceData!$BA$30),"")</f>
        <v/>
      </c>
      <c r="BB30" t="str">
        <f ca="1">IFERROR(IF(0=LEN(ReferenceData!$BB$30),"",ReferenceData!$BB$30),"")</f>
        <v/>
      </c>
      <c r="BC30" t="str">
        <f ca="1">IFERROR(IF(0=LEN(ReferenceData!$BC$30),"",ReferenceData!$BC$30),"")</f>
        <v/>
      </c>
      <c r="BD30" t="str">
        <f ca="1">IFERROR(IF(0=LEN(ReferenceData!$BD$30),"",ReferenceData!$BD$30),"")</f>
        <v/>
      </c>
      <c r="BE30" t="str">
        <f ca="1">IFERROR(IF(0=LEN(ReferenceData!$BE$30),"",ReferenceData!$BE$30),"")</f>
        <v/>
      </c>
      <c r="BF30" t="str">
        <f ca="1">IFERROR(IF(0=LEN(ReferenceData!$BF$30),"",ReferenceData!$BF$30),"")</f>
        <v/>
      </c>
      <c r="BG30" t="str">
        <f ca="1">IFERROR(IF(0=LEN(ReferenceData!$BG$30),"",ReferenceData!$BG$30),"")</f>
        <v/>
      </c>
      <c r="BH30" t="str">
        <f ca="1">IFERROR(IF(0=LEN(ReferenceData!$BH$30),"",ReferenceData!$BH$30),"")</f>
        <v/>
      </c>
      <c r="BI30" t="str">
        <f ca="1">IFERROR(IF(0=LEN(ReferenceData!$BI$30),"",ReferenceData!$BI$30),"")</f>
        <v/>
      </c>
      <c r="BJ30" t="str">
        <f ca="1">IFERROR(IF(0=LEN(ReferenceData!$BJ$30),"",ReferenceData!$BJ$30),"")</f>
        <v/>
      </c>
      <c r="BK30" t="str">
        <f ca="1">IFERROR(IF(0=LEN(ReferenceData!$BK$30),"",ReferenceData!$BK$30),"")</f>
        <v/>
      </c>
      <c r="BL30" t="str">
        <f ca="1">IFERROR(IF(0=LEN(ReferenceData!$BL$30),"",ReferenceData!$BL$30),"")</f>
        <v/>
      </c>
      <c r="BM30" t="str">
        <f ca="1">IFERROR(IF(0=LEN(ReferenceData!$BM$30),"",ReferenceData!$BM$30),"")</f>
        <v/>
      </c>
      <c r="BN30" t="str">
        <f ca="1">IFERROR(IF(0=LEN(ReferenceData!$BN$30),"",ReferenceData!$BN$30),"")</f>
        <v/>
      </c>
      <c r="BO30" t="str">
        <f ca="1">IFERROR(IF(0=LEN(ReferenceData!$BO$30),"",ReferenceData!$BO$30),"")</f>
        <v/>
      </c>
      <c r="BP30" t="str">
        <f ca="1">IFERROR(IF(0=LEN(ReferenceData!$BP$30),"",ReferenceData!$BP$30),"")</f>
        <v/>
      </c>
      <c r="BQ30" t="str">
        <f ca="1">IFERROR(IF(0=LEN(ReferenceData!$BQ$30),"",ReferenceData!$BQ$30),"")</f>
        <v/>
      </c>
      <c r="BR30" t="str">
        <f ca="1">IFERROR(IF(0=LEN(ReferenceData!$BR$30),"",ReferenceData!$BR$30),"")</f>
        <v/>
      </c>
      <c r="BS30" t="str">
        <f ca="1">IFERROR(IF(0=LEN(ReferenceData!$BS$30),"",ReferenceData!$BS$30),"")</f>
        <v/>
      </c>
      <c r="BT30" t="str">
        <f ca="1">IFERROR(IF(0=LEN(ReferenceData!$BT$30),"",ReferenceData!$BT$30),"")</f>
        <v/>
      </c>
      <c r="BU30" t="str">
        <f ca="1">IFERROR(IF(0=LEN(ReferenceData!$BU$30),"",ReferenceData!$BU$30),"")</f>
        <v/>
      </c>
      <c r="BV30" t="str">
        <f ca="1">IFERROR(IF(0=LEN(ReferenceData!$BV$30),"",ReferenceData!$BV$30),"")</f>
        <v/>
      </c>
      <c r="BW30" t="str">
        <f ca="1">IFERROR(IF(0=LEN(ReferenceData!$BW$30),"",ReferenceData!$BW$30),"")</f>
        <v/>
      </c>
      <c r="BX30" t="str">
        <f ca="1">IFERROR(IF(0=LEN(ReferenceData!$BX$30),"",ReferenceData!$BX$30),"")</f>
        <v/>
      </c>
      <c r="BY30" t="str">
        <f ca="1">IFERROR(IF(0=LEN(ReferenceData!$BY$30),"",ReferenceData!$BY$30),"")</f>
        <v/>
      </c>
      <c r="BZ30" t="str">
        <f ca="1">IFERROR(IF(0=LEN(ReferenceData!$BZ$30),"",ReferenceData!$BZ$30),"")</f>
        <v/>
      </c>
      <c r="CA30" t="str">
        <f ca="1">IFERROR(IF(0=LEN(ReferenceData!$CA$30),"",ReferenceData!$CA$30),"")</f>
        <v/>
      </c>
      <c r="CB30" t="str">
        <f ca="1">IFERROR(IF(0=LEN(ReferenceData!$CB$30),"",ReferenceData!$CB$30),"")</f>
        <v/>
      </c>
      <c r="CC30" t="str">
        <f ca="1">IFERROR(IF(0=LEN(ReferenceData!$CC$30),"",ReferenceData!$CC$30),"")</f>
        <v/>
      </c>
      <c r="CD30" t="str">
        <f ca="1">IFERROR(IF(0=LEN(ReferenceData!$CD$30),"",ReferenceData!$CD$30),"")</f>
        <v/>
      </c>
      <c r="CE30" t="str">
        <f ca="1">IFERROR(IF(0=LEN(ReferenceData!$CE$30),"",ReferenceData!$CE$30),"")</f>
        <v/>
      </c>
      <c r="CF30" t="str">
        <f ca="1">IFERROR(IF(0=LEN(ReferenceData!$CF$30),"",ReferenceData!$CF$30),"")</f>
        <v/>
      </c>
      <c r="CG30" t="str">
        <f ca="1">IFERROR(IF(0=LEN(ReferenceData!$CG$30),"",ReferenceData!$CG$30),"")</f>
        <v/>
      </c>
      <c r="CH30" t="str">
        <f ca="1">IFERROR(IF(0=LEN(ReferenceData!$CH$30),"",ReferenceData!$CH$30),"")</f>
        <v/>
      </c>
      <c r="CI30" t="str">
        <f ca="1">IFERROR(IF(0=LEN(ReferenceData!$CI$30),"",ReferenceData!$CI$30),"")</f>
        <v/>
      </c>
      <c r="CJ30" t="str">
        <f ca="1">IFERROR(IF(0=LEN(ReferenceData!$CJ$30),"",ReferenceData!$CJ$30),"")</f>
        <v/>
      </c>
      <c r="CK30" t="str">
        <f ca="1">IFERROR(IF(0=LEN(ReferenceData!$CK$30),"",ReferenceData!$CK$30),"")</f>
        <v/>
      </c>
    </row>
    <row r="31" spans="1:89">
      <c r="A31" t="str">
        <f>IFERROR(IF(0=LEN(ReferenceData!$A$31),"",ReferenceData!$A$31),"")</f>
        <v xml:space="preserve">    公寓物业权益信托</v>
      </c>
      <c r="B31" t="str">
        <f>IFERROR(IF(0=LEN(ReferenceData!$B$31),"",ReferenceData!$B$31),"")</f>
        <v>EQR US Equity</v>
      </c>
      <c r="C31" t="str">
        <f>IFERROR(IF(0=LEN(ReferenceData!$C$31),"",ReferenceData!$C$31),"")</f>
        <v>BE249</v>
      </c>
      <c r="D31" t="str">
        <f>IFERROR(IF(0=LEN(ReferenceData!$D$31),"",ReferenceData!$D$31),"")</f>
        <v>BEST_PRICE_FFO_RATIO</v>
      </c>
      <c r="E31" t="str">
        <f>IFERROR(IF(0=LEN(ReferenceData!$E$31),"",ReferenceData!$E$31),"")</f>
        <v>动态</v>
      </c>
      <c r="F31">
        <f ca="1">IFERROR(IF(0=LEN(ReferenceData!$F$31),"",ReferenceData!$F$31),"")</f>
        <v>18.364197529999998</v>
      </c>
      <c r="G31">
        <f ca="1">IFERROR(IF(0=LEN(ReferenceData!$G$31),"",ReferenceData!$G$31),"")</f>
        <v>17.349583460000002</v>
      </c>
      <c r="H31">
        <f ca="1">IFERROR(IF(0=LEN(ReferenceData!$H$31),"",ReferenceData!$H$31),"")</f>
        <v>18.91037446</v>
      </c>
      <c r="I31">
        <f ca="1">IFERROR(IF(0=LEN(ReferenceData!$I$31),"",ReferenceData!$I$31),"")</f>
        <v>19.54935622</v>
      </c>
      <c r="J31">
        <f ca="1">IFERROR(IF(0=LEN(ReferenceData!$J$31),"",ReferenceData!$J$31),"")</f>
        <v>20.478087649999999</v>
      </c>
      <c r="K31">
        <f ca="1">IFERROR(IF(0=LEN(ReferenceData!$K$31),"",ReferenceData!$K$31),"")</f>
        <v>20.59399878</v>
      </c>
      <c r="L31">
        <f ca="1">IFERROR(IF(0=LEN(ReferenceData!$L$31),"",ReferenceData!$L$31),"")</f>
        <v>20.155915619999998</v>
      </c>
      <c r="M31">
        <f ca="1">IFERROR(IF(0=LEN(ReferenceData!$M$31),"",ReferenceData!$M$31),"")</f>
        <v>20.516345860000001</v>
      </c>
      <c r="N31">
        <f ca="1">IFERROR(IF(0=LEN(ReferenceData!$N$31),"",ReferenceData!$N$31),"")</f>
        <v>20.8007335</v>
      </c>
      <c r="O31">
        <f ca="1">IFERROR(IF(0=LEN(ReferenceData!$O$31),"",ReferenceData!$O$31),"")</f>
        <v>20.255384620000001</v>
      </c>
      <c r="P31">
        <f ca="1">IFERROR(IF(0=LEN(ReferenceData!$P$31),"",ReferenceData!$P$31),"")</f>
        <v>20.04619649</v>
      </c>
      <c r="Q31">
        <f ca="1">IFERROR(IF(0=LEN(ReferenceData!$Q$31),"",ReferenceData!$Q$31),"")</f>
        <v>19.88912843</v>
      </c>
      <c r="R31">
        <f ca="1">IFERROR(IF(0=LEN(ReferenceData!$R$31),"",ReferenceData!$R$31),"")</f>
        <v>19.097605890000001</v>
      </c>
      <c r="S31">
        <f ca="1">IFERROR(IF(0=LEN(ReferenceData!$S$31),"",ReferenceData!$S$31),"")</f>
        <v>19.275672369999999</v>
      </c>
      <c r="T31">
        <f ca="1">IFERROR(IF(0=LEN(ReferenceData!$T$31),"",ReferenceData!$T$31),"")</f>
        <v>18.28219013</v>
      </c>
      <c r="U31">
        <f ca="1">IFERROR(IF(0=LEN(ReferenceData!$U$31),"",ReferenceData!$U$31),"")</f>
        <v>19.315726290000001</v>
      </c>
      <c r="V31">
        <f ca="1">IFERROR(IF(0=LEN(ReferenceData!$V$31),"",ReferenceData!$V$31),"")</f>
        <v>17.918781729999999</v>
      </c>
      <c r="W31">
        <f ca="1">IFERROR(IF(0=LEN(ReferenceData!$W$31),"",ReferenceData!$W$31),"")</f>
        <v>18.427335119999999</v>
      </c>
      <c r="X31">
        <f ca="1">IFERROR(IF(0=LEN(ReferenceData!$X$31),"",ReferenceData!$X$31),"")</f>
        <v>18.931724540000001</v>
      </c>
      <c r="Y31">
        <f ca="1">IFERROR(IF(0=LEN(ReferenceData!$Y$31),"",ReferenceData!$Y$31),"")</f>
        <v>19.101884569999999</v>
      </c>
      <c r="Z31">
        <f ca="1">IFERROR(IF(0=LEN(ReferenceData!$Z$31),"",ReferenceData!$Z$31),"")</f>
        <v>19.73584906</v>
      </c>
      <c r="AA31">
        <f ca="1">IFERROR(IF(0=LEN(ReferenceData!$AA$31),"",ReferenceData!$AA$31),"")</f>
        <v>19.663145870000001</v>
      </c>
      <c r="AB31">
        <f ca="1">IFERROR(IF(0=LEN(ReferenceData!$AB$31),"",ReferenceData!$AB$31),"")</f>
        <v>19.729190419999998</v>
      </c>
      <c r="AC31">
        <f ca="1">IFERROR(IF(0=LEN(ReferenceData!$AC$31),"",ReferenceData!$AC$31),"")</f>
        <v>19.142294710000002</v>
      </c>
      <c r="AD31">
        <f ca="1">IFERROR(IF(0=LEN(ReferenceData!$AD$31),"",ReferenceData!$AD$31),"")</f>
        <v>20.940552610000001</v>
      </c>
      <c r="AE31">
        <f ca="1">IFERROR(IF(0=LEN(ReferenceData!$AE$31),"",ReferenceData!$AE$31),"")</f>
        <v>20.865546219999999</v>
      </c>
      <c r="AF31">
        <f ca="1">IFERROR(IF(0=LEN(ReferenceData!$AF$31),"",ReferenceData!$AF$31),"")</f>
        <v>19.034567899999999</v>
      </c>
      <c r="AG31">
        <f ca="1">IFERROR(IF(0=LEN(ReferenceData!$AG$31),"",ReferenceData!$AG$31),"")</f>
        <v>20.145679009999998</v>
      </c>
      <c r="AH31">
        <f ca="1">IFERROR(IF(0=LEN(ReferenceData!$AH$31),"",ReferenceData!$AH$31),"")</f>
        <v>19.708641979999999</v>
      </c>
      <c r="AI31" t="str">
        <f ca="1">IFERROR(IF(0=LEN(ReferenceData!$AI$31),"",ReferenceData!$AI$31),"")</f>
        <v/>
      </c>
      <c r="AJ31" t="str">
        <f ca="1">IFERROR(IF(0=LEN(ReferenceData!$AJ$31),"",ReferenceData!$AJ$31),"")</f>
        <v/>
      </c>
      <c r="AK31">
        <f ca="1">IFERROR(IF(0=LEN(ReferenceData!$AK$31),"",ReferenceData!$AK$31),"")</f>
        <v>17.34598214</v>
      </c>
      <c r="AL31">
        <f ca="1">IFERROR(IF(0=LEN(ReferenceData!$AL$31),"",ReferenceData!$AL$31),"")</f>
        <v>16.698660709999999</v>
      </c>
      <c r="AM31" t="str">
        <f ca="1">IFERROR(IF(0=LEN(ReferenceData!$AM$31),"",ReferenceData!$AM$31),"")</f>
        <v/>
      </c>
      <c r="AN31" t="str">
        <f ca="1">IFERROR(IF(0=LEN(ReferenceData!$AN$31),"",ReferenceData!$AN$31),"")</f>
        <v/>
      </c>
      <c r="AO31" t="str">
        <f ca="1">IFERROR(IF(0=LEN(ReferenceData!$AO$31),"",ReferenceData!$AO$31),"")</f>
        <v/>
      </c>
      <c r="AP31" t="str">
        <f ca="1">IFERROR(IF(0=LEN(ReferenceData!$AP$31),"",ReferenceData!$AP$31),"")</f>
        <v/>
      </c>
      <c r="AQ31" t="str">
        <f ca="1">IFERROR(IF(0=LEN(ReferenceData!$AQ$31),"",ReferenceData!$AQ$31),"")</f>
        <v/>
      </c>
      <c r="AR31" t="str">
        <f ca="1">IFERROR(IF(0=LEN(ReferenceData!$AR$31),"",ReferenceData!$AR$31),"")</f>
        <v/>
      </c>
      <c r="AS31" t="str">
        <f ca="1">IFERROR(IF(0=LEN(ReferenceData!$AS$31),"",ReferenceData!$AS$31),"")</f>
        <v/>
      </c>
      <c r="AT31" t="str">
        <f ca="1">IFERROR(IF(0=LEN(ReferenceData!$AT$31),"",ReferenceData!$AT$31),"")</f>
        <v/>
      </c>
      <c r="AU31" t="str">
        <f ca="1">IFERROR(IF(0=LEN(ReferenceData!$AU$31),"",ReferenceData!$AU$31),"")</f>
        <v/>
      </c>
      <c r="AV31" t="str">
        <f ca="1">IFERROR(IF(0=LEN(ReferenceData!$AV$31),"",ReferenceData!$AV$31),"")</f>
        <v/>
      </c>
      <c r="AW31" t="str">
        <f ca="1">IFERROR(IF(0=LEN(ReferenceData!$AW$31),"",ReferenceData!$AW$31),"")</f>
        <v/>
      </c>
      <c r="AX31" t="str">
        <f ca="1">IFERROR(IF(0=LEN(ReferenceData!$AX$31),"",ReferenceData!$AX$31),"")</f>
        <v/>
      </c>
      <c r="AY31" t="str">
        <f ca="1">IFERROR(IF(0=LEN(ReferenceData!$AY$31),"",ReferenceData!$AY$31),"")</f>
        <v/>
      </c>
      <c r="AZ31" t="str">
        <f ca="1">IFERROR(IF(0=LEN(ReferenceData!$AZ$31),"",ReferenceData!$AZ$31),"")</f>
        <v/>
      </c>
      <c r="BA31" t="str">
        <f ca="1">IFERROR(IF(0=LEN(ReferenceData!$BA$31),"",ReferenceData!$BA$31),"")</f>
        <v/>
      </c>
      <c r="BB31" t="str">
        <f ca="1">IFERROR(IF(0=LEN(ReferenceData!$BB$31),"",ReferenceData!$BB$31),"")</f>
        <v/>
      </c>
      <c r="BC31" t="str">
        <f ca="1">IFERROR(IF(0=LEN(ReferenceData!$BC$31),"",ReferenceData!$BC$31),"")</f>
        <v/>
      </c>
      <c r="BD31" t="str">
        <f ca="1">IFERROR(IF(0=LEN(ReferenceData!$BD$31),"",ReferenceData!$BD$31),"")</f>
        <v/>
      </c>
      <c r="BE31" t="str">
        <f ca="1">IFERROR(IF(0=LEN(ReferenceData!$BE$31),"",ReferenceData!$BE$31),"")</f>
        <v/>
      </c>
      <c r="BF31" t="str">
        <f ca="1">IFERROR(IF(0=LEN(ReferenceData!$BF$31),"",ReferenceData!$BF$31),"")</f>
        <v/>
      </c>
      <c r="BG31" t="str">
        <f ca="1">IFERROR(IF(0=LEN(ReferenceData!$BG$31),"",ReferenceData!$BG$31),"")</f>
        <v/>
      </c>
      <c r="BH31" t="str">
        <f ca="1">IFERROR(IF(0=LEN(ReferenceData!$BH$31),"",ReferenceData!$BH$31),"")</f>
        <v/>
      </c>
      <c r="BI31" t="str">
        <f ca="1">IFERROR(IF(0=LEN(ReferenceData!$BI$31),"",ReferenceData!$BI$31),"")</f>
        <v/>
      </c>
      <c r="BJ31" t="str">
        <f ca="1">IFERROR(IF(0=LEN(ReferenceData!$BJ$31),"",ReferenceData!$BJ$31),"")</f>
        <v/>
      </c>
      <c r="BK31" t="str">
        <f ca="1">IFERROR(IF(0=LEN(ReferenceData!$BK$31),"",ReferenceData!$BK$31),"")</f>
        <v/>
      </c>
      <c r="BL31" t="str">
        <f ca="1">IFERROR(IF(0=LEN(ReferenceData!$BL$31),"",ReferenceData!$BL$31),"")</f>
        <v/>
      </c>
      <c r="BM31" t="str">
        <f ca="1">IFERROR(IF(0=LEN(ReferenceData!$BM$31),"",ReferenceData!$BM$31),"")</f>
        <v/>
      </c>
      <c r="BN31" t="str">
        <f ca="1">IFERROR(IF(0=LEN(ReferenceData!$BN$31),"",ReferenceData!$BN$31),"")</f>
        <v/>
      </c>
      <c r="BO31" t="str">
        <f ca="1">IFERROR(IF(0=LEN(ReferenceData!$BO$31),"",ReferenceData!$BO$31),"")</f>
        <v/>
      </c>
      <c r="BP31" t="str">
        <f ca="1">IFERROR(IF(0=LEN(ReferenceData!$BP$31),"",ReferenceData!$BP$31),"")</f>
        <v/>
      </c>
      <c r="BQ31" t="str">
        <f ca="1">IFERROR(IF(0=LEN(ReferenceData!$BQ$31),"",ReferenceData!$BQ$31),"")</f>
        <v/>
      </c>
      <c r="BR31" t="str">
        <f ca="1">IFERROR(IF(0=LEN(ReferenceData!$BR$31),"",ReferenceData!$BR$31),"")</f>
        <v/>
      </c>
      <c r="BS31" t="str">
        <f ca="1">IFERROR(IF(0=LEN(ReferenceData!$BS$31),"",ReferenceData!$BS$31),"")</f>
        <v/>
      </c>
      <c r="BT31" t="str">
        <f ca="1">IFERROR(IF(0=LEN(ReferenceData!$BT$31),"",ReferenceData!$BT$31),"")</f>
        <v/>
      </c>
      <c r="BU31" t="str">
        <f ca="1">IFERROR(IF(0=LEN(ReferenceData!$BU$31),"",ReferenceData!$BU$31),"")</f>
        <v/>
      </c>
      <c r="BV31" t="str">
        <f ca="1">IFERROR(IF(0=LEN(ReferenceData!$BV$31),"",ReferenceData!$BV$31),"")</f>
        <v/>
      </c>
      <c r="BW31" t="str">
        <f ca="1">IFERROR(IF(0=LEN(ReferenceData!$BW$31),"",ReferenceData!$BW$31),"")</f>
        <v/>
      </c>
      <c r="BX31" t="str">
        <f ca="1">IFERROR(IF(0=LEN(ReferenceData!$BX$31),"",ReferenceData!$BX$31),"")</f>
        <v/>
      </c>
      <c r="BY31" t="str">
        <f ca="1">IFERROR(IF(0=LEN(ReferenceData!$BY$31),"",ReferenceData!$BY$31),"")</f>
        <v/>
      </c>
      <c r="BZ31" t="str">
        <f ca="1">IFERROR(IF(0=LEN(ReferenceData!$BZ$31),"",ReferenceData!$BZ$31),"")</f>
        <v/>
      </c>
      <c r="CA31" t="str">
        <f ca="1">IFERROR(IF(0=LEN(ReferenceData!$CA$31),"",ReferenceData!$CA$31),"")</f>
        <v/>
      </c>
      <c r="CB31" t="str">
        <f ca="1">IFERROR(IF(0=LEN(ReferenceData!$CB$31),"",ReferenceData!$CB$31),"")</f>
        <v/>
      </c>
      <c r="CC31" t="str">
        <f ca="1">IFERROR(IF(0=LEN(ReferenceData!$CC$31),"",ReferenceData!$CC$31),"")</f>
        <v/>
      </c>
      <c r="CD31" t="str">
        <f ca="1">IFERROR(IF(0=LEN(ReferenceData!$CD$31),"",ReferenceData!$CD$31),"")</f>
        <v/>
      </c>
      <c r="CE31" t="str">
        <f ca="1">IFERROR(IF(0=LEN(ReferenceData!$CE$31),"",ReferenceData!$CE$31),"")</f>
        <v/>
      </c>
      <c r="CF31" t="str">
        <f ca="1">IFERROR(IF(0=LEN(ReferenceData!$CF$31),"",ReferenceData!$CF$31),"")</f>
        <v/>
      </c>
      <c r="CG31" t="str">
        <f ca="1">IFERROR(IF(0=LEN(ReferenceData!$CG$31),"",ReferenceData!$CG$31),"")</f>
        <v/>
      </c>
      <c r="CH31" t="str">
        <f ca="1">IFERROR(IF(0=LEN(ReferenceData!$CH$31),"",ReferenceData!$CH$31),"")</f>
        <v/>
      </c>
      <c r="CI31" t="str">
        <f ca="1">IFERROR(IF(0=LEN(ReferenceData!$CI$31),"",ReferenceData!$CI$31),"")</f>
        <v/>
      </c>
      <c r="CJ31" t="str">
        <f ca="1">IFERROR(IF(0=LEN(ReferenceData!$CJ$31),"",ReferenceData!$CJ$31),"")</f>
        <v/>
      </c>
      <c r="CK31" t="str">
        <f ca="1">IFERROR(IF(0=LEN(ReferenceData!$CK$31),"",ReferenceData!$CK$31),"")</f>
        <v/>
      </c>
    </row>
    <row r="32" spans="1:89">
      <c r="A32" t="str">
        <f>IFERROR(IF(0=LEN(ReferenceData!$A$32),"",ReferenceData!$A$32),"")</f>
        <v xml:space="preserve">    埃塞克斯房地产信托公司</v>
      </c>
      <c r="B32" t="str">
        <f>IFERROR(IF(0=LEN(ReferenceData!$B$32),"",ReferenceData!$B$32),"")</f>
        <v>ESS US Equity</v>
      </c>
      <c r="C32" t="str">
        <f>IFERROR(IF(0=LEN(ReferenceData!$C$32),"",ReferenceData!$C$32),"")</f>
        <v>BE249</v>
      </c>
      <c r="D32" t="str">
        <f>IFERROR(IF(0=LEN(ReferenceData!$D$32),"",ReferenceData!$D$32),"")</f>
        <v>BEST_PRICE_FFO_RATIO</v>
      </c>
      <c r="E32" t="str">
        <f>IFERROR(IF(0=LEN(ReferenceData!$E$32),"",ReferenceData!$E$32),"")</f>
        <v>动态</v>
      </c>
      <c r="F32">
        <f ca="1">IFERROR(IF(0=LEN(ReferenceData!$F$32),"",ReferenceData!$F$32),"")</f>
        <v>19.178985019999999</v>
      </c>
      <c r="G32">
        <f ca="1">IFERROR(IF(0=LEN(ReferenceData!$G$32),"",ReferenceData!$G$32),"")</f>
        <v>17.97686933</v>
      </c>
      <c r="H32">
        <f ca="1">IFERROR(IF(0=LEN(ReferenceData!$H$32),"",ReferenceData!$H$32),"")</f>
        <v>18.735826299999999</v>
      </c>
      <c r="I32">
        <f ca="1">IFERROR(IF(0=LEN(ReferenceData!$I$32),"",ReferenceData!$I$32),"")</f>
        <v>19.387148589999999</v>
      </c>
      <c r="J32">
        <f ca="1">IFERROR(IF(0=LEN(ReferenceData!$J$32),"",ReferenceData!$J$32),"")</f>
        <v>19.83218243</v>
      </c>
      <c r="K32">
        <f ca="1">IFERROR(IF(0=LEN(ReferenceData!$K$32),"",ReferenceData!$K$32),"")</f>
        <v>21.048283609999999</v>
      </c>
      <c r="L32">
        <f ca="1">IFERROR(IF(0=LEN(ReferenceData!$L$32),"",ReferenceData!$L$32),"")</f>
        <v>20.371291100000001</v>
      </c>
      <c r="M32">
        <f ca="1">IFERROR(IF(0=LEN(ReferenceData!$M$32),"",ReferenceData!$M$32),"")</f>
        <v>21.363052209999999</v>
      </c>
      <c r="N32">
        <f ca="1">IFERROR(IF(0=LEN(ReferenceData!$N$32),"",ReferenceData!$N$32),"")</f>
        <v>21.008268439999998</v>
      </c>
      <c r="O32">
        <f ca="1">IFERROR(IF(0=LEN(ReferenceData!$O$32),"",ReferenceData!$O$32),"")</f>
        <v>20.6841936</v>
      </c>
      <c r="P32">
        <f ca="1">IFERROR(IF(0=LEN(ReferenceData!$P$32),"",ReferenceData!$P$32),"")</f>
        <v>20.726040659999999</v>
      </c>
      <c r="Q32">
        <f ca="1">IFERROR(IF(0=LEN(ReferenceData!$Q$32),"",ReferenceData!$Q$32),"")</f>
        <v>19.83529412</v>
      </c>
      <c r="R32">
        <f ca="1">IFERROR(IF(0=LEN(ReferenceData!$R$32),"",ReferenceData!$R$32),"")</f>
        <v>18.791494199999999</v>
      </c>
      <c r="S32">
        <f ca="1">IFERROR(IF(0=LEN(ReferenceData!$S$32),"",ReferenceData!$S$32),"")</f>
        <v>19.034874290000001</v>
      </c>
      <c r="T32">
        <f ca="1">IFERROR(IF(0=LEN(ReferenceData!$T$32),"",ReferenceData!$T$32),"")</f>
        <v>17.945435629999999</v>
      </c>
      <c r="U32">
        <f ca="1">IFERROR(IF(0=LEN(ReferenceData!$U$32),"",ReferenceData!$U$32),"")</f>
        <v>18.622346820000001</v>
      </c>
      <c r="V32">
        <f ca="1">IFERROR(IF(0=LEN(ReferenceData!$V$32),"",ReferenceData!$V$32),"")</f>
        <v>17.237745489999998</v>
      </c>
      <c r="W32">
        <f ca="1">IFERROR(IF(0=LEN(ReferenceData!$W$32),"",ReferenceData!$W$32),"")</f>
        <v>17.14091273</v>
      </c>
      <c r="X32">
        <f ca="1">IFERROR(IF(0=LEN(ReferenceData!$X$32),"",ReferenceData!$X$32),"")</f>
        <v>17.769089600000001</v>
      </c>
      <c r="Y32">
        <f ca="1">IFERROR(IF(0=LEN(ReferenceData!$Y$32),"",ReferenceData!$Y$32),"")</f>
        <v>18.09994421</v>
      </c>
      <c r="Z32">
        <f ca="1">IFERROR(IF(0=LEN(ReferenceData!$Z$32),"",ReferenceData!$Z$32),"")</f>
        <v>18.49877403</v>
      </c>
      <c r="AA32">
        <f ca="1">IFERROR(IF(0=LEN(ReferenceData!$AA$32),"",ReferenceData!$AA$32),"")</f>
        <v>17.937244419999999</v>
      </c>
      <c r="AB32">
        <f ca="1">IFERROR(IF(0=LEN(ReferenceData!$AB$32),"",ReferenceData!$AB$32),"")</f>
        <v>17.80799373</v>
      </c>
      <c r="AC32">
        <f ca="1">IFERROR(IF(0=LEN(ReferenceData!$AC$32),"",ReferenceData!$AC$32),"")</f>
        <v>17.126320700000001</v>
      </c>
      <c r="AD32">
        <f ca="1">IFERROR(IF(0=LEN(ReferenceData!$AD$32),"",ReferenceData!$AD$32),"")</f>
        <v>18.081026749999999</v>
      </c>
      <c r="AE32">
        <f ca="1">IFERROR(IF(0=LEN(ReferenceData!$AE$32),"",ReferenceData!$AE$32),"")</f>
        <v>16.329588009999998</v>
      </c>
      <c r="AF32" t="str">
        <f ca="1">IFERROR(IF(0=LEN(ReferenceData!$AF$32),"",ReferenceData!$AF$32),"")</f>
        <v/>
      </c>
      <c r="AG32" t="str">
        <f ca="1">IFERROR(IF(0=LEN(ReferenceData!$AG$32),"",ReferenceData!$AG$32),"")</f>
        <v/>
      </c>
      <c r="AH32" t="str">
        <f ca="1">IFERROR(IF(0=LEN(ReferenceData!$AH$32),"",ReferenceData!$AH$32),"")</f>
        <v/>
      </c>
      <c r="AI32" t="str">
        <f ca="1">IFERROR(IF(0=LEN(ReferenceData!$AI$32),"",ReferenceData!$AI$32),"")</f>
        <v/>
      </c>
      <c r="AJ32" t="str">
        <f ca="1">IFERROR(IF(0=LEN(ReferenceData!$AJ$32),"",ReferenceData!$AJ$32),"")</f>
        <v/>
      </c>
      <c r="AK32">
        <f ca="1">IFERROR(IF(0=LEN(ReferenceData!$AK$32),"",ReferenceData!$AK$32),"")</f>
        <v>17.577813249999998</v>
      </c>
      <c r="AL32">
        <f ca="1">IFERROR(IF(0=LEN(ReferenceData!$AL$32),"",ReferenceData!$AL$32),"")</f>
        <v>17.949720670000001</v>
      </c>
      <c r="AM32" t="str">
        <f ca="1">IFERROR(IF(0=LEN(ReferenceData!$AM$32),"",ReferenceData!$AM$32),"")</f>
        <v/>
      </c>
      <c r="AN32" t="str">
        <f ca="1">IFERROR(IF(0=LEN(ReferenceData!$AN$32),"",ReferenceData!$AN$32),"")</f>
        <v/>
      </c>
      <c r="AO32" t="str">
        <f ca="1">IFERROR(IF(0=LEN(ReferenceData!$AO$32),"",ReferenceData!$AO$32),"")</f>
        <v/>
      </c>
      <c r="AP32" t="str">
        <f ca="1">IFERROR(IF(0=LEN(ReferenceData!$AP$32),"",ReferenceData!$AP$32),"")</f>
        <v/>
      </c>
      <c r="AQ32" t="str">
        <f ca="1">IFERROR(IF(0=LEN(ReferenceData!$AQ$32),"",ReferenceData!$AQ$32),"")</f>
        <v/>
      </c>
      <c r="AR32" t="str">
        <f ca="1">IFERROR(IF(0=LEN(ReferenceData!$AR$32),"",ReferenceData!$AR$32),"")</f>
        <v/>
      </c>
      <c r="AS32" t="str">
        <f ca="1">IFERROR(IF(0=LEN(ReferenceData!$AS$32),"",ReferenceData!$AS$32),"")</f>
        <v/>
      </c>
      <c r="AT32" t="str">
        <f ca="1">IFERROR(IF(0=LEN(ReferenceData!$AT$32),"",ReferenceData!$AT$32),"")</f>
        <v/>
      </c>
      <c r="AU32" t="str">
        <f ca="1">IFERROR(IF(0=LEN(ReferenceData!$AU$32),"",ReferenceData!$AU$32),"")</f>
        <v/>
      </c>
      <c r="AV32" t="str">
        <f ca="1">IFERROR(IF(0=LEN(ReferenceData!$AV$32),"",ReferenceData!$AV$32),"")</f>
        <v/>
      </c>
      <c r="AW32" t="str">
        <f ca="1">IFERROR(IF(0=LEN(ReferenceData!$AW$32),"",ReferenceData!$AW$32),"")</f>
        <v/>
      </c>
      <c r="AX32" t="str">
        <f ca="1">IFERROR(IF(0=LEN(ReferenceData!$AX$32),"",ReferenceData!$AX$32),"")</f>
        <v/>
      </c>
      <c r="AY32" t="str">
        <f ca="1">IFERROR(IF(0=LEN(ReferenceData!$AY$32),"",ReferenceData!$AY$32),"")</f>
        <v/>
      </c>
      <c r="AZ32" t="str">
        <f ca="1">IFERROR(IF(0=LEN(ReferenceData!$AZ$32),"",ReferenceData!$AZ$32),"")</f>
        <v/>
      </c>
      <c r="BA32" t="str">
        <f ca="1">IFERROR(IF(0=LEN(ReferenceData!$BA$32),"",ReferenceData!$BA$32),"")</f>
        <v/>
      </c>
      <c r="BB32" t="str">
        <f ca="1">IFERROR(IF(0=LEN(ReferenceData!$BB$32),"",ReferenceData!$BB$32),"")</f>
        <v/>
      </c>
      <c r="BC32" t="str">
        <f ca="1">IFERROR(IF(0=LEN(ReferenceData!$BC$32),"",ReferenceData!$BC$32),"")</f>
        <v/>
      </c>
      <c r="BD32" t="str">
        <f ca="1">IFERROR(IF(0=LEN(ReferenceData!$BD$32),"",ReferenceData!$BD$32),"")</f>
        <v/>
      </c>
      <c r="BE32" t="str">
        <f ca="1">IFERROR(IF(0=LEN(ReferenceData!$BE$32),"",ReferenceData!$BE$32),"")</f>
        <v/>
      </c>
      <c r="BF32" t="str">
        <f ca="1">IFERROR(IF(0=LEN(ReferenceData!$BF$32),"",ReferenceData!$BF$32),"")</f>
        <v/>
      </c>
      <c r="BG32" t="str">
        <f ca="1">IFERROR(IF(0=LEN(ReferenceData!$BG$32),"",ReferenceData!$BG$32),"")</f>
        <v/>
      </c>
      <c r="BH32" t="str">
        <f ca="1">IFERROR(IF(0=LEN(ReferenceData!$BH$32),"",ReferenceData!$BH$32),"")</f>
        <v/>
      </c>
      <c r="BI32" t="str">
        <f ca="1">IFERROR(IF(0=LEN(ReferenceData!$BI$32),"",ReferenceData!$BI$32),"")</f>
        <v/>
      </c>
      <c r="BJ32" t="str">
        <f ca="1">IFERROR(IF(0=LEN(ReferenceData!$BJ$32),"",ReferenceData!$BJ$32),"")</f>
        <v/>
      </c>
      <c r="BK32" t="str">
        <f ca="1">IFERROR(IF(0=LEN(ReferenceData!$BK$32),"",ReferenceData!$BK$32),"")</f>
        <v/>
      </c>
      <c r="BL32" t="str">
        <f ca="1">IFERROR(IF(0=LEN(ReferenceData!$BL$32),"",ReferenceData!$BL$32),"")</f>
        <v/>
      </c>
      <c r="BM32" t="str">
        <f ca="1">IFERROR(IF(0=LEN(ReferenceData!$BM$32),"",ReferenceData!$BM$32),"")</f>
        <v/>
      </c>
      <c r="BN32" t="str">
        <f ca="1">IFERROR(IF(0=LEN(ReferenceData!$BN$32),"",ReferenceData!$BN$32),"")</f>
        <v/>
      </c>
      <c r="BO32" t="str">
        <f ca="1">IFERROR(IF(0=LEN(ReferenceData!$BO$32),"",ReferenceData!$BO$32),"")</f>
        <v/>
      </c>
      <c r="BP32" t="str">
        <f ca="1">IFERROR(IF(0=LEN(ReferenceData!$BP$32),"",ReferenceData!$BP$32),"")</f>
        <v/>
      </c>
      <c r="BQ32" t="str">
        <f ca="1">IFERROR(IF(0=LEN(ReferenceData!$BQ$32),"",ReferenceData!$BQ$32),"")</f>
        <v/>
      </c>
      <c r="BR32" t="str">
        <f ca="1">IFERROR(IF(0=LEN(ReferenceData!$BR$32),"",ReferenceData!$BR$32),"")</f>
        <v/>
      </c>
      <c r="BS32" t="str">
        <f ca="1">IFERROR(IF(0=LEN(ReferenceData!$BS$32),"",ReferenceData!$BS$32),"")</f>
        <v/>
      </c>
      <c r="BT32" t="str">
        <f ca="1">IFERROR(IF(0=LEN(ReferenceData!$BT$32),"",ReferenceData!$BT$32),"")</f>
        <v/>
      </c>
      <c r="BU32" t="str">
        <f ca="1">IFERROR(IF(0=LEN(ReferenceData!$BU$32),"",ReferenceData!$BU$32),"")</f>
        <v/>
      </c>
      <c r="BV32" t="str">
        <f ca="1">IFERROR(IF(0=LEN(ReferenceData!$BV$32),"",ReferenceData!$BV$32),"")</f>
        <v/>
      </c>
      <c r="BW32" t="str">
        <f ca="1">IFERROR(IF(0=LEN(ReferenceData!$BW$32),"",ReferenceData!$BW$32),"")</f>
        <v/>
      </c>
      <c r="BX32" t="str">
        <f ca="1">IFERROR(IF(0=LEN(ReferenceData!$BX$32),"",ReferenceData!$BX$32),"")</f>
        <v/>
      </c>
      <c r="BY32" t="str">
        <f ca="1">IFERROR(IF(0=LEN(ReferenceData!$BY$32),"",ReferenceData!$BY$32),"")</f>
        <v/>
      </c>
      <c r="BZ32" t="str">
        <f ca="1">IFERROR(IF(0=LEN(ReferenceData!$BZ$32),"",ReferenceData!$BZ$32),"")</f>
        <v/>
      </c>
      <c r="CA32" t="str">
        <f ca="1">IFERROR(IF(0=LEN(ReferenceData!$CA$32),"",ReferenceData!$CA$32),"")</f>
        <v/>
      </c>
      <c r="CB32" t="str">
        <f ca="1">IFERROR(IF(0=LEN(ReferenceData!$CB$32),"",ReferenceData!$CB$32),"")</f>
        <v/>
      </c>
      <c r="CC32" t="str">
        <f ca="1">IFERROR(IF(0=LEN(ReferenceData!$CC$32),"",ReferenceData!$CC$32),"")</f>
        <v/>
      </c>
      <c r="CD32" t="str">
        <f ca="1">IFERROR(IF(0=LEN(ReferenceData!$CD$32),"",ReferenceData!$CD$32),"")</f>
        <v/>
      </c>
      <c r="CE32" t="str">
        <f ca="1">IFERROR(IF(0=LEN(ReferenceData!$CE$32),"",ReferenceData!$CE$32),"")</f>
        <v/>
      </c>
      <c r="CF32" t="str">
        <f ca="1">IFERROR(IF(0=LEN(ReferenceData!$CF$32),"",ReferenceData!$CF$32),"")</f>
        <v/>
      </c>
      <c r="CG32" t="str">
        <f ca="1">IFERROR(IF(0=LEN(ReferenceData!$CG$32),"",ReferenceData!$CG$32),"")</f>
        <v/>
      </c>
      <c r="CH32" t="str">
        <f ca="1">IFERROR(IF(0=LEN(ReferenceData!$CH$32),"",ReferenceData!$CH$32),"")</f>
        <v/>
      </c>
      <c r="CI32" t="str">
        <f ca="1">IFERROR(IF(0=LEN(ReferenceData!$CI$32),"",ReferenceData!$CI$32),"")</f>
        <v/>
      </c>
      <c r="CJ32" t="str">
        <f ca="1">IFERROR(IF(0=LEN(ReferenceData!$CJ$32),"",ReferenceData!$CJ$32),"")</f>
        <v/>
      </c>
      <c r="CK32" t="str">
        <f ca="1">IFERROR(IF(0=LEN(ReferenceData!$CK$32),"",ReferenceData!$CK$32),"")</f>
        <v/>
      </c>
    </row>
    <row r="33" spans="1:89">
      <c r="A33" t="str">
        <f>IFERROR(IF(0=LEN(ReferenceData!$A$33),"",ReferenceData!$A$33),"")</f>
        <v xml:space="preserve">    Mid-America Apartment Communities股份有限公司</v>
      </c>
      <c r="B33" t="str">
        <f>IFERROR(IF(0=LEN(ReferenceData!$B$33),"",ReferenceData!$B$33),"")</f>
        <v>MAA US Equity</v>
      </c>
      <c r="C33" t="str">
        <f>IFERROR(IF(0=LEN(ReferenceData!$C$33),"",ReferenceData!$C$33),"")</f>
        <v>BE249</v>
      </c>
      <c r="D33" t="str">
        <f>IFERROR(IF(0=LEN(ReferenceData!$D$33),"",ReferenceData!$D$33),"")</f>
        <v>BEST_PRICE_FFO_RATIO</v>
      </c>
      <c r="E33" t="str">
        <f>IFERROR(IF(0=LEN(ReferenceData!$E$33),"",ReferenceData!$E$33),"")</f>
        <v>动态</v>
      </c>
      <c r="F33">
        <f ca="1">IFERROR(IF(0=LEN(ReferenceData!$F$33),"",ReferenceData!$F$33),"")</f>
        <v>14.80609817</v>
      </c>
      <c r="G33">
        <f ca="1">IFERROR(IF(0=LEN(ReferenceData!$G$33),"",ReferenceData!$G$33),"")</f>
        <v>14.15004122</v>
      </c>
      <c r="H33">
        <f ca="1">IFERROR(IF(0=LEN(ReferenceData!$H$33),"",ReferenceData!$H$33),"")</f>
        <v>15.53257329</v>
      </c>
      <c r="I33">
        <f ca="1">IFERROR(IF(0=LEN(ReferenceData!$I$33),"",ReferenceData!$I$33),"")</f>
        <v>16.250808020000001</v>
      </c>
      <c r="J33">
        <f ca="1">IFERROR(IF(0=LEN(ReferenceData!$J$33),"",ReferenceData!$J$33),"")</f>
        <v>16.39564661</v>
      </c>
      <c r="K33">
        <f ca="1">IFERROR(IF(0=LEN(ReferenceData!$K$33),"",ReferenceData!$K$33),"")</f>
        <v>16.256353239999999</v>
      </c>
      <c r="L33">
        <f ca="1">IFERROR(IF(0=LEN(ReferenceData!$L$33),"",ReferenceData!$L$33),"")</f>
        <v>16.820900219999999</v>
      </c>
      <c r="M33">
        <f ca="1">IFERROR(IF(0=LEN(ReferenceData!$M$33),"",ReferenceData!$M$33),"")</f>
        <v>16.786502680000002</v>
      </c>
      <c r="N33">
        <f ca="1">IFERROR(IF(0=LEN(ReferenceData!$N$33),"",ReferenceData!$N$33),"")</f>
        <v>16.301369860000001</v>
      </c>
      <c r="O33">
        <f ca="1">IFERROR(IF(0=LEN(ReferenceData!$O$33),"",ReferenceData!$O$33),"")</f>
        <v>16.54576857</v>
      </c>
      <c r="P33">
        <f ca="1">IFERROR(IF(0=LEN(ReferenceData!$P$33),"",ReferenceData!$P$33),"")</f>
        <v>16.023263119999999</v>
      </c>
      <c r="Q33">
        <f ca="1">IFERROR(IF(0=LEN(ReferenceData!$Q$33),"",ReferenceData!$Q$33),"")</f>
        <v>15.67051019</v>
      </c>
      <c r="R33">
        <f ca="1">IFERROR(IF(0=LEN(ReferenceData!$R$33),"",ReferenceData!$R$33),"")</f>
        <v>16.070131100000001</v>
      </c>
      <c r="S33">
        <f ca="1">IFERROR(IF(0=LEN(ReferenceData!$S$33),"",ReferenceData!$S$33),"")</f>
        <v>16.229067929999999</v>
      </c>
      <c r="T33">
        <f ca="1">IFERROR(IF(0=LEN(ReferenceData!$T$33),"",ReferenceData!$T$33),"")</f>
        <v>14.84057518</v>
      </c>
      <c r="U33">
        <f ca="1">IFERROR(IF(0=LEN(ReferenceData!$U$33),"",ReferenceData!$U$33),"")</f>
        <v>15.41319062</v>
      </c>
      <c r="V33">
        <f ca="1">IFERROR(IF(0=LEN(ReferenceData!$V$33),"",ReferenceData!$V$33),"")</f>
        <v>13.972247640000001</v>
      </c>
      <c r="W33">
        <f ca="1">IFERROR(IF(0=LEN(ReferenceData!$W$33),"",ReferenceData!$W$33),"")</f>
        <v>14.10217424</v>
      </c>
      <c r="X33">
        <f ca="1">IFERROR(IF(0=LEN(ReferenceData!$X$33),"",ReferenceData!$X$33),"")</f>
        <v>14.42892232</v>
      </c>
      <c r="Y33">
        <f ca="1">IFERROR(IF(0=LEN(ReferenceData!$Y$33),"",ReferenceData!$Y$33),"")</f>
        <v>14.354001220000001</v>
      </c>
      <c r="Z33">
        <f ca="1">IFERROR(IF(0=LEN(ReferenceData!$Z$33),"",ReferenceData!$Z$33),"")</f>
        <v>15.91175146</v>
      </c>
      <c r="AA33">
        <f ca="1">IFERROR(IF(0=LEN(ReferenceData!$AA$33),"",ReferenceData!$AA$33),"")</f>
        <v>15.96878283</v>
      </c>
      <c r="AB33">
        <f ca="1">IFERROR(IF(0=LEN(ReferenceData!$AB$33),"",ReferenceData!$AB$33),"")</f>
        <v>15.5222306</v>
      </c>
      <c r="AC33">
        <f ca="1">IFERROR(IF(0=LEN(ReferenceData!$AC$33),"",ReferenceData!$AC$33),"")</f>
        <v>14.601067889999999</v>
      </c>
      <c r="AD33">
        <f ca="1">IFERROR(IF(0=LEN(ReferenceData!$AD$33),"",ReferenceData!$AD$33),"")</f>
        <v>15.32383808</v>
      </c>
      <c r="AE33">
        <f ca="1">IFERROR(IF(0=LEN(ReferenceData!$AE$33),"",ReferenceData!$AE$33),"")</f>
        <v>13.48425787</v>
      </c>
      <c r="AF33">
        <f ca="1">IFERROR(IF(0=LEN(ReferenceData!$AF$33),"",ReferenceData!$AF$33),"")</f>
        <v>13.899259259999999</v>
      </c>
      <c r="AG33">
        <f ca="1">IFERROR(IF(0=LEN(ReferenceData!$AG$33),"",ReferenceData!$AG$33),"")</f>
        <v>13.45333333</v>
      </c>
      <c r="AH33" t="str">
        <f ca="1">IFERROR(IF(0=LEN(ReferenceData!$AH$33),"",ReferenceData!$AH$33),"")</f>
        <v/>
      </c>
      <c r="AI33" t="str">
        <f ca="1">IFERROR(IF(0=LEN(ReferenceData!$AI$33),"",ReferenceData!$AI$33),"")</f>
        <v/>
      </c>
      <c r="AJ33" t="str">
        <f ca="1">IFERROR(IF(0=LEN(ReferenceData!$AJ$33),"",ReferenceData!$AJ$33),"")</f>
        <v/>
      </c>
      <c r="AK33">
        <f ca="1">IFERROR(IF(0=LEN(ReferenceData!$AK$33),"",ReferenceData!$AK$33),"")</f>
        <v>11.91330344</v>
      </c>
      <c r="AL33">
        <f ca="1">IFERROR(IF(0=LEN(ReferenceData!$AL$33),"",ReferenceData!$AL$33),"")</f>
        <v>12.00896861</v>
      </c>
      <c r="AM33" t="str">
        <f ca="1">IFERROR(IF(0=LEN(ReferenceData!$AM$33),"",ReferenceData!$AM$33),"")</f>
        <v/>
      </c>
      <c r="AN33" t="str">
        <f ca="1">IFERROR(IF(0=LEN(ReferenceData!$AN$33),"",ReferenceData!$AN$33),"")</f>
        <v/>
      </c>
      <c r="AO33" t="str">
        <f ca="1">IFERROR(IF(0=LEN(ReferenceData!$AO$33),"",ReferenceData!$AO$33),"")</f>
        <v/>
      </c>
      <c r="AP33" t="str">
        <f ca="1">IFERROR(IF(0=LEN(ReferenceData!$AP$33),"",ReferenceData!$AP$33),"")</f>
        <v/>
      </c>
      <c r="AQ33" t="str">
        <f ca="1">IFERROR(IF(0=LEN(ReferenceData!$AQ$33),"",ReferenceData!$AQ$33),"")</f>
        <v/>
      </c>
      <c r="AR33" t="str">
        <f ca="1">IFERROR(IF(0=LEN(ReferenceData!$AR$33),"",ReferenceData!$AR$33),"")</f>
        <v/>
      </c>
      <c r="AS33" t="str">
        <f ca="1">IFERROR(IF(0=LEN(ReferenceData!$AS$33),"",ReferenceData!$AS$33),"")</f>
        <v/>
      </c>
      <c r="AT33" t="str">
        <f ca="1">IFERROR(IF(0=LEN(ReferenceData!$AT$33),"",ReferenceData!$AT$33),"")</f>
        <v/>
      </c>
      <c r="AU33" t="str">
        <f ca="1">IFERROR(IF(0=LEN(ReferenceData!$AU$33),"",ReferenceData!$AU$33),"")</f>
        <v/>
      </c>
      <c r="AV33" t="str">
        <f ca="1">IFERROR(IF(0=LEN(ReferenceData!$AV$33),"",ReferenceData!$AV$33),"")</f>
        <v/>
      </c>
      <c r="AW33" t="str">
        <f ca="1">IFERROR(IF(0=LEN(ReferenceData!$AW$33),"",ReferenceData!$AW$33),"")</f>
        <v/>
      </c>
      <c r="AX33" t="str">
        <f ca="1">IFERROR(IF(0=LEN(ReferenceData!$AX$33),"",ReferenceData!$AX$33),"")</f>
        <v/>
      </c>
      <c r="AY33" t="str">
        <f ca="1">IFERROR(IF(0=LEN(ReferenceData!$AY$33),"",ReferenceData!$AY$33),"")</f>
        <v/>
      </c>
      <c r="AZ33" t="str">
        <f ca="1">IFERROR(IF(0=LEN(ReferenceData!$AZ$33),"",ReferenceData!$AZ$33),"")</f>
        <v/>
      </c>
      <c r="BA33" t="str">
        <f ca="1">IFERROR(IF(0=LEN(ReferenceData!$BA$33),"",ReferenceData!$BA$33),"")</f>
        <v/>
      </c>
      <c r="BB33" t="str">
        <f ca="1">IFERROR(IF(0=LEN(ReferenceData!$BB$33),"",ReferenceData!$BB$33),"")</f>
        <v/>
      </c>
      <c r="BC33" t="str">
        <f ca="1">IFERROR(IF(0=LEN(ReferenceData!$BC$33),"",ReferenceData!$BC$33),"")</f>
        <v/>
      </c>
      <c r="BD33" t="str">
        <f ca="1">IFERROR(IF(0=LEN(ReferenceData!$BD$33),"",ReferenceData!$BD$33),"")</f>
        <v/>
      </c>
      <c r="BE33" t="str">
        <f ca="1">IFERROR(IF(0=LEN(ReferenceData!$BE$33),"",ReferenceData!$BE$33),"")</f>
        <v/>
      </c>
      <c r="BF33" t="str">
        <f ca="1">IFERROR(IF(0=LEN(ReferenceData!$BF$33),"",ReferenceData!$BF$33),"")</f>
        <v/>
      </c>
      <c r="BG33" t="str">
        <f ca="1">IFERROR(IF(0=LEN(ReferenceData!$BG$33),"",ReferenceData!$BG$33),"")</f>
        <v/>
      </c>
      <c r="BH33" t="str">
        <f ca="1">IFERROR(IF(0=LEN(ReferenceData!$BH$33),"",ReferenceData!$BH$33),"")</f>
        <v/>
      </c>
      <c r="BI33" t="str">
        <f ca="1">IFERROR(IF(0=LEN(ReferenceData!$BI$33),"",ReferenceData!$BI$33),"")</f>
        <v/>
      </c>
      <c r="BJ33" t="str">
        <f ca="1">IFERROR(IF(0=LEN(ReferenceData!$BJ$33),"",ReferenceData!$BJ$33),"")</f>
        <v/>
      </c>
      <c r="BK33" t="str">
        <f ca="1">IFERROR(IF(0=LEN(ReferenceData!$BK$33),"",ReferenceData!$BK$33),"")</f>
        <v/>
      </c>
      <c r="BL33" t="str">
        <f ca="1">IFERROR(IF(0=LEN(ReferenceData!$BL$33),"",ReferenceData!$BL$33),"")</f>
        <v/>
      </c>
      <c r="BM33" t="str">
        <f ca="1">IFERROR(IF(0=LEN(ReferenceData!$BM$33),"",ReferenceData!$BM$33),"")</f>
        <v/>
      </c>
      <c r="BN33" t="str">
        <f ca="1">IFERROR(IF(0=LEN(ReferenceData!$BN$33),"",ReferenceData!$BN$33),"")</f>
        <v/>
      </c>
      <c r="BO33" t="str">
        <f ca="1">IFERROR(IF(0=LEN(ReferenceData!$BO$33),"",ReferenceData!$BO$33),"")</f>
        <v/>
      </c>
      <c r="BP33" t="str">
        <f ca="1">IFERROR(IF(0=LEN(ReferenceData!$BP$33),"",ReferenceData!$BP$33),"")</f>
        <v/>
      </c>
      <c r="BQ33" t="str">
        <f ca="1">IFERROR(IF(0=LEN(ReferenceData!$BQ$33),"",ReferenceData!$BQ$33),"")</f>
        <v/>
      </c>
      <c r="BR33" t="str">
        <f ca="1">IFERROR(IF(0=LEN(ReferenceData!$BR$33),"",ReferenceData!$BR$33),"")</f>
        <v/>
      </c>
      <c r="BS33" t="str">
        <f ca="1">IFERROR(IF(0=LEN(ReferenceData!$BS$33),"",ReferenceData!$BS$33),"")</f>
        <v/>
      </c>
      <c r="BT33" t="str">
        <f ca="1">IFERROR(IF(0=LEN(ReferenceData!$BT$33),"",ReferenceData!$BT$33),"")</f>
        <v/>
      </c>
      <c r="BU33" t="str">
        <f ca="1">IFERROR(IF(0=LEN(ReferenceData!$BU$33),"",ReferenceData!$BU$33),"")</f>
        <v/>
      </c>
      <c r="BV33" t="str">
        <f ca="1">IFERROR(IF(0=LEN(ReferenceData!$BV$33),"",ReferenceData!$BV$33),"")</f>
        <v/>
      </c>
      <c r="BW33" t="str">
        <f ca="1">IFERROR(IF(0=LEN(ReferenceData!$BW$33),"",ReferenceData!$BW$33),"")</f>
        <v/>
      </c>
      <c r="BX33" t="str">
        <f ca="1">IFERROR(IF(0=LEN(ReferenceData!$BX$33),"",ReferenceData!$BX$33),"")</f>
        <v/>
      </c>
      <c r="BY33" t="str">
        <f ca="1">IFERROR(IF(0=LEN(ReferenceData!$BY$33),"",ReferenceData!$BY$33),"")</f>
        <v/>
      </c>
      <c r="BZ33" t="str">
        <f ca="1">IFERROR(IF(0=LEN(ReferenceData!$BZ$33),"",ReferenceData!$BZ$33),"")</f>
        <v/>
      </c>
      <c r="CA33" t="str">
        <f ca="1">IFERROR(IF(0=LEN(ReferenceData!$CA$33),"",ReferenceData!$CA$33),"")</f>
        <v/>
      </c>
      <c r="CB33" t="str">
        <f ca="1">IFERROR(IF(0=LEN(ReferenceData!$CB$33),"",ReferenceData!$CB$33),"")</f>
        <v/>
      </c>
      <c r="CC33" t="str">
        <f ca="1">IFERROR(IF(0=LEN(ReferenceData!$CC$33),"",ReferenceData!$CC$33),"")</f>
        <v/>
      </c>
      <c r="CD33" t="str">
        <f ca="1">IFERROR(IF(0=LEN(ReferenceData!$CD$33),"",ReferenceData!$CD$33),"")</f>
        <v/>
      </c>
      <c r="CE33" t="str">
        <f ca="1">IFERROR(IF(0=LEN(ReferenceData!$CE$33),"",ReferenceData!$CE$33),"")</f>
        <v/>
      </c>
      <c r="CF33" t="str">
        <f ca="1">IFERROR(IF(0=LEN(ReferenceData!$CF$33),"",ReferenceData!$CF$33),"")</f>
        <v/>
      </c>
      <c r="CG33" t="str">
        <f ca="1">IFERROR(IF(0=LEN(ReferenceData!$CG$33),"",ReferenceData!$CG$33),"")</f>
        <v/>
      </c>
      <c r="CH33" t="str">
        <f ca="1">IFERROR(IF(0=LEN(ReferenceData!$CH$33),"",ReferenceData!$CH$33),"")</f>
        <v/>
      </c>
      <c r="CI33" t="str">
        <f ca="1">IFERROR(IF(0=LEN(ReferenceData!$CI$33),"",ReferenceData!$CI$33),"")</f>
        <v/>
      </c>
      <c r="CJ33" t="str">
        <f ca="1">IFERROR(IF(0=LEN(ReferenceData!$CJ$33),"",ReferenceData!$CJ$33),"")</f>
        <v/>
      </c>
      <c r="CK33" t="str">
        <f ca="1">IFERROR(IF(0=LEN(ReferenceData!$CK$33),"",ReferenceData!$CK$33),"")</f>
        <v/>
      </c>
    </row>
    <row r="34" spans="1:89">
      <c r="A34" t="str">
        <f>IFERROR(IF(0=LEN(ReferenceData!$A$34),"",ReferenceData!$A$34),"")</f>
        <v xml:space="preserve">    UDR 公司</v>
      </c>
      <c r="B34" t="str">
        <f>IFERROR(IF(0=LEN(ReferenceData!$B$34),"",ReferenceData!$B$34),"")</f>
        <v>UDR US Equity</v>
      </c>
      <c r="C34" t="str">
        <f>IFERROR(IF(0=LEN(ReferenceData!$C$34),"",ReferenceData!$C$34),"")</f>
        <v>BE249</v>
      </c>
      <c r="D34" t="str">
        <f>IFERROR(IF(0=LEN(ReferenceData!$D$34),"",ReferenceData!$D$34),"")</f>
        <v>BEST_PRICE_FFO_RATIO</v>
      </c>
      <c r="E34" t="str">
        <f>IFERROR(IF(0=LEN(ReferenceData!$E$34),"",ReferenceData!$E$34),"")</f>
        <v>动态</v>
      </c>
      <c r="F34">
        <f ca="1">IFERROR(IF(0=LEN(ReferenceData!$F$34),"",ReferenceData!$F$34),"")</f>
        <v>18.243173540000001</v>
      </c>
      <c r="G34">
        <f ca="1">IFERROR(IF(0=LEN(ReferenceData!$G$34),"",ReferenceData!$G$34),"")</f>
        <v>17.303139479999999</v>
      </c>
      <c r="H34">
        <f ca="1">IFERROR(IF(0=LEN(ReferenceData!$H$34),"",ReferenceData!$H$34),"")</f>
        <v>18.543147210000001</v>
      </c>
      <c r="I34">
        <f ca="1">IFERROR(IF(0=LEN(ReferenceData!$I$34),"",ReferenceData!$I$34),"")</f>
        <v>19.573170730000001</v>
      </c>
      <c r="J34">
        <f ca="1">IFERROR(IF(0=LEN(ReferenceData!$J$34),"",ReferenceData!$J$34),"")</f>
        <v>20.015267179999999</v>
      </c>
      <c r="K34">
        <f ca="1">IFERROR(IF(0=LEN(ReferenceData!$K$34),"",ReferenceData!$K$34),"")</f>
        <v>19.770642200000001</v>
      </c>
      <c r="L34">
        <f ca="1">IFERROR(IF(0=LEN(ReferenceData!$L$34),"",ReferenceData!$L$34),"")</f>
        <v>19.412965799999998</v>
      </c>
      <c r="M34">
        <f ca="1">IFERROR(IF(0=LEN(ReferenceData!$M$34),"",ReferenceData!$M$34),"")</f>
        <v>19.80612245</v>
      </c>
      <c r="N34">
        <f ca="1">IFERROR(IF(0=LEN(ReferenceData!$N$34),"",ReferenceData!$N$34),"")</f>
        <v>19.96424923</v>
      </c>
      <c r="O34">
        <f ca="1">IFERROR(IF(0=LEN(ReferenceData!$O$34),"",ReferenceData!$O$34),"")</f>
        <v>19.93350384</v>
      </c>
      <c r="P34">
        <f ca="1">IFERROR(IF(0=LEN(ReferenceData!$P$34),"",ReferenceData!$P$34),"")</f>
        <v>19.78985136</v>
      </c>
      <c r="Q34">
        <f ca="1">IFERROR(IF(0=LEN(ReferenceData!$Q$34),"",ReferenceData!$Q$34),"")</f>
        <v>19.237506440000001</v>
      </c>
      <c r="R34">
        <f ca="1">IFERROR(IF(0=LEN(ReferenceData!$R$34),"",ReferenceData!$R$34),"")</f>
        <v>18.68109222</v>
      </c>
      <c r="S34">
        <f ca="1">IFERROR(IF(0=LEN(ReferenceData!$S$34),"",ReferenceData!$S$34),"")</f>
        <v>18.81443299</v>
      </c>
      <c r="T34">
        <f ca="1">IFERROR(IF(0=LEN(ReferenceData!$T$34),"",ReferenceData!$T$34),"")</f>
        <v>17.768174890000001</v>
      </c>
      <c r="U34">
        <f ca="1">IFERROR(IF(0=LEN(ReferenceData!$U$34),"",ReferenceData!$U$34),"")</f>
        <v>18.46153846</v>
      </c>
      <c r="V34">
        <f ca="1">IFERROR(IF(0=LEN(ReferenceData!$V$34),"",ReferenceData!$V$34),"")</f>
        <v>17.25291434</v>
      </c>
      <c r="W34">
        <f ca="1">IFERROR(IF(0=LEN(ReferenceData!$W$34),"",ReferenceData!$W$34),"")</f>
        <v>17.75126904</v>
      </c>
      <c r="X34">
        <f ca="1">IFERROR(IF(0=LEN(ReferenceData!$X$34),"",ReferenceData!$X$34),"")</f>
        <v>17.977022980000001</v>
      </c>
      <c r="Y34">
        <f ca="1">IFERROR(IF(0=LEN(ReferenceData!$Y$34),"",ReferenceData!$Y$34),"")</f>
        <v>18</v>
      </c>
      <c r="Z34">
        <f ca="1">IFERROR(IF(0=LEN(ReferenceData!$Z$34),"",ReferenceData!$Z$34),"")</f>
        <v>18.531607770000001</v>
      </c>
      <c r="AA34">
        <f ca="1">IFERROR(IF(0=LEN(ReferenceData!$AA$34),"",ReferenceData!$AA$34),"")</f>
        <v>18.223099699999999</v>
      </c>
      <c r="AB34">
        <f ca="1">IFERROR(IF(0=LEN(ReferenceData!$AB$34),"",ReferenceData!$AB$34),"")</f>
        <v>17.740029539999998</v>
      </c>
      <c r="AC34">
        <f ca="1">IFERROR(IF(0=LEN(ReferenceData!$AC$34),"",ReferenceData!$AC$34),"")</f>
        <v>17.20197044</v>
      </c>
      <c r="AD34">
        <f ca="1">IFERROR(IF(0=LEN(ReferenceData!$AD$34),"",ReferenceData!$AD$34),"")</f>
        <v>18.7038835</v>
      </c>
      <c r="AE34">
        <f ca="1">IFERROR(IF(0=LEN(ReferenceData!$AE$34),"",ReferenceData!$AE$34),"")</f>
        <v>16.74634146</v>
      </c>
      <c r="AF34" t="str">
        <f ca="1">IFERROR(IF(0=LEN(ReferenceData!$AF$34),"",ReferenceData!$AF$34),"")</f>
        <v/>
      </c>
      <c r="AG34" t="str">
        <f ca="1">IFERROR(IF(0=LEN(ReferenceData!$AG$34),"",ReferenceData!$AG$34),"")</f>
        <v/>
      </c>
      <c r="AH34" t="str">
        <f ca="1">IFERROR(IF(0=LEN(ReferenceData!$AH$34),"",ReferenceData!$AH$34),"")</f>
        <v/>
      </c>
      <c r="AI34">
        <f ca="1">IFERROR(IF(0=LEN(ReferenceData!$AI$34),"",ReferenceData!$AI$34),"")</f>
        <v>16.331775700000001</v>
      </c>
      <c r="AJ34">
        <f ca="1">IFERROR(IF(0=LEN(ReferenceData!$AJ$34),"",ReferenceData!$AJ$34),"")</f>
        <v>16.11214953</v>
      </c>
      <c r="AK34">
        <f ca="1">IFERROR(IF(0=LEN(ReferenceData!$AK$34),"",ReferenceData!$AK$34),"")</f>
        <v>15.454545449999999</v>
      </c>
      <c r="AL34">
        <f ca="1">IFERROR(IF(0=LEN(ReferenceData!$AL$34),"",ReferenceData!$AL$34),"")</f>
        <v>16.333333329999999</v>
      </c>
      <c r="AM34" t="str">
        <f ca="1">IFERROR(IF(0=LEN(ReferenceData!$AM$34),"",ReferenceData!$AM$34),"")</f>
        <v/>
      </c>
      <c r="AN34" t="str">
        <f ca="1">IFERROR(IF(0=LEN(ReferenceData!$AN$34),"",ReferenceData!$AN$34),"")</f>
        <v/>
      </c>
      <c r="AO34" t="str">
        <f ca="1">IFERROR(IF(0=LEN(ReferenceData!$AO$34),"",ReferenceData!$AO$34),"")</f>
        <v/>
      </c>
      <c r="AP34" t="str">
        <f ca="1">IFERROR(IF(0=LEN(ReferenceData!$AP$34),"",ReferenceData!$AP$34),"")</f>
        <v/>
      </c>
      <c r="AQ34" t="str">
        <f ca="1">IFERROR(IF(0=LEN(ReferenceData!$AQ$34),"",ReferenceData!$AQ$34),"")</f>
        <v/>
      </c>
      <c r="AR34" t="str">
        <f ca="1">IFERROR(IF(0=LEN(ReferenceData!$AR$34),"",ReferenceData!$AR$34),"")</f>
        <v/>
      </c>
      <c r="AS34" t="str">
        <f ca="1">IFERROR(IF(0=LEN(ReferenceData!$AS$34),"",ReferenceData!$AS$34),"")</f>
        <v/>
      </c>
      <c r="AT34" t="str">
        <f ca="1">IFERROR(IF(0=LEN(ReferenceData!$AT$34),"",ReferenceData!$AT$34),"")</f>
        <v/>
      </c>
      <c r="AU34" t="str">
        <f ca="1">IFERROR(IF(0=LEN(ReferenceData!$AU$34),"",ReferenceData!$AU$34),"")</f>
        <v/>
      </c>
      <c r="AV34" t="str">
        <f ca="1">IFERROR(IF(0=LEN(ReferenceData!$AV$34),"",ReferenceData!$AV$34),"")</f>
        <v/>
      </c>
      <c r="AW34" t="str">
        <f ca="1">IFERROR(IF(0=LEN(ReferenceData!$AW$34),"",ReferenceData!$AW$34),"")</f>
        <v/>
      </c>
      <c r="AX34" t="str">
        <f ca="1">IFERROR(IF(0=LEN(ReferenceData!$AX$34),"",ReferenceData!$AX$34),"")</f>
        <v/>
      </c>
      <c r="AY34" t="str">
        <f ca="1">IFERROR(IF(0=LEN(ReferenceData!$AY$34),"",ReferenceData!$AY$34),"")</f>
        <v/>
      </c>
      <c r="AZ34" t="str">
        <f ca="1">IFERROR(IF(0=LEN(ReferenceData!$AZ$34),"",ReferenceData!$AZ$34),"")</f>
        <v/>
      </c>
      <c r="BA34" t="str">
        <f ca="1">IFERROR(IF(0=LEN(ReferenceData!$BA$34),"",ReferenceData!$BA$34),"")</f>
        <v/>
      </c>
      <c r="BB34" t="str">
        <f ca="1">IFERROR(IF(0=LEN(ReferenceData!$BB$34),"",ReferenceData!$BB$34),"")</f>
        <v/>
      </c>
      <c r="BC34" t="str">
        <f ca="1">IFERROR(IF(0=LEN(ReferenceData!$BC$34),"",ReferenceData!$BC$34),"")</f>
        <v/>
      </c>
      <c r="BD34" t="str">
        <f ca="1">IFERROR(IF(0=LEN(ReferenceData!$BD$34),"",ReferenceData!$BD$34),"")</f>
        <v/>
      </c>
      <c r="BE34" t="str">
        <f ca="1">IFERROR(IF(0=LEN(ReferenceData!$BE$34),"",ReferenceData!$BE$34),"")</f>
        <v/>
      </c>
      <c r="BF34" t="str">
        <f ca="1">IFERROR(IF(0=LEN(ReferenceData!$BF$34),"",ReferenceData!$BF$34),"")</f>
        <v/>
      </c>
      <c r="BG34" t="str">
        <f ca="1">IFERROR(IF(0=LEN(ReferenceData!$BG$34),"",ReferenceData!$BG$34),"")</f>
        <v/>
      </c>
      <c r="BH34" t="str">
        <f ca="1">IFERROR(IF(0=LEN(ReferenceData!$BH$34),"",ReferenceData!$BH$34),"")</f>
        <v/>
      </c>
      <c r="BI34" t="str">
        <f ca="1">IFERROR(IF(0=LEN(ReferenceData!$BI$34),"",ReferenceData!$BI$34),"")</f>
        <v/>
      </c>
      <c r="BJ34" t="str">
        <f ca="1">IFERROR(IF(0=LEN(ReferenceData!$BJ$34),"",ReferenceData!$BJ$34),"")</f>
        <v/>
      </c>
      <c r="BK34" t="str">
        <f ca="1">IFERROR(IF(0=LEN(ReferenceData!$BK$34),"",ReferenceData!$BK$34),"")</f>
        <v/>
      </c>
      <c r="BL34" t="str">
        <f ca="1">IFERROR(IF(0=LEN(ReferenceData!$BL$34),"",ReferenceData!$BL$34),"")</f>
        <v/>
      </c>
      <c r="BM34" t="str">
        <f ca="1">IFERROR(IF(0=LEN(ReferenceData!$BM$34),"",ReferenceData!$BM$34),"")</f>
        <v/>
      </c>
      <c r="BN34" t="str">
        <f ca="1">IFERROR(IF(0=LEN(ReferenceData!$BN$34),"",ReferenceData!$BN$34),"")</f>
        <v/>
      </c>
      <c r="BO34" t="str">
        <f ca="1">IFERROR(IF(0=LEN(ReferenceData!$BO$34),"",ReferenceData!$BO$34),"")</f>
        <v/>
      </c>
      <c r="BP34" t="str">
        <f ca="1">IFERROR(IF(0=LEN(ReferenceData!$BP$34),"",ReferenceData!$BP$34),"")</f>
        <v/>
      </c>
      <c r="BQ34" t="str">
        <f ca="1">IFERROR(IF(0=LEN(ReferenceData!$BQ$34),"",ReferenceData!$BQ$34),"")</f>
        <v/>
      </c>
      <c r="BR34" t="str">
        <f ca="1">IFERROR(IF(0=LEN(ReferenceData!$BR$34),"",ReferenceData!$BR$34),"")</f>
        <v/>
      </c>
      <c r="BS34" t="str">
        <f ca="1">IFERROR(IF(0=LEN(ReferenceData!$BS$34),"",ReferenceData!$BS$34),"")</f>
        <v/>
      </c>
      <c r="BT34" t="str">
        <f ca="1">IFERROR(IF(0=LEN(ReferenceData!$BT$34),"",ReferenceData!$BT$34),"")</f>
        <v/>
      </c>
      <c r="BU34" t="str">
        <f ca="1">IFERROR(IF(0=LEN(ReferenceData!$BU$34),"",ReferenceData!$BU$34),"")</f>
        <v/>
      </c>
      <c r="BV34" t="str">
        <f ca="1">IFERROR(IF(0=LEN(ReferenceData!$BV$34),"",ReferenceData!$BV$34),"")</f>
        <v/>
      </c>
      <c r="BW34" t="str">
        <f ca="1">IFERROR(IF(0=LEN(ReferenceData!$BW$34),"",ReferenceData!$BW$34),"")</f>
        <v/>
      </c>
      <c r="BX34" t="str">
        <f ca="1">IFERROR(IF(0=LEN(ReferenceData!$BX$34),"",ReferenceData!$BX$34),"")</f>
        <v/>
      </c>
      <c r="BY34" t="str">
        <f ca="1">IFERROR(IF(0=LEN(ReferenceData!$BY$34),"",ReferenceData!$BY$34),"")</f>
        <v/>
      </c>
      <c r="BZ34" t="str">
        <f ca="1">IFERROR(IF(0=LEN(ReferenceData!$BZ$34),"",ReferenceData!$BZ$34),"")</f>
        <v/>
      </c>
      <c r="CA34" t="str">
        <f ca="1">IFERROR(IF(0=LEN(ReferenceData!$CA$34),"",ReferenceData!$CA$34),"")</f>
        <v/>
      </c>
      <c r="CB34" t="str">
        <f ca="1">IFERROR(IF(0=LEN(ReferenceData!$CB$34),"",ReferenceData!$CB$34),"")</f>
        <v/>
      </c>
      <c r="CC34" t="str">
        <f ca="1">IFERROR(IF(0=LEN(ReferenceData!$CC$34),"",ReferenceData!$CC$34),"")</f>
        <v/>
      </c>
      <c r="CD34" t="str">
        <f ca="1">IFERROR(IF(0=LEN(ReferenceData!$CD$34),"",ReferenceData!$CD$34),"")</f>
        <v/>
      </c>
      <c r="CE34" t="str">
        <f ca="1">IFERROR(IF(0=LEN(ReferenceData!$CE$34),"",ReferenceData!$CE$34),"")</f>
        <v/>
      </c>
      <c r="CF34" t="str">
        <f ca="1">IFERROR(IF(0=LEN(ReferenceData!$CF$34),"",ReferenceData!$CF$34),"")</f>
        <v/>
      </c>
      <c r="CG34" t="str">
        <f ca="1">IFERROR(IF(0=LEN(ReferenceData!$CG$34),"",ReferenceData!$CG$34),"")</f>
        <v/>
      </c>
      <c r="CH34" t="str">
        <f ca="1">IFERROR(IF(0=LEN(ReferenceData!$CH$34),"",ReferenceData!$CH$34),"")</f>
        <v/>
      </c>
      <c r="CI34" t="str">
        <f ca="1">IFERROR(IF(0=LEN(ReferenceData!$CI$34),"",ReferenceData!$CI$34),"")</f>
        <v/>
      </c>
      <c r="CJ34" t="str">
        <f ca="1">IFERROR(IF(0=LEN(ReferenceData!$CJ$34),"",ReferenceData!$CJ$34),"")</f>
        <v/>
      </c>
      <c r="CK34" t="str">
        <f ca="1">IFERROR(IF(0=LEN(ReferenceData!$CK$34),"",ReferenceData!$CK$34),"")</f>
        <v/>
      </c>
    </row>
    <row r="35" spans="1:89">
      <c r="A35" t="str">
        <f>IFERROR(IF(0=LEN(ReferenceData!$A$35),"",ReferenceData!$A$35),"")</f>
        <v>每股营运现金流(季度)</v>
      </c>
      <c r="B35" t="str">
        <f>IFERROR(IF(0=LEN(ReferenceData!$B$35),"",ReferenceData!$B$35),"")</f>
        <v/>
      </c>
      <c r="C35" t="str">
        <f>IFERROR(IF(0=LEN(ReferenceData!$C$35),"",ReferenceData!$C$35),"")</f>
        <v/>
      </c>
      <c r="D35" t="str">
        <f>IFERROR(IF(0=LEN(ReferenceData!$D$35),"",ReferenceData!$D$35),"")</f>
        <v/>
      </c>
      <c r="E35" t="str">
        <f>IFERROR(IF(0=LEN(ReferenceData!$E$35),"",ReferenceData!$E$35),"")</f>
        <v>Sum</v>
      </c>
      <c r="F35" t="str">
        <f ca="1">IFERROR(IF(0=LEN(ReferenceData!$F$35),"",ReferenceData!$F$35),"")</f>
        <v/>
      </c>
      <c r="G35" t="str">
        <f ca="1">IFERROR(IF(0=LEN(ReferenceData!$G$35),"",ReferenceData!$G$35),"")</f>
        <v/>
      </c>
      <c r="H35" t="str">
        <f ca="1">IFERROR(IF(0=LEN(ReferenceData!$H$35),"",ReferenceData!$H$35),"")</f>
        <v/>
      </c>
      <c r="I35">
        <f ca="1">IFERROR(IF(0=LEN(ReferenceData!$I$35),"",ReferenceData!$I$35),"")</f>
        <v>9.7787490000000012</v>
      </c>
      <c r="J35" t="str">
        <f ca="1">IFERROR(IF(0=LEN(ReferenceData!$J$35),"",ReferenceData!$J$35),"")</f>
        <v/>
      </c>
      <c r="K35" t="str">
        <f ca="1">IFERROR(IF(0=LEN(ReferenceData!$K$35),"",ReferenceData!$K$35),"")</f>
        <v/>
      </c>
      <c r="L35">
        <f ca="1">IFERROR(IF(0=LEN(ReferenceData!$L$35),"",ReferenceData!$L$35),"")</f>
        <v>9.8246030000000015</v>
      </c>
      <c r="M35" t="str">
        <f ca="1">IFERROR(IF(0=LEN(ReferenceData!$M$35),"",ReferenceData!$M$35),"")</f>
        <v/>
      </c>
      <c r="N35" t="str">
        <f ca="1">IFERROR(IF(0=LEN(ReferenceData!$N$35),"",ReferenceData!$N$35),"")</f>
        <v/>
      </c>
      <c r="O35">
        <f ca="1">IFERROR(IF(0=LEN(ReferenceData!$O$35),"",ReferenceData!$O$35),"")</f>
        <v>9.3324749999999987</v>
      </c>
      <c r="P35" t="str">
        <f ca="1">IFERROR(IF(0=LEN(ReferenceData!$P$35),"",ReferenceData!$P$35),"")</f>
        <v/>
      </c>
      <c r="Q35" t="str">
        <f ca="1">IFERROR(IF(0=LEN(ReferenceData!$Q$35),"",ReferenceData!$Q$35),"")</f>
        <v/>
      </c>
      <c r="R35">
        <f ca="1">IFERROR(IF(0=LEN(ReferenceData!$R$35),"",ReferenceData!$R$35),"")</f>
        <v>9.3299999999999983</v>
      </c>
      <c r="S35" t="str">
        <f ca="1">IFERROR(IF(0=LEN(ReferenceData!$S$35),"",ReferenceData!$S$35),"")</f>
        <v/>
      </c>
      <c r="T35" t="str">
        <f ca="1">IFERROR(IF(0=LEN(ReferenceData!$T$35),"",ReferenceData!$T$35),"")</f>
        <v/>
      </c>
      <c r="U35">
        <f ca="1">IFERROR(IF(0=LEN(ReferenceData!$U$35),"",ReferenceData!$U$35),"")</f>
        <v>9.0948280000000015</v>
      </c>
      <c r="V35" t="str">
        <f ca="1">IFERROR(IF(0=LEN(ReferenceData!$V$35),"",ReferenceData!$V$35),"")</f>
        <v/>
      </c>
      <c r="W35" t="str">
        <f ca="1">IFERROR(IF(0=LEN(ReferenceData!$W$35),"",ReferenceData!$W$35),"")</f>
        <v/>
      </c>
      <c r="X35">
        <f ca="1">IFERROR(IF(0=LEN(ReferenceData!$X$35),"",ReferenceData!$X$35),"")</f>
        <v>9.2839040000000015</v>
      </c>
      <c r="Y35" t="str">
        <f ca="1">IFERROR(IF(0=LEN(ReferenceData!$Y$35),"",ReferenceData!$Y$35),"")</f>
        <v/>
      </c>
      <c r="Z35" t="str">
        <f ca="1">IFERROR(IF(0=LEN(ReferenceData!$Z$35),"",ReferenceData!$Z$35),"")</f>
        <v/>
      </c>
      <c r="AA35">
        <f ca="1">IFERROR(IF(0=LEN(ReferenceData!$AA$35),"",ReferenceData!$AA$35),"")</f>
        <v>9.424218999999999</v>
      </c>
      <c r="AB35" t="str">
        <f ca="1">IFERROR(IF(0=LEN(ReferenceData!$AB$35),"",ReferenceData!$AB$35),"")</f>
        <v/>
      </c>
      <c r="AC35" t="str">
        <f ca="1">IFERROR(IF(0=LEN(ReferenceData!$AC$35),"",ReferenceData!$AC$35),"")</f>
        <v/>
      </c>
      <c r="AD35">
        <f ca="1">IFERROR(IF(0=LEN(ReferenceData!$AD$35),"",ReferenceData!$AD$35),"")</f>
        <v>8.879999999999999</v>
      </c>
      <c r="AE35" t="str">
        <f ca="1">IFERROR(IF(0=LEN(ReferenceData!$AE$35),"",ReferenceData!$AE$35),"")</f>
        <v/>
      </c>
      <c r="AF35" t="str">
        <f ca="1">IFERROR(IF(0=LEN(ReferenceData!$AF$35),"",ReferenceData!$AF$35),"")</f>
        <v/>
      </c>
      <c r="AG35">
        <f ca="1">IFERROR(IF(0=LEN(ReferenceData!$AG$35),"",ReferenceData!$AG$35),"")</f>
        <v>9.0984119999999997</v>
      </c>
      <c r="AH35" t="str">
        <f ca="1">IFERROR(IF(0=LEN(ReferenceData!$AH$35),"",ReferenceData!$AH$35),"")</f>
        <v/>
      </c>
      <c r="AI35" t="str">
        <f ca="1">IFERROR(IF(0=LEN(ReferenceData!$AI$35),"",ReferenceData!$AI$35),"")</f>
        <v/>
      </c>
      <c r="AJ35">
        <f ca="1">IFERROR(IF(0=LEN(ReferenceData!$AJ$35),"",ReferenceData!$AJ$35),"")</f>
        <v>8.9913029999999985</v>
      </c>
      <c r="AK35" t="str">
        <f ca="1">IFERROR(IF(0=LEN(ReferenceData!$AK$35),"",ReferenceData!$AK$35),"")</f>
        <v/>
      </c>
      <c r="AL35" t="str">
        <f ca="1">IFERROR(IF(0=LEN(ReferenceData!$AL$35),"",ReferenceData!$AL$35),"")</f>
        <v/>
      </c>
      <c r="AM35">
        <f ca="1">IFERROR(IF(0=LEN(ReferenceData!$AM$35),"",ReferenceData!$AM$35),"")</f>
        <v>8.9606319999999986</v>
      </c>
      <c r="AN35" t="str">
        <f ca="1">IFERROR(IF(0=LEN(ReferenceData!$AN$35),"",ReferenceData!$AN$35),"")</f>
        <v/>
      </c>
      <c r="AO35" t="str">
        <f ca="1">IFERROR(IF(0=LEN(ReferenceData!$AO$35),"",ReferenceData!$AO$35),"")</f>
        <v/>
      </c>
      <c r="AP35">
        <f ca="1">IFERROR(IF(0=LEN(ReferenceData!$AP$35),"",ReferenceData!$AP$35),"")</f>
        <v>8.2999999999999989</v>
      </c>
      <c r="AQ35" t="str">
        <f ca="1">IFERROR(IF(0=LEN(ReferenceData!$AQ$35),"",ReferenceData!$AQ$35),"")</f>
        <v/>
      </c>
      <c r="AR35" t="str">
        <f ca="1">IFERROR(IF(0=LEN(ReferenceData!$AR$35),"",ReferenceData!$AR$35),"")</f>
        <v/>
      </c>
      <c r="AS35">
        <f ca="1">IFERROR(IF(0=LEN(ReferenceData!$AS$35),"",ReferenceData!$AS$35),"")</f>
        <v>8.2028110000000005</v>
      </c>
      <c r="AT35" t="str">
        <f ca="1">IFERROR(IF(0=LEN(ReferenceData!$AT$35),"",ReferenceData!$AT$35),"")</f>
        <v/>
      </c>
      <c r="AU35" t="str">
        <f ca="1">IFERROR(IF(0=LEN(ReferenceData!$AU$35),"",ReferenceData!$AU$35),"")</f>
        <v/>
      </c>
      <c r="AV35">
        <f ca="1">IFERROR(IF(0=LEN(ReferenceData!$AV$35),"",ReferenceData!$AV$35),"")</f>
        <v>7.9412860000000016</v>
      </c>
      <c r="AW35" t="str">
        <f ca="1">IFERROR(IF(0=LEN(ReferenceData!$AW$35),"",ReferenceData!$AW$35),"")</f>
        <v/>
      </c>
      <c r="AX35" t="str">
        <f ca="1">IFERROR(IF(0=LEN(ReferenceData!$AX$35),"",ReferenceData!$AX$35),"")</f>
        <v/>
      </c>
      <c r="AY35">
        <f ca="1">IFERROR(IF(0=LEN(ReferenceData!$AY$35),"",ReferenceData!$AY$35),"")</f>
        <v>6.9667540000000008</v>
      </c>
      <c r="AZ35" t="str">
        <f ca="1">IFERROR(IF(0=LEN(ReferenceData!$AZ$35),"",ReferenceData!$AZ$35),"")</f>
        <v/>
      </c>
      <c r="BA35" t="str">
        <f ca="1">IFERROR(IF(0=LEN(ReferenceData!$BA$35),"",ReferenceData!$BA$35),"")</f>
        <v/>
      </c>
      <c r="BB35">
        <f ca="1">IFERROR(IF(0=LEN(ReferenceData!$BB$35),"",ReferenceData!$BB$35),"")</f>
        <v>7.169999999999999</v>
      </c>
      <c r="BC35" t="str">
        <f ca="1">IFERROR(IF(0=LEN(ReferenceData!$BC$35),"",ReferenceData!$BC$35),"")</f>
        <v/>
      </c>
      <c r="BD35" t="str">
        <f ca="1">IFERROR(IF(0=LEN(ReferenceData!$BD$35),"",ReferenceData!$BD$35),"")</f>
        <v/>
      </c>
      <c r="BE35">
        <f ca="1">IFERROR(IF(0=LEN(ReferenceData!$BE$35),"",ReferenceData!$BE$35),"")</f>
        <v>6.5718649999999998</v>
      </c>
      <c r="BF35" t="str">
        <f ca="1">IFERROR(IF(0=LEN(ReferenceData!$BF$35),"",ReferenceData!$BF$35),"")</f>
        <v/>
      </c>
      <c r="BG35" t="str">
        <f ca="1">IFERROR(IF(0=LEN(ReferenceData!$BG$35),"",ReferenceData!$BG$35),"")</f>
        <v/>
      </c>
      <c r="BH35">
        <f ca="1">IFERROR(IF(0=LEN(ReferenceData!$BH$35),"",ReferenceData!$BH$35),"")</f>
        <v>6.8402259999999995</v>
      </c>
      <c r="BI35" t="str">
        <f ca="1">IFERROR(IF(0=LEN(ReferenceData!$BI$35),"",ReferenceData!$BI$35),"")</f>
        <v/>
      </c>
      <c r="BJ35" t="str">
        <f ca="1">IFERROR(IF(0=LEN(ReferenceData!$BJ$35),"",ReferenceData!$BJ$35),"")</f>
        <v/>
      </c>
      <c r="BK35">
        <f ca="1">IFERROR(IF(0=LEN(ReferenceData!$BK$35),"",ReferenceData!$BK$35),"")</f>
        <v>7.2103529999999996</v>
      </c>
      <c r="BL35" t="str">
        <f ca="1">IFERROR(IF(0=LEN(ReferenceData!$BL$35),"",ReferenceData!$BL$35),"")</f>
        <v/>
      </c>
      <c r="BM35" t="str">
        <f ca="1">IFERROR(IF(0=LEN(ReferenceData!$BM$35),"",ReferenceData!$BM$35),"")</f>
        <v/>
      </c>
      <c r="BN35">
        <f ca="1">IFERROR(IF(0=LEN(ReferenceData!$BN$35),"",ReferenceData!$BN$35),"")</f>
        <v>6.02</v>
      </c>
      <c r="BO35" t="str">
        <f ca="1">IFERROR(IF(0=LEN(ReferenceData!$BO$35),"",ReferenceData!$BO$35),"")</f>
        <v/>
      </c>
      <c r="BP35" t="str">
        <f ca="1">IFERROR(IF(0=LEN(ReferenceData!$BP$35),"",ReferenceData!$BP$35),"")</f>
        <v/>
      </c>
      <c r="BQ35">
        <f ca="1">IFERROR(IF(0=LEN(ReferenceData!$BQ$35),"",ReferenceData!$BQ$35),"")</f>
        <v>6.9408570000000003</v>
      </c>
      <c r="BR35" t="str">
        <f ca="1">IFERROR(IF(0=LEN(ReferenceData!$BR$35),"",ReferenceData!$BR$35),"")</f>
        <v/>
      </c>
      <c r="BS35" t="str">
        <f ca="1">IFERROR(IF(0=LEN(ReferenceData!$BS$35),"",ReferenceData!$BS$35),"")</f>
        <v/>
      </c>
      <c r="BT35">
        <f ca="1">IFERROR(IF(0=LEN(ReferenceData!$BT$35),"",ReferenceData!$BT$35),"")</f>
        <v>6.7790880000000007</v>
      </c>
      <c r="BU35" t="str">
        <f ca="1">IFERROR(IF(0=LEN(ReferenceData!$BU$35),"",ReferenceData!$BU$35),"")</f>
        <v/>
      </c>
      <c r="BV35" t="str">
        <f ca="1">IFERROR(IF(0=LEN(ReferenceData!$BV$35),"",ReferenceData!$BV$35),"")</f>
        <v/>
      </c>
      <c r="BW35">
        <f ca="1">IFERROR(IF(0=LEN(ReferenceData!$BW$35),"",ReferenceData!$BW$35),"")</f>
        <v>6.3993370000000001</v>
      </c>
      <c r="BX35" t="str">
        <f ca="1">IFERROR(IF(0=LEN(ReferenceData!$BX$35),"",ReferenceData!$BX$35),"")</f>
        <v/>
      </c>
      <c r="BY35" t="str">
        <f ca="1">IFERROR(IF(0=LEN(ReferenceData!$BY$35),"",ReferenceData!$BY$35),"")</f>
        <v/>
      </c>
      <c r="BZ35">
        <f ca="1">IFERROR(IF(0=LEN(ReferenceData!$BZ$35),"",ReferenceData!$BZ$35),"")</f>
        <v>6.21</v>
      </c>
      <c r="CA35" t="str">
        <f ca="1">IFERROR(IF(0=LEN(ReferenceData!$CA$35),"",ReferenceData!$CA$35),"")</f>
        <v/>
      </c>
      <c r="CB35" t="str">
        <f ca="1">IFERROR(IF(0=LEN(ReferenceData!$CB$35),"",ReferenceData!$CB$35),"")</f>
        <v/>
      </c>
      <c r="CC35">
        <f ca="1">IFERROR(IF(0=LEN(ReferenceData!$CC$35),"",ReferenceData!$CC$35),"")</f>
        <v>6.0674659999999996</v>
      </c>
      <c r="CD35" t="str">
        <f ca="1">IFERROR(IF(0=LEN(ReferenceData!$CD$35),"",ReferenceData!$CD$35),"")</f>
        <v/>
      </c>
      <c r="CE35" t="str">
        <f ca="1">IFERROR(IF(0=LEN(ReferenceData!$CE$35),"",ReferenceData!$CE$35),"")</f>
        <v/>
      </c>
      <c r="CF35">
        <f ca="1">IFERROR(IF(0=LEN(ReferenceData!$CF$35),"",ReferenceData!$CF$35),"")</f>
        <v>5.7243300000000001</v>
      </c>
      <c r="CG35" t="str">
        <f ca="1">IFERROR(IF(0=LEN(ReferenceData!$CG$35),"",ReferenceData!$CG$35),"")</f>
        <v/>
      </c>
      <c r="CH35" t="str">
        <f ca="1">IFERROR(IF(0=LEN(ReferenceData!$CH$35),"",ReferenceData!$CH$35),"")</f>
        <v/>
      </c>
      <c r="CI35">
        <f ca="1">IFERROR(IF(0=LEN(ReferenceData!$CI$35),"",ReferenceData!$CI$35),"")</f>
        <v>4.9631609999999995</v>
      </c>
      <c r="CJ35" t="str">
        <f ca="1">IFERROR(IF(0=LEN(ReferenceData!$CJ$35),"",ReferenceData!$CJ$35),"")</f>
        <v/>
      </c>
      <c r="CK35" t="str">
        <f ca="1">IFERROR(IF(0=LEN(ReferenceData!$CK$35),"",ReferenceData!$CK$35),"")</f>
        <v/>
      </c>
    </row>
    <row r="36" spans="1:89">
      <c r="A36" t="str">
        <f>IFERROR(IF(0=LEN(ReferenceData!$A$36),"",ReferenceData!$A$36),"")</f>
        <v xml:space="preserve">    公寓投资与管理</v>
      </c>
      <c r="B36" t="str">
        <f>IFERROR(IF(0=LEN(ReferenceData!$B$36),"",ReferenceData!$B$36),"")</f>
        <v>AIV US Equity</v>
      </c>
      <c r="C36" t="str">
        <f>IFERROR(IF(0=LEN(ReferenceData!$C$36),"",ReferenceData!$C$36),"")</f>
        <v>CF065</v>
      </c>
      <c r="D36" t="str">
        <f>IFERROR(IF(0=LEN(ReferenceData!$D$36),"",ReferenceData!$D$36),"")</f>
        <v>CF_FFO_PER_SH_DILUTED</v>
      </c>
      <c r="E36" t="str">
        <f>IFERROR(IF(0=LEN(ReferenceData!$E$36),"",ReferenceData!$E$36),"")</f>
        <v>动态</v>
      </c>
      <c r="F36" t="str">
        <f ca="1">IFERROR(IF(0=LEN(ReferenceData!$F$36),"",ReferenceData!$F$36),"")</f>
        <v/>
      </c>
      <c r="G36" t="str">
        <f ca="1">IFERROR(IF(0=LEN(ReferenceData!$G$36),"",ReferenceData!$G$36),"")</f>
        <v/>
      </c>
      <c r="H36" t="str">
        <f ca="1">IFERROR(IF(0=LEN(ReferenceData!$H$36),"",ReferenceData!$H$36),"")</f>
        <v/>
      </c>
      <c r="I36">
        <f ca="1">IFERROR(IF(0=LEN(ReferenceData!$I$36),"",ReferenceData!$I$36),"")</f>
        <v>0.63</v>
      </c>
      <c r="J36" t="str">
        <f ca="1">IFERROR(IF(0=LEN(ReferenceData!$J$36),"",ReferenceData!$J$36),"")</f>
        <v/>
      </c>
      <c r="K36" t="str">
        <f ca="1">IFERROR(IF(0=LEN(ReferenceData!$K$36),"",ReferenceData!$K$36),"")</f>
        <v/>
      </c>
      <c r="L36">
        <f ca="1">IFERROR(IF(0=LEN(ReferenceData!$L$36),"",ReferenceData!$L$36),"")</f>
        <v>0.63</v>
      </c>
      <c r="M36" t="str">
        <f ca="1">IFERROR(IF(0=LEN(ReferenceData!$M$36),"",ReferenceData!$M$36),"")</f>
        <v/>
      </c>
      <c r="N36" t="str">
        <f ca="1">IFERROR(IF(0=LEN(ReferenceData!$N$36),"",ReferenceData!$N$36),"")</f>
        <v/>
      </c>
      <c r="O36">
        <f ca="1">IFERROR(IF(0=LEN(ReferenceData!$O$36),"",ReferenceData!$O$36),"")</f>
        <v>0.61</v>
      </c>
      <c r="P36" t="str">
        <f ca="1">IFERROR(IF(0=LEN(ReferenceData!$P$36),"",ReferenceData!$P$36),"")</f>
        <v/>
      </c>
      <c r="Q36" t="str">
        <f ca="1">IFERROR(IF(0=LEN(ReferenceData!$Q$36),"",ReferenceData!$Q$36),"")</f>
        <v/>
      </c>
      <c r="R36">
        <f ca="1">IFERROR(IF(0=LEN(ReferenceData!$R$36),"",ReferenceData!$R$36),"")</f>
        <v>0.57999999999999996</v>
      </c>
      <c r="S36" t="str">
        <f ca="1">IFERROR(IF(0=LEN(ReferenceData!$S$36),"",ReferenceData!$S$36),"")</f>
        <v/>
      </c>
      <c r="T36" t="str">
        <f ca="1">IFERROR(IF(0=LEN(ReferenceData!$T$36),"",ReferenceData!$T$36),"")</f>
        <v/>
      </c>
      <c r="U36">
        <f ca="1">IFERROR(IF(0=LEN(ReferenceData!$U$36),"",ReferenceData!$U$36),"")</f>
        <v>0.6</v>
      </c>
      <c r="V36" t="str">
        <f ca="1">IFERROR(IF(0=LEN(ReferenceData!$V$36),"",ReferenceData!$V$36),"")</f>
        <v/>
      </c>
      <c r="W36" t="str">
        <f ca="1">IFERROR(IF(0=LEN(ReferenceData!$W$36),"",ReferenceData!$W$36),"")</f>
        <v/>
      </c>
      <c r="X36">
        <f ca="1">IFERROR(IF(0=LEN(ReferenceData!$X$36),"",ReferenceData!$X$36),"")</f>
        <v>0.54</v>
      </c>
      <c r="Y36" t="str">
        <f ca="1">IFERROR(IF(0=LEN(ReferenceData!$Y$36),"",ReferenceData!$Y$36),"")</f>
        <v/>
      </c>
      <c r="Z36" t="str">
        <f ca="1">IFERROR(IF(0=LEN(ReferenceData!$Z$36),"",ReferenceData!$Z$36),"")</f>
        <v/>
      </c>
      <c r="AA36">
        <f ca="1">IFERROR(IF(0=LEN(ReferenceData!$AA$36),"",ReferenceData!$AA$36),"")</f>
        <v>0.59</v>
      </c>
      <c r="AB36" t="str">
        <f ca="1">IFERROR(IF(0=LEN(ReferenceData!$AB$36),"",ReferenceData!$AB$36),"")</f>
        <v/>
      </c>
      <c r="AC36" t="str">
        <f ca="1">IFERROR(IF(0=LEN(ReferenceData!$AC$36),"",ReferenceData!$AC$36),"")</f>
        <v/>
      </c>
      <c r="AD36">
        <f ca="1">IFERROR(IF(0=LEN(ReferenceData!$AD$36),"",ReferenceData!$AD$36),"")</f>
        <v>0.56999999999999995</v>
      </c>
      <c r="AE36" t="str">
        <f ca="1">IFERROR(IF(0=LEN(ReferenceData!$AE$36),"",ReferenceData!$AE$36),"")</f>
        <v/>
      </c>
      <c r="AF36" t="str">
        <f ca="1">IFERROR(IF(0=LEN(ReferenceData!$AF$36),"",ReferenceData!$AF$36),"")</f>
        <v/>
      </c>
      <c r="AG36">
        <f ca="1">IFERROR(IF(0=LEN(ReferenceData!$AG$36),"",ReferenceData!$AG$36),"")</f>
        <v>0.57999999999999996</v>
      </c>
      <c r="AH36" t="str">
        <f ca="1">IFERROR(IF(0=LEN(ReferenceData!$AH$36),"",ReferenceData!$AH$36),"")</f>
        <v/>
      </c>
      <c r="AI36" t="str">
        <f ca="1">IFERROR(IF(0=LEN(ReferenceData!$AI$36),"",ReferenceData!$AI$36),"")</f>
        <v/>
      </c>
      <c r="AJ36">
        <f ca="1">IFERROR(IF(0=LEN(ReferenceData!$AJ$36),"",ReferenceData!$AJ$36),"")</f>
        <v>0.56999999999999995</v>
      </c>
      <c r="AK36" t="str">
        <f ca="1">IFERROR(IF(0=LEN(ReferenceData!$AK$36),"",ReferenceData!$AK$36),"")</f>
        <v/>
      </c>
      <c r="AL36" t="str">
        <f ca="1">IFERROR(IF(0=LEN(ReferenceData!$AL$36),"",ReferenceData!$AL$36),"")</f>
        <v/>
      </c>
      <c r="AM36">
        <f ca="1">IFERROR(IF(0=LEN(ReferenceData!$AM$36),"",ReferenceData!$AM$36),"")</f>
        <v>0.56000000000000005</v>
      </c>
      <c r="AN36" t="str">
        <f ca="1">IFERROR(IF(0=LEN(ReferenceData!$AN$36),"",ReferenceData!$AN$36),"")</f>
        <v/>
      </c>
      <c r="AO36" t="str">
        <f ca="1">IFERROR(IF(0=LEN(ReferenceData!$AO$36),"",ReferenceData!$AO$36),"")</f>
        <v/>
      </c>
      <c r="AP36">
        <f ca="1">IFERROR(IF(0=LEN(ReferenceData!$AP$36),"",ReferenceData!$AP$36),"")</f>
        <v>0.51</v>
      </c>
      <c r="AQ36" t="str">
        <f ca="1">IFERROR(IF(0=LEN(ReferenceData!$AQ$36),"",ReferenceData!$AQ$36),"")</f>
        <v/>
      </c>
      <c r="AR36" t="str">
        <f ca="1">IFERROR(IF(0=LEN(ReferenceData!$AR$36),"",ReferenceData!$AR$36),"")</f>
        <v/>
      </c>
      <c r="AS36">
        <f ca="1">IFERROR(IF(0=LEN(ReferenceData!$AS$36),"",ReferenceData!$AS$36),"")</f>
        <v>0.54</v>
      </c>
      <c r="AT36" t="str">
        <f ca="1">IFERROR(IF(0=LEN(ReferenceData!$AT$36),"",ReferenceData!$AT$36),"")</f>
        <v/>
      </c>
      <c r="AU36" t="str">
        <f ca="1">IFERROR(IF(0=LEN(ReferenceData!$AU$36),"",ReferenceData!$AU$36),"")</f>
        <v/>
      </c>
      <c r="AV36">
        <f ca="1">IFERROR(IF(0=LEN(ReferenceData!$AV$36),"",ReferenceData!$AV$36),"")</f>
        <v>0.51</v>
      </c>
      <c r="AW36" t="str">
        <f ca="1">IFERROR(IF(0=LEN(ReferenceData!$AW$36),"",ReferenceData!$AW$36),"")</f>
        <v/>
      </c>
      <c r="AX36" t="str">
        <f ca="1">IFERROR(IF(0=LEN(ReferenceData!$AX$36),"",ReferenceData!$AX$36),"")</f>
        <v/>
      </c>
      <c r="AY36">
        <f ca="1">IFERROR(IF(0=LEN(ReferenceData!$AY$36),"",ReferenceData!$AY$36),"")</f>
        <v>0.52</v>
      </c>
      <c r="AZ36" t="str">
        <f ca="1">IFERROR(IF(0=LEN(ReferenceData!$AZ$36),"",ReferenceData!$AZ$36),"")</f>
        <v/>
      </c>
      <c r="BA36" t="str">
        <f ca="1">IFERROR(IF(0=LEN(ReferenceData!$BA$36),"",ReferenceData!$BA$36),"")</f>
        <v/>
      </c>
      <c r="BB36">
        <f ca="1">IFERROR(IF(0=LEN(ReferenceData!$BB$36),"",ReferenceData!$BB$36),"")</f>
        <v>0.5</v>
      </c>
      <c r="BC36" t="str">
        <f ca="1">IFERROR(IF(0=LEN(ReferenceData!$BC$36),"",ReferenceData!$BC$36),"")</f>
        <v/>
      </c>
      <c r="BD36" t="str">
        <f ca="1">IFERROR(IF(0=LEN(ReferenceData!$BD$36),"",ReferenceData!$BD$36),"")</f>
        <v/>
      </c>
      <c r="BE36">
        <f ca="1">IFERROR(IF(0=LEN(ReferenceData!$BE$36),"",ReferenceData!$BE$36),"")</f>
        <v>0.56999999999999995</v>
      </c>
      <c r="BF36" t="str">
        <f ca="1">IFERROR(IF(0=LEN(ReferenceData!$BF$36),"",ReferenceData!$BF$36),"")</f>
        <v/>
      </c>
      <c r="BG36" t="str">
        <f ca="1">IFERROR(IF(0=LEN(ReferenceData!$BG$36),"",ReferenceData!$BG$36),"")</f>
        <v/>
      </c>
      <c r="BH36">
        <f ca="1">IFERROR(IF(0=LEN(ReferenceData!$BH$36),"",ReferenceData!$BH$36),"")</f>
        <v>0.5</v>
      </c>
      <c r="BI36" t="str">
        <f ca="1">IFERROR(IF(0=LEN(ReferenceData!$BI$36),"",ReferenceData!$BI$36),"")</f>
        <v/>
      </c>
      <c r="BJ36" t="str">
        <f ca="1">IFERROR(IF(0=LEN(ReferenceData!$BJ$36),"",ReferenceData!$BJ$36),"")</f>
        <v/>
      </c>
      <c r="BK36">
        <f ca="1">IFERROR(IF(0=LEN(ReferenceData!$BK$36),"",ReferenceData!$BK$36),"")</f>
        <v>0.49</v>
      </c>
      <c r="BL36" t="str">
        <f ca="1">IFERROR(IF(0=LEN(ReferenceData!$BL$36),"",ReferenceData!$BL$36),"")</f>
        <v/>
      </c>
      <c r="BM36" t="str">
        <f ca="1">IFERROR(IF(0=LEN(ReferenceData!$BM$36),"",ReferenceData!$BM$36),"")</f>
        <v/>
      </c>
      <c r="BN36">
        <f ca="1">IFERROR(IF(0=LEN(ReferenceData!$BN$36),"",ReferenceData!$BN$36),"")</f>
        <v>0.48</v>
      </c>
      <c r="BO36" t="str">
        <f ca="1">IFERROR(IF(0=LEN(ReferenceData!$BO$36),"",ReferenceData!$BO$36),"")</f>
        <v/>
      </c>
      <c r="BP36" t="str">
        <f ca="1">IFERROR(IF(0=LEN(ReferenceData!$BP$36),"",ReferenceData!$BP$36),"")</f>
        <v/>
      </c>
      <c r="BQ36">
        <f ca="1">IFERROR(IF(0=LEN(ReferenceData!$BQ$36),"",ReferenceData!$BQ$36),"")</f>
        <v>0.52</v>
      </c>
      <c r="BR36" t="str">
        <f ca="1">IFERROR(IF(0=LEN(ReferenceData!$BR$36),"",ReferenceData!$BR$36),"")</f>
        <v/>
      </c>
      <c r="BS36" t="str">
        <f ca="1">IFERROR(IF(0=LEN(ReferenceData!$BS$36),"",ReferenceData!$BS$36),"")</f>
        <v/>
      </c>
      <c r="BT36">
        <f ca="1">IFERROR(IF(0=LEN(ReferenceData!$BT$36),"",ReferenceData!$BT$36),"")</f>
        <v>0.38</v>
      </c>
      <c r="BU36" t="str">
        <f ca="1">IFERROR(IF(0=LEN(ReferenceData!$BU$36),"",ReferenceData!$BU$36),"")</f>
        <v/>
      </c>
      <c r="BV36" t="str">
        <f ca="1">IFERROR(IF(0=LEN(ReferenceData!$BV$36),"",ReferenceData!$BV$36),"")</f>
        <v/>
      </c>
      <c r="BW36">
        <f ca="1">IFERROR(IF(0=LEN(ReferenceData!$BW$36),"",ReferenceData!$BW$36),"")</f>
        <v>0.38</v>
      </c>
      <c r="BX36" t="str">
        <f ca="1">IFERROR(IF(0=LEN(ReferenceData!$BX$36),"",ReferenceData!$BX$36),"")</f>
        <v/>
      </c>
      <c r="BY36" t="str">
        <f ca="1">IFERROR(IF(0=LEN(ReferenceData!$BY$36),"",ReferenceData!$BY$36),"")</f>
        <v/>
      </c>
      <c r="BZ36">
        <f ca="1">IFERROR(IF(0=LEN(ReferenceData!$BZ$36),"",ReferenceData!$BZ$36),"")</f>
        <v>0.4</v>
      </c>
      <c r="CA36" t="str">
        <f ca="1">IFERROR(IF(0=LEN(ReferenceData!$CA$36),"",ReferenceData!$CA$36),"")</f>
        <v/>
      </c>
      <c r="CB36" t="str">
        <f ca="1">IFERROR(IF(0=LEN(ReferenceData!$CB$36),"",ReferenceData!$CB$36),"")</f>
        <v/>
      </c>
      <c r="CC36">
        <f ca="1">IFERROR(IF(0=LEN(ReferenceData!$CC$36),"",ReferenceData!$CC$36),"")</f>
        <v>0.43</v>
      </c>
      <c r="CD36" t="str">
        <f ca="1">IFERROR(IF(0=LEN(ReferenceData!$CD$36),"",ReferenceData!$CD$36),"")</f>
        <v/>
      </c>
      <c r="CE36" t="str">
        <f ca="1">IFERROR(IF(0=LEN(ReferenceData!$CE$36),"",ReferenceData!$CE$36),"")</f>
        <v/>
      </c>
      <c r="CF36">
        <f ca="1">IFERROR(IF(0=LEN(ReferenceData!$CF$36),"",ReferenceData!$CF$36),"")</f>
        <v>0.41</v>
      </c>
      <c r="CG36" t="str">
        <f ca="1">IFERROR(IF(0=LEN(ReferenceData!$CG$36),"",ReferenceData!$CG$36),"")</f>
        <v/>
      </c>
      <c r="CH36" t="str">
        <f ca="1">IFERROR(IF(0=LEN(ReferenceData!$CH$36),"",ReferenceData!$CH$36),"")</f>
        <v/>
      </c>
      <c r="CI36">
        <f ca="1">IFERROR(IF(0=LEN(ReferenceData!$CI$36),"",ReferenceData!$CI$36),"")</f>
        <v>0.28999999999999998</v>
      </c>
      <c r="CJ36" t="str">
        <f ca="1">IFERROR(IF(0=LEN(ReferenceData!$CJ$36),"",ReferenceData!$CJ$36),"")</f>
        <v/>
      </c>
      <c r="CK36" t="str">
        <f ca="1">IFERROR(IF(0=LEN(ReferenceData!$CK$36),"",ReferenceData!$CK$36),"")</f>
        <v/>
      </c>
    </row>
    <row r="37" spans="1:89">
      <c r="A37" t="str">
        <f>IFERROR(IF(0=LEN(ReferenceData!$A$37),"",ReferenceData!$A$37),"")</f>
        <v xml:space="preserve">    AvalonBay社区股份有限公司</v>
      </c>
      <c r="B37" t="str">
        <f>IFERROR(IF(0=LEN(ReferenceData!$B$37),"",ReferenceData!$B$37),"")</f>
        <v>AVB US Equity</v>
      </c>
      <c r="C37" t="str">
        <f>IFERROR(IF(0=LEN(ReferenceData!$C$37),"",ReferenceData!$C$37),"")</f>
        <v>CF065</v>
      </c>
      <c r="D37" t="str">
        <f>IFERROR(IF(0=LEN(ReferenceData!$D$37),"",ReferenceData!$D$37),"")</f>
        <v>CF_FFO_PER_SH_DILUTED</v>
      </c>
      <c r="E37" t="str">
        <f>IFERROR(IF(0=LEN(ReferenceData!$E$37),"",ReferenceData!$E$37),"")</f>
        <v>动态</v>
      </c>
      <c r="F37" t="str">
        <f ca="1">IFERROR(IF(0=LEN(ReferenceData!$F$37),"",ReferenceData!$F$37),"")</f>
        <v/>
      </c>
      <c r="G37" t="str">
        <f ca="1">IFERROR(IF(0=LEN(ReferenceData!$G$37),"",ReferenceData!$G$37),"")</f>
        <v/>
      </c>
      <c r="H37" t="str">
        <f ca="1">IFERROR(IF(0=LEN(ReferenceData!$H$37),"",ReferenceData!$H$37),"")</f>
        <v/>
      </c>
      <c r="I37">
        <f ca="1">IFERROR(IF(0=LEN(ReferenceData!$I$37),"",ReferenceData!$I$37),"")</f>
        <v>2.1787489999999998</v>
      </c>
      <c r="J37" t="str">
        <f ca="1">IFERROR(IF(0=LEN(ReferenceData!$J$37),"",ReferenceData!$J$37),"")</f>
        <v/>
      </c>
      <c r="K37" t="str">
        <f ca="1">IFERROR(IF(0=LEN(ReferenceData!$K$37),"",ReferenceData!$K$37),"")</f>
        <v/>
      </c>
      <c r="L37">
        <f ca="1">IFERROR(IF(0=LEN(ReferenceData!$L$37),"",ReferenceData!$L$37),"")</f>
        <v>2.3390010000000001</v>
      </c>
      <c r="M37" t="str">
        <f ca="1">IFERROR(IF(0=LEN(ReferenceData!$M$37),"",ReferenceData!$M$37),"")</f>
        <v/>
      </c>
      <c r="N37" t="str">
        <f ca="1">IFERROR(IF(0=LEN(ReferenceData!$N$37),"",ReferenceData!$N$37),"")</f>
        <v/>
      </c>
      <c r="O37">
        <f ca="1">IFERROR(IF(0=LEN(ReferenceData!$O$37),"",ReferenceData!$O$37),"")</f>
        <v>1.9</v>
      </c>
      <c r="P37" t="str">
        <f ca="1">IFERROR(IF(0=LEN(ReferenceData!$P$37),"",ReferenceData!$P$37),"")</f>
        <v/>
      </c>
      <c r="Q37" t="str">
        <f ca="1">IFERROR(IF(0=LEN(ReferenceData!$Q$37),"",ReferenceData!$Q$37),"")</f>
        <v/>
      </c>
      <c r="R37">
        <f ca="1">IFERROR(IF(0=LEN(ReferenceData!$R$37),"",ReferenceData!$R$37),"")</f>
        <v>2.04</v>
      </c>
      <c r="S37" t="str">
        <f ca="1">IFERROR(IF(0=LEN(ReferenceData!$S$37),"",ReferenceData!$S$37),"")</f>
        <v/>
      </c>
      <c r="T37" t="str">
        <f ca="1">IFERROR(IF(0=LEN(ReferenceData!$T$37),"",ReferenceData!$T$37),"")</f>
        <v/>
      </c>
      <c r="U37">
        <f ca="1">IFERROR(IF(0=LEN(ReferenceData!$U$37),"",ReferenceData!$U$37),"")</f>
        <v>2.0948280000000001</v>
      </c>
      <c r="V37" t="str">
        <f ca="1">IFERROR(IF(0=LEN(ReferenceData!$V$37),"",ReferenceData!$V$37),"")</f>
        <v/>
      </c>
      <c r="W37" t="str">
        <f ca="1">IFERROR(IF(0=LEN(ReferenceData!$W$37),"",ReferenceData!$W$37),"")</f>
        <v/>
      </c>
      <c r="X37">
        <f ca="1">IFERROR(IF(0=LEN(ReferenceData!$X$37),"",ReferenceData!$X$37),"")</f>
        <v>2.10547</v>
      </c>
      <c r="Y37" t="str">
        <f ca="1">IFERROR(IF(0=LEN(ReferenceData!$Y$37),"",ReferenceData!$Y$37),"")</f>
        <v/>
      </c>
      <c r="Z37" t="str">
        <f ca="1">IFERROR(IF(0=LEN(ReferenceData!$Z$37),"",ReferenceData!$Z$37),"")</f>
        <v/>
      </c>
      <c r="AA37">
        <f ca="1">IFERROR(IF(0=LEN(ReferenceData!$AA$37),"",ReferenceData!$AA$37),"")</f>
        <v>1.99</v>
      </c>
      <c r="AB37" t="str">
        <f ca="1">IFERROR(IF(0=LEN(ReferenceData!$AB$37),"",ReferenceData!$AB$37),"")</f>
        <v/>
      </c>
      <c r="AC37" t="str">
        <f ca="1">IFERROR(IF(0=LEN(ReferenceData!$AC$37),"",ReferenceData!$AC$37),"")</f>
        <v/>
      </c>
      <c r="AD37">
        <f ca="1">IFERROR(IF(0=LEN(ReferenceData!$AD$37),"",ReferenceData!$AD$37),"")</f>
        <v>2.0699999999999998</v>
      </c>
      <c r="AE37" t="str">
        <f ca="1">IFERROR(IF(0=LEN(ReferenceData!$AE$37),"",ReferenceData!$AE$37),"")</f>
        <v/>
      </c>
      <c r="AF37" t="str">
        <f ca="1">IFERROR(IF(0=LEN(ReferenceData!$AF$37),"",ReferenceData!$AF$37),"")</f>
        <v/>
      </c>
      <c r="AG37">
        <f ca="1">IFERROR(IF(0=LEN(ReferenceData!$AG$37),"",ReferenceData!$AG$37),"")</f>
        <v>1.966467</v>
      </c>
      <c r="AH37" t="str">
        <f ca="1">IFERROR(IF(0=LEN(ReferenceData!$AH$37),"",ReferenceData!$AH$37),"")</f>
        <v/>
      </c>
      <c r="AI37" t="str">
        <f ca="1">IFERROR(IF(0=LEN(ReferenceData!$AI$37),"",ReferenceData!$AI$37),"")</f>
        <v/>
      </c>
      <c r="AJ37">
        <f ca="1">IFERROR(IF(0=LEN(ReferenceData!$AJ$37),"",ReferenceData!$AJ$37),"")</f>
        <v>2.02</v>
      </c>
      <c r="AK37" t="str">
        <f ca="1">IFERROR(IF(0=LEN(ReferenceData!$AK$37),"",ReferenceData!$AK$37),"")</f>
        <v/>
      </c>
      <c r="AL37" t="str">
        <f ca="1">IFERROR(IF(0=LEN(ReferenceData!$AL$37),"",ReferenceData!$AL$37),"")</f>
        <v/>
      </c>
      <c r="AM37">
        <f ca="1">IFERROR(IF(0=LEN(ReferenceData!$AM$37),"",ReferenceData!$AM$37),"")</f>
        <v>2.182588</v>
      </c>
      <c r="AN37" t="str">
        <f ca="1">IFERROR(IF(0=LEN(ReferenceData!$AN$37),"",ReferenceData!$AN$37),"")</f>
        <v/>
      </c>
      <c r="AO37" t="str">
        <f ca="1">IFERROR(IF(0=LEN(ReferenceData!$AO$37),"",ReferenceData!$AO$37),"")</f>
        <v/>
      </c>
      <c r="AP37">
        <f ca="1">IFERROR(IF(0=LEN(ReferenceData!$AP$37),"",ReferenceData!$AP$37),"")</f>
        <v>1.88</v>
      </c>
      <c r="AQ37" t="str">
        <f ca="1">IFERROR(IF(0=LEN(ReferenceData!$AQ$37),"",ReferenceData!$AQ$37),"")</f>
        <v/>
      </c>
      <c r="AR37" t="str">
        <f ca="1">IFERROR(IF(0=LEN(ReferenceData!$AR$37),"",ReferenceData!$AR$37),"")</f>
        <v/>
      </c>
      <c r="AS37">
        <f ca="1">IFERROR(IF(0=LEN(ReferenceData!$AS$37),"",ReferenceData!$AS$37),"")</f>
        <v>1.76</v>
      </c>
      <c r="AT37" t="str">
        <f ca="1">IFERROR(IF(0=LEN(ReferenceData!$AT$37),"",ReferenceData!$AT$37),"")</f>
        <v/>
      </c>
      <c r="AU37" t="str">
        <f ca="1">IFERROR(IF(0=LEN(ReferenceData!$AU$37),"",ReferenceData!$AU$37),"")</f>
        <v/>
      </c>
      <c r="AV37">
        <f ca="1">IFERROR(IF(0=LEN(ReferenceData!$AV$37),"",ReferenceData!$AV$37),"")</f>
        <v>2.14</v>
      </c>
      <c r="AW37" t="str">
        <f ca="1">IFERROR(IF(0=LEN(ReferenceData!$AW$37),"",ReferenceData!$AW$37),"")</f>
        <v/>
      </c>
      <c r="AX37" t="str">
        <f ca="1">IFERROR(IF(0=LEN(ReferenceData!$AX$37),"",ReferenceData!$AX$37),"")</f>
        <v/>
      </c>
      <c r="AY37">
        <f ca="1">IFERROR(IF(0=LEN(ReferenceData!$AY$37),"",ReferenceData!$AY$37),"")</f>
        <v>1.71</v>
      </c>
      <c r="AZ37" t="str">
        <f ca="1">IFERROR(IF(0=LEN(ReferenceData!$AZ$37),"",ReferenceData!$AZ$37),"")</f>
        <v/>
      </c>
      <c r="BA37" t="str">
        <f ca="1">IFERROR(IF(0=LEN(ReferenceData!$BA$37),"",ReferenceData!$BA$37),"")</f>
        <v/>
      </c>
      <c r="BB37">
        <f ca="1">IFERROR(IF(0=LEN(ReferenceData!$BB$37),"",ReferenceData!$BB$37),"")</f>
        <v>1.64</v>
      </c>
      <c r="BC37" t="str">
        <f ca="1">IFERROR(IF(0=LEN(ReferenceData!$BC$37),"",ReferenceData!$BC$37),"")</f>
        <v/>
      </c>
      <c r="BD37" t="str">
        <f ca="1">IFERROR(IF(0=LEN(ReferenceData!$BD$37),"",ReferenceData!$BD$37),"")</f>
        <v/>
      </c>
      <c r="BE37">
        <f ca="1">IFERROR(IF(0=LEN(ReferenceData!$BE$37),"",ReferenceData!$BE$37),"")</f>
        <v>1.5069090000000001</v>
      </c>
      <c r="BF37" t="str">
        <f ca="1">IFERROR(IF(0=LEN(ReferenceData!$BF$37),"",ReferenceData!$BF$37),"")</f>
        <v/>
      </c>
      <c r="BG37" t="str">
        <f ca="1">IFERROR(IF(0=LEN(ReferenceData!$BG$37),"",ReferenceData!$BG$37),"")</f>
        <v/>
      </c>
      <c r="BH37">
        <f ca="1">IFERROR(IF(0=LEN(ReferenceData!$BH$37),"",ReferenceData!$BH$37),"")</f>
        <v>1.18</v>
      </c>
      <c r="BI37" t="str">
        <f ca="1">IFERROR(IF(0=LEN(ReferenceData!$BI$37),"",ReferenceData!$BI$37),"")</f>
        <v/>
      </c>
      <c r="BJ37" t="str">
        <f ca="1">IFERROR(IF(0=LEN(ReferenceData!$BJ$37),"",ReferenceData!$BJ$37),"")</f>
        <v/>
      </c>
      <c r="BK37">
        <f ca="1">IFERROR(IF(0=LEN(ReferenceData!$BK$37),"",ReferenceData!$BK$37),"")</f>
        <v>1.55</v>
      </c>
      <c r="BL37" t="str">
        <f ca="1">IFERROR(IF(0=LEN(ReferenceData!$BL$37),"",ReferenceData!$BL$37),"")</f>
        <v/>
      </c>
      <c r="BM37" t="str">
        <f ca="1">IFERROR(IF(0=LEN(ReferenceData!$BM$37),"",ReferenceData!$BM$37),"")</f>
        <v/>
      </c>
      <c r="BN37">
        <f ca="1">IFERROR(IF(0=LEN(ReferenceData!$BN$37),"",ReferenceData!$BN$37),"")</f>
        <v>0.78</v>
      </c>
      <c r="BO37" t="str">
        <f ca="1">IFERROR(IF(0=LEN(ReferenceData!$BO$37),"",ReferenceData!$BO$37),"")</f>
        <v/>
      </c>
      <c r="BP37" t="str">
        <f ca="1">IFERROR(IF(0=LEN(ReferenceData!$BP$37),"",ReferenceData!$BP$37),"")</f>
        <v/>
      </c>
      <c r="BQ37">
        <f ca="1">IFERROR(IF(0=LEN(ReferenceData!$BQ$37),"",ReferenceData!$BQ$37),"")</f>
        <v>1.269584</v>
      </c>
      <c r="BR37" t="str">
        <f ca="1">IFERROR(IF(0=LEN(ReferenceData!$BR$37),"",ReferenceData!$BR$37),"")</f>
        <v/>
      </c>
      <c r="BS37" t="str">
        <f ca="1">IFERROR(IF(0=LEN(ReferenceData!$BS$37),"",ReferenceData!$BS$37),"")</f>
        <v/>
      </c>
      <c r="BT37">
        <f ca="1">IFERROR(IF(0=LEN(ReferenceData!$BT$37),"",ReferenceData!$BT$37),"")</f>
        <v>1.4374929999999999</v>
      </c>
      <c r="BU37" t="str">
        <f ca="1">IFERROR(IF(0=LEN(ReferenceData!$BU$37),"",ReferenceData!$BU$37),"")</f>
        <v/>
      </c>
      <c r="BV37" t="str">
        <f ca="1">IFERROR(IF(0=LEN(ReferenceData!$BV$37),"",ReferenceData!$BV$37),"")</f>
        <v/>
      </c>
      <c r="BW37">
        <f ca="1">IFERROR(IF(0=LEN(ReferenceData!$BW$37),"",ReferenceData!$BW$37),"")</f>
        <v>1.3355300000000001</v>
      </c>
      <c r="BX37" t="str">
        <f ca="1">IFERROR(IF(0=LEN(ReferenceData!$BX$37),"",ReferenceData!$BX$37),"")</f>
        <v/>
      </c>
      <c r="BY37" t="str">
        <f ca="1">IFERROR(IF(0=LEN(ReferenceData!$BY$37),"",ReferenceData!$BY$37),"")</f>
        <v/>
      </c>
      <c r="BZ37">
        <f ca="1">IFERROR(IF(0=LEN(ReferenceData!$BZ$37),"",ReferenceData!$BZ$37),"")</f>
        <v>1.28</v>
      </c>
      <c r="CA37" t="str">
        <f ca="1">IFERROR(IF(0=LEN(ReferenceData!$CA$37),"",ReferenceData!$CA$37),"")</f>
        <v/>
      </c>
      <c r="CB37" t="str">
        <f ca="1">IFERROR(IF(0=LEN(ReferenceData!$CB$37),"",ReferenceData!$CB$37),"")</f>
        <v/>
      </c>
      <c r="CC37">
        <f ca="1">IFERROR(IF(0=LEN(ReferenceData!$CC$37),"",ReferenceData!$CC$37),"")</f>
        <v>1.187398</v>
      </c>
      <c r="CD37" t="str">
        <f ca="1">IFERROR(IF(0=LEN(ReferenceData!$CD$37),"",ReferenceData!$CD$37),"")</f>
        <v/>
      </c>
      <c r="CE37" t="str">
        <f ca="1">IFERROR(IF(0=LEN(ReferenceData!$CE$37),"",ReferenceData!$CE$37),"")</f>
        <v/>
      </c>
      <c r="CF37">
        <f ca="1">IFERROR(IF(0=LEN(ReferenceData!$CF$37),"",ReferenceData!$CF$37),"")</f>
        <v>1.1643300000000001</v>
      </c>
      <c r="CG37" t="str">
        <f ca="1">IFERROR(IF(0=LEN(ReferenceData!$CG$37),"",ReferenceData!$CG$37),"")</f>
        <v/>
      </c>
      <c r="CH37" t="str">
        <f ca="1">IFERROR(IF(0=LEN(ReferenceData!$CH$37),"",ReferenceData!$CH$37),"")</f>
        <v/>
      </c>
      <c r="CI37">
        <f ca="1">IFERROR(IF(0=LEN(ReferenceData!$CI$37),"",ReferenceData!$CI$37),"")</f>
        <v>1.1331610000000001</v>
      </c>
      <c r="CJ37" t="str">
        <f ca="1">IFERROR(IF(0=LEN(ReferenceData!$CJ$37),"",ReferenceData!$CJ$37),"")</f>
        <v/>
      </c>
      <c r="CK37" t="str">
        <f ca="1">IFERROR(IF(0=LEN(ReferenceData!$CK$37),"",ReferenceData!$CK$37),"")</f>
        <v/>
      </c>
    </row>
    <row r="38" spans="1:89">
      <c r="A38" t="str">
        <f>IFERROR(IF(0=LEN(ReferenceData!$A$38),"",ReferenceData!$A$38),"")</f>
        <v xml:space="preserve">    Camden 房地产信托公司</v>
      </c>
      <c r="B38" t="str">
        <f>IFERROR(IF(0=LEN(ReferenceData!$B$38),"",ReferenceData!$B$38),"")</f>
        <v>CPT US Equity</v>
      </c>
      <c r="C38" t="str">
        <f>IFERROR(IF(0=LEN(ReferenceData!$C$38),"",ReferenceData!$C$38),"")</f>
        <v>CF065</v>
      </c>
      <c r="D38" t="str">
        <f>IFERROR(IF(0=LEN(ReferenceData!$D$38),"",ReferenceData!$D$38),"")</f>
        <v>CF_FFO_PER_SH_DILUTED</v>
      </c>
      <c r="E38" t="str">
        <f>IFERROR(IF(0=LEN(ReferenceData!$E$38),"",ReferenceData!$E$38),"")</f>
        <v>动态</v>
      </c>
      <c r="F38" t="str">
        <f ca="1">IFERROR(IF(0=LEN(ReferenceData!$F$38),"",ReferenceData!$F$38),"")</f>
        <v/>
      </c>
      <c r="G38" t="str">
        <f ca="1">IFERROR(IF(0=LEN(ReferenceData!$G$38),"",ReferenceData!$G$38),"")</f>
        <v/>
      </c>
      <c r="H38" t="str">
        <f ca="1">IFERROR(IF(0=LEN(ReferenceData!$H$38),"",ReferenceData!$H$38),"")</f>
        <v/>
      </c>
      <c r="I38">
        <f ca="1">IFERROR(IF(0=LEN(ReferenceData!$I$38),"",ReferenceData!$I$38),"")</f>
        <v>1.18</v>
      </c>
      <c r="J38" t="str">
        <f ca="1">IFERROR(IF(0=LEN(ReferenceData!$J$38),"",ReferenceData!$J$38),"")</f>
        <v/>
      </c>
      <c r="K38" t="str">
        <f ca="1">IFERROR(IF(0=LEN(ReferenceData!$K$38),"",ReferenceData!$K$38),"")</f>
        <v/>
      </c>
      <c r="L38">
        <f ca="1">IFERROR(IF(0=LEN(ReferenceData!$L$38),"",ReferenceData!$L$38),"")</f>
        <v>1.1100000000000001</v>
      </c>
      <c r="M38" t="str">
        <f ca="1">IFERROR(IF(0=LEN(ReferenceData!$M$38),"",ReferenceData!$M$38),"")</f>
        <v/>
      </c>
      <c r="N38" t="str">
        <f ca="1">IFERROR(IF(0=LEN(ReferenceData!$N$38),"",ReferenceData!$N$38),"")</f>
        <v/>
      </c>
      <c r="O38">
        <f ca="1">IFERROR(IF(0=LEN(ReferenceData!$O$38),"",ReferenceData!$O$38),"")</f>
        <v>1.1499999999999999</v>
      </c>
      <c r="P38" t="str">
        <f ca="1">IFERROR(IF(0=LEN(ReferenceData!$P$38),"",ReferenceData!$P$38),"")</f>
        <v/>
      </c>
      <c r="Q38" t="str">
        <f ca="1">IFERROR(IF(0=LEN(ReferenceData!$Q$38),"",ReferenceData!$Q$38),"")</f>
        <v/>
      </c>
      <c r="R38">
        <f ca="1">IFERROR(IF(0=LEN(ReferenceData!$R$38),"",ReferenceData!$R$38),"")</f>
        <v>1.0900000000000001</v>
      </c>
      <c r="S38" t="str">
        <f ca="1">IFERROR(IF(0=LEN(ReferenceData!$S$38),"",ReferenceData!$S$38),"")</f>
        <v/>
      </c>
      <c r="T38" t="str">
        <f ca="1">IFERROR(IF(0=LEN(ReferenceData!$T$38),"",ReferenceData!$T$38),"")</f>
        <v/>
      </c>
      <c r="U38">
        <f ca="1">IFERROR(IF(0=LEN(ReferenceData!$U$38),"",ReferenceData!$U$38),"")</f>
        <v>1.1499999999999999</v>
      </c>
      <c r="V38" t="str">
        <f ca="1">IFERROR(IF(0=LEN(ReferenceData!$V$38),"",ReferenceData!$V$38),"")</f>
        <v/>
      </c>
      <c r="W38" t="str">
        <f ca="1">IFERROR(IF(0=LEN(ReferenceData!$W$38),"",ReferenceData!$W$38),"")</f>
        <v/>
      </c>
      <c r="X38">
        <f ca="1">IFERROR(IF(0=LEN(ReferenceData!$X$38),"",ReferenceData!$X$38),"")</f>
        <v>1.1299999999999999</v>
      </c>
      <c r="Y38" t="str">
        <f ca="1">IFERROR(IF(0=LEN(ReferenceData!$Y$38),"",ReferenceData!$Y$38),"")</f>
        <v/>
      </c>
      <c r="Z38" t="str">
        <f ca="1">IFERROR(IF(0=LEN(ReferenceData!$Z$38),"",ReferenceData!$Z$38),"")</f>
        <v/>
      </c>
      <c r="AA38">
        <f ca="1">IFERROR(IF(0=LEN(ReferenceData!$AA$38),"",ReferenceData!$AA$38),"")</f>
        <v>1.1499999999999999</v>
      </c>
      <c r="AB38" t="str">
        <f ca="1">IFERROR(IF(0=LEN(ReferenceData!$AB$38),"",ReferenceData!$AB$38),"")</f>
        <v/>
      </c>
      <c r="AC38" t="str">
        <f ca="1">IFERROR(IF(0=LEN(ReferenceData!$AC$38),"",ReferenceData!$AC$38),"")</f>
        <v/>
      </c>
      <c r="AD38">
        <f ca="1">IFERROR(IF(0=LEN(ReferenceData!$AD$38),"",ReferenceData!$AD$38),"")</f>
        <v>1.2</v>
      </c>
      <c r="AE38" t="str">
        <f ca="1">IFERROR(IF(0=LEN(ReferenceData!$AE$38),"",ReferenceData!$AE$38),"")</f>
        <v/>
      </c>
      <c r="AF38" t="str">
        <f ca="1">IFERROR(IF(0=LEN(ReferenceData!$AF$38),"",ReferenceData!$AF$38),"")</f>
        <v/>
      </c>
      <c r="AG38">
        <f ca="1">IFERROR(IF(0=LEN(ReferenceData!$AG$38),"",ReferenceData!$AG$38),"")</f>
        <v>1.2</v>
      </c>
      <c r="AH38" t="str">
        <f ca="1">IFERROR(IF(0=LEN(ReferenceData!$AH$38),"",ReferenceData!$AH$38),"")</f>
        <v/>
      </c>
      <c r="AI38" t="str">
        <f ca="1">IFERROR(IF(0=LEN(ReferenceData!$AI$38),"",ReferenceData!$AI$38),"")</f>
        <v/>
      </c>
      <c r="AJ38">
        <f ca="1">IFERROR(IF(0=LEN(ReferenceData!$AJ$38),"",ReferenceData!$AJ$38),"")</f>
        <v>1.1399999999999999</v>
      </c>
      <c r="AK38" t="str">
        <f ca="1">IFERROR(IF(0=LEN(ReferenceData!$AK$38),"",ReferenceData!$AK$38),"")</f>
        <v/>
      </c>
      <c r="AL38" t="str">
        <f ca="1">IFERROR(IF(0=LEN(ReferenceData!$AL$38),"",ReferenceData!$AL$38),"")</f>
        <v/>
      </c>
      <c r="AM38">
        <f ca="1">IFERROR(IF(0=LEN(ReferenceData!$AM$38),"",ReferenceData!$AM$38),"")</f>
        <v>1.1200000000000001</v>
      </c>
      <c r="AN38" t="str">
        <f ca="1">IFERROR(IF(0=LEN(ReferenceData!$AN$38),"",ReferenceData!$AN$38),"")</f>
        <v/>
      </c>
      <c r="AO38" t="str">
        <f ca="1">IFERROR(IF(0=LEN(ReferenceData!$AO$38),"",ReferenceData!$AO$38),"")</f>
        <v/>
      </c>
      <c r="AP38">
        <f ca="1">IFERROR(IF(0=LEN(ReferenceData!$AP$38),"",ReferenceData!$AP$38),"")</f>
        <v>1.08</v>
      </c>
      <c r="AQ38" t="str">
        <f ca="1">IFERROR(IF(0=LEN(ReferenceData!$AQ$38),"",ReferenceData!$AQ$38),"")</f>
        <v/>
      </c>
      <c r="AR38" t="str">
        <f ca="1">IFERROR(IF(0=LEN(ReferenceData!$AR$38),"",ReferenceData!$AR$38),"")</f>
        <v/>
      </c>
      <c r="AS38">
        <f ca="1">IFERROR(IF(0=LEN(ReferenceData!$AS$38),"",ReferenceData!$AS$38),"")</f>
        <v>0.99</v>
      </c>
      <c r="AT38" t="str">
        <f ca="1">IFERROR(IF(0=LEN(ReferenceData!$AT$38),"",ReferenceData!$AT$38),"")</f>
        <v/>
      </c>
      <c r="AU38" t="str">
        <f ca="1">IFERROR(IF(0=LEN(ReferenceData!$AU$38),"",ReferenceData!$AU$38),"")</f>
        <v/>
      </c>
      <c r="AV38">
        <f ca="1">IFERROR(IF(0=LEN(ReferenceData!$AV$38),"",ReferenceData!$AV$38),"")</f>
        <v>1.0900000000000001</v>
      </c>
      <c r="AW38" t="str">
        <f ca="1">IFERROR(IF(0=LEN(ReferenceData!$AW$38),"",ReferenceData!$AW$38),"")</f>
        <v/>
      </c>
      <c r="AX38" t="str">
        <f ca="1">IFERROR(IF(0=LEN(ReferenceData!$AX$38),"",ReferenceData!$AX$38),"")</f>
        <v/>
      </c>
      <c r="AY38">
        <f ca="1">IFERROR(IF(0=LEN(ReferenceData!$AY$38),"",ReferenceData!$AY$38),"")</f>
        <v>1.05</v>
      </c>
      <c r="AZ38" t="str">
        <f ca="1">IFERROR(IF(0=LEN(ReferenceData!$AZ$38),"",ReferenceData!$AZ$38),"")</f>
        <v/>
      </c>
      <c r="BA38" t="str">
        <f ca="1">IFERROR(IF(0=LEN(ReferenceData!$BA$38),"",ReferenceData!$BA$38),"")</f>
        <v/>
      </c>
      <c r="BB38">
        <f ca="1">IFERROR(IF(0=LEN(ReferenceData!$BB$38),"",ReferenceData!$BB$38),"")</f>
        <v>1.05</v>
      </c>
      <c r="BC38" t="str">
        <f ca="1">IFERROR(IF(0=LEN(ReferenceData!$BC$38),"",ReferenceData!$BC$38),"")</f>
        <v/>
      </c>
      <c r="BD38" t="str">
        <f ca="1">IFERROR(IF(0=LEN(ReferenceData!$BD$38),"",ReferenceData!$BD$38),"")</f>
        <v/>
      </c>
      <c r="BE38">
        <f ca="1">IFERROR(IF(0=LEN(ReferenceData!$BE$38),"",ReferenceData!$BE$38),"")</f>
        <v>1.08</v>
      </c>
      <c r="BF38" t="str">
        <f ca="1">IFERROR(IF(0=LEN(ReferenceData!$BF$38),"",ReferenceData!$BF$38),"")</f>
        <v/>
      </c>
      <c r="BG38" t="str">
        <f ca="1">IFERROR(IF(0=LEN(ReferenceData!$BG$38),"",ReferenceData!$BG$38),"")</f>
        <v/>
      </c>
      <c r="BH38">
        <f ca="1">IFERROR(IF(0=LEN(ReferenceData!$BH$38),"",ReferenceData!$BH$38),"")</f>
        <v>1.04</v>
      </c>
      <c r="BI38" t="str">
        <f ca="1">IFERROR(IF(0=LEN(ReferenceData!$BI$38),"",ReferenceData!$BI$38),"")</f>
        <v/>
      </c>
      <c r="BJ38" t="str">
        <f ca="1">IFERROR(IF(0=LEN(ReferenceData!$BJ$38),"",ReferenceData!$BJ$38),"")</f>
        <v/>
      </c>
      <c r="BK38">
        <f ca="1">IFERROR(IF(0=LEN(ReferenceData!$BK$38),"",ReferenceData!$BK$38),"")</f>
        <v>1.02</v>
      </c>
      <c r="BL38" t="str">
        <f ca="1">IFERROR(IF(0=LEN(ReferenceData!$BL$38),"",ReferenceData!$BL$38),"")</f>
        <v/>
      </c>
      <c r="BM38" t="str">
        <f ca="1">IFERROR(IF(0=LEN(ReferenceData!$BM$38),"",ReferenceData!$BM$38),"")</f>
        <v/>
      </c>
      <c r="BN38">
        <f ca="1">IFERROR(IF(0=LEN(ReferenceData!$BN$38),"",ReferenceData!$BN$38),"")</f>
        <v>0.97</v>
      </c>
      <c r="BO38" t="str">
        <f ca="1">IFERROR(IF(0=LEN(ReferenceData!$BO$38),"",ReferenceData!$BO$38),"")</f>
        <v/>
      </c>
      <c r="BP38" t="str">
        <f ca="1">IFERROR(IF(0=LEN(ReferenceData!$BP$38),"",ReferenceData!$BP$38),"")</f>
        <v/>
      </c>
      <c r="BQ38">
        <f ca="1">IFERROR(IF(0=LEN(ReferenceData!$BQ$38),"",ReferenceData!$BQ$38),"")</f>
        <v>0.97</v>
      </c>
      <c r="BR38" t="str">
        <f ca="1">IFERROR(IF(0=LEN(ReferenceData!$BR$38),"",ReferenceData!$BR$38),"")</f>
        <v/>
      </c>
      <c r="BS38" t="str">
        <f ca="1">IFERROR(IF(0=LEN(ReferenceData!$BS$38),"",ReferenceData!$BS$38),"")</f>
        <v/>
      </c>
      <c r="BT38">
        <f ca="1">IFERROR(IF(0=LEN(ReferenceData!$BT$38),"",ReferenceData!$BT$38),"")</f>
        <v>0.93</v>
      </c>
      <c r="BU38" t="str">
        <f ca="1">IFERROR(IF(0=LEN(ReferenceData!$BU$38),"",ReferenceData!$BU$38),"")</f>
        <v/>
      </c>
      <c r="BV38" t="str">
        <f ca="1">IFERROR(IF(0=LEN(ReferenceData!$BV$38),"",ReferenceData!$BV$38),"")</f>
        <v/>
      </c>
      <c r="BW38">
        <f ca="1">IFERROR(IF(0=LEN(ReferenceData!$BW$38),"",ReferenceData!$BW$38),"")</f>
        <v>0.89</v>
      </c>
      <c r="BX38" t="str">
        <f ca="1">IFERROR(IF(0=LEN(ReferenceData!$BX$38),"",ReferenceData!$BX$38),"")</f>
        <v/>
      </c>
      <c r="BY38" t="str">
        <f ca="1">IFERROR(IF(0=LEN(ReferenceData!$BY$38),"",ReferenceData!$BY$38),"")</f>
        <v/>
      </c>
      <c r="BZ38">
        <f ca="1">IFERROR(IF(0=LEN(ReferenceData!$BZ$38),"",ReferenceData!$BZ$38),"")</f>
        <v>0.83</v>
      </c>
      <c r="CA38" t="str">
        <f ca="1">IFERROR(IF(0=LEN(ReferenceData!$CA$38),"",ReferenceData!$CA$38),"")</f>
        <v/>
      </c>
      <c r="CB38" t="str">
        <f ca="1">IFERROR(IF(0=LEN(ReferenceData!$CB$38),"",ReferenceData!$CB$38),"")</f>
        <v/>
      </c>
      <c r="CC38">
        <f ca="1">IFERROR(IF(0=LEN(ReferenceData!$CC$38),"",ReferenceData!$CC$38),"")</f>
        <v>0.84</v>
      </c>
      <c r="CD38" t="str">
        <f ca="1">IFERROR(IF(0=LEN(ReferenceData!$CD$38),"",ReferenceData!$CD$38),"")</f>
        <v/>
      </c>
      <c r="CE38" t="str">
        <f ca="1">IFERROR(IF(0=LEN(ReferenceData!$CE$38),"",ReferenceData!$CE$38),"")</f>
        <v/>
      </c>
      <c r="CF38">
        <f ca="1">IFERROR(IF(0=LEN(ReferenceData!$CF$38),"",ReferenceData!$CF$38),"")</f>
        <v>0.77</v>
      </c>
      <c r="CG38" t="str">
        <f ca="1">IFERROR(IF(0=LEN(ReferenceData!$CG$38),"",ReferenceData!$CG$38),"")</f>
        <v/>
      </c>
      <c r="CH38" t="str">
        <f ca="1">IFERROR(IF(0=LEN(ReferenceData!$CH$38),"",ReferenceData!$CH$38),"")</f>
        <v/>
      </c>
      <c r="CI38">
        <f ca="1">IFERROR(IF(0=LEN(ReferenceData!$CI$38),"",ReferenceData!$CI$38),"")</f>
        <v>0.4</v>
      </c>
      <c r="CJ38" t="str">
        <f ca="1">IFERROR(IF(0=LEN(ReferenceData!$CJ$38),"",ReferenceData!$CJ$38),"")</f>
        <v/>
      </c>
      <c r="CK38" t="str">
        <f ca="1">IFERROR(IF(0=LEN(ReferenceData!$CK$38),"",ReferenceData!$CK$38),"")</f>
        <v/>
      </c>
    </row>
    <row r="39" spans="1:89">
      <c r="A39" t="str">
        <f>IFERROR(IF(0=LEN(ReferenceData!$A$39),"",ReferenceData!$A$39),"")</f>
        <v xml:space="preserve">    公寓物业权益信托</v>
      </c>
      <c r="B39" t="str">
        <f>IFERROR(IF(0=LEN(ReferenceData!$B$39),"",ReferenceData!$B$39),"")</f>
        <v>EQR US Equity</v>
      </c>
      <c r="C39" t="str">
        <f>IFERROR(IF(0=LEN(ReferenceData!$C$39),"",ReferenceData!$C$39),"")</f>
        <v>CF065</v>
      </c>
      <c r="D39" t="str">
        <f>IFERROR(IF(0=LEN(ReferenceData!$D$39),"",ReferenceData!$D$39),"")</f>
        <v>CF_FFO_PER_SH_DILUTED</v>
      </c>
      <c r="E39" t="str">
        <f>IFERROR(IF(0=LEN(ReferenceData!$E$39),"",ReferenceData!$E$39),"")</f>
        <v>动态</v>
      </c>
      <c r="F39" t="str">
        <f ca="1">IFERROR(IF(0=LEN(ReferenceData!$F$39),"",ReferenceData!$F$39),"")</f>
        <v/>
      </c>
      <c r="G39" t="str">
        <f ca="1">IFERROR(IF(0=LEN(ReferenceData!$G$39),"",ReferenceData!$G$39),"")</f>
        <v/>
      </c>
      <c r="H39" t="str">
        <f ca="1">IFERROR(IF(0=LEN(ReferenceData!$H$39),"",ReferenceData!$H$39),"")</f>
        <v/>
      </c>
      <c r="I39">
        <f ca="1">IFERROR(IF(0=LEN(ReferenceData!$I$39),"",ReferenceData!$I$39),"")</f>
        <v>0.82</v>
      </c>
      <c r="J39" t="str">
        <f ca="1">IFERROR(IF(0=LEN(ReferenceData!$J$39),"",ReferenceData!$J$39),"")</f>
        <v/>
      </c>
      <c r="K39" t="str">
        <f ca="1">IFERROR(IF(0=LEN(ReferenceData!$K$39),"",ReferenceData!$K$39),"")</f>
        <v/>
      </c>
      <c r="L39">
        <f ca="1">IFERROR(IF(0=LEN(ReferenceData!$L$39),"",ReferenceData!$L$39),"")</f>
        <v>0.81</v>
      </c>
      <c r="M39" t="str">
        <f ca="1">IFERROR(IF(0=LEN(ReferenceData!$M$39),"",ReferenceData!$M$39),"")</f>
        <v/>
      </c>
      <c r="N39" t="str">
        <f ca="1">IFERROR(IF(0=LEN(ReferenceData!$N$39),"",ReferenceData!$N$39),"")</f>
        <v/>
      </c>
      <c r="O39">
        <f ca="1">IFERROR(IF(0=LEN(ReferenceData!$O$39),"",ReferenceData!$O$39),"")</f>
        <v>0.77</v>
      </c>
      <c r="P39" t="str">
        <f ca="1">IFERROR(IF(0=LEN(ReferenceData!$P$39),"",ReferenceData!$P$39),"")</f>
        <v/>
      </c>
      <c r="Q39" t="str">
        <f ca="1">IFERROR(IF(0=LEN(ReferenceData!$Q$39),"",ReferenceData!$Q$39),"")</f>
        <v/>
      </c>
      <c r="R39">
        <f ca="1">IFERROR(IF(0=LEN(ReferenceData!$R$39),"",ReferenceData!$R$39),"")</f>
        <v>0.76</v>
      </c>
      <c r="S39" t="str">
        <f ca="1">IFERROR(IF(0=LEN(ReferenceData!$S$39),"",ReferenceData!$S$39),"")</f>
        <v/>
      </c>
      <c r="T39" t="str">
        <f ca="1">IFERROR(IF(0=LEN(ReferenceData!$T$39),"",ReferenceData!$T$39),"")</f>
        <v/>
      </c>
      <c r="U39">
        <f ca="1">IFERROR(IF(0=LEN(ReferenceData!$U$39),"",ReferenceData!$U$39),"")</f>
        <v>0.8</v>
      </c>
      <c r="V39" t="str">
        <f ca="1">IFERROR(IF(0=LEN(ReferenceData!$V$39),"",ReferenceData!$V$39),"")</f>
        <v/>
      </c>
      <c r="W39" t="str">
        <f ca="1">IFERROR(IF(0=LEN(ReferenceData!$W$39),"",ReferenceData!$W$39),"")</f>
        <v/>
      </c>
      <c r="X39">
        <f ca="1">IFERROR(IF(0=LEN(ReferenceData!$X$39),"",ReferenceData!$X$39),"")</f>
        <v>0.77</v>
      </c>
      <c r="Y39" t="str">
        <f ca="1">IFERROR(IF(0=LEN(ReferenceData!$Y$39),"",ReferenceData!$Y$39),"")</f>
        <v/>
      </c>
      <c r="Z39" t="str">
        <f ca="1">IFERROR(IF(0=LEN(ReferenceData!$Z$39),"",ReferenceData!$Z$39),"")</f>
        <v/>
      </c>
      <c r="AA39">
        <f ca="1">IFERROR(IF(0=LEN(ReferenceData!$AA$39),"",ReferenceData!$AA$39),"")</f>
        <v>0.9</v>
      </c>
      <c r="AB39" t="str">
        <f ca="1">IFERROR(IF(0=LEN(ReferenceData!$AB$39),"",ReferenceData!$AB$39),"")</f>
        <v/>
      </c>
      <c r="AC39" t="str">
        <f ca="1">IFERROR(IF(0=LEN(ReferenceData!$AC$39),"",ReferenceData!$AC$39),"")</f>
        <v/>
      </c>
      <c r="AD39">
        <f ca="1">IFERROR(IF(0=LEN(ReferenceData!$AD$39),"",ReferenceData!$AD$39),"")</f>
        <v>0.47</v>
      </c>
      <c r="AE39" t="str">
        <f ca="1">IFERROR(IF(0=LEN(ReferenceData!$AE$39),"",ReferenceData!$AE$39),"")</f>
        <v/>
      </c>
      <c r="AF39" t="str">
        <f ca="1">IFERROR(IF(0=LEN(ReferenceData!$AF$39),"",ReferenceData!$AF$39),"")</f>
        <v/>
      </c>
      <c r="AG39">
        <f ca="1">IFERROR(IF(0=LEN(ReferenceData!$AG$39),"",ReferenceData!$AG$39),"")</f>
        <v>0.92274299999999998</v>
      </c>
      <c r="AH39" t="str">
        <f ca="1">IFERROR(IF(0=LEN(ReferenceData!$AH$39),"",ReferenceData!$AH$39),"")</f>
        <v/>
      </c>
      <c r="AI39" t="str">
        <f ca="1">IFERROR(IF(0=LEN(ReferenceData!$AI$39),"",ReferenceData!$AI$39),"")</f>
        <v/>
      </c>
      <c r="AJ39">
        <f ca="1">IFERROR(IF(0=LEN(ReferenceData!$AJ$39),"",ReferenceData!$AJ$39),"")</f>
        <v>0.871201</v>
      </c>
      <c r="AK39" t="str">
        <f ca="1">IFERROR(IF(0=LEN(ReferenceData!$AK$39),"",ReferenceData!$AK$39),"")</f>
        <v/>
      </c>
      <c r="AL39" t="str">
        <f ca="1">IFERROR(IF(0=LEN(ReferenceData!$AL$39),"",ReferenceData!$AL$39),"")</f>
        <v/>
      </c>
      <c r="AM39">
        <f ca="1">IFERROR(IF(0=LEN(ReferenceData!$AM$39),"",ReferenceData!$AM$39),"")</f>
        <v>0.89730699999999997</v>
      </c>
      <c r="AN39" t="str">
        <f ca="1">IFERROR(IF(0=LEN(ReferenceData!$AN$39),"",ReferenceData!$AN$39),"")</f>
        <v/>
      </c>
      <c r="AO39" t="str">
        <f ca="1">IFERROR(IF(0=LEN(ReferenceData!$AO$39),"",ReferenceData!$AO$39),"")</f>
        <v/>
      </c>
      <c r="AP39">
        <f ca="1">IFERROR(IF(0=LEN(ReferenceData!$AP$39),"",ReferenceData!$AP$39),"")</f>
        <v>0.79</v>
      </c>
      <c r="AQ39" t="str">
        <f ca="1">IFERROR(IF(0=LEN(ReferenceData!$AQ$39),"",ReferenceData!$AQ$39),"")</f>
        <v/>
      </c>
      <c r="AR39" t="str">
        <f ca="1">IFERROR(IF(0=LEN(ReferenceData!$AR$39),"",ReferenceData!$AR$39),"")</f>
        <v/>
      </c>
      <c r="AS39">
        <f ca="1">IFERROR(IF(0=LEN(ReferenceData!$AS$39),"",ReferenceData!$AS$39),"")</f>
        <v>0.87</v>
      </c>
      <c r="AT39" t="str">
        <f ca="1">IFERROR(IF(0=LEN(ReferenceData!$AT$39),"",ReferenceData!$AT$39),"")</f>
        <v/>
      </c>
      <c r="AU39" t="str">
        <f ca="1">IFERROR(IF(0=LEN(ReferenceData!$AU$39),"",ReferenceData!$AU$39),"")</f>
        <v/>
      </c>
      <c r="AV39">
        <f ca="1">IFERROR(IF(0=LEN(ReferenceData!$AV$39),"",ReferenceData!$AV$39),"")</f>
        <v>0.81</v>
      </c>
      <c r="AW39" t="str">
        <f ca="1">IFERROR(IF(0=LEN(ReferenceData!$AW$39),"",ReferenceData!$AW$39),"")</f>
        <v/>
      </c>
      <c r="AX39" t="str">
        <f ca="1">IFERROR(IF(0=LEN(ReferenceData!$AX$39),"",ReferenceData!$AX$39),"")</f>
        <v/>
      </c>
      <c r="AY39">
        <f ca="1">IFERROR(IF(0=LEN(ReferenceData!$AY$39),"",ReferenceData!$AY$39),"")</f>
        <v>0.77</v>
      </c>
      <c r="AZ39" t="str">
        <f ca="1">IFERROR(IF(0=LEN(ReferenceData!$AZ$39),"",ReferenceData!$AZ$39),"")</f>
        <v/>
      </c>
      <c r="BA39" t="str">
        <f ca="1">IFERROR(IF(0=LEN(ReferenceData!$BA$39),"",ReferenceData!$BA$39),"")</f>
        <v/>
      </c>
      <c r="BB39">
        <f ca="1">IFERROR(IF(0=LEN(ReferenceData!$BB$39),"",ReferenceData!$BB$39),"")</f>
        <v>0.71</v>
      </c>
      <c r="BC39" t="str">
        <f ca="1">IFERROR(IF(0=LEN(ReferenceData!$BC$39),"",ReferenceData!$BC$39),"")</f>
        <v/>
      </c>
      <c r="BD39" t="str">
        <f ca="1">IFERROR(IF(0=LEN(ReferenceData!$BD$39),"",ReferenceData!$BD$39),"")</f>
        <v/>
      </c>
      <c r="BE39">
        <f ca="1">IFERROR(IF(0=LEN(ReferenceData!$BE$39),"",ReferenceData!$BE$39),"")</f>
        <v>0.67</v>
      </c>
      <c r="BF39" t="str">
        <f ca="1">IFERROR(IF(0=LEN(ReferenceData!$BF$39),"",ReferenceData!$BF$39),"")</f>
        <v/>
      </c>
      <c r="BG39" t="str">
        <f ca="1">IFERROR(IF(0=LEN(ReferenceData!$BG$39),"",ReferenceData!$BG$39),"")</f>
        <v/>
      </c>
      <c r="BH39">
        <f ca="1">IFERROR(IF(0=LEN(ReferenceData!$BH$39),"",ReferenceData!$BH$39),"")</f>
        <v>0.71</v>
      </c>
      <c r="BI39" t="str">
        <f ca="1">IFERROR(IF(0=LEN(ReferenceData!$BI$39),"",ReferenceData!$BI$39),"")</f>
        <v/>
      </c>
      <c r="BJ39" t="str">
        <f ca="1">IFERROR(IF(0=LEN(ReferenceData!$BJ$39),"",ReferenceData!$BJ$39),"")</f>
        <v/>
      </c>
      <c r="BK39">
        <f ca="1">IFERROR(IF(0=LEN(ReferenceData!$BK$39),"",ReferenceData!$BK$39),"")</f>
        <v>0.73</v>
      </c>
      <c r="BL39" t="str">
        <f ca="1">IFERROR(IF(0=LEN(ReferenceData!$BL$39),"",ReferenceData!$BL$39),"")</f>
        <v/>
      </c>
      <c r="BM39" t="str">
        <f ca="1">IFERROR(IF(0=LEN(ReferenceData!$BM$39),"",ReferenceData!$BM$39),"")</f>
        <v/>
      </c>
      <c r="BN39">
        <f ca="1">IFERROR(IF(0=LEN(ReferenceData!$BN$39),"",ReferenceData!$BN$39),"")</f>
        <v>0.22</v>
      </c>
      <c r="BO39" t="str">
        <f ca="1">IFERROR(IF(0=LEN(ReferenceData!$BO$39),"",ReferenceData!$BO$39),"")</f>
        <v/>
      </c>
      <c r="BP39" t="str">
        <f ca="1">IFERROR(IF(0=LEN(ReferenceData!$BP$39),"",ReferenceData!$BP$39),"")</f>
        <v/>
      </c>
      <c r="BQ39">
        <f ca="1">IFERROR(IF(0=LEN(ReferenceData!$BQ$39),"",ReferenceData!$BQ$39),"")</f>
        <v>0.94</v>
      </c>
      <c r="BR39" t="str">
        <f ca="1">IFERROR(IF(0=LEN(ReferenceData!$BR$39),"",ReferenceData!$BR$39),"")</f>
        <v/>
      </c>
      <c r="BS39" t="str">
        <f ca="1">IFERROR(IF(0=LEN(ReferenceData!$BS$39),"",ReferenceData!$BS$39),"")</f>
        <v/>
      </c>
      <c r="BT39">
        <f ca="1">IFERROR(IF(0=LEN(ReferenceData!$BT$39),"",ReferenceData!$BT$39),"")</f>
        <v>0.92</v>
      </c>
      <c r="BU39" t="str">
        <f ca="1">IFERROR(IF(0=LEN(ReferenceData!$BU$39),"",ReferenceData!$BU$39),"")</f>
        <v/>
      </c>
      <c r="BV39" t="str">
        <f ca="1">IFERROR(IF(0=LEN(ReferenceData!$BV$39),"",ReferenceData!$BV$39),"")</f>
        <v/>
      </c>
      <c r="BW39">
        <f ca="1">IFERROR(IF(0=LEN(ReferenceData!$BW$39),"",ReferenceData!$BW$39),"")</f>
        <v>0.64</v>
      </c>
      <c r="BX39" t="str">
        <f ca="1">IFERROR(IF(0=LEN(ReferenceData!$BX$39),"",ReferenceData!$BX$39),"")</f>
        <v/>
      </c>
      <c r="BY39" t="str">
        <f ca="1">IFERROR(IF(0=LEN(ReferenceData!$BY$39),"",ReferenceData!$BY$39),"")</f>
        <v/>
      </c>
      <c r="BZ39">
        <f ca="1">IFERROR(IF(0=LEN(ReferenceData!$BZ$39),"",ReferenceData!$BZ$39),"")</f>
        <v>0.6</v>
      </c>
      <c r="CA39" t="str">
        <f ca="1">IFERROR(IF(0=LEN(ReferenceData!$CA$39),"",ReferenceData!$CA$39),"")</f>
        <v/>
      </c>
      <c r="CB39" t="str">
        <f ca="1">IFERROR(IF(0=LEN(ReferenceData!$CB$39),"",ReferenceData!$CB$39),"")</f>
        <v/>
      </c>
      <c r="CC39">
        <f ca="1">IFERROR(IF(0=LEN(ReferenceData!$CC$39),"",ReferenceData!$CC$39),"")</f>
        <v>0.64</v>
      </c>
      <c r="CD39" t="str">
        <f ca="1">IFERROR(IF(0=LEN(ReferenceData!$CD$39),"",ReferenceData!$CD$39),"")</f>
        <v/>
      </c>
      <c r="CE39" t="str">
        <f ca="1">IFERROR(IF(0=LEN(ReferenceData!$CE$39),"",ReferenceData!$CE$39),"")</f>
        <v/>
      </c>
      <c r="CF39">
        <f ca="1">IFERROR(IF(0=LEN(ReferenceData!$CF$39),"",ReferenceData!$CF$39),"")</f>
        <v>0.63</v>
      </c>
      <c r="CG39" t="str">
        <f ca="1">IFERROR(IF(0=LEN(ReferenceData!$CG$39),"",ReferenceData!$CG$39),"")</f>
        <v/>
      </c>
      <c r="CH39" t="str">
        <f ca="1">IFERROR(IF(0=LEN(ReferenceData!$CH$39),"",ReferenceData!$CH$39),"")</f>
        <v/>
      </c>
      <c r="CI39">
        <f ca="1">IFERROR(IF(0=LEN(ReferenceData!$CI$39),"",ReferenceData!$CI$39),"")</f>
        <v>0.57999999999999996</v>
      </c>
      <c r="CJ39" t="str">
        <f ca="1">IFERROR(IF(0=LEN(ReferenceData!$CJ$39),"",ReferenceData!$CJ$39),"")</f>
        <v/>
      </c>
      <c r="CK39" t="str">
        <f ca="1">IFERROR(IF(0=LEN(ReferenceData!$CK$39),"",ReferenceData!$CK$39),"")</f>
        <v/>
      </c>
    </row>
    <row r="40" spans="1:89">
      <c r="A40" t="str">
        <f>IFERROR(IF(0=LEN(ReferenceData!$A$40),"",ReferenceData!$A$40),"")</f>
        <v xml:space="preserve">    埃塞克斯房地产信托公司</v>
      </c>
      <c r="B40" t="str">
        <f>IFERROR(IF(0=LEN(ReferenceData!$B$40),"",ReferenceData!$B$40),"")</f>
        <v>ESS US Equity</v>
      </c>
      <c r="C40" t="str">
        <f>IFERROR(IF(0=LEN(ReferenceData!$C$40),"",ReferenceData!$C$40),"")</f>
        <v>CF065</v>
      </c>
      <c r="D40" t="str">
        <f>IFERROR(IF(0=LEN(ReferenceData!$D$40),"",ReferenceData!$D$40),"")</f>
        <v>CF_FFO_PER_SH_DILUTED</v>
      </c>
      <c r="E40" t="str">
        <f>IFERROR(IF(0=LEN(ReferenceData!$E$40),"",ReferenceData!$E$40),"")</f>
        <v>动态</v>
      </c>
      <c r="F40" t="str">
        <f ca="1">IFERROR(IF(0=LEN(ReferenceData!$F$40),"",ReferenceData!$F$40),"")</f>
        <v/>
      </c>
      <c r="G40" t="str">
        <f ca="1">IFERROR(IF(0=LEN(ReferenceData!$G$40),"",ReferenceData!$G$40),"")</f>
        <v/>
      </c>
      <c r="H40" t="str">
        <f ca="1">IFERROR(IF(0=LEN(ReferenceData!$H$40),"",ReferenceData!$H$40),"")</f>
        <v/>
      </c>
      <c r="I40">
        <f ca="1">IFERROR(IF(0=LEN(ReferenceData!$I$40),"",ReferenceData!$I$40),"")</f>
        <v>3.01</v>
      </c>
      <c r="J40" t="str">
        <f ca="1">IFERROR(IF(0=LEN(ReferenceData!$J$40),"",ReferenceData!$J$40),"")</f>
        <v/>
      </c>
      <c r="K40" t="str">
        <f ca="1">IFERROR(IF(0=LEN(ReferenceData!$K$40),"",ReferenceData!$K$40),"")</f>
        <v/>
      </c>
      <c r="L40">
        <f ca="1">IFERROR(IF(0=LEN(ReferenceData!$L$40),"",ReferenceData!$L$40),"")</f>
        <v>2.9756019999999999</v>
      </c>
      <c r="M40" t="str">
        <f ca="1">IFERROR(IF(0=LEN(ReferenceData!$M$40),"",ReferenceData!$M$40),"")</f>
        <v/>
      </c>
      <c r="N40" t="str">
        <f ca="1">IFERROR(IF(0=LEN(ReferenceData!$N$40),"",ReferenceData!$N$40),"")</f>
        <v/>
      </c>
      <c r="O40">
        <f ca="1">IFERROR(IF(0=LEN(ReferenceData!$O$40),"",ReferenceData!$O$40),"")</f>
        <v>2.9724750000000002</v>
      </c>
      <c r="P40" t="str">
        <f ca="1">IFERROR(IF(0=LEN(ReferenceData!$P$40),"",ReferenceData!$P$40),"")</f>
        <v/>
      </c>
      <c r="Q40" t="str">
        <f ca="1">IFERROR(IF(0=LEN(ReferenceData!$Q$40),"",ReferenceData!$Q$40),"")</f>
        <v/>
      </c>
      <c r="R40">
        <f ca="1">IFERROR(IF(0=LEN(ReferenceData!$R$40),"",ReferenceData!$R$40),"")</f>
        <v>2.95</v>
      </c>
      <c r="S40" t="str">
        <f ca="1">IFERROR(IF(0=LEN(ReferenceData!$S$40),"",ReferenceData!$S$40),"")</f>
        <v/>
      </c>
      <c r="T40" t="str">
        <f ca="1">IFERROR(IF(0=LEN(ReferenceData!$T$40),"",ReferenceData!$T$40),"")</f>
        <v/>
      </c>
      <c r="U40">
        <f ca="1">IFERROR(IF(0=LEN(ReferenceData!$U$40),"",ReferenceData!$U$40),"")</f>
        <v>2.85</v>
      </c>
      <c r="V40" t="str">
        <f ca="1">IFERROR(IF(0=LEN(ReferenceData!$V$40),"",ReferenceData!$V$40),"")</f>
        <v/>
      </c>
      <c r="W40" t="str">
        <f ca="1">IFERROR(IF(0=LEN(ReferenceData!$W$40),"",ReferenceData!$W$40),"")</f>
        <v/>
      </c>
      <c r="X40">
        <f ca="1">IFERROR(IF(0=LEN(ReferenceData!$X$40),"",ReferenceData!$X$40),"")</f>
        <v>2.81</v>
      </c>
      <c r="Y40" t="str">
        <f ca="1">IFERROR(IF(0=LEN(ReferenceData!$Y$40),"",ReferenceData!$Y$40),"")</f>
        <v/>
      </c>
      <c r="Z40" t="str">
        <f ca="1">IFERROR(IF(0=LEN(ReferenceData!$Z$40),"",ReferenceData!$Z$40),"")</f>
        <v/>
      </c>
      <c r="AA40">
        <f ca="1">IFERROR(IF(0=LEN(ReferenceData!$AA$40),"",ReferenceData!$AA$40),"")</f>
        <v>2.814219</v>
      </c>
      <c r="AB40" t="str">
        <f ca="1">IFERROR(IF(0=LEN(ReferenceData!$AB$40),"",ReferenceData!$AB$40),"")</f>
        <v/>
      </c>
      <c r="AC40" t="str">
        <f ca="1">IFERROR(IF(0=LEN(ReferenceData!$AC$40),"",ReferenceData!$AC$40),"")</f>
        <v/>
      </c>
      <c r="AD40">
        <f ca="1">IFERROR(IF(0=LEN(ReferenceData!$AD$40),"",ReferenceData!$AD$40),"")</f>
        <v>2.64</v>
      </c>
      <c r="AE40" t="str">
        <f ca="1">IFERROR(IF(0=LEN(ReferenceData!$AE$40),"",ReferenceData!$AE$40),"")</f>
        <v/>
      </c>
      <c r="AF40" t="str">
        <f ca="1">IFERROR(IF(0=LEN(ReferenceData!$AF$40),"",ReferenceData!$AF$40),"")</f>
        <v/>
      </c>
      <c r="AG40">
        <f ca="1">IFERROR(IF(0=LEN(ReferenceData!$AG$40),"",ReferenceData!$AG$40),"")</f>
        <v>2.5291679999999999</v>
      </c>
      <c r="AH40" t="str">
        <f ca="1">IFERROR(IF(0=LEN(ReferenceData!$AH$40),"",ReferenceData!$AH$40),"")</f>
        <v/>
      </c>
      <c r="AI40" t="str">
        <f ca="1">IFERROR(IF(0=LEN(ReferenceData!$AI$40),"",ReferenceData!$AI$40),"")</f>
        <v/>
      </c>
      <c r="AJ40">
        <f ca="1">IFERROR(IF(0=LEN(ReferenceData!$AJ$40),"",ReferenceData!$AJ$40),"")</f>
        <v>2.530484</v>
      </c>
      <c r="AK40" t="str">
        <f ca="1">IFERROR(IF(0=LEN(ReferenceData!$AK$40),"",ReferenceData!$AK$40),"")</f>
        <v/>
      </c>
      <c r="AL40" t="str">
        <f ca="1">IFERROR(IF(0=LEN(ReferenceData!$AL$40),"",ReferenceData!$AL$40),"")</f>
        <v/>
      </c>
      <c r="AM40">
        <f ca="1">IFERROR(IF(0=LEN(ReferenceData!$AM$40),"",ReferenceData!$AM$40),"")</f>
        <v>2.3818769999999998</v>
      </c>
      <c r="AN40" t="str">
        <f ca="1">IFERROR(IF(0=LEN(ReferenceData!$AN$40),"",ReferenceData!$AN$40),"")</f>
        <v/>
      </c>
      <c r="AO40" t="str">
        <f ca="1">IFERROR(IF(0=LEN(ReferenceData!$AO$40),"",ReferenceData!$AO$40),"")</f>
        <v/>
      </c>
      <c r="AP40">
        <f ca="1">IFERROR(IF(0=LEN(ReferenceData!$AP$40),"",ReferenceData!$AP$40),"")</f>
        <v>2.27</v>
      </c>
      <c r="AQ40" t="str">
        <f ca="1">IFERROR(IF(0=LEN(ReferenceData!$AQ$40),"",ReferenceData!$AQ$40),"")</f>
        <v/>
      </c>
      <c r="AR40" t="str">
        <f ca="1">IFERROR(IF(0=LEN(ReferenceData!$AR$40),"",ReferenceData!$AR$40),"")</f>
        <v/>
      </c>
      <c r="AS40">
        <f ca="1">IFERROR(IF(0=LEN(ReferenceData!$AS$40),"",ReferenceData!$AS$40),"")</f>
        <v>2.2928109999999999</v>
      </c>
      <c r="AT40" t="str">
        <f ca="1">IFERROR(IF(0=LEN(ReferenceData!$AT$40),"",ReferenceData!$AT$40),"")</f>
        <v/>
      </c>
      <c r="AU40" t="str">
        <f ca="1">IFERROR(IF(0=LEN(ReferenceData!$AU$40),"",ReferenceData!$AU$40),"")</f>
        <v/>
      </c>
      <c r="AV40">
        <f ca="1">IFERROR(IF(0=LEN(ReferenceData!$AV$40),"",ReferenceData!$AV$40),"")</f>
        <v>2.081286</v>
      </c>
      <c r="AW40" t="str">
        <f ca="1">IFERROR(IF(0=LEN(ReferenceData!$AW$40),"",ReferenceData!$AW$40),"")</f>
        <v/>
      </c>
      <c r="AX40" t="str">
        <f ca="1">IFERROR(IF(0=LEN(ReferenceData!$AX$40),"",ReferenceData!$AX$40),"")</f>
        <v/>
      </c>
      <c r="AY40">
        <f ca="1">IFERROR(IF(0=LEN(ReferenceData!$AY$40),"",ReferenceData!$AY$40),"")</f>
        <v>1.7167539999999999</v>
      </c>
      <c r="AZ40" t="str">
        <f ca="1">IFERROR(IF(0=LEN(ReferenceData!$AZ$40),"",ReferenceData!$AZ$40),"")</f>
        <v/>
      </c>
      <c r="BA40" t="str">
        <f ca="1">IFERROR(IF(0=LEN(ReferenceData!$BA$40),"",ReferenceData!$BA$40),"")</f>
        <v/>
      </c>
      <c r="BB40">
        <f ca="1">IFERROR(IF(0=LEN(ReferenceData!$BB$40),"",ReferenceData!$BB$40),"")</f>
        <v>1.68</v>
      </c>
      <c r="BC40" t="str">
        <f ca="1">IFERROR(IF(0=LEN(ReferenceData!$BC$40),"",ReferenceData!$BC$40),"")</f>
        <v/>
      </c>
      <c r="BD40" t="str">
        <f ca="1">IFERROR(IF(0=LEN(ReferenceData!$BD$40),"",ReferenceData!$BD$40),"")</f>
        <v/>
      </c>
      <c r="BE40">
        <f ca="1">IFERROR(IF(0=LEN(ReferenceData!$BE$40),"",ReferenceData!$BE$40),"")</f>
        <v>1.794956</v>
      </c>
      <c r="BF40" t="str">
        <f ca="1">IFERROR(IF(0=LEN(ReferenceData!$BF$40),"",ReferenceData!$BF$40),"")</f>
        <v/>
      </c>
      <c r="BG40" t="str">
        <f ca="1">IFERROR(IF(0=LEN(ReferenceData!$BG$40),"",ReferenceData!$BG$40),"")</f>
        <v/>
      </c>
      <c r="BH40">
        <f ca="1">IFERROR(IF(0=LEN(ReferenceData!$BH$40),"",ReferenceData!$BH$40),"")</f>
        <v>1.910226</v>
      </c>
      <c r="BI40" t="str">
        <f ca="1">IFERROR(IF(0=LEN(ReferenceData!$BI$40),"",ReferenceData!$BI$40),"")</f>
        <v/>
      </c>
      <c r="BJ40" t="str">
        <f ca="1">IFERROR(IF(0=LEN(ReferenceData!$BJ$40),"",ReferenceData!$BJ$40),"")</f>
        <v/>
      </c>
      <c r="BK40">
        <f ca="1">IFERROR(IF(0=LEN(ReferenceData!$BK$40),"",ReferenceData!$BK$40),"")</f>
        <v>1.910353</v>
      </c>
      <c r="BL40" t="str">
        <f ca="1">IFERROR(IF(0=LEN(ReferenceData!$BL$40),"",ReferenceData!$BL$40),"")</f>
        <v/>
      </c>
      <c r="BM40" t="str">
        <f ca="1">IFERROR(IF(0=LEN(ReferenceData!$BM$40),"",ReferenceData!$BM$40),"")</f>
        <v/>
      </c>
      <c r="BN40">
        <f ca="1">IFERROR(IF(0=LEN(ReferenceData!$BN$40),"",ReferenceData!$BN$40),"")</f>
        <v>1.97</v>
      </c>
      <c r="BO40" t="str">
        <f ca="1">IFERROR(IF(0=LEN(ReferenceData!$BO$40),"",ReferenceData!$BO$40),"")</f>
        <v/>
      </c>
      <c r="BP40" t="str">
        <f ca="1">IFERROR(IF(0=LEN(ReferenceData!$BP$40),"",ReferenceData!$BP$40),"")</f>
        <v/>
      </c>
      <c r="BQ40">
        <f ca="1">IFERROR(IF(0=LEN(ReferenceData!$BQ$40),"",ReferenceData!$BQ$40),"")</f>
        <v>1.7158580000000001</v>
      </c>
      <c r="BR40" t="str">
        <f ca="1">IFERROR(IF(0=LEN(ReferenceData!$BR$40),"",ReferenceData!$BR$40),"")</f>
        <v/>
      </c>
      <c r="BS40" t="str">
        <f ca="1">IFERROR(IF(0=LEN(ReferenceData!$BS$40),"",ReferenceData!$BS$40),"")</f>
        <v/>
      </c>
      <c r="BT40">
        <f ca="1">IFERROR(IF(0=LEN(ReferenceData!$BT$40),"",ReferenceData!$BT$40),"")</f>
        <v>1.6715949999999999</v>
      </c>
      <c r="BU40" t="str">
        <f ca="1">IFERROR(IF(0=LEN(ReferenceData!$BU$40),"",ReferenceData!$BU$40),"")</f>
        <v/>
      </c>
      <c r="BV40" t="str">
        <f ca="1">IFERROR(IF(0=LEN(ReferenceData!$BV$40),"",ReferenceData!$BV$40),"")</f>
        <v/>
      </c>
      <c r="BW40">
        <f ca="1">IFERROR(IF(0=LEN(ReferenceData!$BW$40),"",ReferenceData!$BW$40),"")</f>
        <v>1.6938070000000001</v>
      </c>
      <c r="BX40" t="str">
        <f ca="1">IFERROR(IF(0=LEN(ReferenceData!$BX$40),"",ReferenceData!$BX$40),"")</f>
        <v/>
      </c>
      <c r="BY40" t="str">
        <f ca="1">IFERROR(IF(0=LEN(ReferenceData!$BY$40),"",ReferenceData!$BY$40),"")</f>
        <v/>
      </c>
      <c r="BZ40">
        <f ca="1">IFERROR(IF(0=LEN(ReferenceData!$BZ$40),"",ReferenceData!$BZ$40),"")</f>
        <v>1.63</v>
      </c>
      <c r="CA40" t="str">
        <f ca="1">IFERROR(IF(0=LEN(ReferenceData!$CA$40),"",ReferenceData!$CA$40),"")</f>
        <v/>
      </c>
      <c r="CB40" t="str">
        <f ca="1">IFERROR(IF(0=LEN(ReferenceData!$CB$40),"",ReferenceData!$CB$40),"")</f>
        <v/>
      </c>
      <c r="CC40">
        <f ca="1">IFERROR(IF(0=LEN(ReferenceData!$CC$40),"",ReferenceData!$CC$40),"")</f>
        <v>1.550068</v>
      </c>
      <c r="CD40" t="str">
        <f ca="1">IFERROR(IF(0=LEN(ReferenceData!$CD$40),"",ReferenceData!$CD$40),"")</f>
        <v/>
      </c>
      <c r="CE40" t="str">
        <f ca="1">IFERROR(IF(0=LEN(ReferenceData!$CE$40),"",ReferenceData!$CE$40),"")</f>
        <v/>
      </c>
      <c r="CF40">
        <f ca="1">IFERROR(IF(0=LEN(ReferenceData!$CF$40),"",ReferenceData!$CF$40),"")</f>
        <v>1.43</v>
      </c>
      <c r="CG40" t="str">
        <f ca="1">IFERROR(IF(0=LEN(ReferenceData!$CG$40),"",ReferenceData!$CG$40),"")</f>
        <v/>
      </c>
      <c r="CH40" t="str">
        <f ca="1">IFERROR(IF(0=LEN(ReferenceData!$CH$40),"",ReferenceData!$CH$40),"")</f>
        <v/>
      </c>
      <c r="CI40">
        <f ca="1">IFERROR(IF(0=LEN(ReferenceData!$CI$40),"",ReferenceData!$CI$40),"")</f>
        <v>1.32</v>
      </c>
      <c r="CJ40" t="str">
        <f ca="1">IFERROR(IF(0=LEN(ReferenceData!$CJ$40),"",ReferenceData!$CJ$40),"")</f>
        <v/>
      </c>
      <c r="CK40" t="str">
        <f ca="1">IFERROR(IF(0=LEN(ReferenceData!$CK$40),"",ReferenceData!$CK$40),"")</f>
        <v/>
      </c>
    </row>
    <row r="41" spans="1:89">
      <c r="A41" t="str">
        <f>IFERROR(IF(0=LEN(ReferenceData!$A$41),"",ReferenceData!$A$41),"")</f>
        <v xml:space="preserve">    Mid-America Apartment Communities股份有限公司</v>
      </c>
      <c r="B41" t="str">
        <f>IFERROR(IF(0=LEN(ReferenceData!$B$41),"",ReferenceData!$B$41),"")</f>
        <v>MAA US Equity</v>
      </c>
      <c r="C41" t="str">
        <f>IFERROR(IF(0=LEN(ReferenceData!$C$41),"",ReferenceData!$C$41),"")</f>
        <v>CF065</v>
      </c>
      <c r="D41" t="str">
        <f>IFERROR(IF(0=LEN(ReferenceData!$D$41),"",ReferenceData!$D$41),"")</f>
        <v>CF_FFO_PER_SH_DILUTED</v>
      </c>
      <c r="E41" t="str">
        <f>IFERROR(IF(0=LEN(ReferenceData!$E$41),"",ReferenceData!$E$41),"")</f>
        <v>动态</v>
      </c>
      <c r="F41" t="str">
        <f ca="1">IFERROR(IF(0=LEN(ReferenceData!$F$41),"",ReferenceData!$F$41),"")</f>
        <v/>
      </c>
      <c r="G41" t="str">
        <f ca="1">IFERROR(IF(0=LEN(ReferenceData!$G$41),"",ReferenceData!$G$41),"")</f>
        <v/>
      </c>
      <c r="H41" t="str">
        <f ca="1">IFERROR(IF(0=LEN(ReferenceData!$H$41),"",ReferenceData!$H$41),"")</f>
        <v/>
      </c>
      <c r="I41">
        <f ca="1">IFERROR(IF(0=LEN(ReferenceData!$I$41),"",ReferenceData!$I$41),"")</f>
        <v>1.5</v>
      </c>
      <c r="J41" t="str">
        <f ca="1">IFERROR(IF(0=LEN(ReferenceData!$J$41),"",ReferenceData!$J$41),"")</f>
        <v/>
      </c>
      <c r="K41" t="str">
        <f ca="1">IFERROR(IF(0=LEN(ReferenceData!$K$41),"",ReferenceData!$K$41),"")</f>
        <v/>
      </c>
      <c r="L41">
        <f ca="1">IFERROR(IF(0=LEN(ReferenceData!$L$41),"",ReferenceData!$L$41),"")</f>
        <v>1.5</v>
      </c>
      <c r="M41" t="str">
        <f ca="1">IFERROR(IF(0=LEN(ReferenceData!$M$41),"",ReferenceData!$M$41),"")</f>
        <v/>
      </c>
      <c r="N41" t="str">
        <f ca="1">IFERROR(IF(0=LEN(ReferenceData!$N$41),"",ReferenceData!$N$41),"")</f>
        <v/>
      </c>
      <c r="O41">
        <f ca="1">IFERROR(IF(0=LEN(ReferenceData!$O$41),"",ReferenceData!$O$41),"")</f>
        <v>1.48</v>
      </c>
      <c r="P41" t="str">
        <f ca="1">IFERROR(IF(0=LEN(ReferenceData!$P$41),"",ReferenceData!$P$41),"")</f>
        <v/>
      </c>
      <c r="Q41" t="str">
        <f ca="1">IFERROR(IF(0=LEN(ReferenceData!$Q$41),"",ReferenceData!$Q$41),"")</f>
        <v/>
      </c>
      <c r="R41">
        <f ca="1">IFERROR(IF(0=LEN(ReferenceData!$R$41),"",ReferenceData!$R$41),"")</f>
        <v>1.46</v>
      </c>
      <c r="S41" t="str">
        <f ca="1">IFERROR(IF(0=LEN(ReferenceData!$S$41),"",ReferenceData!$S$41),"")</f>
        <v/>
      </c>
      <c r="T41" t="str">
        <f ca="1">IFERROR(IF(0=LEN(ReferenceData!$T$41),"",ReferenceData!$T$41),"")</f>
        <v/>
      </c>
      <c r="U41">
        <f ca="1">IFERROR(IF(0=LEN(ReferenceData!$U$41),"",ReferenceData!$U$41),"")</f>
        <v>1.1299999999999999</v>
      </c>
      <c r="V41" t="str">
        <f ca="1">IFERROR(IF(0=LEN(ReferenceData!$V$41),"",ReferenceData!$V$41),"")</f>
        <v/>
      </c>
      <c r="W41" t="str">
        <f ca="1">IFERROR(IF(0=LEN(ReferenceData!$W$41),"",ReferenceData!$W$41),"")</f>
        <v/>
      </c>
      <c r="X41">
        <f ca="1">IFERROR(IF(0=LEN(ReferenceData!$X$41),"",ReferenceData!$X$41),"")</f>
        <v>1.47</v>
      </c>
      <c r="Y41" t="str">
        <f ca="1">IFERROR(IF(0=LEN(ReferenceData!$Y$41),"",ReferenceData!$Y$41),"")</f>
        <v/>
      </c>
      <c r="Z41" t="str">
        <f ca="1">IFERROR(IF(0=LEN(ReferenceData!$Z$41),"",ReferenceData!$Z$41),"")</f>
        <v/>
      </c>
      <c r="AA41">
        <f ca="1">IFERROR(IF(0=LEN(ReferenceData!$AA$41),"",ReferenceData!$AA$41),"")</f>
        <v>1.54</v>
      </c>
      <c r="AB41" t="str">
        <f ca="1">IFERROR(IF(0=LEN(ReferenceData!$AB$41),"",ReferenceData!$AB$41),"")</f>
        <v/>
      </c>
      <c r="AC41" t="str">
        <f ca="1">IFERROR(IF(0=LEN(ReferenceData!$AC$41),"",ReferenceData!$AC$41),"")</f>
        <v/>
      </c>
      <c r="AD41">
        <f ca="1">IFERROR(IF(0=LEN(ReferenceData!$AD$41),"",ReferenceData!$AD$41),"")</f>
        <v>1.5</v>
      </c>
      <c r="AE41" t="str">
        <f ca="1">IFERROR(IF(0=LEN(ReferenceData!$AE$41),"",ReferenceData!$AE$41),"")</f>
        <v/>
      </c>
      <c r="AF41" t="str">
        <f ca="1">IFERROR(IF(0=LEN(ReferenceData!$AF$41),"",ReferenceData!$AF$41),"")</f>
        <v/>
      </c>
      <c r="AG41">
        <f ca="1">IFERROR(IF(0=LEN(ReferenceData!$AG$41),"",ReferenceData!$AG$41),"")</f>
        <v>1.4900340000000001</v>
      </c>
      <c r="AH41" t="str">
        <f ca="1">IFERROR(IF(0=LEN(ReferenceData!$AH$41),"",ReferenceData!$AH$41),"")</f>
        <v/>
      </c>
      <c r="AI41" t="str">
        <f ca="1">IFERROR(IF(0=LEN(ReferenceData!$AI$41),"",ReferenceData!$AI$41),"")</f>
        <v/>
      </c>
      <c r="AJ41">
        <f ca="1">IFERROR(IF(0=LEN(ReferenceData!$AJ$41),"",ReferenceData!$AJ$41),"")</f>
        <v>1.4396180000000001</v>
      </c>
      <c r="AK41" t="str">
        <f ca="1">IFERROR(IF(0=LEN(ReferenceData!$AK$41),"",ReferenceData!$AK$41),"")</f>
        <v/>
      </c>
      <c r="AL41" t="str">
        <f ca="1">IFERROR(IF(0=LEN(ReferenceData!$AL$41),"",ReferenceData!$AL$41),"")</f>
        <v/>
      </c>
      <c r="AM41">
        <f ca="1">IFERROR(IF(0=LEN(ReferenceData!$AM$41),"",ReferenceData!$AM$41),"")</f>
        <v>1.4115219999999999</v>
      </c>
      <c r="AN41" t="str">
        <f ca="1">IFERROR(IF(0=LEN(ReferenceData!$AN$41),"",ReferenceData!$AN$41),"")</f>
        <v/>
      </c>
      <c r="AO41" t="str">
        <f ca="1">IFERROR(IF(0=LEN(ReferenceData!$AO$41),"",ReferenceData!$AO$41),"")</f>
        <v/>
      </c>
      <c r="AP41">
        <f ca="1">IFERROR(IF(0=LEN(ReferenceData!$AP$41),"",ReferenceData!$AP$41),"")</f>
        <v>1.34</v>
      </c>
      <c r="AQ41" t="str">
        <f ca="1">IFERROR(IF(0=LEN(ReferenceData!$AQ$41),"",ReferenceData!$AQ$41),"")</f>
        <v/>
      </c>
      <c r="AR41" t="str">
        <f ca="1">IFERROR(IF(0=LEN(ReferenceData!$AR$41),"",ReferenceData!$AR$41),"")</f>
        <v/>
      </c>
      <c r="AS41">
        <f ca="1">IFERROR(IF(0=LEN(ReferenceData!$AS$41),"",ReferenceData!$AS$41),"")</f>
        <v>1.35</v>
      </c>
      <c r="AT41" t="str">
        <f ca="1">IFERROR(IF(0=LEN(ReferenceData!$AT$41),"",ReferenceData!$AT$41),"")</f>
        <v/>
      </c>
      <c r="AU41" t="str">
        <f ca="1">IFERROR(IF(0=LEN(ReferenceData!$AU$41),"",ReferenceData!$AU$41),"")</f>
        <v/>
      </c>
      <c r="AV41">
        <f ca="1">IFERROR(IF(0=LEN(ReferenceData!$AV$41),"",ReferenceData!$AV$41),"")</f>
        <v>1.31</v>
      </c>
      <c r="AW41" t="str">
        <f ca="1">IFERROR(IF(0=LEN(ReferenceData!$AW$41),"",ReferenceData!$AW$41),"")</f>
        <v/>
      </c>
      <c r="AX41" t="str">
        <f ca="1">IFERROR(IF(0=LEN(ReferenceData!$AX$41),"",ReferenceData!$AX$41),"")</f>
        <v/>
      </c>
      <c r="AY41">
        <f ca="1">IFERROR(IF(0=LEN(ReferenceData!$AY$41),"",ReferenceData!$AY$41),"")</f>
        <v>1.2</v>
      </c>
      <c r="AZ41" t="str">
        <f ca="1">IFERROR(IF(0=LEN(ReferenceData!$AZ$41),"",ReferenceData!$AZ$41),"")</f>
        <v/>
      </c>
      <c r="BA41" t="str">
        <f ca="1">IFERROR(IF(0=LEN(ReferenceData!$BA$41),"",ReferenceData!$BA$41),"")</f>
        <v/>
      </c>
      <c r="BB41">
        <f ca="1">IFERROR(IF(0=LEN(ReferenceData!$BB$41),"",ReferenceData!$BB$41),"")</f>
        <v>1.23</v>
      </c>
      <c r="BC41" t="str">
        <f ca="1">IFERROR(IF(0=LEN(ReferenceData!$BC$41),"",ReferenceData!$BC$41),"")</f>
        <v/>
      </c>
      <c r="BD41" t="str">
        <f ca="1">IFERROR(IF(0=LEN(ReferenceData!$BD$41),"",ReferenceData!$BD$41),"")</f>
        <v/>
      </c>
      <c r="BE41">
        <f ca="1">IFERROR(IF(0=LEN(ReferenceData!$BE$41),"",ReferenceData!$BE$41),"")</f>
        <v>0.95</v>
      </c>
      <c r="BF41" t="str">
        <f ca="1">IFERROR(IF(0=LEN(ReferenceData!$BF$41),"",ReferenceData!$BF$41),"")</f>
        <v/>
      </c>
      <c r="BG41" t="str">
        <f ca="1">IFERROR(IF(0=LEN(ReferenceData!$BG$41),"",ReferenceData!$BG$41),"")</f>
        <v/>
      </c>
      <c r="BH41">
        <f ca="1">IFERROR(IF(0=LEN(ReferenceData!$BH$41),"",ReferenceData!$BH$41),"")</f>
        <v>1.1299999999999999</v>
      </c>
      <c r="BI41" t="str">
        <f ca="1">IFERROR(IF(0=LEN(ReferenceData!$BI$41),"",ReferenceData!$BI$41),"")</f>
        <v/>
      </c>
      <c r="BJ41" t="str">
        <f ca="1">IFERROR(IF(0=LEN(ReferenceData!$BJ$41),"",ReferenceData!$BJ$41),"")</f>
        <v/>
      </c>
      <c r="BK41">
        <f ca="1">IFERROR(IF(0=LEN(ReferenceData!$BK$41),"",ReferenceData!$BK$41),"")</f>
        <v>1.1399999999999999</v>
      </c>
      <c r="BL41" t="str">
        <f ca="1">IFERROR(IF(0=LEN(ReferenceData!$BL$41),"",ReferenceData!$BL$41),"")</f>
        <v/>
      </c>
      <c r="BM41" t="str">
        <f ca="1">IFERROR(IF(0=LEN(ReferenceData!$BM$41),"",ReferenceData!$BM$41),"")</f>
        <v/>
      </c>
      <c r="BN41">
        <f ca="1">IFERROR(IF(0=LEN(ReferenceData!$BN$41),"",ReferenceData!$BN$41),"")</f>
        <v>1.25</v>
      </c>
      <c r="BO41" t="str">
        <f ca="1">IFERROR(IF(0=LEN(ReferenceData!$BO$41),"",ReferenceData!$BO$41),"")</f>
        <v/>
      </c>
      <c r="BP41" t="str">
        <f ca="1">IFERROR(IF(0=LEN(ReferenceData!$BP$41),"",ReferenceData!$BP$41),"")</f>
        <v/>
      </c>
      <c r="BQ41">
        <f ca="1">IFERROR(IF(0=LEN(ReferenceData!$BQ$41),"",ReferenceData!$BQ$41),"")</f>
        <v>1.2154149999999999</v>
      </c>
      <c r="BR41" t="str">
        <f ca="1">IFERROR(IF(0=LEN(ReferenceData!$BR$41),"",ReferenceData!$BR$41),"")</f>
        <v/>
      </c>
      <c r="BS41" t="str">
        <f ca="1">IFERROR(IF(0=LEN(ReferenceData!$BS$41),"",ReferenceData!$BS$41),"")</f>
        <v/>
      </c>
      <c r="BT41">
        <f ca="1">IFERROR(IF(0=LEN(ReferenceData!$BT$41),"",ReferenceData!$BT$41),"")</f>
        <v>1.1100000000000001</v>
      </c>
      <c r="BU41" t="str">
        <f ca="1">IFERROR(IF(0=LEN(ReferenceData!$BU$41),"",ReferenceData!$BU$41),"")</f>
        <v/>
      </c>
      <c r="BV41" t="str">
        <f ca="1">IFERROR(IF(0=LEN(ReferenceData!$BV$41),"",ReferenceData!$BV$41),"")</f>
        <v/>
      </c>
      <c r="BW41">
        <f ca="1">IFERROR(IF(0=LEN(ReferenceData!$BW$41),"",ReferenceData!$BW$41),"")</f>
        <v>1.1299999999999999</v>
      </c>
      <c r="BX41" t="str">
        <f ca="1">IFERROR(IF(0=LEN(ReferenceData!$BX$41),"",ReferenceData!$BX$41),"")</f>
        <v/>
      </c>
      <c r="BY41" t="str">
        <f ca="1">IFERROR(IF(0=LEN(ReferenceData!$BY$41),"",ReferenceData!$BY$41),"")</f>
        <v/>
      </c>
      <c r="BZ41">
        <f ca="1">IFERROR(IF(0=LEN(ReferenceData!$BZ$41),"",ReferenceData!$BZ$41),"")</f>
        <v>1.1200000000000001</v>
      </c>
      <c r="CA41" t="str">
        <f ca="1">IFERROR(IF(0=LEN(ReferenceData!$CA$41),"",ReferenceData!$CA$41),"")</f>
        <v/>
      </c>
      <c r="CB41" t="str">
        <f ca="1">IFERROR(IF(0=LEN(ReferenceData!$CB$41),"",ReferenceData!$CB$41),"")</f>
        <v/>
      </c>
      <c r="CC41">
        <f ca="1">IFERROR(IF(0=LEN(ReferenceData!$CC$41),"",ReferenceData!$CC$41),"")</f>
        <v>1.07</v>
      </c>
      <c r="CD41" t="str">
        <f ca="1">IFERROR(IF(0=LEN(ReferenceData!$CD$41),"",ReferenceData!$CD$41),"")</f>
        <v/>
      </c>
      <c r="CE41" t="str">
        <f ca="1">IFERROR(IF(0=LEN(ReferenceData!$CE$41),"",ReferenceData!$CE$41),"")</f>
        <v/>
      </c>
      <c r="CF41">
        <f ca="1">IFERROR(IF(0=LEN(ReferenceData!$CF$41),"",ReferenceData!$CF$41),"")</f>
        <v>1</v>
      </c>
      <c r="CG41" t="str">
        <f ca="1">IFERROR(IF(0=LEN(ReferenceData!$CG$41),"",ReferenceData!$CG$41),"")</f>
        <v/>
      </c>
      <c r="CH41" t="str">
        <f ca="1">IFERROR(IF(0=LEN(ReferenceData!$CH$41),"",ReferenceData!$CH$41),"")</f>
        <v/>
      </c>
      <c r="CI41">
        <f ca="1">IFERROR(IF(0=LEN(ReferenceData!$CI$41),"",ReferenceData!$CI$41),"")</f>
        <v>0.93</v>
      </c>
      <c r="CJ41" t="str">
        <f ca="1">IFERROR(IF(0=LEN(ReferenceData!$CJ$41),"",ReferenceData!$CJ$41),"")</f>
        <v/>
      </c>
      <c r="CK41" t="str">
        <f ca="1">IFERROR(IF(0=LEN(ReferenceData!$CK$41),"",ReferenceData!$CK$41),"")</f>
        <v/>
      </c>
    </row>
    <row r="42" spans="1:89">
      <c r="A42" t="str">
        <f>IFERROR(IF(0=LEN(ReferenceData!$A$42),"",ReferenceData!$A$42),"")</f>
        <v xml:space="preserve">    UDR 公司</v>
      </c>
      <c r="B42" t="str">
        <f>IFERROR(IF(0=LEN(ReferenceData!$B$42),"",ReferenceData!$B$42),"")</f>
        <v>UDR US Equity</v>
      </c>
      <c r="C42" t="str">
        <f>IFERROR(IF(0=LEN(ReferenceData!$C$42),"",ReferenceData!$C$42),"")</f>
        <v>CF065</v>
      </c>
      <c r="D42" t="str">
        <f>IFERROR(IF(0=LEN(ReferenceData!$D$42),"",ReferenceData!$D$42),"")</f>
        <v>CF_FFO_PER_SH_DILUTED</v>
      </c>
      <c r="E42" t="str">
        <f>IFERROR(IF(0=LEN(ReferenceData!$E$42),"",ReferenceData!$E$42),"")</f>
        <v>动态</v>
      </c>
      <c r="F42" t="str">
        <f ca="1">IFERROR(IF(0=LEN(ReferenceData!$F$42),"",ReferenceData!$F$42),"")</f>
        <v/>
      </c>
      <c r="G42" t="str">
        <f ca="1">IFERROR(IF(0=LEN(ReferenceData!$G$42),"",ReferenceData!$G$42),"")</f>
        <v/>
      </c>
      <c r="H42" t="str">
        <f ca="1">IFERROR(IF(0=LEN(ReferenceData!$H$42),"",ReferenceData!$H$42),"")</f>
        <v/>
      </c>
      <c r="I42">
        <f ca="1">IFERROR(IF(0=LEN(ReferenceData!$I$42),"",ReferenceData!$I$42),"")</f>
        <v>0.46</v>
      </c>
      <c r="J42" t="str">
        <f ca="1">IFERROR(IF(0=LEN(ReferenceData!$J$42),"",ReferenceData!$J$42),"")</f>
        <v/>
      </c>
      <c r="K42" t="str">
        <f ca="1">IFERROR(IF(0=LEN(ReferenceData!$K$42),"",ReferenceData!$K$42),"")</f>
        <v/>
      </c>
      <c r="L42">
        <f ca="1">IFERROR(IF(0=LEN(ReferenceData!$L$42),"",ReferenceData!$L$42),"")</f>
        <v>0.46</v>
      </c>
      <c r="M42" t="str">
        <f ca="1">IFERROR(IF(0=LEN(ReferenceData!$M$42),"",ReferenceData!$M$42),"")</f>
        <v/>
      </c>
      <c r="N42" t="str">
        <f ca="1">IFERROR(IF(0=LEN(ReferenceData!$N$42),"",ReferenceData!$N$42),"")</f>
        <v/>
      </c>
      <c r="O42">
        <f ca="1">IFERROR(IF(0=LEN(ReferenceData!$O$42),"",ReferenceData!$O$42),"")</f>
        <v>0.45</v>
      </c>
      <c r="P42" t="str">
        <f ca="1">IFERROR(IF(0=LEN(ReferenceData!$P$42),"",ReferenceData!$P$42),"")</f>
        <v/>
      </c>
      <c r="Q42" t="str">
        <f ca="1">IFERROR(IF(0=LEN(ReferenceData!$Q$42),"",ReferenceData!$Q$42),"")</f>
        <v/>
      </c>
      <c r="R42">
        <f ca="1">IFERROR(IF(0=LEN(ReferenceData!$R$42),"",ReferenceData!$R$42),"")</f>
        <v>0.45</v>
      </c>
      <c r="S42" t="str">
        <f ca="1">IFERROR(IF(0=LEN(ReferenceData!$S$42),"",ReferenceData!$S$42),"")</f>
        <v/>
      </c>
      <c r="T42" t="str">
        <f ca="1">IFERROR(IF(0=LEN(ReferenceData!$T$42),"",ReferenceData!$T$42),"")</f>
        <v/>
      </c>
      <c r="U42">
        <f ca="1">IFERROR(IF(0=LEN(ReferenceData!$U$42),"",ReferenceData!$U$42),"")</f>
        <v>0.47</v>
      </c>
      <c r="V42" t="str">
        <f ca="1">IFERROR(IF(0=LEN(ReferenceData!$V$42),"",ReferenceData!$V$42),"")</f>
        <v/>
      </c>
      <c r="W42" t="str">
        <f ca="1">IFERROR(IF(0=LEN(ReferenceData!$W$42),"",ReferenceData!$W$42),"")</f>
        <v/>
      </c>
      <c r="X42">
        <f ca="1">IFERROR(IF(0=LEN(ReferenceData!$X$42),"",ReferenceData!$X$42),"")</f>
        <v>0.45843400000000001</v>
      </c>
      <c r="Y42" t="str">
        <f ca="1">IFERROR(IF(0=LEN(ReferenceData!$Y$42),"",ReferenceData!$Y$42),"")</f>
        <v/>
      </c>
      <c r="Z42" t="str">
        <f ca="1">IFERROR(IF(0=LEN(ReferenceData!$Z$42),"",ReferenceData!$Z$42),"")</f>
        <v/>
      </c>
      <c r="AA42">
        <f ca="1">IFERROR(IF(0=LEN(ReferenceData!$AA$42),"",ReferenceData!$AA$42),"")</f>
        <v>0.44</v>
      </c>
      <c r="AB42" t="str">
        <f ca="1">IFERROR(IF(0=LEN(ReferenceData!$AB$42),"",ReferenceData!$AB$42),"")</f>
        <v/>
      </c>
      <c r="AC42" t="str">
        <f ca="1">IFERROR(IF(0=LEN(ReferenceData!$AC$42),"",ReferenceData!$AC$42),"")</f>
        <v/>
      </c>
      <c r="AD42">
        <f ca="1">IFERROR(IF(0=LEN(ReferenceData!$AD$42),"",ReferenceData!$AD$42),"")</f>
        <v>0.43</v>
      </c>
      <c r="AE42" t="str">
        <f ca="1">IFERROR(IF(0=LEN(ReferenceData!$AE$42),"",ReferenceData!$AE$42),"")</f>
        <v/>
      </c>
      <c r="AF42" t="str">
        <f ca="1">IFERROR(IF(0=LEN(ReferenceData!$AF$42),"",ReferenceData!$AF$42),"")</f>
        <v/>
      </c>
      <c r="AG42">
        <f ca="1">IFERROR(IF(0=LEN(ReferenceData!$AG$42),"",ReferenceData!$AG$42),"")</f>
        <v>0.41</v>
      </c>
      <c r="AH42" t="str">
        <f ca="1">IFERROR(IF(0=LEN(ReferenceData!$AH$42),"",ReferenceData!$AH$42),"")</f>
        <v/>
      </c>
      <c r="AI42" t="str">
        <f ca="1">IFERROR(IF(0=LEN(ReferenceData!$AI$42),"",ReferenceData!$AI$42),"")</f>
        <v/>
      </c>
      <c r="AJ42">
        <f ca="1">IFERROR(IF(0=LEN(ReferenceData!$AJ$42),"",ReferenceData!$AJ$42),"")</f>
        <v>0.42</v>
      </c>
      <c r="AK42" t="str">
        <f ca="1">IFERROR(IF(0=LEN(ReferenceData!$AK$42),"",ReferenceData!$AK$42),"")</f>
        <v/>
      </c>
      <c r="AL42" t="str">
        <f ca="1">IFERROR(IF(0=LEN(ReferenceData!$AL$42),"",ReferenceData!$AL$42),"")</f>
        <v/>
      </c>
      <c r="AM42">
        <f ca="1">IFERROR(IF(0=LEN(ReferenceData!$AM$42),"",ReferenceData!$AM$42),"")</f>
        <v>0.40733799999999998</v>
      </c>
      <c r="AN42" t="str">
        <f ca="1">IFERROR(IF(0=LEN(ReferenceData!$AN$42),"",ReferenceData!$AN$42),"")</f>
        <v/>
      </c>
      <c r="AO42" t="str">
        <f ca="1">IFERROR(IF(0=LEN(ReferenceData!$AO$42),"",ReferenceData!$AO$42),"")</f>
        <v/>
      </c>
      <c r="AP42">
        <f ca="1">IFERROR(IF(0=LEN(ReferenceData!$AP$42),"",ReferenceData!$AP$42),"")</f>
        <v>0.43</v>
      </c>
      <c r="AQ42" t="str">
        <f ca="1">IFERROR(IF(0=LEN(ReferenceData!$AQ$42),"",ReferenceData!$AQ$42),"")</f>
        <v/>
      </c>
      <c r="AR42" t="str">
        <f ca="1">IFERROR(IF(0=LEN(ReferenceData!$AR$42),"",ReferenceData!$AR$42),"")</f>
        <v/>
      </c>
      <c r="AS42">
        <f ca="1">IFERROR(IF(0=LEN(ReferenceData!$AS$42),"",ReferenceData!$AS$42),"")</f>
        <v>0.4</v>
      </c>
      <c r="AT42" t="str">
        <f ca="1">IFERROR(IF(0=LEN(ReferenceData!$AT$42),"",ReferenceData!$AT$42),"")</f>
        <v/>
      </c>
      <c r="AU42" t="str">
        <f ca="1">IFERROR(IF(0=LEN(ReferenceData!$AU$42),"",ReferenceData!$AU$42),"")</f>
        <v/>
      </c>
      <c r="AV42" t="str">
        <f ca="1">IFERROR(IF(0=LEN(ReferenceData!$AV$42),"",ReferenceData!$AV$42),"")</f>
        <v/>
      </c>
      <c r="AW42" t="str">
        <f ca="1">IFERROR(IF(0=LEN(ReferenceData!$AW$42),"",ReferenceData!$AW$42),"")</f>
        <v/>
      </c>
      <c r="AX42" t="str">
        <f ca="1">IFERROR(IF(0=LEN(ReferenceData!$AX$42),"",ReferenceData!$AX$42),"")</f>
        <v/>
      </c>
      <c r="AY42" t="str">
        <f ca="1">IFERROR(IF(0=LEN(ReferenceData!$AY$42),"",ReferenceData!$AY$42),"")</f>
        <v/>
      </c>
      <c r="AZ42" t="str">
        <f ca="1">IFERROR(IF(0=LEN(ReferenceData!$AZ$42),"",ReferenceData!$AZ$42),"")</f>
        <v/>
      </c>
      <c r="BA42" t="str">
        <f ca="1">IFERROR(IF(0=LEN(ReferenceData!$BA$42),"",ReferenceData!$BA$42),"")</f>
        <v/>
      </c>
      <c r="BB42">
        <f ca="1">IFERROR(IF(0=LEN(ReferenceData!$BB$42),"",ReferenceData!$BB$42),"")</f>
        <v>0.36</v>
      </c>
      <c r="BC42" t="str">
        <f ca="1">IFERROR(IF(0=LEN(ReferenceData!$BC$42),"",ReferenceData!$BC$42),"")</f>
        <v/>
      </c>
      <c r="BD42" t="str">
        <f ca="1">IFERROR(IF(0=LEN(ReferenceData!$BD$42),"",ReferenceData!$BD$42),"")</f>
        <v/>
      </c>
      <c r="BE42" t="str">
        <f ca="1">IFERROR(IF(0=LEN(ReferenceData!$BE$42),"",ReferenceData!$BE$42),"")</f>
        <v/>
      </c>
      <c r="BF42" t="str">
        <f ca="1">IFERROR(IF(0=LEN(ReferenceData!$BF$42),"",ReferenceData!$BF$42),"")</f>
        <v/>
      </c>
      <c r="BG42" t="str">
        <f ca="1">IFERROR(IF(0=LEN(ReferenceData!$BG$42),"",ReferenceData!$BG$42),"")</f>
        <v/>
      </c>
      <c r="BH42">
        <f ca="1">IFERROR(IF(0=LEN(ReferenceData!$BH$42),"",ReferenceData!$BH$42),"")</f>
        <v>0.37</v>
      </c>
      <c r="BI42" t="str">
        <f ca="1">IFERROR(IF(0=LEN(ReferenceData!$BI$42),"",ReferenceData!$BI$42),"")</f>
        <v/>
      </c>
      <c r="BJ42" t="str">
        <f ca="1">IFERROR(IF(0=LEN(ReferenceData!$BJ$42),"",ReferenceData!$BJ$42),"")</f>
        <v/>
      </c>
      <c r="BK42">
        <f ca="1">IFERROR(IF(0=LEN(ReferenceData!$BK$42),"",ReferenceData!$BK$42),"")</f>
        <v>0.37</v>
      </c>
      <c r="BL42" t="str">
        <f ca="1">IFERROR(IF(0=LEN(ReferenceData!$BL$42),"",ReferenceData!$BL$42),"")</f>
        <v/>
      </c>
      <c r="BM42" t="str">
        <f ca="1">IFERROR(IF(0=LEN(ReferenceData!$BM$42),"",ReferenceData!$BM$42),"")</f>
        <v/>
      </c>
      <c r="BN42">
        <f ca="1">IFERROR(IF(0=LEN(ReferenceData!$BN$42),"",ReferenceData!$BN$42),"")</f>
        <v>0.35</v>
      </c>
      <c r="BO42" t="str">
        <f ca="1">IFERROR(IF(0=LEN(ReferenceData!$BO$42),"",ReferenceData!$BO$42),"")</f>
        <v/>
      </c>
      <c r="BP42" t="str">
        <f ca="1">IFERROR(IF(0=LEN(ReferenceData!$BP$42),"",ReferenceData!$BP$42),"")</f>
        <v/>
      </c>
      <c r="BQ42">
        <f ca="1">IFERROR(IF(0=LEN(ReferenceData!$BQ$42),"",ReferenceData!$BQ$42),"")</f>
        <v>0.31</v>
      </c>
      <c r="BR42" t="str">
        <f ca="1">IFERROR(IF(0=LEN(ReferenceData!$BR$42),"",ReferenceData!$BR$42),"")</f>
        <v/>
      </c>
      <c r="BS42" t="str">
        <f ca="1">IFERROR(IF(0=LEN(ReferenceData!$BS$42),"",ReferenceData!$BS$42),"")</f>
        <v/>
      </c>
      <c r="BT42">
        <f ca="1">IFERROR(IF(0=LEN(ReferenceData!$BT$42),"",ReferenceData!$BT$42),"")</f>
        <v>0.33</v>
      </c>
      <c r="BU42" t="str">
        <f ca="1">IFERROR(IF(0=LEN(ReferenceData!$BU$42),"",ReferenceData!$BU$42),"")</f>
        <v/>
      </c>
      <c r="BV42" t="str">
        <f ca="1">IFERROR(IF(0=LEN(ReferenceData!$BV$42),"",ReferenceData!$BV$42),"")</f>
        <v/>
      </c>
      <c r="BW42">
        <f ca="1">IFERROR(IF(0=LEN(ReferenceData!$BW$42),"",ReferenceData!$BW$42),"")</f>
        <v>0.33</v>
      </c>
      <c r="BX42" t="str">
        <f ca="1">IFERROR(IF(0=LEN(ReferenceData!$BX$42),"",ReferenceData!$BX$42),"")</f>
        <v/>
      </c>
      <c r="BY42" t="str">
        <f ca="1">IFERROR(IF(0=LEN(ReferenceData!$BY$42),"",ReferenceData!$BY$42),"")</f>
        <v/>
      </c>
      <c r="BZ42">
        <f ca="1">IFERROR(IF(0=LEN(ReferenceData!$BZ$42),"",ReferenceData!$BZ$42),"")</f>
        <v>0.35</v>
      </c>
      <c r="CA42" t="str">
        <f ca="1">IFERROR(IF(0=LEN(ReferenceData!$CA$42),"",ReferenceData!$CA$42),"")</f>
        <v/>
      </c>
      <c r="CB42" t="str">
        <f ca="1">IFERROR(IF(0=LEN(ReferenceData!$CB$42),"",ReferenceData!$CB$42),"")</f>
        <v/>
      </c>
      <c r="CC42">
        <f ca="1">IFERROR(IF(0=LEN(ReferenceData!$CC$42),"",ReferenceData!$CC$42),"")</f>
        <v>0.35</v>
      </c>
      <c r="CD42" t="str">
        <f ca="1">IFERROR(IF(0=LEN(ReferenceData!$CD$42),"",ReferenceData!$CD$42),"")</f>
        <v/>
      </c>
      <c r="CE42" t="str">
        <f ca="1">IFERROR(IF(0=LEN(ReferenceData!$CE$42),"",ReferenceData!$CE$42),"")</f>
        <v/>
      </c>
      <c r="CF42">
        <f ca="1">IFERROR(IF(0=LEN(ReferenceData!$CF$42),"",ReferenceData!$CF$42),"")</f>
        <v>0.32</v>
      </c>
      <c r="CG42" t="str">
        <f ca="1">IFERROR(IF(0=LEN(ReferenceData!$CG$42),"",ReferenceData!$CG$42),"")</f>
        <v/>
      </c>
      <c r="CH42" t="str">
        <f ca="1">IFERROR(IF(0=LEN(ReferenceData!$CH$42),"",ReferenceData!$CH$42),"")</f>
        <v/>
      </c>
      <c r="CI42">
        <f ca="1">IFERROR(IF(0=LEN(ReferenceData!$CI$42),"",ReferenceData!$CI$42),"")</f>
        <v>0.31</v>
      </c>
      <c r="CJ42" t="str">
        <f ca="1">IFERROR(IF(0=LEN(ReferenceData!$CJ$42),"",ReferenceData!$CJ$42),"")</f>
        <v/>
      </c>
      <c r="CK42" t="str">
        <f ca="1">IFERROR(IF(0=LEN(ReferenceData!$CK$42),"",ReferenceData!$CK$42),"")</f>
        <v/>
      </c>
    </row>
    <row r="43" spans="1:89">
      <c r="A43" t="str">
        <f>IFERROR(IF(0=LEN(ReferenceData!$A$43),"",ReferenceData!$A$43),"")</f>
        <v>未来12个月每股营运现金流</v>
      </c>
      <c r="B43" t="str">
        <f>IFERROR(IF(0=LEN(ReferenceData!$B$43),"",ReferenceData!$B$43),"")</f>
        <v>BRFREITV Index</v>
      </c>
      <c r="C43" t="str">
        <f>IFERROR(IF(0=LEN(ReferenceData!$C$43),"",ReferenceData!$C$43),"")</f>
        <v/>
      </c>
      <c r="D43" t="str">
        <f>IFERROR(IF(0=LEN(ReferenceData!$D$43),"",ReferenceData!$D$43),"")</f>
        <v/>
      </c>
      <c r="E43" t="str">
        <f>IFERROR(IF(0=LEN(ReferenceData!$E$43),"",ReferenceData!$E$43),"")</f>
        <v>Sum</v>
      </c>
      <c r="F43">
        <f ca="1">IFERROR(IF(0=LEN(ReferenceData!$F$43),"",ReferenceData!$F$43),"")</f>
        <v>40.329107694999998</v>
      </c>
      <c r="G43">
        <f ca="1">IFERROR(IF(0=LEN(ReferenceData!$G$43),"",ReferenceData!$G$43),"")</f>
        <v>40.236168587000002</v>
      </c>
      <c r="H43">
        <f ca="1">IFERROR(IF(0=LEN(ReferenceData!$H$43),"",ReferenceData!$H$43),"")</f>
        <v>40.388773942999997</v>
      </c>
      <c r="I43">
        <f ca="1">IFERROR(IF(0=LEN(ReferenceData!$I$43),"",ReferenceData!$I$43),"")</f>
        <v>40.31</v>
      </c>
      <c r="J43">
        <f ca="1">IFERROR(IF(0=LEN(ReferenceData!$J$43),"",ReferenceData!$J$43),"")</f>
        <v>40.201540227999999</v>
      </c>
      <c r="K43">
        <f ca="1">IFERROR(IF(0=LEN(ReferenceData!$K$43),"",ReferenceData!$K$43),"")</f>
        <v>40.059386971999999</v>
      </c>
      <c r="L43">
        <f ca="1">IFERROR(IF(0=LEN(ReferenceData!$L$43),"",ReferenceData!$L$43),"")</f>
        <v>39.957500000000003</v>
      </c>
      <c r="M43">
        <f ca="1">IFERROR(IF(0=LEN(ReferenceData!$M$43),"",ReferenceData!$M$43),"")</f>
        <v>39.782137933000001</v>
      </c>
      <c r="N43">
        <f ca="1">IFERROR(IF(0=LEN(ReferenceData!$N$43),"",ReferenceData!$N$43),"")</f>
        <v>39.651026818000005</v>
      </c>
      <c r="O43">
        <f ca="1">IFERROR(IF(0=LEN(ReferenceData!$O$43),"",ReferenceData!$O$43),"")</f>
        <v>39.4375</v>
      </c>
      <c r="P43">
        <f ca="1">IFERROR(IF(0=LEN(ReferenceData!$P$43),"",ReferenceData!$P$43),"")</f>
        <v>39.234122609000003</v>
      </c>
      <c r="Q43">
        <f ca="1">IFERROR(IF(0=LEN(ReferenceData!$Q$43),"",ReferenceData!$Q$43),"")</f>
        <v>38.942038461999999</v>
      </c>
      <c r="R43">
        <f ca="1">IFERROR(IF(0=LEN(ReferenceData!$R$43),"",ReferenceData!$R$43),"")</f>
        <v>38.790999999999997</v>
      </c>
      <c r="S43">
        <f ca="1">IFERROR(IF(0=LEN(ReferenceData!$S$43),"",ReferenceData!$S$43),"")</f>
        <v>38.624789268000001</v>
      </c>
      <c r="T43">
        <f ca="1">IFERROR(IF(0=LEN(ReferenceData!$T$43),"",ReferenceData!$T$43),"")</f>
        <v>38.723509579999991</v>
      </c>
      <c r="U43">
        <f ca="1">IFERROR(IF(0=LEN(ReferenceData!$U$43),"",ReferenceData!$U$43),"")</f>
        <v>38.536000000000001</v>
      </c>
      <c r="V43">
        <f ca="1">IFERROR(IF(0=LEN(ReferenceData!$V$43),"",ReferenceData!$V$43),"")</f>
        <v>38.645275865999999</v>
      </c>
      <c r="W43">
        <f ca="1">IFERROR(IF(0=LEN(ReferenceData!$W$43),"",ReferenceData!$W$43),"")</f>
        <v>38.480842914999997</v>
      </c>
      <c r="X43">
        <f ca="1">IFERROR(IF(0=LEN(ReferenceData!$X$43),"",ReferenceData!$X$43),"")</f>
        <v>38.453499999999998</v>
      </c>
      <c r="Y43">
        <f ca="1">IFERROR(IF(0=LEN(ReferenceData!$Y$43),"",ReferenceData!$Y$43),"")</f>
        <v>38.273333330999996</v>
      </c>
      <c r="Z43">
        <f ca="1">IFERROR(IF(0=LEN(ReferenceData!$Z$43),"",ReferenceData!$Z$43),"")</f>
        <v>38.225307690000001</v>
      </c>
      <c r="AA43">
        <f ca="1">IFERROR(IF(0=LEN(ReferenceData!$AA$43),"",ReferenceData!$AA$43),"")</f>
        <v>38.092586202999996</v>
      </c>
      <c r="AB43">
        <f ca="1">IFERROR(IF(0=LEN(ReferenceData!$AB$43),"",ReferenceData!$AB$43),"")</f>
        <v>37.940827583000001</v>
      </c>
      <c r="AC43">
        <f ca="1">IFERROR(IF(0=LEN(ReferenceData!$AC$43),"",ReferenceData!$AC$43),"")</f>
        <v>38.037192311000005</v>
      </c>
      <c r="AD43">
        <f ca="1">IFERROR(IF(0=LEN(ReferenceData!$AD$43),"",ReferenceData!$AD$43),"")</f>
        <v>37.989486585999998</v>
      </c>
      <c r="AE43">
        <f ca="1">IFERROR(IF(0=LEN(ReferenceData!$AE$43),"",ReferenceData!$AE$43),"")</f>
        <v>37.824701149999996</v>
      </c>
      <c r="AF43">
        <f ca="1">IFERROR(IF(0=LEN(ReferenceData!$AF$43),"",ReferenceData!$AF$43),"")</f>
        <v>37.571076926000003</v>
      </c>
      <c r="AG43">
        <f ca="1">IFERROR(IF(0=LEN(ReferenceData!$AG$43),"",ReferenceData!$AG$43),"")</f>
        <v>37.375</v>
      </c>
      <c r="AH43">
        <f ca="1">IFERROR(IF(0=LEN(ReferenceData!$AH$43),"",ReferenceData!$AH$43),"")</f>
        <v>37.223767179999996</v>
      </c>
      <c r="AI43">
        <f ca="1">IFERROR(IF(0=LEN(ReferenceData!$AI$43),"",ReferenceData!$AI$43),"")</f>
        <v>36.928661542999997</v>
      </c>
      <c r="AJ43">
        <f ca="1">IFERROR(IF(0=LEN(ReferenceData!$AJ$43),"",ReferenceData!$AJ$43),"")</f>
        <v>36.718488545000007</v>
      </c>
      <c r="AK43">
        <f ca="1">IFERROR(IF(0=LEN(ReferenceData!$AK$43),"",ReferenceData!$AK$43),"")</f>
        <v>36.399977102999998</v>
      </c>
      <c r="AL43">
        <f ca="1">IFERROR(IF(0=LEN(ReferenceData!$AL$43),"",ReferenceData!$AL$43),"")</f>
        <v>35.863800002000005</v>
      </c>
      <c r="AM43">
        <f ca="1">IFERROR(IF(0=LEN(ReferenceData!$AM$43),"",ReferenceData!$AM$43),"")</f>
        <v>35.386427476999998</v>
      </c>
      <c r="AN43">
        <f ca="1">IFERROR(IF(0=LEN(ReferenceData!$AN$43),"",ReferenceData!$AN$43),"")</f>
        <v>35.118523076999999</v>
      </c>
      <c r="AO43">
        <f ca="1">IFERROR(IF(0=LEN(ReferenceData!$AO$43),"",ReferenceData!$AO$43),"")</f>
        <v>34.801812260999995</v>
      </c>
      <c r="AP43">
        <f ca="1">IFERROR(IF(0=LEN(ReferenceData!$AP$43),"",ReferenceData!$AP$43),"")</f>
        <v>34.520912215000003</v>
      </c>
      <c r="AQ43">
        <f ca="1">IFERROR(IF(0=LEN(ReferenceData!$AQ$43),"",ReferenceData!$AQ$43),"")</f>
        <v>34.289649998999998</v>
      </c>
      <c r="AR43">
        <f ca="1">IFERROR(IF(0=LEN(ReferenceData!$AR$43),"",ReferenceData!$AR$43),"")</f>
        <v>34.067411537999995</v>
      </c>
      <c r="AS43">
        <f ca="1">IFERROR(IF(0=LEN(ReferenceData!$AS$43),"",ReferenceData!$AS$43),"")</f>
        <v>33.911000000000001</v>
      </c>
      <c r="AT43">
        <f ca="1">IFERROR(IF(0=LEN(ReferenceData!$AT$43),"",ReferenceData!$AT$43),"")</f>
        <v>33.737000000999998</v>
      </c>
      <c r="AU43">
        <f ca="1">IFERROR(IF(0=LEN(ReferenceData!$AU$43),"",ReferenceData!$AU$43),"")</f>
        <v>33.333965384999999</v>
      </c>
      <c r="AV43">
        <f ca="1">IFERROR(IF(0=LEN(ReferenceData!$AV$43),"",ReferenceData!$AV$43),"")</f>
        <v>32.934689653999996</v>
      </c>
      <c r="AW43">
        <f ca="1">IFERROR(IF(0=LEN(ReferenceData!$AW$43),"",ReferenceData!$AW$43),"")</f>
        <v>32.795107693999995</v>
      </c>
      <c r="AX43">
        <f ca="1">IFERROR(IF(0=LEN(ReferenceData!$AX$43),"",ReferenceData!$AX$43),"")</f>
        <v>32.422448276000004</v>
      </c>
      <c r="AY43">
        <f ca="1">IFERROR(IF(0=LEN(ReferenceData!$AY$43),"",ReferenceData!$AY$43),"")</f>
        <v>32.079137931000005</v>
      </c>
      <c r="AZ43">
        <f ca="1">IFERROR(IF(0=LEN(ReferenceData!$AZ$43),"",ReferenceData!$AZ$43),"")</f>
        <v>31.771507691</v>
      </c>
      <c r="BA43">
        <f ca="1">IFERROR(IF(0=LEN(ReferenceData!$BA$43),"",ReferenceData!$BA$43),"")</f>
        <v>31.730490421999999</v>
      </c>
      <c r="BB43">
        <f ca="1">IFERROR(IF(0=LEN(ReferenceData!$BB$43),"",ReferenceData!$BB$43),"")</f>
        <v>31.560394636000002</v>
      </c>
      <c r="BC43">
        <f ca="1">IFERROR(IF(0=LEN(ReferenceData!$BC$43),"",ReferenceData!$BC$43),"")</f>
        <v>31.366461537999999</v>
      </c>
      <c r="BD43">
        <f ca="1">IFERROR(IF(0=LEN(ReferenceData!$BD$43),"",ReferenceData!$BD$43),"")</f>
        <v>31.418099999999999</v>
      </c>
      <c r="BE43">
        <f ca="1">IFERROR(IF(0=LEN(ReferenceData!$BE$43),"",ReferenceData!$BE$43),"")</f>
        <v>31.272000000000002</v>
      </c>
      <c r="BF43">
        <f ca="1">IFERROR(IF(0=LEN(ReferenceData!$BF$43),"",ReferenceData!$BF$43),"")</f>
        <v>31.023907692000002</v>
      </c>
      <c r="BG43">
        <f ca="1">IFERROR(IF(0=LEN(ReferenceData!$BG$43),"",ReferenceData!$BG$43),"")</f>
        <v>30.855789272999999</v>
      </c>
      <c r="BH43">
        <f ca="1">IFERROR(IF(0=LEN(ReferenceData!$BH$43),"",ReferenceData!$BH$43),"")</f>
        <v>30.644551723999999</v>
      </c>
      <c r="BI43">
        <f ca="1">IFERROR(IF(0=LEN(ReferenceData!$BI$43),"",ReferenceData!$BI$43),"")</f>
        <v>30.469919229999999</v>
      </c>
      <c r="BJ43">
        <f ca="1">IFERROR(IF(0=LEN(ReferenceData!$BJ$43),"",ReferenceData!$BJ$43),"")</f>
        <v>30.22381609</v>
      </c>
      <c r="BK43">
        <f ca="1">IFERROR(IF(0=LEN(ReferenceData!$BK$43),"",ReferenceData!$BK$43),"")</f>
        <v>29.852338461999999</v>
      </c>
      <c r="BL43">
        <f ca="1">IFERROR(IF(0=LEN(ReferenceData!$BL$43),"",ReferenceData!$BL$43),"")</f>
        <v>29.437984615999998</v>
      </c>
      <c r="BM43">
        <f ca="1">IFERROR(IF(0=LEN(ReferenceData!$BM$43),"",ReferenceData!$BM$43),"")</f>
        <v>28.520954021999998</v>
      </c>
      <c r="BN43">
        <f ca="1">IFERROR(IF(0=LEN(ReferenceData!$BN$43),"",ReferenceData!$BN$43),"")</f>
        <v>28.196515384000001</v>
      </c>
      <c r="BO43">
        <f ca="1">IFERROR(IF(0=LEN(ReferenceData!$BO$43),"",ReferenceData!$BO$43),"")</f>
        <v>28.049762453000003</v>
      </c>
      <c r="BP43">
        <f ca="1">IFERROR(IF(0=LEN(ReferenceData!$BP$43),"",ReferenceData!$BP$43),"")</f>
        <v>28.804988504999997</v>
      </c>
      <c r="BQ43">
        <f ca="1">IFERROR(IF(0=LEN(ReferenceData!$BQ$43),"",ReferenceData!$BQ$43),"")</f>
        <v>28.952999999999996</v>
      </c>
      <c r="BR43">
        <f ca="1">IFERROR(IF(0=LEN(ReferenceData!$BR$43),"",ReferenceData!$BR$43),"")</f>
        <v>28.713611537999999</v>
      </c>
      <c r="BS43">
        <f ca="1">IFERROR(IF(0=LEN(ReferenceData!$BS$43),"",ReferenceData!$BS$43),"")</f>
        <v>28.384352490000001</v>
      </c>
      <c r="BT43">
        <f ca="1">IFERROR(IF(0=LEN(ReferenceData!$BT$43),"",ReferenceData!$BT$43),"")</f>
        <v>28.137453846</v>
      </c>
      <c r="BU43">
        <f ca="1">IFERROR(IF(0=LEN(ReferenceData!$BU$43),"",ReferenceData!$BU$43),"")</f>
        <v>27.931361539000001</v>
      </c>
      <c r="BV43">
        <f ca="1">IFERROR(IF(0=LEN(ReferenceData!$BV$43),"",ReferenceData!$BV$43),"")</f>
        <v>27.561452107000001</v>
      </c>
      <c r="BW43">
        <f ca="1">IFERROR(IF(0=LEN(ReferenceData!$BW$43),"",ReferenceData!$BW$43),"")</f>
        <v>27.297388461000001</v>
      </c>
      <c r="BX43">
        <f ca="1">IFERROR(IF(0=LEN(ReferenceData!$BX$43),"",ReferenceData!$BX$43),"")</f>
        <v>27.103681992999999</v>
      </c>
      <c r="BY43">
        <f ca="1">IFERROR(IF(0=LEN(ReferenceData!$BY$43),"",ReferenceData!$BY$43),"")</f>
        <v>26.841624520000003</v>
      </c>
      <c r="BZ43">
        <f ca="1">IFERROR(IF(0=LEN(ReferenceData!$BZ$43),"",ReferenceData!$BZ$43),"")</f>
        <v>26.518569232000004</v>
      </c>
      <c r="CA43">
        <f ca="1">IFERROR(IF(0=LEN(ReferenceData!$CA$43),"",ReferenceData!$CA$43),"")</f>
        <v>26.268291187999999</v>
      </c>
      <c r="CB43">
        <f ca="1">IFERROR(IF(0=LEN(ReferenceData!$CB$43),"",ReferenceData!$CB$43),"")</f>
        <v>26.000690840000001</v>
      </c>
      <c r="CC43">
        <f ca="1">IFERROR(IF(0=LEN(ReferenceData!$CC$43),"",ReferenceData!$CC$43),"")</f>
        <v>25.634000000000004</v>
      </c>
      <c r="CD43">
        <f ca="1">IFERROR(IF(0=LEN(ReferenceData!$CD$43),"",ReferenceData!$CD$43),"")</f>
        <v>25.355038168</v>
      </c>
      <c r="CE43">
        <f ca="1">IFERROR(IF(0=LEN(ReferenceData!$CE$43),"",ReferenceData!$CE$43),"")</f>
        <v>25.130282442999999</v>
      </c>
      <c r="CF43">
        <f ca="1">IFERROR(IF(0=LEN(ReferenceData!$CF$43),"",ReferenceData!$CF$43),"")</f>
        <v>24.883999999999997</v>
      </c>
      <c r="CG43">
        <f ca="1">IFERROR(IF(0=LEN(ReferenceData!$CG$43),"",ReferenceData!$CG$43),"")</f>
        <v>24.604706108000002</v>
      </c>
      <c r="CH43">
        <f ca="1">IFERROR(IF(0=LEN(ReferenceData!$CH$43),"",ReferenceData!$CH$43),"")</f>
        <v>24.098500000000001</v>
      </c>
      <c r="CI43">
        <f ca="1">IFERROR(IF(0=LEN(ReferenceData!$CI$43),"",ReferenceData!$CI$43),"")</f>
        <v>23.868187738999996</v>
      </c>
      <c r="CJ43">
        <f ca="1">IFERROR(IF(0=LEN(ReferenceData!$CJ$43),"",ReferenceData!$CJ$43),"")</f>
        <v>23.704637404000003</v>
      </c>
      <c r="CK43">
        <f ca="1">IFERROR(IF(0=LEN(ReferenceData!$CK$43),"",ReferenceData!$CK$43),"")</f>
        <v>23.202480769999998</v>
      </c>
    </row>
    <row r="44" spans="1:89">
      <c r="A44" t="str">
        <f>IFERROR(IF(0=LEN(ReferenceData!$A$44),"",ReferenceData!$A$44),"")</f>
        <v xml:space="preserve">    公寓投资与管理</v>
      </c>
      <c r="B44" t="str">
        <f>IFERROR(IF(0=LEN(ReferenceData!$B$44),"",ReferenceData!$B$44),"")</f>
        <v>AIV US Equity</v>
      </c>
      <c r="C44" t="str">
        <f>IFERROR(IF(0=LEN(ReferenceData!$C$44),"",ReferenceData!$C$44),"")</f>
        <v>BE038</v>
      </c>
      <c r="D44" t="str">
        <f>IFERROR(IF(0=LEN(ReferenceData!$D$44),"",ReferenceData!$D$44),"")</f>
        <v>BEST_FFOPS</v>
      </c>
      <c r="E44" t="str">
        <f>IFERROR(IF(0=LEN(ReferenceData!$E$44),"",ReferenceData!$E$44),"")</f>
        <v>动态</v>
      </c>
      <c r="F44">
        <f ca="1">IFERROR(IF(0=LEN(ReferenceData!$F$44),"",ReferenceData!$F$44),"")</f>
        <v>2.5163538459999999</v>
      </c>
      <c r="G44">
        <f ca="1">IFERROR(IF(0=LEN(ReferenceData!$G$44),"",ReferenceData!$G$44),"")</f>
        <v>2.5231341</v>
      </c>
      <c r="H44">
        <f ca="1">IFERROR(IF(0=LEN(ReferenceData!$H$44),"",ReferenceData!$H$44),"")</f>
        <v>2.5518084289999998</v>
      </c>
      <c r="I44">
        <f ca="1">IFERROR(IF(0=LEN(ReferenceData!$I$44),"",ReferenceData!$I$44),"")</f>
        <v>2.5419999999999998</v>
      </c>
      <c r="J44">
        <f ca="1">IFERROR(IF(0=LEN(ReferenceData!$J$44),"",ReferenceData!$J$44),"")</f>
        <v>2.5375517240000001</v>
      </c>
      <c r="K44">
        <f ca="1">IFERROR(IF(0=LEN(ReferenceData!$K$44),"",ReferenceData!$K$44),"")</f>
        <v>2.532383142</v>
      </c>
      <c r="L44">
        <f ca="1">IFERROR(IF(0=LEN(ReferenceData!$L$44),"",ReferenceData!$L$44),"")</f>
        <v>2.5212500000000002</v>
      </c>
      <c r="M44">
        <f ca="1">IFERROR(IF(0=LEN(ReferenceData!$M$44),"",ReferenceData!$M$44),"")</f>
        <v>2.515084291</v>
      </c>
      <c r="N44">
        <f ca="1">IFERROR(IF(0=LEN(ReferenceData!$N$44),"",ReferenceData!$N$44),"")</f>
        <v>2.501226054</v>
      </c>
      <c r="O44">
        <f ca="1">IFERROR(IF(0=LEN(ReferenceData!$O$44),"",ReferenceData!$O$44),"")</f>
        <v>2.4944999999999999</v>
      </c>
      <c r="P44">
        <f ca="1">IFERROR(IF(0=LEN(ReferenceData!$P$44),"",ReferenceData!$P$44),"")</f>
        <v>2.485785441</v>
      </c>
      <c r="Q44">
        <f ca="1">IFERROR(IF(0=LEN(ReferenceData!$Q$44),"",ReferenceData!$Q$44),"")</f>
        <v>2.491884615</v>
      </c>
      <c r="R44">
        <f ca="1">IFERROR(IF(0=LEN(ReferenceData!$R$44),"",ReferenceData!$R$44),"")</f>
        <v>2.4794999999999998</v>
      </c>
      <c r="S44">
        <f ca="1">IFERROR(IF(0=LEN(ReferenceData!$S$44),"",ReferenceData!$S$44),"")</f>
        <v>2.467923372</v>
      </c>
      <c r="T44">
        <f ca="1">IFERROR(IF(0=LEN(ReferenceData!$T$44),"",ReferenceData!$T$44),"")</f>
        <v>2.4628084289999999</v>
      </c>
      <c r="U44">
        <f ca="1">IFERROR(IF(0=LEN(ReferenceData!$U$44),"",ReferenceData!$U$44),"")</f>
        <v>2.4510000000000001</v>
      </c>
      <c r="V44">
        <f ca="1">IFERROR(IF(0=LEN(ReferenceData!$V$44),"",ReferenceData!$V$44),"")</f>
        <v>2.442777778</v>
      </c>
      <c r="W44">
        <f ca="1">IFERROR(IF(0=LEN(ReferenceData!$W$44),"",ReferenceData!$W$44),"")</f>
        <v>2.447363985</v>
      </c>
      <c r="X44">
        <f ca="1">IFERROR(IF(0=LEN(ReferenceData!$X$44),"",ReferenceData!$X$44),"")</f>
        <v>2.4507500000000002</v>
      </c>
      <c r="Y44">
        <f ca="1">IFERROR(IF(0=LEN(ReferenceData!$Y$44),"",ReferenceData!$Y$44),"")</f>
        <v>2.4359999999999999</v>
      </c>
      <c r="Z44">
        <f ca="1">IFERROR(IF(0=LEN(ReferenceData!$Z$44),"",ReferenceData!$Z$44),"")</f>
        <v>2.4098076919999998</v>
      </c>
      <c r="AA44">
        <f ca="1">IFERROR(IF(0=LEN(ReferenceData!$AA$44),"",ReferenceData!$AA$44),"")</f>
        <v>2.3866934870000001</v>
      </c>
      <c r="AB44">
        <f ca="1">IFERROR(IF(0=LEN(ReferenceData!$AB$44),"",ReferenceData!$AB$44),"")</f>
        <v>2.3799310340000002</v>
      </c>
      <c r="AC44">
        <f ca="1">IFERROR(IF(0=LEN(ReferenceData!$AC$44),"",ReferenceData!$AC$44),"")</f>
        <v>2.346961538</v>
      </c>
      <c r="AD44">
        <f ca="1">IFERROR(IF(0=LEN(ReferenceData!$AD$44),"",ReferenceData!$AD$44),"")</f>
        <v>2.340835249</v>
      </c>
      <c r="AE44">
        <f ca="1">IFERROR(IF(0=LEN(ReferenceData!$AE$44),"",ReferenceData!$AE$44),"")</f>
        <v>2.3559080460000001</v>
      </c>
      <c r="AF44">
        <f ca="1">IFERROR(IF(0=LEN(ReferenceData!$AF$44),"",ReferenceData!$AF$44),"")</f>
        <v>2.3956153850000002</v>
      </c>
      <c r="AG44">
        <f ca="1">IFERROR(IF(0=LEN(ReferenceData!$AG$44),"",ReferenceData!$AG$44),"")</f>
        <v>2.3849999999999998</v>
      </c>
      <c r="AH44">
        <f ca="1">IFERROR(IF(0=LEN(ReferenceData!$AH$44),"",ReferenceData!$AH$44),"")</f>
        <v>2.3708664119999998</v>
      </c>
      <c r="AI44">
        <f ca="1">IFERROR(IF(0=LEN(ReferenceData!$AI$44),"",ReferenceData!$AI$44),"")</f>
        <v>2.3504461540000001</v>
      </c>
      <c r="AJ44">
        <f ca="1">IFERROR(IF(0=LEN(ReferenceData!$AJ$44),"",ReferenceData!$AJ$44),"")</f>
        <v>2.3352137399999999</v>
      </c>
      <c r="AK44">
        <f ca="1">IFERROR(IF(0=LEN(ReferenceData!$AK$44),"",ReferenceData!$AK$44),"")</f>
        <v>2.3202748089999998</v>
      </c>
      <c r="AL44">
        <f ca="1">IFERROR(IF(0=LEN(ReferenceData!$AL$44),"",ReferenceData!$AL$44),"")</f>
        <v>2.2831807689999999</v>
      </c>
      <c r="AM44">
        <f ca="1">IFERROR(IF(0=LEN(ReferenceData!$AM$44),"",ReferenceData!$AM$44),"")</f>
        <v>2.2718702290000001</v>
      </c>
      <c r="AN44">
        <f ca="1">IFERROR(IF(0=LEN(ReferenceData!$AN$44),"",ReferenceData!$AN$44),"")</f>
        <v>2.2492999999999999</v>
      </c>
      <c r="AO44">
        <f ca="1">IFERROR(IF(0=LEN(ReferenceData!$AO$44),"",ReferenceData!$AO$44),"")</f>
        <v>2.232777778</v>
      </c>
      <c r="AP44">
        <f ca="1">IFERROR(IF(0=LEN(ReferenceData!$AP$44),"",ReferenceData!$AP$44),"")</f>
        <v>2.2194465650000001</v>
      </c>
      <c r="AQ44">
        <f ca="1">IFERROR(IF(0=LEN(ReferenceData!$AQ$44),"",ReferenceData!$AQ$44),"")</f>
        <v>2.2040192310000002</v>
      </c>
      <c r="AR44">
        <f ca="1">IFERROR(IF(0=LEN(ReferenceData!$AR$44),"",ReferenceData!$AR$44),"")</f>
        <v>2.1932653850000001</v>
      </c>
      <c r="AS44">
        <f ca="1">IFERROR(IF(0=LEN(ReferenceData!$AS$44),"",ReferenceData!$AS$44),"")</f>
        <v>2.2200000000000002</v>
      </c>
      <c r="AT44">
        <f ca="1">IFERROR(IF(0=LEN(ReferenceData!$AT$44),"",ReferenceData!$AT$44),"")</f>
        <v>2.2126153849999999</v>
      </c>
      <c r="AU44">
        <f ca="1">IFERROR(IF(0=LEN(ReferenceData!$AU$44),"",ReferenceData!$AU$44),"")</f>
        <v>2.1959961539999999</v>
      </c>
      <c r="AV44">
        <f ca="1">IFERROR(IF(0=LEN(ReferenceData!$AV$44),"",ReferenceData!$AV$44),"")</f>
        <v>2.188873563</v>
      </c>
      <c r="AW44">
        <f ca="1">IFERROR(IF(0=LEN(ReferenceData!$AW$44),"",ReferenceData!$AW$44),"")</f>
        <v>2.1756461539999998</v>
      </c>
      <c r="AX44">
        <f ca="1">IFERROR(IF(0=LEN(ReferenceData!$AX$44),"",ReferenceData!$AX$44),"")</f>
        <v>2.150785441</v>
      </c>
      <c r="AY44">
        <f ca="1">IFERROR(IF(0=LEN(ReferenceData!$AY$44),"",ReferenceData!$AY$44),"")</f>
        <v>2.126758621</v>
      </c>
      <c r="AZ44">
        <f ca="1">IFERROR(IF(0=LEN(ReferenceData!$AZ$44),"",ReferenceData!$AZ$44),"")</f>
        <v>2.1159115380000002</v>
      </c>
      <c r="BA44">
        <f ca="1">IFERROR(IF(0=LEN(ReferenceData!$BA$44),"",ReferenceData!$BA$44),"")</f>
        <v>2.1190727969999998</v>
      </c>
      <c r="BB44">
        <f ca="1">IFERROR(IF(0=LEN(ReferenceData!$BB$44),"",ReferenceData!$BB$44),"")</f>
        <v>2.1245555559999998</v>
      </c>
      <c r="BC44">
        <f ca="1">IFERROR(IF(0=LEN(ReferenceData!$BC$44),"",ReferenceData!$BC$44),"")</f>
        <v>2.1302692310000002</v>
      </c>
      <c r="BD44">
        <f ca="1">IFERROR(IF(0=LEN(ReferenceData!$BD$44),"",ReferenceData!$BD$44),"")</f>
        <v>2.198853846</v>
      </c>
      <c r="BE44">
        <f ca="1">IFERROR(IF(0=LEN(ReferenceData!$BE$44),"",ReferenceData!$BE$44),"")</f>
        <v>2.169</v>
      </c>
      <c r="BF44">
        <f ca="1">IFERROR(IF(0=LEN(ReferenceData!$BF$44),"",ReferenceData!$BF$44),"")</f>
        <v>2.1512538459999999</v>
      </c>
      <c r="BG44">
        <f ca="1">IFERROR(IF(0=LEN(ReferenceData!$BG$44),"",ReferenceData!$BG$44),"")</f>
        <v>2.1729808429999999</v>
      </c>
      <c r="BH44">
        <f ca="1">IFERROR(IF(0=LEN(ReferenceData!$BH$44),"",ReferenceData!$BH$44),"")</f>
        <v>2.166275862</v>
      </c>
      <c r="BI44">
        <f ca="1">IFERROR(IF(0=LEN(ReferenceData!$BI$44),"",ReferenceData!$BI$44),"")</f>
        <v>2.1531269229999999</v>
      </c>
      <c r="BJ44">
        <f ca="1">IFERROR(IF(0=LEN(ReferenceData!$BJ$44),"",ReferenceData!$BJ$44),"")</f>
        <v>2.1291685820000001</v>
      </c>
      <c r="BK44">
        <f ca="1">IFERROR(IF(0=LEN(ReferenceData!$BK$44),"",ReferenceData!$BK$44),"")</f>
        <v>2.1186461539999999</v>
      </c>
      <c r="BL44">
        <f ca="1">IFERROR(IF(0=LEN(ReferenceData!$BL$44),"",ReferenceData!$BL$44),"")</f>
        <v>2.1051076919999998</v>
      </c>
      <c r="BM44">
        <f ca="1">IFERROR(IF(0=LEN(ReferenceData!$BM$44),"",ReferenceData!$BM$44),"")</f>
        <v>2.0802873559999999</v>
      </c>
      <c r="BN44">
        <f ca="1">IFERROR(IF(0=LEN(ReferenceData!$BN$44),"",ReferenceData!$BN$44),"")</f>
        <v>2.0655846150000001</v>
      </c>
      <c r="BO44">
        <f ca="1">IFERROR(IF(0=LEN(ReferenceData!$BO$44),"",ReferenceData!$BO$44),"")</f>
        <v>2.0579731799999998</v>
      </c>
      <c r="BP44">
        <f ca="1">IFERROR(IF(0=LEN(ReferenceData!$BP$44),"",ReferenceData!$BP$44),"")</f>
        <v>2.0589770110000001</v>
      </c>
      <c r="BQ44">
        <f ca="1">IFERROR(IF(0=LEN(ReferenceData!$BQ$44),"",ReferenceData!$BQ$44),"")</f>
        <v>2.0209999999999999</v>
      </c>
      <c r="BR44">
        <f ca="1">IFERROR(IF(0=LEN(ReferenceData!$BR$44),"",ReferenceData!$BR$44),"")</f>
        <v>2.0019499999999999</v>
      </c>
      <c r="BS44">
        <f ca="1">IFERROR(IF(0=LEN(ReferenceData!$BS$44),"",ReferenceData!$BS$44),"")</f>
        <v>1.982245211</v>
      </c>
      <c r="BT44">
        <f ca="1">IFERROR(IF(0=LEN(ReferenceData!$BT$44),"",ReferenceData!$BT$44),"")</f>
        <v>1.940130769</v>
      </c>
      <c r="BU44">
        <f ca="1">IFERROR(IF(0=LEN(ReferenceData!$BU$44),"",ReferenceData!$BU$44),"")</f>
        <v>1.925415385</v>
      </c>
      <c r="BV44">
        <f ca="1">IFERROR(IF(0=LEN(ReferenceData!$BV$44),"",ReferenceData!$BV$44),"")</f>
        <v>1.9015057470000001</v>
      </c>
      <c r="BW44">
        <f ca="1">IFERROR(IF(0=LEN(ReferenceData!$BW$44),"",ReferenceData!$BW$44),"")</f>
        <v>1.8821076919999999</v>
      </c>
      <c r="BX44">
        <f ca="1">IFERROR(IF(0=LEN(ReferenceData!$BX$44),"",ReferenceData!$BX$44),"")</f>
        <v>1.8600421460000001</v>
      </c>
      <c r="BY44">
        <f ca="1">IFERROR(IF(0=LEN(ReferenceData!$BY$44),"",ReferenceData!$BY$44),"")</f>
        <v>1.820662835</v>
      </c>
      <c r="BZ44">
        <f ca="1">IFERROR(IF(0=LEN(ReferenceData!$BZ$44),"",ReferenceData!$BZ$44),"")</f>
        <v>1.8058307689999999</v>
      </c>
      <c r="CA44">
        <f ca="1">IFERROR(IF(0=LEN(ReferenceData!$CA$44),"",ReferenceData!$CA$44),"")</f>
        <v>1.7893371650000001</v>
      </c>
      <c r="CB44">
        <f ca="1">IFERROR(IF(0=LEN(ReferenceData!$CB$44),"",ReferenceData!$CB$44),"")</f>
        <v>1.777923664</v>
      </c>
      <c r="CC44">
        <f ca="1">IFERROR(IF(0=LEN(ReferenceData!$CC$44),"",ReferenceData!$CC$44),"")</f>
        <v>1.766</v>
      </c>
      <c r="CD44">
        <f ca="1">IFERROR(IF(0=LEN(ReferenceData!$CD$44),"",ReferenceData!$CD$44),"")</f>
        <v>1.747969466</v>
      </c>
      <c r="CE44">
        <f ca="1">IFERROR(IF(0=LEN(ReferenceData!$CE$44),"",ReferenceData!$CE$44),"")</f>
        <v>1.750259542</v>
      </c>
      <c r="CF44">
        <f ca="1">IFERROR(IF(0=LEN(ReferenceData!$CF$44),"",ReferenceData!$CF$44),"")</f>
        <v>1.7297499999999999</v>
      </c>
      <c r="CG44">
        <f ca="1">IFERROR(IF(0=LEN(ReferenceData!$CG$44),"",ReferenceData!$CG$44),"")</f>
        <v>1.70539313</v>
      </c>
      <c r="CH44">
        <f ca="1">IFERROR(IF(0=LEN(ReferenceData!$CH$44),"",ReferenceData!$CH$44),"")</f>
        <v>1.6187692309999999</v>
      </c>
      <c r="CI44">
        <f ca="1">IFERROR(IF(0=LEN(ReferenceData!$CI$44),"",ReferenceData!$CI$44),"")</f>
        <v>1.611494253</v>
      </c>
      <c r="CJ44">
        <f ca="1">IFERROR(IF(0=LEN(ReferenceData!$CJ$44),"",ReferenceData!$CJ$44),"")</f>
        <v>1.602526718</v>
      </c>
      <c r="CK44">
        <f ca="1">IFERROR(IF(0=LEN(ReferenceData!$CK$44),"",ReferenceData!$CK$44),"")</f>
        <v>1.6052884620000001</v>
      </c>
    </row>
    <row r="45" spans="1:89">
      <c r="A45" t="str">
        <f>IFERROR(IF(0=LEN(ReferenceData!$A$45),"",ReferenceData!$A$45),"")</f>
        <v xml:space="preserve">    AvalonBay社区股份有限公司</v>
      </c>
      <c r="B45" t="str">
        <f>IFERROR(IF(0=LEN(ReferenceData!$B$45),"",ReferenceData!$B$45),"")</f>
        <v>AVB US Equity</v>
      </c>
      <c r="C45" t="str">
        <f>IFERROR(IF(0=LEN(ReferenceData!$C$45),"",ReferenceData!$C$45),"")</f>
        <v>BE038</v>
      </c>
      <c r="D45" t="str">
        <f>IFERROR(IF(0=LEN(ReferenceData!$D$45),"",ReferenceData!$D$45),"")</f>
        <v>BEST_FFOPS</v>
      </c>
      <c r="E45" t="str">
        <f>IFERROR(IF(0=LEN(ReferenceData!$E$45),"",ReferenceData!$E$45),"")</f>
        <v>动态</v>
      </c>
      <c r="F45">
        <f ca="1">IFERROR(IF(0=LEN(ReferenceData!$F$45),"",ReferenceData!$F$45),"")</f>
        <v>9.0447538460000008</v>
      </c>
      <c r="G45">
        <f ca="1">IFERROR(IF(0=LEN(ReferenceData!$G$45),"",ReferenceData!$G$45),"")</f>
        <v>9.0204406129999999</v>
      </c>
      <c r="H45">
        <f ca="1">IFERROR(IF(0=LEN(ReferenceData!$H$45),"",ReferenceData!$H$45),"")</f>
        <v>9.1155095789999994</v>
      </c>
      <c r="I45">
        <f ca="1">IFERROR(IF(0=LEN(ReferenceData!$I$45),"",ReferenceData!$I$45),"")</f>
        <v>9.1029999999999998</v>
      </c>
      <c r="J45">
        <f ca="1">IFERROR(IF(0=LEN(ReferenceData!$J$45),"",ReferenceData!$J$45),"")</f>
        <v>9.0467931030000006</v>
      </c>
      <c r="K45">
        <f ca="1">IFERROR(IF(0=LEN(ReferenceData!$K$45),"",ReferenceData!$K$45),"")</f>
        <v>8.9918582380000007</v>
      </c>
      <c r="L45">
        <f ca="1">IFERROR(IF(0=LEN(ReferenceData!$L$45),"",ReferenceData!$L$45),"")</f>
        <v>8.9607500000000009</v>
      </c>
      <c r="M45">
        <f ca="1">IFERROR(IF(0=LEN(ReferenceData!$M$45),"",ReferenceData!$M$45),"")</f>
        <v>8.9240459770000005</v>
      </c>
      <c r="N45">
        <f ca="1">IFERROR(IF(0=LEN(ReferenceData!$N$45),"",ReferenceData!$N$45),"")</f>
        <v>8.9581187740000008</v>
      </c>
      <c r="O45">
        <f ca="1">IFERROR(IF(0=LEN(ReferenceData!$O$45),"",ReferenceData!$O$45),"")</f>
        <v>8.9149999999999991</v>
      </c>
      <c r="P45">
        <f ca="1">IFERROR(IF(0=LEN(ReferenceData!$P$45),"",ReferenceData!$P$45),"")</f>
        <v>8.8861532570000001</v>
      </c>
      <c r="Q45">
        <f ca="1">IFERROR(IF(0=LEN(ReferenceData!$Q$45),"",ReferenceData!$Q$45),"")</f>
        <v>8.8507307690000001</v>
      </c>
      <c r="R45">
        <f ca="1">IFERROR(IF(0=LEN(ReferenceData!$R$45),"",ReferenceData!$R$45),"")</f>
        <v>8.8137500000000006</v>
      </c>
      <c r="S45">
        <f ca="1">IFERROR(IF(0=LEN(ReferenceData!$S$45),"",ReferenceData!$S$45),"")</f>
        <v>8.7641992339999994</v>
      </c>
      <c r="T45">
        <f ca="1">IFERROR(IF(0=LEN(ReferenceData!$T$45),"",ReferenceData!$T$45),"")</f>
        <v>8.7770919539999994</v>
      </c>
      <c r="U45">
        <f ca="1">IFERROR(IF(0=LEN(ReferenceData!$U$45),"",ReferenceData!$U$45),"")</f>
        <v>8.7270000000000003</v>
      </c>
      <c r="V45">
        <f ca="1">IFERROR(IF(0=LEN(ReferenceData!$V$45),"",ReferenceData!$V$45),"")</f>
        <v>8.6998314180000005</v>
      </c>
      <c r="W45">
        <f ca="1">IFERROR(IF(0=LEN(ReferenceData!$W$45),"",ReferenceData!$W$45),"")</f>
        <v>8.6934827590000001</v>
      </c>
      <c r="X45">
        <f ca="1">IFERROR(IF(0=LEN(ReferenceData!$X$45),"",ReferenceData!$X$45),"")</f>
        <v>8.7127499999999998</v>
      </c>
      <c r="Y45">
        <f ca="1">IFERROR(IF(0=LEN(ReferenceData!$Y$45),"",ReferenceData!$Y$45),"")</f>
        <v>8.6630000000000003</v>
      </c>
      <c r="Z45">
        <f ca="1">IFERROR(IF(0=LEN(ReferenceData!$Z$45),"",ReferenceData!$Z$45),"")</f>
        <v>8.6633461539999992</v>
      </c>
      <c r="AA45">
        <f ca="1">IFERROR(IF(0=LEN(ReferenceData!$AA$45),"",ReferenceData!$AA$45),"")</f>
        <v>8.6237854410000008</v>
      </c>
      <c r="AB45">
        <f ca="1">IFERROR(IF(0=LEN(ReferenceData!$AB$45),"",ReferenceData!$AB$45),"")</f>
        <v>8.5715172410000005</v>
      </c>
      <c r="AC45">
        <f ca="1">IFERROR(IF(0=LEN(ReferenceData!$AC$45),"",ReferenceData!$AC$45),"")</f>
        <v>8.5083269230000003</v>
      </c>
      <c r="AD45">
        <f ca="1">IFERROR(IF(0=LEN(ReferenceData!$AD$45),"",ReferenceData!$AD$45),"")</f>
        <v>8.5029003830000001</v>
      </c>
      <c r="AE45">
        <f ca="1">IFERROR(IF(0=LEN(ReferenceData!$AE$45),"",ReferenceData!$AE$45),"")</f>
        <v>8.4245287359999992</v>
      </c>
      <c r="AF45">
        <f ca="1">IFERROR(IF(0=LEN(ReferenceData!$AF$45),"",ReferenceData!$AF$45),"")</f>
        <v>8.3194615380000005</v>
      </c>
      <c r="AG45">
        <f ca="1">IFERROR(IF(0=LEN(ReferenceData!$AG$45),"",ReferenceData!$AG$45),"")</f>
        <v>8.2590000000000003</v>
      </c>
      <c r="AH45">
        <f ca="1">IFERROR(IF(0=LEN(ReferenceData!$AH$45),"",ReferenceData!$AH$45),"")</f>
        <v>8.1971908399999993</v>
      </c>
      <c r="AI45">
        <f ca="1">IFERROR(IF(0=LEN(ReferenceData!$AI$45),"",ReferenceData!$AI$45),"")</f>
        <v>8.1159692309999993</v>
      </c>
      <c r="AJ45">
        <f ca="1">IFERROR(IF(0=LEN(ReferenceData!$AJ$45),"",ReferenceData!$AJ$45),"")</f>
        <v>8.0363053440000005</v>
      </c>
      <c r="AK45">
        <f ca="1">IFERROR(IF(0=LEN(ReferenceData!$AK$45),"",ReferenceData!$AK$45),"")</f>
        <v>7.9690000000000003</v>
      </c>
      <c r="AL45">
        <f ca="1">IFERROR(IF(0=LEN(ReferenceData!$AL$45),"",ReferenceData!$AL$45),"")</f>
        <v>7.8427384619999998</v>
      </c>
      <c r="AM45">
        <f ca="1">IFERROR(IF(0=LEN(ReferenceData!$AM$45),"",ReferenceData!$AM$45),"")</f>
        <v>7.6985648849999997</v>
      </c>
      <c r="AN45">
        <f ca="1">IFERROR(IF(0=LEN(ReferenceData!$AN$45),"",ReferenceData!$AN$45),"")</f>
        <v>7.6592153850000004</v>
      </c>
      <c r="AO45">
        <f ca="1">IFERROR(IF(0=LEN(ReferenceData!$AO$45),"",ReferenceData!$AO$45),"")</f>
        <v>7.5982030649999999</v>
      </c>
      <c r="AP45">
        <f ca="1">IFERROR(IF(0=LEN(ReferenceData!$AP$45),"",ReferenceData!$AP$45),"")</f>
        <v>7.5362022900000003</v>
      </c>
      <c r="AQ45">
        <f ca="1">IFERROR(IF(0=LEN(ReferenceData!$AQ$45),"",ReferenceData!$AQ$45),"")</f>
        <v>7.4856192310000003</v>
      </c>
      <c r="AR45">
        <f ca="1">IFERROR(IF(0=LEN(ReferenceData!$AR$45),"",ReferenceData!$AR$45),"")</f>
        <v>7.4463615379999997</v>
      </c>
      <c r="AS45">
        <f ca="1">IFERROR(IF(0=LEN(ReferenceData!$AS$45),"",ReferenceData!$AS$45),"")</f>
        <v>7.4269999999999996</v>
      </c>
      <c r="AT45">
        <f ca="1">IFERROR(IF(0=LEN(ReferenceData!$AT$45),"",ReferenceData!$AT$45),"")</f>
        <v>7.3847461540000001</v>
      </c>
      <c r="AU45">
        <f ca="1">IFERROR(IF(0=LEN(ReferenceData!$AU$45),"",ReferenceData!$AU$45),"")</f>
        <v>7.3339115379999997</v>
      </c>
      <c r="AV45">
        <f ca="1">IFERROR(IF(0=LEN(ReferenceData!$AV$45),"",ReferenceData!$AV$45),"")</f>
        <v>7.3014482760000003</v>
      </c>
      <c r="AW45">
        <f ca="1">IFERROR(IF(0=LEN(ReferenceData!$AW$45),"",ReferenceData!$AW$45),"")</f>
        <v>7.2252307690000004</v>
      </c>
      <c r="AX45">
        <f ca="1">IFERROR(IF(0=LEN(ReferenceData!$AX$45),"",ReferenceData!$AX$45),"")</f>
        <v>7.1764942530000004</v>
      </c>
      <c r="AY45">
        <f ca="1">IFERROR(IF(0=LEN(ReferenceData!$AY$45),"",ReferenceData!$AY$45),"")</f>
        <v>7.0531034479999999</v>
      </c>
      <c r="AZ45">
        <f ca="1">IFERROR(IF(0=LEN(ReferenceData!$AZ$45),"",ReferenceData!$AZ$45),"")</f>
        <v>6.9928115379999998</v>
      </c>
      <c r="BA45">
        <f ca="1">IFERROR(IF(0=LEN(ReferenceData!$BA$45),"",ReferenceData!$BA$45),"")</f>
        <v>6.941498084</v>
      </c>
      <c r="BB45">
        <f ca="1">IFERROR(IF(0=LEN(ReferenceData!$BB$45),"",ReferenceData!$BB$45),"")</f>
        <v>6.9007164750000003</v>
      </c>
      <c r="BC45">
        <f ca="1">IFERROR(IF(0=LEN(ReferenceData!$BC$45),"",ReferenceData!$BC$45),"")</f>
        <v>6.8704230769999999</v>
      </c>
      <c r="BD45">
        <f ca="1">IFERROR(IF(0=LEN(ReferenceData!$BD$45),"",ReferenceData!$BD$45),"")</f>
        <v>6.8370153849999999</v>
      </c>
      <c r="BE45">
        <f ca="1">IFERROR(IF(0=LEN(ReferenceData!$BE$45),"",ReferenceData!$BE$45),"")</f>
        <v>6.8019999999999996</v>
      </c>
      <c r="BF45">
        <f ca="1">IFERROR(IF(0=LEN(ReferenceData!$BF$45),"",ReferenceData!$BF$45),"")</f>
        <v>6.6658461539999996</v>
      </c>
      <c r="BG45">
        <f ca="1">IFERROR(IF(0=LEN(ReferenceData!$BG$45),"",ReferenceData!$BG$45),"")</f>
        <v>6.5330306509999998</v>
      </c>
      <c r="BH45">
        <f ca="1">IFERROR(IF(0=LEN(ReferenceData!$BH$45),"",ReferenceData!$BH$45),"")</f>
        <v>6.4453563220000003</v>
      </c>
      <c r="BI45">
        <f ca="1">IFERROR(IF(0=LEN(ReferenceData!$BI$45),"",ReferenceData!$BI$45),"")</f>
        <v>6.3502115379999999</v>
      </c>
      <c r="BJ45">
        <f ca="1">IFERROR(IF(0=LEN(ReferenceData!$BJ$45),"",ReferenceData!$BJ$45),"")</f>
        <v>6.2862222220000001</v>
      </c>
      <c r="BK45">
        <f ca="1">IFERROR(IF(0=LEN(ReferenceData!$BK$45),"",ReferenceData!$BK$45),"")</f>
        <v>6.107630769</v>
      </c>
      <c r="BL45">
        <f ca="1">IFERROR(IF(0=LEN(ReferenceData!$BL$45),"",ReferenceData!$BL$45),"")</f>
        <v>5.8738307689999996</v>
      </c>
      <c r="BM45">
        <f ca="1">IFERROR(IF(0=LEN(ReferenceData!$BM$45),"",ReferenceData!$BM$45),"")</f>
        <v>5.1475440609999996</v>
      </c>
      <c r="BN45">
        <f ca="1">IFERROR(IF(0=LEN(ReferenceData!$BN$45),"",ReferenceData!$BN$45),"")</f>
        <v>4.894230769</v>
      </c>
      <c r="BO45">
        <f ca="1">IFERROR(IF(0=LEN(ReferenceData!$BO$45),"",ReferenceData!$BO$45),"")</f>
        <v>4.9778582379999996</v>
      </c>
      <c r="BP45">
        <f ca="1">IFERROR(IF(0=LEN(ReferenceData!$BP$45),"",ReferenceData!$BP$45),"")</f>
        <v>5.8286819919999999</v>
      </c>
      <c r="BQ45">
        <f ca="1">IFERROR(IF(0=LEN(ReferenceData!$BQ$45),"",ReferenceData!$BQ$45),"")</f>
        <v>6.1639999999999997</v>
      </c>
      <c r="BR45">
        <f ca="1">IFERROR(IF(0=LEN(ReferenceData!$BR$45),"",ReferenceData!$BR$45),"")</f>
        <v>6.0923999999999996</v>
      </c>
      <c r="BS45">
        <f ca="1">IFERROR(IF(0=LEN(ReferenceData!$BS$45),"",ReferenceData!$BS$45),"")</f>
        <v>6.0354521070000002</v>
      </c>
      <c r="BT45">
        <f ca="1">IFERROR(IF(0=LEN(ReferenceData!$BT$45),"",ReferenceData!$BT$45),"")</f>
        <v>5.9684153850000001</v>
      </c>
      <c r="BU45">
        <f ca="1">IFERROR(IF(0=LEN(ReferenceData!$BU$45),"",ReferenceData!$BU$45),"")</f>
        <v>5.9110230770000003</v>
      </c>
      <c r="BV45">
        <f ca="1">IFERROR(IF(0=LEN(ReferenceData!$BV$45),"",ReferenceData!$BV$45),"")</f>
        <v>5.8599386969999996</v>
      </c>
      <c r="BW45">
        <f ca="1">IFERROR(IF(0=LEN(ReferenceData!$BW$45),"",ReferenceData!$BW$45),"")</f>
        <v>5.8038884619999997</v>
      </c>
      <c r="BX45">
        <f ca="1">IFERROR(IF(0=LEN(ReferenceData!$BX$45),"",ReferenceData!$BX$45),"")</f>
        <v>5.7539080460000003</v>
      </c>
      <c r="BY45">
        <f ca="1">IFERROR(IF(0=LEN(ReferenceData!$BY$45),"",ReferenceData!$BY$45),"")</f>
        <v>5.7270498080000003</v>
      </c>
      <c r="BZ45">
        <f ca="1">IFERROR(IF(0=LEN(ReferenceData!$BZ$45),"",ReferenceData!$BZ$45),"")</f>
        <v>5.6070923080000004</v>
      </c>
      <c r="CA45">
        <f ca="1">IFERROR(IF(0=LEN(ReferenceData!$CA$45),"",ReferenceData!$CA$45),"")</f>
        <v>5.5490306509999998</v>
      </c>
      <c r="CB45">
        <f ca="1">IFERROR(IF(0=LEN(ReferenceData!$CB$45),"",ReferenceData!$CB$45),"")</f>
        <v>5.5101145039999997</v>
      </c>
      <c r="CC45">
        <f ca="1">IFERROR(IF(0=LEN(ReferenceData!$CC$45),"",ReferenceData!$CC$45),"")</f>
        <v>5.43</v>
      </c>
      <c r="CD45">
        <f ca="1">IFERROR(IF(0=LEN(ReferenceData!$CD$45),"",ReferenceData!$CD$45),"")</f>
        <v>5.360221374</v>
      </c>
      <c r="CE45">
        <f ca="1">IFERROR(IF(0=LEN(ReferenceData!$CE$45),"",ReferenceData!$CE$45),"")</f>
        <v>5.3607633589999999</v>
      </c>
      <c r="CF45">
        <f ca="1">IFERROR(IF(0=LEN(ReferenceData!$CF$45),"",ReferenceData!$CF$45),"")</f>
        <v>5.3179999999999996</v>
      </c>
      <c r="CG45">
        <f ca="1">IFERROR(IF(0=LEN(ReferenceData!$CG$45),"",ReferenceData!$CG$45),"")</f>
        <v>5.2440725190000004</v>
      </c>
      <c r="CH45">
        <f ca="1">IFERROR(IF(0=LEN(ReferenceData!$CH$45),"",ReferenceData!$CH$45),"")</f>
        <v>5.1932692310000004</v>
      </c>
      <c r="CI45">
        <f ca="1">IFERROR(IF(0=LEN(ReferenceData!$CI$45),"",ReferenceData!$CI$45),"")</f>
        <v>5.1345823749999999</v>
      </c>
      <c r="CJ45">
        <f ca="1">IFERROR(IF(0=LEN(ReferenceData!$CJ$45),"",ReferenceData!$CJ$45),"")</f>
        <v>5.0129007630000002</v>
      </c>
      <c r="CK45">
        <f ca="1">IFERROR(IF(0=LEN(ReferenceData!$CK$45),"",ReferenceData!$CK$45),"")</f>
        <v>4.9078461539999996</v>
      </c>
    </row>
    <row r="46" spans="1:89">
      <c r="A46" t="str">
        <f>IFERROR(IF(0=LEN(ReferenceData!$A$46),"",ReferenceData!$A$46),"")</f>
        <v xml:space="preserve">    Camden 房地产信托公司</v>
      </c>
      <c r="B46" t="str">
        <f>IFERROR(IF(0=LEN(ReferenceData!$B$46),"",ReferenceData!$B$46),"")</f>
        <v>CPT US Equity</v>
      </c>
      <c r="C46" t="str">
        <f>IFERROR(IF(0=LEN(ReferenceData!$C$46),"",ReferenceData!$C$46),"")</f>
        <v>BE038</v>
      </c>
      <c r="D46" t="str">
        <f>IFERROR(IF(0=LEN(ReferenceData!$D$46),"",ReferenceData!$D$46),"")</f>
        <v>BEST_FFOPS</v>
      </c>
      <c r="E46" t="str">
        <f>IFERROR(IF(0=LEN(ReferenceData!$E$46),"",ReferenceData!$E$46),"")</f>
        <v>动态</v>
      </c>
      <c r="F46">
        <f ca="1">IFERROR(IF(0=LEN(ReferenceData!$F$46),"",ReferenceData!$F$46),"")</f>
        <v>4.8174923080000003</v>
      </c>
      <c r="G46">
        <f ca="1">IFERROR(IF(0=LEN(ReferenceData!$G$46),"",ReferenceData!$G$46),"")</f>
        <v>4.8004942530000001</v>
      </c>
      <c r="H46">
        <f ca="1">IFERROR(IF(0=LEN(ReferenceData!$H$46),"",ReferenceData!$H$46),"")</f>
        <v>4.8149118770000001</v>
      </c>
      <c r="I46">
        <f ca="1">IFERROR(IF(0=LEN(ReferenceData!$I$46),"",ReferenceData!$I$46),"")</f>
        <v>4.7969999999999997</v>
      </c>
      <c r="J46">
        <f ca="1">IFERROR(IF(0=LEN(ReferenceData!$J$46),"",ReferenceData!$J$46),"")</f>
        <v>4.7787586209999997</v>
      </c>
      <c r="K46">
        <f ca="1">IFERROR(IF(0=LEN(ReferenceData!$K$46),"",ReferenceData!$K$46),"")</f>
        <v>4.7436475099999997</v>
      </c>
      <c r="L46">
        <f ca="1">IFERROR(IF(0=LEN(ReferenceData!$L$46),"",ReferenceData!$L$46),"")</f>
        <v>4.7392500000000002</v>
      </c>
      <c r="M46">
        <f ca="1">IFERROR(IF(0=LEN(ReferenceData!$M$46),"",ReferenceData!$M$46),"")</f>
        <v>4.736804598</v>
      </c>
      <c r="N46">
        <f ca="1">IFERROR(IF(0=LEN(ReferenceData!$N$46),"",ReferenceData!$N$46),"")</f>
        <v>4.7124636019999997</v>
      </c>
      <c r="O46">
        <f ca="1">IFERROR(IF(0=LEN(ReferenceData!$O$46),"",ReferenceData!$O$46),"")</f>
        <v>4.6805000000000003</v>
      </c>
      <c r="P46">
        <f ca="1">IFERROR(IF(0=LEN(ReferenceData!$P$46),"",ReferenceData!$P$46),"")</f>
        <v>4.6586130270000004</v>
      </c>
      <c r="Q46">
        <f ca="1">IFERROR(IF(0=LEN(ReferenceData!$Q$46),"",ReferenceData!$Q$46),"")</f>
        <v>4.6284038460000003</v>
      </c>
      <c r="R46">
        <f ca="1">IFERROR(IF(0=LEN(ReferenceData!$R$46),"",ReferenceData!$R$46),"")</f>
        <v>4.6105</v>
      </c>
      <c r="S46">
        <f ca="1">IFERROR(IF(0=LEN(ReferenceData!$S$46),"",ReferenceData!$S$46),"")</f>
        <v>4.5973026819999996</v>
      </c>
      <c r="T46">
        <f ca="1">IFERROR(IF(0=LEN(ReferenceData!$T$46),"",ReferenceData!$T$46),"")</f>
        <v>4.6105363979999998</v>
      </c>
      <c r="U46">
        <f ca="1">IFERROR(IF(0=LEN(ReferenceData!$U$46),"",ReferenceData!$U$46),"")</f>
        <v>4.5970000000000004</v>
      </c>
      <c r="V46">
        <f ca="1">IFERROR(IF(0=LEN(ReferenceData!$V$46),"",ReferenceData!$V$46),"")</f>
        <v>4.5886858239999997</v>
      </c>
      <c r="W46">
        <f ca="1">IFERROR(IF(0=LEN(ReferenceData!$W$46),"",ReferenceData!$W$46),"")</f>
        <v>4.5531915710000002</v>
      </c>
      <c r="X46">
        <f ca="1">IFERROR(IF(0=LEN(ReferenceData!$X$46),"",ReferenceData!$X$46),"")</f>
        <v>4.5525000000000002</v>
      </c>
      <c r="Y46">
        <f ca="1">IFERROR(IF(0=LEN(ReferenceData!$Y$46),"",ReferenceData!$Y$46),"")</f>
        <v>4.556666667</v>
      </c>
      <c r="Z46">
        <f ca="1">IFERROR(IF(0=LEN(ReferenceData!$Z$46),"",ReferenceData!$Z$46),"")</f>
        <v>4.5659230769999999</v>
      </c>
      <c r="AA46">
        <f ca="1">IFERROR(IF(0=LEN(ReferenceData!$AA$46),"",ReferenceData!$AA$46),"")</f>
        <v>4.5864674330000001</v>
      </c>
      <c r="AB46">
        <f ca="1">IFERROR(IF(0=LEN(ReferenceData!$AB$46),"",ReferenceData!$AB$46),"")</f>
        <v>4.6003103449999996</v>
      </c>
      <c r="AC46">
        <f ca="1">IFERROR(IF(0=LEN(ReferenceData!$AC$46),"",ReferenceData!$AC$46),"")</f>
        <v>4.9083269229999997</v>
      </c>
      <c r="AD46">
        <f ca="1">IFERROR(IF(0=LEN(ReferenceData!$AD$46),"",ReferenceData!$AD$46),"")</f>
        <v>4.9045287359999996</v>
      </c>
      <c r="AE46">
        <f ca="1">IFERROR(IF(0=LEN(ReferenceData!$AE$46),"",ReferenceData!$AE$46),"")</f>
        <v>4.8881379310000002</v>
      </c>
      <c r="AF46">
        <f ca="1">IFERROR(IF(0=LEN(ReferenceData!$AF$46),"",ReferenceData!$AF$46),"")</f>
        <v>4.8742307690000004</v>
      </c>
      <c r="AG46">
        <f ca="1">IFERROR(IF(0=LEN(ReferenceData!$AG$46),"",ReferenceData!$AG$46),"")</f>
        <v>4.8470000000000004</v>
      </c>
      <c r="AH46">
        <f ca="1">IFERROR(IF(0=LEN(ReferenceData!$AH$46),"",ReferenceData!$AH$46),"")</f>
        <v>4.8385916030000002</v>
      </c>
      <c r="AI46">
        <f ca="1">IFERROR(IF(0=LEN(ReferenceData!$AI$46),"",ReferenceData!$AI$46),"")</f>
        <v>4.7988307690000003</v>
      </c>
      <c r="AJ46">
        <f ca="1">IFERROR(IF(0=LEN(ReferenceData!$AJ$46),"",ReferenceData!$AJ$46),"")</f>
        <v>4.7731145039999996</v>
      </c>
      <c r="AK46">
        <f ca="1">IFERROR(IF(0=LEN(ReferenceData!$AK$46),"",ReferenceData!$AK$46),"")</f>
        <v>4.7434885500000004</v>
      </c>
      <c r="AL46">
        <f ca="1">IFERROR(IF(0=LEN(ReferenceData!$AL$46),"",ReferenceData!$AL$46),"")</f>
        <v>4.6838807689999999</v>
      </c>
      <c r="AM46">
        <f ca="1">IFERROR(IF(0=LEN(ReferenceData!$AM$46),"",ReferenceData!$AM$46),"")</f>
        <v>4.6387328239999999</v>
      </c>
      <c r="AN46">
        <f ca="1">IFERROR(IF(0=LEN(ReferenceData!$AN$46),"",ReferenceData!$AN$46),"")</f>
        <v>4.6135384620000002</v>
      </c>
      <c r="AO46">
        <f ca="1">IFERROR(IF(0=LEN(ReferenceData!$AO$46),"",ReferenceData!$AO$46),"")</f>
        <v>4.5797356320000002</v>
      </c>
      <c r="AP46">
        <f ca="1">IFERROR(IF(0=LEN(ReferenceData!$AP$46),"",ReferenceData!$AP$46),"")</f>
        <v>4.5466145039999999</v>
      </c>
      <c r="AQ46">
        <f ca="1">IFERROR(IF(0=LEN(ReferenceData!$AQ$46),"",ReferenceData!$AQ$46),"")</f>
        <v>4.5189846149999999</v>
      </c>
      <c r="AR46">
        <f ca="1">IFERROR(IF(0=LEN(ReferenceData!$AR$46),"",ReferenceData!$AR$46),"")</f>
        <v>4.5152999999999999</v>
      </c>
      <c r="AS46">
        <f ca="1">IFERROR(IF(0=LEN(ReferenceData!$AS$46),"",ReferenceData!$AS$46),"")</f>
        <v>4.5279999999999996</v>
      </c>
      <c r="AT46">
        <f ca="1">IFERROR(IF(0=LEN(ReferenceData!$AT$46),"",ReferenceData!$AT$46),"")</f>
        <v>4.524</v>
      </c>
      <c r="AU46">
        <f ca="1">IFERROR(IF(0=LEN(ReferenceData!$AU$46),"",ReferenceData!$AU$46),"")</f>
        <v>4.4886769229999999</v>
      </c>
      <c r="AV46">
        <f ca="1">IFERROR(IF(0=LEN(ReferenceData!$AV$46),"",ReferenceData!$AV$46),"")</f>
        <v>4.4589655170000002</v>
      </c>
      <c r="AW46">
        <f ca="1">IFERROR(IF(0=LEN(ReferenceData!$AW$46),"",ReferenceData!$AW$46),"")</f>
        <v>4.4346153849999999</v>
      </c>
      <c r="AX46">
        <f ca="1">IFERROR(IF(0=LEN(ReferenceData!$AX$46),"",ReferenceData!$AX$46),"")</f>
        <v>4.4058122610000003</v>
      </c>
      <c r="AY46">
        <f ca="1">IFERROR(IF(0=LEN(ReferenceData!$AY$46),"",ReferenceData!$AY$46),"")</f>
        <v>4.3714482759999997</v>
      </c>
      <c r="AZ46">
        <f ca="1">IFERROR(IF(0=LEN(ReferenceData!$AZ$46),"",ReferenceData!$AZ$46),"")</f>
        <v>4.3437038460000004</v>
      </c>
      <c r="BA46">
        <f ca="1">IFERROR(IF(0=LEN(ReferenceData!$BA$46),"",ReferenceData!$BA$46),"")</f>
        <v>4.3133639849999996</v>
      </c>
      <c r="BB46">
        <f ca="1">IFERROR(IF(0=LEN(ReferenceData!$BB$46),"",ReferenceData!$BB$46),"")</f>
        <v>4.2835862069999999</v>
      </c>
      <c r="BC46">
        <f ca="1">IFERROR(IF(0=LEN(ReferenceData!$BC$46),"",ReferenceData!$BC$46),"")</f>
        <v>4.2707384619999997</v>
      </c>
      <c r="BD46">
        <f ca="1">IFERROR(IF(0=LEN(ReferenceData!$BD$46),"",ReferenceData!$BD$46),"")</f>
        <v>4.2800846149999998</v>
      </c>
      <c r="BE46">
        <f ca="1">IFERROR(IF(0=LEN(ReferenceData!$BE$46),"",ReferenceData!$BE$46),"")</f>
        <v>4.2729999999999997</v>
      </c>
      <c r="BF46">
        <f ca="1">IFERROR(IF(0=LEN(ReferenceData!$BF$46),"",ReferenceData!$BF$46),"")</f>
        <v>4.2705538460000003</v>
      </c>
      <c r="BG46">
        <f ca="1">IFERROR(IF(0=LEN(ReferenceData!$BG$46),"",ReferenceData!$BG$46),"")</f>
        <v>4.2701647510000003</v>
      </c>
      <c r="BH46">
        <f ca="1">IFERROR(IF(0=LEN(ReferenceData!$BH$46),"",ReferenceData!$BH$46),"")</f>
        <v>4.2537126440000002</v>
      </c>
      <c r="BI46">
        <f ca="1">IFERROR(IF(0=LEN(ReferenceData!$BI$46),"",ReferenceData!$BI$46),"")</f>
        <v>4.2326461540000002</v>
      </c>
      <c r="BJ46">
        <f ca="1">IFERROR(IF(0=LEN(ReferenceData!$BJ$46),"",ReferenceData!$BJ$46),"")</f>
        <v>4.2096360150000001</v>
      </c>
      <c r="BK46">
        <f ca="1">IFERROR(IF(0=LEN(ReferenceData!$BK$46),"",ReferenceData!$BK$46),"")</f>
        <v>4.1586461540000004</v>
      </c>
      <c r="BL46">
        <f ca="1">IFERROR(IF(0=LEN(ReferenceData!$BL$46),"",ReferenceData!$BL$46),"")</f>
        <v>4.1356923080000003</v>
      </c>
      <c r="BM46">
        <f ca="1">IFERROR(IF(0=LEN(ReferenceData!$BM$46),"",ReferenceData!$BM$46),"")</f>
        <v>4.087088123</v>
      </c>
      <c r="BN46">
        <f ca="1">IFERROR(IF(0=LEN(ReferenceData!$BN$46),"",ReferenceData!$BN$46),"")</f>
        <v>4.0487500000000001</v>
      </c>
      <c r="BO46">
        <f ca="1">IFERROR(IF(0=LEN(ReferenceData!$BO$46),"",ReferenceData!$BO$46),"")</f>
        <v>4.0168965520000004</v>
      </c>
      <c r="BP46">
        <f ca="1">IFERROR(IF(0=LEN(ReferenceData!$BP$46),"",ReferenceData!$BP$46),"")</f>
        <v>3.9667586209999999</v>
      </c>
      <c r="BQ46">
        <f ca="1">IFERROR(IF(0=LEN(ReferenceData!$BQ$46),"",ReferenceData!$BQ$46),"")</f>
        <v>3.9550000000000001</v>
      </c>
      <c r="BR46">
        <f ca="1">IFERROR(IF(0=LEN(ReferenceData!$BR$46),"",ReferenceData!$BR$46),"")</f>
        <v>3.9294076919999998</v>
      </c>
      <c r="BS46">
        <f ca="1">IFERROR(IF(0=LEN(ReferenceData!$BS$46),"",ReferenceData!$BS$46),"")</f>
        <v>3.8264444439999998</v>
      </c>
      <c r="BT46">
        <f ca="1">IFERROR(IF(0=LEN(ReferenceData!$BT$46),"",ReferenceData!$BT$46),"")</f>
        <v>3.795769231</v>
      </c>
      <c r="BU46">
        <f ca="1">IFERROR(IF(0=LEN(ReferenceData!$BU$46),"",ReferenceData!$BU$46),"")</f>
        <v>3.7648076920000002</v>
      </c>
      <c r="BV46">
        <f ca="1">IFERROR(IF(0=LEN(ReferenceData!$BV$46),"",ReferenceData!$BV$46),"")</f>
        <v>3.715524904</v>
      </c>
      <c r="BW46">
        <f ca="1">IFERROR(IF(0=LEN(ReferenceData!$BW$46),"",ReferenceData!$BW$46),"")</f>
        <v>3.6827615379999998</v>
      </c>
      <c r="BX46">
        <f ca="1">IFERROR(IF(0=LEN(ReferenceData!$BX$46),"",ReferenceData!$BX$46),"")</f>
        <v>3.6593103450000002</v>
      </c>
      <c r="BY46">
        <f ca="1">IFERROR(IF(0=LEN(ReferenceData!$BY$46),"",ReferenceData!$BY$46),"")</f>
        <v>3.5976781610000002</v>
      </c>
      <c r="BZ46">
        <f ca="1">IFERROR(IF(0=LEN(ReferenceData!$BZ$46),"",ReferenceData!$BZ$46),"")</f>
        <v>3.5434153849999999</v>
      </c>
      <c r="CA46">
        <f ca="1">IFERROR(IF(0=LEN(ReferenceData!$CA$46),"",ReferenceData!$CA$46),"")</f>
        <v>3.5088505749999999</v>
      </c>
      <c r="CB46">
        <f ca="1">IFERROR(IF(0=LEN(ReferenceData!$CB$46),"",ReferenceData!$CB$46),"")</f>
        <v>3.4429694660000001</v>
      </c>
      <c r="CC46">
        <f ca="1">IFERROR(IF(0=LEN(ReferenceData!$CC$46),"",ReferenceData!$CC$46),"")</f>
        <v>3.411</v>
      </c>
      <c r="CD46">
        <f ca="1">IFERROR(IF(0=LEN(ReferenceData!$CD$46),"",ReferenceData!$CD$46),"")</f>
        <v>3.354725191</v>
      </c>
      <c r="CE46">
        <f ca="1">IFERROR(IF(0=LEN(ReferenceData!$CE$46),"",ReferenceData!$CE$46),"")</f>
        <v>3.2822900759999998</v>
      </c>
      <c r="CF46">
        <f ca="1">IFERROR(IF(0=LEN(ReferenceData!$CF$46),"",ReferenceData!$CF$46),"")</f>
        <v>3.218</v>
      </c>
      <c r="CG46">
        <f ca="1">IFERROR(IF(0=LEN(ReferenceData!$CG$46),"",ReferenceData!$CG$46),"")</f>
        <v>3.1638549619999998</v>
      </c>
      <c r="CH46">
        <f ca="1">IFERROR(IF(0=LEN(ReferenceData!$CH$46),"",ReferenceData!$CH$46),"")</f>
        <v>3.080807692</v>
      </c>
      <c r="CI46">
        <f ca="1">IFERROR(IF(0=LEN(ReferenceData!$CI$46),"",ReferenceData!$CI$46),"")</f>
        <v>3.0203180079999998</v>
      </c>
      <c r="CJ46">
        <f ca="1">IFERROR(IF(0=LEN(ReferenceData!$CJ$46),"",ReferenceData!$CJ$46),"")</f>
        <v>3.1266717559999999</v>
      </c>
      <c r="CK46">
        <f ca="1">IFERROR(IF(0=LEN(ReferenceData!$CK$46),"",ReferenceData!$CK$46),"")</f>
        <v>3.0086538460000001</v>
      </c>
    </row>
    <row r="47" spans="1:89">
      <c r="A47" t="str">
        <f>IFERROR(IF(0=LEN(ReferenceData!$A$47),"",ReferenceData!$A$47),"")</f>
        <v xml:space="preserve">    公寓物业权益信托</v>
      </c>
      <c r="B47" t="str">
        <f>IFERROR(IF(0=LEN(ReferenceData!$B$47),"",ReferenceData!$B$47),"")</f>
        <v>EQR US Equity</v>
      </c>
      <c r="C47" t="str">
        <f>IFERROR(IF(0=LEN(ReferenceData!$C$47),"",ReferenceData!$C$47),"")</f>
        <v>BE038</v>
      </c>
      <c r="D47" t="str">
        <f>IFERROR(IF(0=LEN(ReferenceData!$D$47),"",ReferenceData!$D$47),"")</f>
        <v>BEST_FFOPS</v>
      </c>
      <c r="E47" t="str">
        <f>IFERROR(IF(0=LEN(ReferenceData!$E$47),"",ReferenceData!$E$47),"")</f>
        <v>动态</v>
      </c>
      <c r="F47">
        <f ca="1">IFERROR(IF(0=LEN(ReferenceData!$F$47),"",ReferenceData!$F$47),"")</f>
        <v>3.2737230770000001</v>
      </c>
      <c r="G47">
        <f ca="1">IFERROR(IF(0=LEN(ReferenceData!$G$47),"",ReferenceData!$G$47),"")</f>
        <v>3.2642298850000002</v>
      </c>
      <c r="H47">
        <f ca="1">IFERROR(IF(0=LEN(ReferenceData!$H$47),"",ReferenceData!$H$47),"")</f>
        <v>3.272187739</v>
      </c>
      <c r="I47">
        <f ca="1">IFERROR(IF(0=LEN(ReferenceData!$I$47),"",ReferenceData!$I$47),"")</f>
        <v>3.262</v>
      </c>
      <c r="J47">
        <f ca="1">IFERROR(IF(0=LEN(ReferenceData!$J$47),"",ReferenceData!$J$47),"")</f>
        <v>3.2517356319999999</v>
      </c>
      <c r="K47">
        <f ca="1">IFERROR(IF(0=LEN(ReferenceData!$K$47),"",ReferenceData!$K$47),"")</f>
        <v>3.2424406129999999</v>
      </c>
      <c r="L47">
        <f ca="1">IFERROR(IF(0=LEN(ReferenceData!$L$47),"",ReferenceData!$L$47),"")</f>
        <v>3.2322500000000001</v>
      </c>
      <c r="M47">
        <f ca="1">IFERROR(IF(0=LEN(ReferenceData!$M$47),"",ReferenceData!$M$47),"")</f>
        <v>3.2215977009999999</v>
      </c>
      <c r="N47">
        <f ca="1">IFERROR(IF(0=LEN(ReferenceData!$N$47),"",ReferenceData!$N$47),"")</f>
        <v>3.2047624520000002</v>
      </c>
      <c r="O47">
        <f ca="1">IFERROR(IF(0=LEN(ReferenceData!$O$47),"",ReferenceData!$O$47),"")</f>
        <v>3.1775000000000002</v>
      </c>
      <c r="P47">
        <f ca="1">IFERROR(IF(0=LEN(ReferenceData!$P$47),"",ReferenceData!$P$47),"")</f>
        <v>3.1619731799999999</v>
      </c>
      <c r="Q47">
        <f ca="1">IFERROR(IF(0=LEN(ReferenceData!$Q$47),"",ReferenceData!$Q$47),"")</f>
        <v>3.1440192310000001</v>
      </c>
      <c r="R47">
        <f ca="1">IFERROR(IF(0=LEN(ReferenceData!$R$47),"",ReferenceData!$R$47),"")</f>
        <v>3.1507499999999999</v>
      </c>
      <c r="S47">
        <f ca="1">IFERROR(IF(0=LEN(ReferenceData!$S$47),"",ReferenceData!$S$47),"")</f>
        <v>3.1533946359999998</v>
      </c>
      <c r="T47">
        <f ca="1">IFERROR(IF(0=LEN(ReferenceData!$T$47),"",ReferenceData!$T$47),"")</f>
        <v>3.1908658999999999</v>
      </c>
      <c r="U47">
        <f ca="1">IFERROR(IF(0=LEN(ReferenceData!$U$47),"",ReferenceData!$U$47),"")</f>
        <v>3.1669999999999998</v>
      </c>
      <c r="V47">
        <f ca="1">IFERROR(IF(0=LEN(ReferenceData!$V$47),"",ReferenceData!$V$47),"")</f>
        <v>3.1617394640000001</v>
      </c>
      <c r="W47">
        <f ca="1">IFERROR(IF(0=LEN(ReferenceData!$W$47),"",ReferenceData!$W$47),"")</f>
        <v>3.1561302680000001</v>
      </c>
      <c r="X47">
        <f ca="1">IFERROR(IF(0=LEN(ReferenceData!$X$47),"",ReferenceData!$X$47),"")</f>
        <v>3.1452499999999999</v>
      </c>
      <c r="Y47">
        <f ca="1">IFERROR(IF(0=LEN(ReferenceData!$Y$47),"",ReferenceData!$Y$47),"")</f>
        <v>3.137666667</v>
      </c>
      <c r="Z47">
        <f ca="1">IFERROR(IF(0=LEN(ReferenceData!$Z$47),"",ReferenceData!$Z$47),"")</f>
        <v>3.1390384619999998</v>
      </c>
      <c r="AA47">
        <f ca="1">IFERROR(IF(0=LEN(ReferenceData!$AA$47),"",ReferenceData!$AA$47),"")</f>
        <v>3.1531647509999998</v>
      </c>
      <c r="AB47">
        <f ca="1">IFERROR(IF(0=LEN(ReferenceData!$AB$47),"",ReferenceData!$AB$47),"")</f>
        <v>3.1261034479999998</v>
      </c>
      <c r="AC47">
        <f ca="1">IFERROR(IF(0=LEN(ReferenceData!$AC$47),"",ReferenceData!$AC$47),"")</f>
        <v>3.1476538459999999</v>
      </c>
      <c r="AD47">
        <f ca="1">IFERROR(IF(0=LEN(ReferenceData!$AD$47),"",ReferenceData!$AD$47),"")</f>
        <v>3.1863409960000002</v>
      </c>
      <c r="AE47">
        <f ca="1">IFERROR(IF(0=LEN(ReferenceData!$AE$47),"",ReferenceData!$AE$47),"")</f>
        <v>3.1899080460000002</v>
      </c>
      <c r="AF47">
        <f ca="1">IFERROR(IF(0=LEN(ReferenceData!$AF$47),"",ReferenceData!$AF$47),"")</f>
        <v>3.3243076920000001</v>
      </c>
      <c r="AG47">
        <f ca="1">IFERROR(IF(0=LEN(ReferenceData!$AG$47),"",ReferenceData!$AG$47),"")</f>
        <v>3.331</v>
      </c>
      <c r="AH47">
        <f ca="1">IFERROR(IF(0=LEN(ReferenceData!$AH$47),"",ReferenceData!$AH$47),"")</f>
        <v>3.4195992369999999</v>
      </c>
      <c r="AI47">
        <f ca="1">IFERROR(IF(0=LEN(ReferenceData!$AI$47),"",ReferenceData!$AI$47),"")</f>
        <v>3.527430769</v>
      </c>
      <c r="AJ47">
        <f ca="1">IFERROR(IF(0=LEN(ReferenceData!$AJ$47),"",ReferenceData!$AJ$47),"")</f>
        <v>3.6646793889999998</v>
      </c>
      <c r="AK47">
        <f ca="1">IFERROR(IF(0=LEN(ReferenceData!$AK$47),"",ReferenceData!$AK$47),"")</f>
        <v>3.637244275</v>
      </c>
      <c r="AL47">
        <f ca="1">IFERROR(IF(0=LEN(ReferenceData!$AL$47),"",ReferenceData!$AL$47),"")</f>
        <v>3.5930346150000001</v>
      </c>
      <c r="AM47">
        <f ca="1">IFERROR(IF(0=LEN(ReferenceData!$AM$47),"",ReferenceData!$AM$47),"")</f>
        <v>3.5564885500000001</v>
      </c>
      <c r="AN47">
        <f ca="1">IFERROR(IF(0=LEN(ReferenceData!$AN$47),"",ReferenceData!$AN$47),"")</f>
        <v>3.5352230769999999</v>
      </c>
      <c r="AO47">
        <f ca="1">IFERROR(IF(0=LEN(ReferenceData!$AO$47),"",ReferenceData!$AO$47),"")</f>
        <v>3.5123984670000001</v>
      </c>
      <c r="AP47">
        <f ca="1">IFERROR(IF(0=LEN(ReferenceData!$AP$47),"",ReferenceData!$AP$47),"")</f>
        <v>3.49028626</v>
      </c>
      <c r="AQ47">
        <f ca="1">IFERROR(IF(0=LEN(ReferenceData!$AQ$47),"",ReferenceData!$AQ$47),"")</f>
        <v>3.4619</v>
      </c>
      <c r="AR47">
        <f ca="1">IFERROR(IF(0=LEN(ReferenceData!$AR$47),"",ReferenceData!$AR$47),"")</f>
        <v>3.415930769</v>
      </c>
      <c r="AS47">
        <f ca="1">IFERROR(IF(0=LEN(ReferenceData!$AS$47),"",ReferenceData!$AS$47),"")</f>
        <v>3.391</v>
      </c>
      <c r="AT47">
        <f ca="1">IFERROR(IF(0=LEN(ReferenceData!$AT$47),"",ReferenceData!$AT$47),"")</f>
        <v>3.3661769229999998</v>
      </c>
      <c r="AU47">
        <f ca="1">IFERROR(IF(0=LEN(ReferenceData!$AU$47),"",ReferenceData!$AU$47),"")</f>
        <v>3.3283153849999998</v>
      </c>
      <c r="AV47">
        <f ca="1">IFERROR(IF(0=LEN(ReferenceData!$AV$47),"",ReferenceData!$AV$47),"")</f>
        <v>3.286563218</v>
      </c>
      <c r="AW47">
        <f ca="1">IFERROR(IF(0=LEN(ReferenceData!$AW$47),"",ReferenceData!$AW$47),"")</f>
        <v>3.2621384619999998</v>
      </c>
      <c r="AX47">
        <f ca="1">IFERROR(IF(0=LEN(ReferenceData!$AX$47),"",ReferenceData!$AX$47),"")</f>
        <v>3.2189578540000001</v>
      </c>
      <c r="AY47">
        <f ca="1">IFERROR(IF(0=LEN(ReferenceData!$AY$47),"",ReferenceData!$AY$47),"")</f>
        <v>3.1858505749999999</v>
      </c>
      <c r="AZ47">
        <f ca="1">IFERROR(IF(0=LEN(ReferenceData!$AZ$47),"",ReferenceData!$AZ$47),"")</f>
        <v>3.1721307689999998</v>
      </c>
      <c r="BA47">
        <f ca="1">IFERROR(IF(0=LEN(ReferenceData!$BA$47),"",ReferenceData!$BA$47),"")</f>
        <v>3.1645708809999999</v>
      </c>
      <c r="BB47">
        <f ca="1">IFERROR(IF(0=LEN(ReferenceData!$BB$47),"",ReferenceData!$BB$47),"")</f>
        <v>3.1485325670000002</v>
      </c>
      <c r="BC47">
        <f ca="1">IFERROR(IF(0=LEN(ReferenceData!$BC$47),"",ReferenceData!$BC$47),"")</f>
        <v>3.1279846149999999</v>
      </c>
      <c r="BD47">
        <f ca="1">IFERROR(IF(0=LEN(ReferenceData!$BD$47),"",ReferenceData!$BD$47),"")</f>
        <v>3.1192769230000001</v>
      </c>
      <c r="BE47">
        <f ca="1">IFERROR(IF(0=LEN(ReferenceData!$BE$47),"",ReferenceData!$BE$47),"")</f>
        <v>3.097</v>
      </c>
      <c r="BF47">
        <f ca="1">IFERROR(IF(0=LEN(ReferenceData!$BF$47),"",ReferenceData!$BF$47),"")</f>
        <v>3.0780769229999998</v>
      </c>
      <c r="BG47">
        <f ca="1">IFERROR(IF(0=LEN(ReferenceData!$BG$47),"",ReferenceData!$BG$47),"")</f>
        <v>3.0386666670000002</v>
      </c>
      <c r="BH47">
        <f ca="1">IFERROR(IF(0=LEN(ReferenceData!$BH$47),"",ReferenceData!$BH$47),"")</f>
        <v>3.0119080459999998</v>
      </c>
      <c r="BI47">
        <f ca="1">IFERROR(IF(0=LEN(ReferenceData!$BI$47),"",ReferenceData!$BI$47),"")</f>
        <v>2.9808576919999998</v>
      </c>
      <c r="BJ47">
        <f ca="1">IFERROR(IF(0=LEN(ReferenceData!$BJ$47),"",ReferenceData!$BJ$47),"")</f>
        <v>2.9502796930000001</v>
      </c>
      <c r="BK47">
        <f ca="1">IFERROR(IF(0=LEN(ReferenceData!$BK$47),"",ReferenceData!$BK$47),"")</f>
        <v>2.9091999999999998</v>
      </c>
      <c r="BL47">
        <f ca="1">IFERROR(IF(0=LEN(ReferenceData!$BL$47),"",ReferenceData!$BL$47),"")</f>
        <v>2.8772000000000002</v>
      </c>
      <c r="BM47">
        <f ca="1">IFERROR(IF(0=LEN(ReferenceData!$BM$47),"",ReferenceData!$BM$47),"")</f>
        <v>2.907076628</v>
      </c>
      <c r="BN47">
        <f ca="1">IFERROR(IF(0=LEN(ReferenceData!$BN$47),"",ReferenceData!$BN$47),"")</f>
        <v>2.9664000000000001</v>
      </c>
      <c r="BO47">
        <f ca="1">IFERROR(IF(0=LEN(ReferenceData!$BO$47),"",ReferenceData!$BO$47),"")</f>
        <v>2.8968007660000001</v>
      </c>
      <c r="BP47">
        <f ca="1">IFERROR(IF(0=LEN(ReferenceData!$BP$47),"",ReferenceData!$BP$47),"")</f>
        <v>3.0241187740000002</v>
      </c>
      <c r="BQ47">
        <f ca="1">IFERROR(IF(0=LEN(ReferenceData!$BQ$47),"",ReferenceData!$BQ$47),"")</f>
        <v>3.0209999999999999</v>
      </c>
      <c r="BR47">
        <f ca="1">IFERROR(IF(0=LEN(ReferenceData!$BR$47),"",ReferenceData!$BR$47),"")</f>
        <v>3.0130615380000001</v>
      </c>
      <c r="BS47">
        <f ca="1">IFERROR(IF(0=LEN(ReferenceData!$BS$47),"",ReferenceData!$BS$47),"")</f>
        <v>2.9992835250000001</v>
      </c>
      <c r="BT47">
        <f ca="1">IFERROR(IF(0=LEN(ReferenceData!$BT$47),"",ReferenceData!$BT$47),"")</f>
        <v>2.966507692</v>
      </c>
      <c r="BU47">
        <f ca="1">IFERROR(IF(0=LEN(ReferenceData!$BU$47),"",ReferenceData!$BU$47),"")</f>
        <v>2.9492384619999998</v>
      </c>
      <c r="BV47">
        <f ca="1">IFERROR(IF(0=LEN(ReferenceData!$BV$47),"",ReferenceData!$BV$47),"")</f>
        <v>2.92754023</v>
      </c>
      <c r="BW47">
        <f ca="1">IFERROR(IF(0=LEN(ReferenceData!$BW$47),"",ReferenceData!$BW$47),"")</f>
        <v>2.8593730769999999</v>
      </c>
      <c r="BX47">
        <f ca="1">IFERROR(IF(0=LEN(ReferenceData!$BX$47),"",ReferenceData!$BX$47),"")</f>
        <v>2.8401111110000001</v>
      </c>
      <c r="BY47">
        <f ca="1">IFERROR(IF(0=LEN(ReferenceData!$BY$47),"",ReferenceData!$BY$47),"")</f>
        <v>2.8352375479999998</v>
      </c>
      <c r="BZ47">
        <f ca="1">IFERROR(IF(0=LEN(ReferenceData!$BZ$47),"",ReferenceData!$BZ$47),"")</f>
        <v>2.8017384619999999</v>
      </c>
      <c r="CA47">
        <f ca="1">IFERROR(IF(0=LEN(ReferenceData!$CA$47),"",ReferenceData!$CA$47),"")</f>
        <v>2.7759999999999998</v>
      </c>
      <c r="CB47">
        <f ca="1">IFERROR(IF(0=LEN(ReferenceData!$CB$47),"",ReferenceData!$CB$47),"")</f>
        <v>2.7815954199999999</v>
      </c>
      <c r="CC47">
        <f ca="1">IFERROR(IF(0=LEN(ReferenceData!$CC$47),"",ReferenceData!$CC$47),"")</f>
        <v>2.766</v>
      </c>
      <c r="CD47">
        <f ca="1">IFERROR(IF(0=LEN(ReferenceData!$CD$47),"",ReferenceData!$CD$47),"")</f>
        <v>2.7363664120000002</v>
      </c>
      <c r="CE47">
        <f ca="1">IFERROR(IF(0=LEN(ReferenceData!$CE$47),"",ReferenceData!$CE$47),"")</f>
        <v>2.7093969470000001</v>
      </c>
      <c r="CF47">
        <f ca="1">IFERROR(IF(0=LEN(ReferenceData!$CF$47),"",ReferenceData!$CF$47),"")</f>
        <v>2.6917499999999999</v>
      </c>
      <c r="CG47">
        <f ca="1">IFERROR(IF(0=LEN(ReferenceData!$CG$47),"",ReferenceData!$CG$47),"")</f>
        <v>2.66178626</v>
      </c>
      <c r="CH47">
        <f ca="1">IFERROR(IF(0=LEN(ReferenceData!$CH$47),"",ReferenceData!$CH$47),"")</f>
        <v>2.6414615380000002</v>
      </c>
      <c r="CI47">
        <f ca="1">IFERROR(IF(0=LEN(ReferenceData!$CI$47),"",ReferenceData!$CI$47),"")</f>
        <v>2.634835249</v>
      </c>
      <c r="CJ47">
        <f ca="1">IFERROR(IF(0=LEN(ReferenceData!$CJ$47),"",ReferenceData!$CJ$47),"")</f>
        <v>2.601034351</v>
      </c>
      <c r="CK47">
        <f ca="1">IFERROR(IF(0=LEN(ReferenceData!$CK$47),"",ReferenceData!$CK$47),"")</f>
        <v>2.566615385</v>
      </c>
    </row>
    <row r="48" spans="1:89">
      <c r="A48" t="str">
        <f>IFERROR(IF(0=LEN(ReferenceData!$A$48),"",ReferenceData!$A$48),"")</f>
        <v xml:space="preserve">    埃塞克斯房地产信托公司</v>
      </c>
      <c r="B48" t="str">
        <f>IFERROR(IF(0=LEN(ReferenceData!$B$48),"",ReferenceData!$B$48),"")</f>
        <v>ESS US Equity</v>
      </c>
      <c r="C48" t="str">
        <f>IFERROR(IF(0=LEN(ReferenceData!$C$48),"",ReferenceData!$C$48),"")</f>
        <v>BE038</v>
      </c>
      <c r="D48" t="str">
        <f>IFERROR(IF(0=LEN(ReferenceData!$D$48),"",ReferenceData!$D$48),"")</f>
        <v>BEST_FFOPS</v>
      </c>
      <c r="E48" t="str">
        <f>IFERROR(IF(0=LEN(ReferenceData!$E$48),"",ReferenceData!$E$48),"")</f>
        <v>动态</v>
      </c>
      <c r="F48">
        <f ca="1">IFERROR(IF(0=LEN(ReferenceData!$F$48),"",ReferenceData!$F$48),"")</f>
        <v>12.59372308</v>
      </c>
      <c r="G48">
        <f ca="1">IFERROR(IF(0=LEN(ReferenceData!$G$48),"",ReferenceData!$G$48),"")</f>
        <v>12.54820307</v>
      </c>
      <c r="H48">
        <f ca="1">IFERROR(IF(0=LEN(ReferenceData!$H$48),"",ReferenceData!$H$48),"")</f>
        <v>12.48752107</v>
      </c>
      <c r="I48">
        <f ca="1">IFERROR(IF(0=LEN(ReferenceData!$I$48),"",ReferenceData!$I$48),"")</f>
        <v>12.45</v>
      </c>
      <c r="J48">
        <f ca="1">IFERROR(IF(0=LEN(ReferenceData!$J$48),"",ReferenceData!$J$48),"")</f>
        <v>12.408137930000001</v>
      </c>
      <c r="K48">
        <f ca="1">IFERROR(IF(0=LEN(ReferenceData!$K$48),"",ReferenceData!$K$48),"")</f>
        <v>12.37030268</v>
      </c>
      <c r="L48">
        <f ca="1">IFERROR(IF(0=LEN(ReferenceData!$L$48),"",ReferenceData!$L$48),"")</f>
        <v>12.32225</v>
      </c>
      <c r="M48">
        <f ca="1">IFERROR(IF(0=LEN(ReferenceData!$M$48),"",ReferenceData!$M$48),"")</f>
        <v>12.256911880000001</v>
      </c>
      <c r="N48">
        <f ca="1">IFERROR(IF(0=LEN(ReferenceData!$N$48),"",ReferenceData!$N$48),"")</f>
        <v>12.197655170000001</v>
      </c>
      <c r="O48">
        <f ca="1">IFERROR(IF(0=LEN(ReferenceData!$O$48),"",ReferenceData!$O$48),"")</f>
        <v>12.1225</v>
      </c>
      <c r="P48">
        <f ca="1">IFERROR(IF(0=LEN(ReferenceData!$P$48),"",ReferenceData!$P$48),"")</f>
        <v>12.044827590000001</v>
      </c>
      <c r="Q48">
        <f ca="1">IFERROR(IF(0=LEN(ReferenceData!$Q$48),"",ReferenceData!$Q$48),"")</f>
        <v>11.91173077</v>
      </c>
      <c r="R48">
        <f ca="1">IFERROR(IF(0=LEN(ReferenceData!$R$48),"",ReferenceData!$R$48),"")</f>
        <v>11.873250000000001</v>
      </c>
      <c r="S48">
        <f ca="1">IFERROR(IF(0=LEN(ReferenceData!$S$48),"",ReferenceData!$S$48),"")</f>
        <v>11.82049808</v>
      </c>
      <c r="T48">
        <f ca="1">IFERROR(IF(0=LEN(ReferenceData!$T$48),"",ReferenceData!$T$48),"")</f>
        <v>11.827858239999999</v>
      </c>
      <c r="U48">
        <f ca="1">IFERROR(IF(0=LEN(ReferenceData!$U$48),"",ReferenceData!$U$48),"")</f>
        <v>11.771000000000001</v>
      </c>
      <c r="V48">
        <f ca="1">IFERROR(IF(0=LEN(ReferenceData!$V$48),"",ReferenceData!$V$48),"")</f>
        <v>11.7429387</v>
      </c>
      <c r="W48">
        <f ca="1">IFERROR(IF(0=LEN(ReferenceData!$W$48),"",ReferenceData!$W$48),"")</f>
        <v>11.65737165</v>
      </c>
      <c r="X48">
        <f ca="1">IFERROR(IF(0=LEN(ReferenceData!$X$48),"",ReferenceData!$X$48),"")</f>
        <v>11.61525</v>
      </c>
      <c r="Y48">
        <f ca="1">IFERROR(IF(0=LEN(ReferenceData!$Y$48),"",ReferenceData!$Y$48),"")</f>
        <v>11.54933333</v>
      </c>
      <c r="Z48">
        <f ca="1">IFERROR(IF(0=LEN(ReferenceData!$Z$48),"",ReferenceData!$Z$48),"")</f>
        <v>11.461576920000001</v>
      </c>
      <c r="AA48">
        <f ca="1">IFERROR(IF(0=LEN(ReferenceData!$AA$48),"",ReferenceData!$AA$48),"")</f>
        <v>11.404363979999999</v>
      </c>
      <c r="AB48">
        <f ca="1">IFERROR(IF(0=LEN(ReferenceData!$AB$48),"",ReferenceData!$AB$48),"")</f>
        <v>11.34965517</v>
      </c>
      <c r="AC48">
        <f ca="1">IFERROR(IF(0=LEN(ReferenceData!$AC$48),"",ReferenceData!$AC$48),"")</f>
        <v>11.28563462</v>
      </c>
      <c r="AD48">
        <f ca="1">IFERROR(IF(0=LEN(ReferenceData!$AD$48),"",ReferenceData!$AD$48),"")</f>
        <v>11.226605360000001</v>
      </c>
      <c r="AE48">
        <f ca="1">IFERROR(IF(0=LEN(ReferenceData!$AE$48),"",ReferenceData!$AE$48),"")</f>
        <v>11.16778161</v>
      </c>
      <c r="AF48">
        <f ca="1">IFERROR(IF(0=LEN(ReferenceData!$AF$48),"",ReferenceData!$AF$48),"")</f>
        <v>10.98415385</v>
      </c>
      <c r="AG48">
        <f ca="1">IFERROR(IF(0=LEN(ReferenceData!$AG$48),"",ReferenceData!$AG$48),"")</f>
        <v>10.898</v>
      </c>
      <c r="AH48">
        <f ca="1">IFERROR(IF(0=LEN(ReferenceData!$AH$48),"",ReferenceData!$AH$48),"")</f>
        <v>10.772290079999999</v>
      </c>
      <c r="AI48">
        <f ca="1">IFERROR(IF(0=LEN(ReferenceData!$AI$48),"",ReferenceData!$AI$48),"")</f>
        <v>10.60478462</v>
      </c>
      <c r="AJ48">
        <f ca="1">IFERROR(IF(0=LEN(ReferenceData!$AJ$48),"",ReferenceData!$AJ$48),"")</f>
        <v>10.4771374</v>
      </c>
      <c r="AK48">
        <f ca="1">IFERROR(IF(0=LEN(ReferenceData!$AK$48),"",ReferenceData!$AK$48),"")</f>
        <v>10.36950382</v>
      </c>
      <c r="AL48">
        <f ca="1">IFERROR(IF(0=LEN(ReferenceData!$AL$48),"",ReferenceData!$AL$48),"")</f>
        <v>10.15629231</v>
      </c>
      <c r="AM48">
        <f ca="1">IFERROR(IF(0=LEN(ReferenceData!$AM$48),"",ReferenceData!$AM$48),"")</f>
        <v>10.01168702</v>
      </c>
      <c r="AN48">
        <f ca="1">IFERROR(IF(0=LEN(ReferenceData!$AN$48),"",ReferenceData!$AN$48),"")</f>
        <v>9.8965076920000001</v>
      </c>
      <c r="AO48">
        <f ca="1">IFERROR(IF(0=LEN(ReferenceData!$AO$48),"",ReferenceData!$AO$48),"")</f>
        <v>9.7613908049999996</v>
      </c>
      <c r="AP48">
        <f ca="1">IFERROR(IF(0=LEN(ReferenceData!$AP$48),"",ReferenceData!$AP$48),"")</f>
        <v>9.643896947</v>
      </c>
      <c r="AQ48">
        <f ca="1">IFERROR(IF(0=LEN(ReferenceData!$AQ$48),"",ReferenceData!$AQ$48),"")</f>
        <v>9.5183846150000004</v>
      </c>
      <c r="AR48">
        <f ca="1">IFERROR(IF(0=LEN(ReferenceData!$AR$48),"",ReferenceData!$AR$48),"")</f>
        <v>9.4369769229999996</v>
      </c>
      <c r="AS48">
        <f ca="1">IFERROR(IF(0=LEN(ReferenceData!$AS$48),"",ReferenceData!$AS$48),"")</f>
        <v>9.3190000000000008</v>
      </c>
      <c r="AT48">
        <f ca="1">IFERROR(IF(0=LEN(ReferenceData!$AT$48),"",ReferenceData!$AT$48),"")</f>
        <v>9.2323884619999994</v>
      </c>
      <c r="AU48">
        <f ca="1">IFERROR(IF(0=LEN(ReferenceData!$AU$48),"",ReferenceData!$AU$48),"")</f>
        <v>9.0431230770000006</v>
      </c>
      <c r="AV48">
        <f ca="1">IFERROR(IF(0=LEN(ReferenceData!$AV$48),"",ReferenceData!$AV$48),"")</f>
        <v>8.8666896550000001</v>
      </c>
      <c r="AW48">
        <f ca="1">IFERROR(IF(0=LEN(ReferenceData!$AW$48),"",ReferenceData!$AW$48),"")</f>
        <v>8.8524923080000004</v>
      </c>
      <c r="AX48">
        <f ca="1">IFERROR(IF(0=LEN(ReferenceData!$AX$48),"",ReferenceData!$AX$48),"")</f>
        <v>8.6038735630000005</v>
      </c>
      <c r="AY48">
        <f ca="1">IFERROR(IF(0=LEN(ReferenceData!$AY$48),"",ReferenceData!$AY$48),"")</f>
        <v>8.5367011490000007</v>
      </c>
      <c r="AZ48">
        <f ca="1">IFERROR(IF(0=LEN(ReferenceData!$AZ$48),"",ReferenceData!$AZ$48),"")</f>
        <v>8.3833692309999996</v>
      </c>
      <c r="BA48">
        <f ca="1">IFERROR(IF(0=LEN(ReferenceData!$BA$48),"",ReferenceData!$BA$48),"")</f>
        <v>8.5626398469999998</v>
      </c>
      <c r="BB48">
        <f ca="1">IFERROR(IF(0=LEN(ReferenceData!$BB$48),"",ReferenceData!$BB$48),"")</f>
        <v>8.481141762</v>
      </c>
      <c r="BC48">
        <f ca="1">IFERROR(IF(0=LEN(ReferenceData!$BC$48),"",ReferenceData!$BC$48),"")</f>
        <v>8.4119076919999998</v>
      </c>
      <c r="BD48">
        <f ca="1">IFERROR(IF(0=LEN(ReferenceData!$BD$48),"",ReferenceData!$BD$48),"")</f>
        <v>8.2760538459999999</v>
      </c>
      <c r="BE48">
        <f ca="1">IFERROR(IF(0=LEN(ReferenceData!$BE$48),"",ReferenceData!$BE$48),"")</f>
        <v>8.2650000000000006</v>
      </c>
      <c r="BF48">
        <f ca="1">IFERROR(IF(0=LEN(ReferenceData!$BF$48),"",ReferenceData!$BF$48),"")</f>
        <v>8.2230769230000007</v>
      </c>
      <c r="BG48">
        <f ca="1">IFERROR(IF(0=LEN(ReferenceData!$BG$48),"",ReferenceData!$BG$48),"")</f>
        <v>8.1844214560000008</v>
      </c>
      <c r="BH48">
        <f ca="1">IFERROR(IF(0=LEN(ReferenceData!$BH$48),"",ReferenceData!$BH$48),"")</f>
        <v>8.1429310340000001</v>
      </c>
      <c r="BI48">
        <f ca="1">IFERROR(IF(0=LEN(ReferenceData!$BI$48),"",ReferenceData!$BI$48),"")</f>
        <v>8.1076269229999998</v>
      </c>
      <c r="BJ48">
        <f ca="1">IFERROR(IF(0=LEN(ReferenceData!$BJ$48),"",ReferenceData!$BJ$48),"")</f>
        <v>8.0609770110000003</v>
      </c>
      <c r="BK48">
        <f ca="1">IFERROR(IF(0=LEN(ReferenceData!$BK$48),"",ReferenceData!$BK$48),"")</f>
        <v>8.0142923079999999</v>
      </c>
      <c r="BL48">
        <f ca="1">IFERROR(IF(0=LEN(ReferenceData!$BL$48),"",ReferenceData!$BL$48),"")</f>
        <v>7.9702153850000004</v>
      </c>
      <c r="BM48">
        <f ca="1">IFERROR(IF(0=LEN(ReferenceData!$BM$48),"",ReferenceData!$BM$48),"")</f>
        <v>7.8992145589999998</v>
      </c>
      <c r="BN48">
        <f ca="1">IFERROR(IF(0=LEN(ReferenceData!$BN$48),"",ReferenceData!$BN$48),"")</f>
        <v>7.8470269229999996</v>
      </c>
      <c r="BO48">
        <f ca="1">IFERROR(IF(0=LEN(ReferenceData!$BO$48),"",ReferenceData!$BO$48),"")</f>
        <v>7.7500153259999998</v>
      </c>
      <c r="BP48">
        <f ca="1">IFERROR(IF(0=LEN(ReferenceData!$BP$48),"",ReferenceData!$BP$48),"")</f>
        <v>7.6132413789999998</v>
      </c>
      <c r="BQ48">
        <f ca="1">IFERROR(IF(0=LEN(ReferenceData!$BQ$48),"",ReferenceData!$BQ$48),"")</f>
        <v>7.5259999999999998</v>
      </c>
      <c r="BR48">
        <f ca="1">IFERROR(IF(0=LEN(ReferenceData!$BR$48),"",ReferenceData!$BR$48),"")</f>
        <v>7.4485153850000003</v>
      </c>
      <c r="BS48">
        <f ca="1">IFERROR(IF(0=LEN(ReferenceData!$BS$48),"",ReferenceData!$BS$48),"")</f>
        <v>7.3483793100000003</v>
      </c>
      <c r="BT48">
        <f ca="1">IFERROR(IF(0=LEN(ReferenceData!$BT$48),"",ReferenceData!$BT$48),"")</f>
        <v>7.2892307690000004</v>
      </c>
      <c r="BU48">
        <f ca="1">IFERROR(IF(0=LEN(ReferenceData!$BU$48),"",ReferenceData!$BU$48),"")</f>
        <v>7.2321769229999999</v>
      </c>
      <c r="BV48">
        <f ca="1">IFERROR(IF(0=LEN(ReferenceData!$BV$48),"",ReferenceData!$BV$48),"")</f>
        <v>7.1285862069999997</v>
      </c>
      <c r="BW48">
        <f ca="1">IFERROR(IF(0=LEN(ReferenceData!$BW$48),"",ReferenceData!$BW$48),"")</f>
        <v>7.0673615380000001</v>
      </c>
      <c r="BX48">
        <f ca="1">IFERROR(IF(0=LEN(ReferenceData!$BX$48),"",ReferenceData!$BX$48),"")</f>
        <v>7.0124022989999997</v>
      </c>
      <c r="BY48">
        <f ca="1">IFERROR(IF(0=LEN(ReferenceData!$BY$48),"",ReferenceData!$BY$48),"")</f>
        <v>6.911130268</v>
      </c>
      <c r="BZ48">
        <f ca="1">IFERROR(IF(0=LEN(ReferenceData!$BZ$48),"",ReferenceData!$BZ$48),"")</f>
        <v>6.8444923080000004</v>
      </c>
      <c r="CA48">
        <f ca="1">IFERROR(IF(0=LEN(ReferenceData!$CA$48),"",ReferenceData!$CA$48),"")</f>
        <v>6.7805823749999998</v>
      </c>
      <c r="CB48">
        <f ca="1">IFERROR(IF(0=LEN(ReferenceData!$CB$48),"",ReferenceData!$CB$48),"")</f>
        <v>6.6689007629999999</v>
      </c>
      <c r="CC48">
        <f ca="1">IFERROR(IF(0=LEN(ReferenceData!$CC$48),"",ReferenceData!$CC$48),"")</f>
        <v>6.48</v>
      </c>
      <c r="CD48">
        <f ca="1">IFERROR(IF(0=LEN(ReferenceData!$CD$48),"",ReferenceData!$CD$48),"")</f>
        <v>6.418419847</v>
      </c>
      <c r="CE48">
        <f ca="1">IFERROR(IF(0=LEN(ReferenceData!$CE$48),"",ReferenceData!$CE$48),"")</f>
        <v>6.3260152669999998</v>
      </c>
      <c r="CF48">
        <f ca="1">IFERROR(IF(0=LEN(ReferenceData!$CF$48),"",ReferenceData!$CF$48),"")</f>
        <v>6.2607499999999998</v>
      </c>
      <c r="CG48">
        <f ca="1">IFERROR(IF(0=LEN(ReferenceData!$CG$48),"",ReferenceData!$CG$48),"")</f>
        <v>6.195648855</v>
      </c>
      <c r="CH48">
        <f ca="1">IFERROR(IF(0=LEN(ReferenceData!$CH$48),"",ReferenceData!$CH$48),"")</f>
        <v>6.0231923079999996</v>
      </c>
      <c r="CI48">
        <f ca="1">IFERROR(IF(0=LEN(ReferenceData!$CI$48),"",ReferenceData!$CI$48),"")</f>
        <v>5.9712413790000003</v>
      </c>
      <c r="CJ48">
        <f ca="1">IFERROR(IF(0=LEN(ReferenceData!$CJ$48),"",ReferenceData!$CJ$48),"")</f>
        <v>5.9030114500000002</v>
      </c>
      <c r="CK48">
        <f ca="1">IFERROR(IF(0=LEN(ReferenceData!$CK$48),"",ReferenceData!$CK$48),"")</f>
        <v>5.7202307689999996</v>
      </c>
    </row>
    <row r="49" spans="1:89">
      <c r="A49" t="str">
        <f>IFERROR(IF(0=LEN(ReferenceData!$A$49),"",ReferenceData!$A$49),"")</f>
        <v xml:space="preserve">    Mid-America Apartment Communities股份有限公司</v>
      </c>
      <c r="B49" t="str">
        <f>IFERROR(IF(0=LEN(ReferenceData!$B$49),"",ReferenceData!$B$49),"")</f>
        <v>MAA US Equity</v>
      </c>
      <c r="C49" t="str">
        <f>IFERROR(IF(0=LEN(ReferenceData!$C$49),"",ReferenceData!$C$49),"")</f>
        <v>BE038</v>
      </c>
      <c r="D49" t="str">
        <f>IFERROR(IF(0=LEN(ReferenceData!$D$49),"",ReferenceData!$D$49),"")</f>
        <v>BEST_FFOPS</v>
      </c>
      <c r="E49" t="str">
        <f>IFERROR(IF(0=LEN(ReferenceData!$E$49),"",ReferenceData!$E$49),"")</f>
        <v>动态</v>
      </c>
      <c r="F49">
        <f ca="1">IFERROR(IF(0=LEN(ReferenceData!$F$49),"",ReferenceData!$F$49),"")</f>
        <v>6.1154769230000001</v>
      </c>
      <c r="G49">
        <f ca="1">IFERROR(IF(0=LEN(ReferenceData!$G$49),"",ReferenceData!$G$49),"")</f>
        <v>6.1183793099999999</v>
      </c>
      <c r="H49">
        <f ca="1">IFERROR(IF(0=LEN(ReferenceData!$H$49),"",ReferenceData!$H$49),"")</f>
        <v>6.167141762</v>
      </c>
      <c r="I49">
        <f ca="1">IFERROR(IF(0=LEN(ReferenceData!$I$49),"",ReferenceData!$I$49),"")</f>
        <v>6.1879999999999997</v>
      </c>
      <c r="J49">
        <f ca="1">IFERROR(IF(0=LEN(ReferenceData!$J$49),"",ReferenceData!$J$49),"")</f>
        <v>6.2216091950000001</v>
      </c>
      <c r="K49">
        <f ca="1">IFERROR(IF(0=LEN(ReferenceData!$K$49),"",ReferenceData!$K$49),"")</f>
        <v>6.2338888890000002</v>
      </c>
      <c r="L49">
        <f ca="1">IFERROR(IF(0=LEN(ReferenceData!$L$49),"",ReferenceData!$L$49),"")</f>
        <v>6.2467499999999996</v>
      </c>
      <c r="M49">
        <f ca="1">IFERROR(IF(0=LEN(ReferenceData!$M$49),"",ReferenceData!$M$49),"")</f>
        <v>6.200314176</v>
      </c>
      <c r="N49">
        <f ca="1">IFERROR(IF(0=LEN(ReferenceData!$N$49),"",ReferenceData!$N$49),"")</f>
        <v>6.1597279690000004</v>
      </c>
      <c r="O49">
        <f ca="1">IFERROR(IF(0=LEN(ReferenceData!$O$49),"",ReferenceData!$O$49),"")</f>
        <v>6.141</v>
      </c>
      <c r="P49">
        <f ca="1">IFERROR(IF(0=LEN(ReferenceData!$P$49),"",ReferenceData!$P$49),"")</f>
        <v>6.0999310339999999</v>
      </c>
      <c r="Q49">
        <f ca="1">IFERROR(IF(0=LEN(ReferenceData!$Q$49),"",ReferenceData!$Q$49),"")</f>
        <v>6.0321538459999999</v>
      </c>
      <c r="R49">
        <f ca="1">IFERROR(IF(0=LEN(ReferenceData!$R$49),"",ReferenceData!$R$49),"")</f>
        <v>5.9874999999999998</v>
      </c>
      <c r="S49">
        <f ca="1">IFERROR(IF(0=LEN(ReferenceData!$S$49),"",ReferenceData!$S$49),"")</f>
        <v>5.9533026820000003</v>
      </c>
      <c r="T49">
        <f ca="1">IFERROR(IF(0=LEN(ReferenceData!$T$49),"",ReferenceData!$T$49),"")</f>
        <v>5.9812720309999996</v>
      </c>
      <c r="U49">
        <f ca="1">IFERROR(IF(0=LEN(ReferenceData!$U$49),"",ReferenceData!$U$49),"")</f>
        <v>5.9580000000000002</v>
      </c>
      <c r="V49">
        <f ca="1">IFERROR(IF(0=LEN(ReferenceData!$V$49),"",ReferenceData!$V$49),"")</f>
        <v>6.1464674329999998</v>
      </c>
      <c r="W49">
        <f ca="1">IFERROR(IF(0=LEN(ReferenceData!$W$49),"",ReferenceData!$W$49),"")</f>
        <v>6.117969349</v>
      </c>
      <c r="X49">
        <f ca="1">IFERROR(IF(0=LEN(ReferenceData!$X$49),"",ReferenceData!$X$49),"")</f>
        <v>6.1207500000000001</v>
      </c>
      <c r="Y49">
        <f ca="1">IFERROR(IF(0=LEN(ReferenceData!$Y$49),"",ReferenceData!$Y$49),"")</f>
        <v>6.0796666669999997</v>
      </c>
      <c r="Z49">
        <f ca="1">IFERROR(IF(0=LEN(ReferenceData!$Z$49),"",ReferenceData!$Z$49),"")</f>
        <v>6.1429999999999998</v>
      </c>
      <c r="AA49">
        <f ca="1">IFERROR(IF(0=LEN(ReferenceData!$AA$49),"",ReferenceData!$AA$49),"")</f>
        <v>6.1073371649999997</v>
      </c>
      <c r="AB49">
        <f ca="1">IFERROR(IF(0=LEN(ReferenceData!$AB$49),"",ReferenceData!$AB$49),"")</f>
        <v>6.0852413790000002</v>
      </c>
      <c r="AC49">
        <f ca="1">IFERROR(IF(0=LEN(ReferenceData!$AC$49),"",ReferenceData!$AC$49),"")</f>
        <v>6.022384615</v>
      </c>
      <c r="AD49">
        <f ca="1">IFERROR(IF(0=LEN(ReferenceData!$AD$49),"",ReferenceData!$AD$49),"")</f>
        <v>6.0121379309999998</v>
      </c>
      <c r="AE49">
        <f ca="1">IFERROR(IF(0=LEN(ReferenceData!$AE$49),"",ReferenceData!$AE$49),"")</f>
        <v>5.9949655169999998</v>
      </c>
      <c r="AF49">
        <f ca="1">IFERROR(IF(0=LEN(ReferenceData!$AF$49),"",ReferenceData!$AF$49),"")</f>
        <v>5.8780769230000001</v>
      </c>
      <c r="AG49">
        <f ca="1">IFERROR(IF(0=LEN(ReferenceData!$AG$49),"",ReferenceData!$AG$49),"")</f>
        <v>5.8659999999999997</v>
      </c>
      <c r="AH49">
        <f ca="1">IFERROR(IF(0=LEN(ReferenceData!$AH$49),"",ReferenceData!$AH$49),"")</f>
        <v>5.8476755730000001</v>
      </c>
      <c r="AI49">
        <f ca="1">IFERROR(IF(0=LEN(ReferenceData!$AI$49),"",ReferenceData!$AI$49),"")</f>
        <v>5.7690000000000001</v>
      </c>
      <c r="AJ49">
        <f ca="1">IFERROR(IF(0=LEN(ReferenceData!$AJ$49),"",ReferenceData!$AJ$49),"")</f>
        <v>5.6807633590000002</v>
      </c>
      <c r="AK49">
        <f ca="1">IFERROR(IF(0=LEN(ReferenceData!$AK$49),"",ReferenceData!$AK$49),"")</f>
        <v>5.6234198470000001</v>
      </c>
      <c r="AL49">
        <f ca="1">IFERROR(IF(0=LEN(ReferenceData!$AL$49),"",ReferenceData!$AL$49),"")</f>
        <v>5.5839499999999997</v>
      </c>
      <c r="AM49">
        <f ca="1">IFERROR(IF(0=LEN(ReferenceData!$AM$49),"",ReferenceData!$AM$49),"")</f>
        <v>5.5024961829999999</v>
      </c>
      <c r="AN49">
        <f ca="1">IFERROR(IF(0=LEN(ReferenceData!$AN$49),"",ReferenceData!$AN$49),"")</f>
        <v>5.4740076919999998</v>
      </c>
      <c r="AO49">
        <f ca="1">IFERROR(IF(0=LEN(ReferenceData!$AO$49),"",ReferenceData!$AO$49),"")</f>
        <v>5.4403448279999997</v>
      </c>
      <c r="AP49">
        <f ca="1">IFERROR(IF(0=LEN(ReferenceData!$AP$49),"",ReferenceData!$AP$49),"")</f>
        <v>5.4231526719999996</v>
      </c>
      <c r="AQ49">
        <f ca="1">IFERROR(IF(0=LEN(ReferenceData!$AQ$49),"",ReferenceData!$AQ$49),"")</f>
        <v>5.452130769</v>
      </c>
      <c r="AR49">
        <f ca="1">IFERROR(IF(0=LEN(ReferenceData!$AR$49),"",ReferenceData!$AR$49),"")</f>
        <v>5.4116615379999997</v>
      </c>
      <c r="AS49">
        <f ca="1">IFERROR(IF(0=LEN(ReferenceData!$AS$49),"",ReferenceData!$AS$49),"")</f>
        <v>5.3879999999999999</v>
      </c>
      <c r="AT49">
        <f ca="1">IFERROR(IF(0=LEN(ReferenceData!$AT$49),"",ReferenceData!$AT$49),"")</f>
        <v>5.3874500000000003</v>
      </c>
      <c r="AU49">
        <f ca="1">IFERROR(IF(0=LEN(ReferenceData!$AU$49),"",ReferenceData!$AU$49),"")</f>
        <v>5.3389923079999999</v>
      </c>
      <c r="AV49">
        <f ca="1">IFERROR(IF(0=LEN(ReferenceData!$AV$49),"",ReferenceData!$AV$49),"")</f>
        <v>5.2336551719999997</v>
      </c>
      <c r="AW49">
        <f ca="1">IFERROR(IF(0=LEN(ReferenceData!$AW$49),"",ReferenceData!$AW$49),"")</f>
        <v>5.2617384620000003</v>
      </c>
      <c r="AX49">
        <f ca="1">IFERROR(IF(0=LEN(ReferenceData!$AX$49),"",ReferenceData!$AX$49),"")</f>
        <v>5.2864521069999997</v>
      </c>
      <c r="AY49">
        <f ca="1">IFERROR(IF(0=LEN(ReferenceData!$AY$49),"",ReferenceData!$AY$49),"")</f>
        <v>5.2498160919999997</v>
      </c>
      <c r="AZ49">
        <f ca="1">IFERROR(IF(0=LEN(ReferenceData!$AZ$49),"",ReferenceData!$AZ$49),"")</f>
        <v>5.2171307689999997</v>
      </c>
      <c r="BA49">
        <f ca="1">IFERROR(IF(0=LEN(ReferenceData!$BA$49),"",ReferenceData!$BA$49),"")</f>
        <v>5.0947126440000003</v>
      </c>
      <c r="BB49">
        <f ca="1">IFERROR(IF(0=LEN(ReferenceData!$BB$49),"",ReferenceData!$BB$49),"")</f>
        <v>5.0950957849999998</v>
      </c>
      <c r="BC49">
        <f ca="1">IFERROR(IF(0=LEN(ReferenceData!$BC$49),"",ReferenceData!$BC$49),"")</f>
        <v>5.0406615380000002</v>
      </c>
      <c r="BD49">
        <f ca="1">IFERROR(IF(0=LEN(ReferenceData!$BD$49),"",ReferenceData!$BD$49),"")</f>
        <v>5.2085923080000001</v>
      </c>
      <c r="BE49">
        <f ca="1">IFERROR(IF(0=LEN(ReferenceData!$BE$49),"",ReferenceData!$BE$49),"")</f>
        <v>5.1779999999999999</v>
      </c>
      <c r="BF49">
        <f ca="1">IFERROR(IF(0=LEN(ReferenceData!$BF$49),"",ReferenceData!$BF$49),"")</f>
        <v>5.1542615380000001</v>
      </c>
      <c r="BG49">
        <f ca="1">IFERROR(IF(0=LEN(ReferenceData!$BG$49),"",ReferenceData!$BG$49),"")</f>
        <v>5.1837394640000003</v>
      </c>
      <c r="BH49">
        <f ca="1">IFERROR(IF(0=LEN(ReferenceData!$BH$49),"",ReferenceData!$BH$49),"")</f>
        <v>5.1603218389999999</v>
      </c>
      <c r="BI49">
        <f ca="1">IFERROR(IF(0=LEN(ReferenceData!$BI$49),"",ReferenceData!$BI$49),"")</f>
        <v>5.1865423079999999</v>
      </c>
      <c r="BJ49">
        <f ca="1">IFERROR(IF(0=LEN(ReferenceData!$BJ$49),"",ReferenceData!$BJ$49),"")</f>
        <v>5.1322835250000001</v>
      </c>
      <c r="BK49">
        <f ca="1">IFERROR(IF(0=LEN(ReferenceData!$BK$49),"",ReferenceData!$BK$49),"")</f>
        <v>5.1080769229999996</v>
      </c>
      <c r="BL49">
        <f ca="1">IFERROR(IF(0=LEN(ReferenceData!$BL$49),"",ReferenceData!$BL$49),"")</f>
        <v>5.0507999999999997</v>
      </c>
      <c r="BM49">
        <f ca="1">IFERROR(IF(0=LEN(ReferenceData!$BM$49),"",ReferenceData!$BM$49),"")</f>
        <v>4.9867586209999999</v>
      </c>
      <c r="BN49">
        <f ca="1">IFERROR(IF(0=LEN(ReferenceData!$BN$49),"",ReferenceData!$BN$49),"")</f>
        <v>4.9660192309999998</v>
      </c>
      <c r="BO49">
        <f ca="1">IFERROR(IF(0=LEN(ReferenceData!$BO$49),"",ReferenceData!$BO$49),"")</f>
        <v>4.9355555559999997</v>
      </c>
      <c r="BP49">
        <f ca="1">IFERROR(IF(0=LEN(ReferenceData!$BP$49),"",ReferenceData!$BP$49),"")</f>
        <v>4.866693487</v>
      </c>
      <c r="BQ49">
        <f ca="1">IFERROR(IF(0=LEN(ReferenceData!$BQ$49),"",ReferenceData!$BQ$49),"")</f>
        <v>4.83</v>
      </c>
      <c r="BR49">
        <f ca="1">IFERROR(IF(0=LEN(ReferenceData!$BR$49),"",ReferenceData!$BR$49),"")</f>
        <v>4.7897076920000003</v>
      </c>
      <c r="BS49">
        <f ca="1">IFERROR(IF(0=LEN(ReferenceData!$BS$49),"",ReferenceData!$BS$49),"")</f>
        <v>4.7563754789999999</v>
      </c>
      <c r="BT49">
        <f ca="1">IFERROR(IF(0=LEN(ReferenceData!$BT$49),"",ReferenceData!$BT$49),"")</f>
        <v>4.7512307690000002</v>
      </c>
      <c r="BU49">
        <f ca="1">IFERROR(IF(0=LEN(ReferenceData!$BU$49),"",ReferenceData!$BU$49),"")</f>
        <v>4.729476923</v>
      </c>
      <c r="BV49">
        <f ca="1">IFERROR(IF(0=LEN(ReferenceData!$BV$49),"",ReferenceData!$BV$49),"")</f>
        <v>4.6146896550000003</v>
      </c>
      <c r="BW49">
        <f ca="1">IFERROR(IF(0=LEN(ReferenceData!$BW$49),"",ReferenceData!$BW$49),"")</f>
        <v>4.5897538459999998</v>
      </c>
      <c r="BX49">
        <f ca="1">IFERROR(IF(0=LEN(ReferenceData!$BX$49),"",ReferenceData!$BX$49),"")</f>
        <v>4.5594750959999999</v>
      </c>
      <c r="BY49">
        <f ca="1">IFERROR(IF(0=LEN(ReferenceData!$BY$49),"",ReferenceData!$BY$49),"")</f>
        <v>4.517984674</v>
      </c>
      <c r="BZ49">
        <f ca="1">IFERROR(IF(0=LEN(ReferenceData!$BZ$49),"",ReferenceData!$BZ$49),"")</f>
        <v>4.4774923080000004</v>
      </c>
      <c r="CA49">
        <f ca="1">IFERROR(IF(0=LEN(ReferenceData!$CA$49),"",ReferenceData!$CA$49),"")</f>
        <v>4.4354022989999997</v>
      </c>
      <c r="CB49">
        <f ca="1">IFERROR(IF(0=LEN(ReferenceData!$CB$49),"",ReferenceData!$CB$49),"")</f>
        <v>4.3981259540000002</v>
      </c>
      <c r="CC49">
        <f ca="1">IFERROR(IF(0=LEN(ReferenceData!$CC$49),"",ReferenceData!$CC$49),"")</f>
        <v>4.3620000000000001</v>
      </c>
      <c r="CD49">
        <f ca="1">IFERROR(IF(0=LEN(ReferenceData!$CD$49),"",ReferenceData!$CD$49),"")</f>
        <v>4.3305954199999999</v>
      </c>
      <c r="CE49">
        <f ca="1">IFERROR(IF(0=LEN(ReferenceData!$CE$49),"",ReferenceData!$CE$49),"")</f>
        <v>4.3095801529999997</v>
      </c>
      <c r="CF49">
        <f ca="1">IFERROR(IF(0=LEN(ReferenceData!$CF$49),"",ReferenceData!$CF$49),"")</f>
        <v>4.2850000000000001</v>
      </c>
      <c r="CG49">
        <f ca="1">IFERROR(IF(0=LEN(ReferenceData!$CG$49),"",ReferenceData!$CG$49),"")</f>
        <v>4.2650916030000001</v>
      </c>
      <c r="CH49">
        <f ca="1">IFERROR(IF(0=LEN(ReferenceData!$CH$49),"",ReferenceData!$CH$49),"")</f>
        <v>4.196961538</v>
      </c>
      <c r="CI49">
        <f ca="1">IFERROR(IF(0=LEN(ReferenceData!$CI$49),"",ReferenceData!$CI$49),"")</f>
        <v>4.1769808429999999</v>
      </c>
      <c r="CJ49">
        <f ca="1">IFERROR(IF(0=LEN(ReferenceData!$CJ$49),"",ReferenceData!$CJ$49),"")</f>
        <v>4.1534961829999997</v>
      </c>
      <c r="CK49">
        <f ca="1">IFERROR(IF(0=LEN(ReferenceData!$CK$49),"",ReferenceData!$CK$49),"")</f>
        <v>4.1103461540000001</v>
      </c>
    </row>
    <row r="50" spans="1:89">
      <c r="A50" t="str">
        <f>IFERROR(IF(0=LEN(ReferenceData!$A$50),"",ReferenceData!$A$50),"")</f>
        <v xml:space="preserve">    UDR 公司</v>
      </c>
      <c r="B50" t="str">
        <f>IFERROR(IF(0=LEN(ReferenceData!$B$50),"",ReferenceData!$B$50),"")</f>
        <v>UDR US Equity</v>
      </c>
      <c r="C50" t="str">
        <f>IFERROR(IF(0=LEN(ReferenceData!$C$50),"",ReferenceData!$C$50),"")</f>
        <v>BE038</v>
      </c>
      <c r="D50" t="str">
        <f>IFERROR(IF(0=LEN(ReferenceData!$D$50),"",ReferenceData!$D$50),"")</f>
        <v>BEST_FFOPS</v>
      </c>
      <c r="E50" t="str">
        <f>IFERROR(IF(0=LEN(ReferenceData!$E$50),"",ReferenceData!$E$50),"")</f>
        <v>动态</v>
      </c>
      <c r="F50">
        <f ca="1">IFERROR(IF(0=LEN(ReferenceData!$F$50),"",ReferenceData!$F$50),"")</f>
        <v>1.967584615</v>
      </c>
      <c r="G50">
        <f ca="1">IFERROR(IF(0=LEN(ReferenceData!$G$50),"",ReferenceData!$G$50),"")</f>
        <v>1.9612873559999999</v>
      </c>
      <c r="H50">
        <f ca="1">IFERROR(IF(0=LEN(ReferenceData!$H$50),"",ReferenceData!$H$50),"")</f>
        <v>1.979693487</v>
      </c>
      <c r="I50">
        <f ca="1">IFERROR(IF(0=LEN(ReferenceData!$I$50),"",ReferenceData!$I$50),"")</f>
        <v>1.968</v>
      </c>
      <c r="J50">
        <f ca="1">IFERROR(IF(0=LEN(ReferenceData!$J$50),"",ReferenceData!$J$50),"")</f>
        <v>1.956954023</v>
      </c>
      <c r="K50">
        <f ca="1">IFERROR(IF(0=LEN(ReferenceData!$K$50),"",ReferenceData!$K$50),"")</f>
        <v>1.9448658999999999</v>
      </c>
      <c r="L50">
        <f ca="1">IFERROR(IF(0=LEN(ReferenceData!$L$50),"",ReferenceData!$L$50),"")</f>
        <v>1.9350000000000001</v>
      </c>
      <c r="M50">
        <f ca="1">IFERROR(IF(0=LEN(ReferenceData!$M$50),"",ReferenceData!$M$50),"")</f>
        <v>1.9273793100000001</v>
      </c>
      <c r="N50">
        <f ca="1">IFERROR(IF(0=LEN(ReferenceData!$N$50),"",ReferenceData!$N$50),"")</f>
        <v>1.9170727970000001</v>
      </c>
      <c r="O50">
        <f ca="1">IFERROR(IF(0=LEN(ReferenceData!$O$50),"",ReferenceData!$O$50),"")</f>
        <v>1.9065000000000001</v>
      </c>
      <c r="P50">
        <f ca="1">IFERROR(IF(0=LEN(ReferenceData!$P$50),"",ReferenceData!$P$50),"")</f>
        <v>1.8968390799999999</v>
      </c>
      <c r="Q50">
        <f ca="1">IFERROR(IF(0=LEN(ReferenceData!$Q$50),"",ReferenceData!$Q$50),"")</f>
        <v>1.883115385</v>
      </c>
      <c r="R50">
        <f ca="1">IFERROR(IF(0=LEN(ReferenceData!$R$50),"",ReferenceData!$R$50),"")</f>
        <v>1.87575</v>
      </c>
      <c r="S50">
        <f ca="1">IFERROR(IF(0=LEN(ReferenceData!$S$50),"",ReferenceData!$S$50),"")</f>
        <v>1.868168582</v>
      </c>
      <c r="T50">
        <f ca="1">IFERROR(IF(0=LEN(ReferenceData!$T$50),"",ReferenceData!$T$50),"")</f>
        <v>1.873076628</v>
      </c>
      <c r="U50">
        <f ca="1">IFERROR(IF(0=LEN(ReferenceData!$U$50),"",ReferenceData!$U$50),"")</f>
        <v>1.865</v>
      </c>
      <c r="V50">
        <f ca="1">IFERROR(IF(0=LEN(ReferenceData!$V$50),"",ReferenceData!$V$50),"")</f>
        <v>1.862835249</v>
      </c>
      <c r="W50">
        <f ca="1">IFERROR(IF(0=LEN(ReferenceData!$W$50),"",ReferenceData!$W$50),"")</f>
        <v>1.8553333329999999</v>
      </c>
      <c r="X50">
        <f ca="1">IFERROR(IF(0=LEN(ReferenceData!$X$50),"",ReferenceData!$X$50),"")</f>
        <v>1.85625</v>
      </c>
      <c r="Y50">
        <f ca="1">IFERROR(IF(0=LEN(ReferenceData!$Y$50),"",ReferenceData!$Y$50),"")</f>
        <v>1.851</v>
      </c>
      <c r="Z50">
        <f ca="1">IFERROR(IF(0=LEN(ReferenceData!$Z$50),"",ReferenceData!$Z$50),"")</f>
        <v>1.842615385</v>
      </c>
      <c r="AA50">
        <f ca="1">IFERROR(IF(0=LEN(ReferenceData!$AA$50),"",ReferenceData!$AA$50),"")</f>
        <v>1.8307739460000001</v>
      </c>
      <c r="AB50">
        <f ca="1">IFERROR(IF(0=LEN(ReferenceData!$AB$50),"",ReferenceData!$AB$50),"")</f>
        <v>1.828068966</v>
      </c>
      <c r="AC50">
        <f ca="1">IFERROR(IF(0=LEN(ReferenceData!$AC$50),"",ReferenceData!$AC$50),"")</f>
        <v>1.8179038460000001</v>
      </c>
      <c r="AD50">
        <f ca="1">IFERROR(IF(0=LEN(ReferenceData!$AD$50),"",ReferenceData!$AD$50),"")</f>
        <v>1.8161379310000001</v>
      </c>
      <c r="AE50">
        <f ca="1">IFERROR(IF(0=LEN(ReferenceData!$AE$50),"",ReferenceData!$AE$50),"")</f>
        <v>1.8034712639999999</v>
      </c>
      <c r="AF50">
        <f ca="1">IFERROR(IF(0=LEN(ReferenceData!$AF$50),"",ReferenceData!$AF$50),"")</f>
        <v>1.795230769</v>
      </c>
      <c r="AG50">
        <f ca="1">IFERROR(IF(0=LEN(ReferenceData!$AG$50),"",ReferenceData!$AG$50),"")</f>
        <v>1.7889999999999999</v>
      </c>
      <c r="AH50">
        <f ca="1">IFERROR(IF(0=LEN(ReferenceData!$AH$50),"",ReferenceData!$AH$50),"")</f>
        <v>1.777553435</v>
      </c>
      <c r="AI50">
        <f ca="1">IFERROR(IF(0=LEN(ReferenceData!$AI$50),"",ReferenceData!$AI$50),"")</f>
        <v>1.7622</v>
      </c>
      <c r="AJ50">
        <f ca="1">IFERROR(IF(0=LEN(ReferenceData!$AJ$50),"",ReferenceData!$AJ$50),"")</f>
        <v>1.7512748090000001</v>
      </c>
      <c r="AK50">
        <f ca="1">IFERROR(IF(0=LEN(ReferenceData!$AK$50),"",ReferenceData!$AK$50),"")</f>
        <v>1.7370458019999999</v>
      </c>
      <c r="AL50">
        <f ca="1">IFERROR(IF(0=LEN(ReferenceData!$AL$50),"",ReferenceData!$AL$50),"")</f>
        <v>1.7207230769999999</v>
      </c>
      <c r="AM50">
        <f ca="1">IFERROR(IF(0=LEN(ReferenceData!$AM$50),"",ReferenceData!$AM$50),"")</f>
        <v>1.7065877860000001</v>
      </c>
      <c r="AN50">
        <f ca="1">IFERROR(IF(0=LEN(ReferenceData!$AN$50),"",ReferenceData!$AN$50),"")</f>
        <v>1.690730769</v>
      </c>
      <c r="AO50">
        <f ca="1">IFERROR(IF(0=LEN(ReferenceData!$AO$50),"",ReferenceData!$AO$50),"")</f>
        <v>1.6769616860000001</v>
      </c>
      <c r="AP50">
        <f ca="1">IFERROR(IF(0=LEN(ReferenceData!$AP$50),"",ReferenceData!$AP$50),"")</f>
        <v>1.6613129769999999</v>
      </c>
      <c r="AQ50">
        <f ca="1">IFERROR(IF(0=LEN(ReferenceData!$AQ$50),"",ReferenceData!$AQ$50),"")</f>
        <v>1.6486115379999999</v>
      </c>
      <c r="AR50">
        <f ca="1">IFERROR(IF(0=LEN(ReferenceData!$AR$50),"",ReferenceData!$AR$50),"")</f>
        <v>1.6479153849999999</v>
      </c>
      <c r="AS50">
        <f ca="1">IFERROR(IF(0=LEN(ReferenceData!$AS$50),"",ReferenceData!$AS$50),"")</f>
        <v>1.6379999999999999</v>
      </c>
      <c r="AT50">
        <f ca="1">IFERROR(IF(0=LEN(ReferenceData!$AT$50),"",ReferenceData!$AT$50),"")</f>
        <v>1.629623077</v>
      </c>
      <c r="AU50">
        <f ca="1">IFERROR(IF(0=LEN(ReferenceData!$AU$50),"",ReferenceData!$AU$50),"")</f>
        <v>1.6049500000000001</v>
      </c>
      <c r="AV50">
        <f ca="1">IFERROR(IF(0=LEN(ReferenceData!$AV$50),"",ReferenceData!$AV$50),"")</f>
        <v>1.5984942529999999</v>
      </c>
      <c r="AW50">
        <f ca="1">IFERROR(IF(0=LEN(ReferenceData!$AW$50),"",ReferenceData!$AW$50),"")</f>
        <v>1.583246154</v>
      </c>
      <c r="AX50">
        <f ca="1">IFERROR(IF(0=LEN(ReferenceData!$AX$50),"",ReferenceData!$AX$50),"")</f>
        <v>1.5800727969999999</v>
      </c>
      <c r="AY50">
        <f ca="1">IFERROR(IF(0=LEN(ReferenceData!$AY$50),"",ReferenceData!$AY$50),"")</f>
        <v>1.5554597699999999</v>
      </c>
      <c r="AZ50">
        <f ca="1">IFERROR(IF(0=LEN(ReferenceData!$AZ$50),"",ReferenceData!$AZ$50),"")</f>
        <v>1.5464500000000001</v>
      </c>
      <c r="BA50">
        <f ca="1">IFERROR(IF(0=LEN(ReferenceData!$BA$50),"",ReferenceData!$BA$50),"")</f>
        <v>1.5346321839999999</v>
      </c>
      <c r="BB50">
        <f ca="1">IFERROR(IF(0=LEN(ReferenceData!$BB$50),"",ReferenceData!$BB$50),"")</f>
        <v>1.526766284</v>
      </c>
      <c r="BC50">
        <f ca="1">IFERROR(IF(0=LEN(ReferenceData!$BC$50),"",ReferenceData!$BC$50),"")</f>
        <v>1.5144769229999999</v>
      </c>
      <c r="BD50">
        <f ca="1">IFERROR(IF(0=LEN(ReferenceData!$BD$50),"",ReferenceData!$BD$50),"")</f>
        <v>1.498223077</v>
      </c>
      <c r="BE50">
        <f ca="1">IFERROR(IF(0=LEN(ReferenceData!$BE$50),"",ReferenceData!$BE$50),"")</f>
        <v>1.488</v>
      </c>
      <c r="BF50">
        <f ca="1">IFERROR(IF(0=LEN(ReferenceData!$BF$50),"",ReferenceData!$BF$50),"")</f>
        <v>1.4808384619999999</v>
      </c>
      <c r="BG50">
        <f ca="1">IFERROR(IF(0=LEN(ReferenceData!$BG$50),"",ReferenceData!$BG$50),"")</f>
        <v>1.4727854410000001</v>
      </c>
      <c r="BH50">
        <f ca="1">IFERROR(IF(0=LEN(ReferenceData!$BH$50),"",ReferenceData!$BH$50),"")</f>
        <v>1.4640459770000001</v>
      </c>
      <c r="BI50">
        <f ca="1">IFERROR(IF(0=LEN(ReferenceData!$BI$50),"",ReferenceData!$BI$50),"")</f>
        <v>1.4589076919999999</v>
      </c>
      <c r="BJ50">
        <f ca="1">IFERROR(IF(0=LEN(ReferenceData!$BJ$50),"",ReferenceData!$BJ$50),"")</f>
        <v>1.4552490419999999</v>
      </c>
      <c r="BK50">
        <f ca="1">IFERROR(IF(0=LEN(ReferenceData!$BK$50),"",ReferenceData!$BK$50),"")</f>
        <v>1.435846154</v>
      </c>
      <c r="BL50">
        <f ca="1">IFERROR(IF(0=LEN(ReferenceData!$BL$50),"",ReferenceData!$BL$50),"")</f>
        <v>1.4251384620000001</v>
      </c>
      <c r="BM50">
        <f ca="1">IFERROR(IF(0=LEN(ReferenceData!$BM$50),"",ReferenceData!$BM$50),"")</f>
        <v>1.4129846740000001</v>
      </c>
      <c r="BN50">
        <f ca="1">IFERROR(IF(0=LEN(ReferenceData!$BN$50),"",ReferenceData!$BN$50),"")</f>
        <v>1.4085038459999999</v>
      </c>
      <c r="BO50">
        <f ca="1">IFERROR(IF(0=LEN(ReferenceData!$BO$50),"",ReferenceData!$BO$50),"")</f>
        <v>1.4146628349999999</v>
      </c>
      <c r="BP50">
        <f ca="1">IFERROR(IF(0=LEN(ReferenceData!$BP$50),"",ReferenceData!$BP$50),"")</f>
        <v>1.446517241</v>
      </c>
      <c r="BQ50">
        <f ca="1">IFERROR(IF(0=LEN(ReferenceData!$BQ$50),"",ReferenceData!$BQ$50),"")</f>
        <v>1.4359999999999999</v>
      </c>
      <c r="BR50">
        <f ca="1">IFERROR(IF(0=LEN(ReferenceData!$BR$50),"",ReferenceData!$BR$50),"")</f>
        <v>1.438569231</v>
      </c>
      <c r="BS50">
        <f ca="1">IFERROR(IF(0=LEN(ReferenceData!$BS$50),"",ReferenceData!$BS$50),"")</f>
        <v>1.4361724140000001</v>
      </c>
      <c r="BT50">
        <f ca="1">IFERROR(IF(0=LEN(ReferenceData!$BT$50),"",ReferenceData!$BT$50),"")</f>
        <v>1.426169231</v>
      </c>
      <c r="BU50">
        <f ca="1">IFERROR(IF(0=LEN(ReferenceData!$BU$50),"",ReferenceData!$BU$50),"")</f>
        <v>1.4192230770000001</v>
      </c>
      <c r="BV50">
        <f ca="1">IFERROR(IF(0=LEN(ReferenceData!$BV$50),"",ReferenceData!$BV$50),"")</f>
        <v>1.413666667</v>
      </c>
      <c r="BW50">
        <f ca="1">IFERROR(IF(0=LEN(ReferenceData!$BW$50),"",ReferenceData!$BW$50),"")</f>
        <v>1.412142308</v>
      </c>
      <c r="BX50">
        <f ca="1">IFERROR(IF(0=LEN(ReferenceData!$BX$50),"",ReferenceData!$BX$50),"")</f>
        <v>1.4184329499999999</v>
      </c>
      <c r="BY50">
        <f ca="1">IFERROR(IF(0=LEN(ReferenceData!$BY$50),"",ReferenceData!$BY$50),"")</f>
        <v>1.431881226</v>
      </c>
      <c r="BZ50">
        <f ca="1">IFERROR(IF(0=LEN(ReferenceData!$BZ$50),"",ReferenceData!$BZ$50),"")</f>
        <v>1.4385076919999999</v>
      </c>
      <c r="CA50">
        <f ca="1">IFERROR(IF(0=LEN(ReferenceData!$CA$50),"",ReferenceData!$CA$50),"")</f>
        <v>1.4290881230000001</v>
      </c>
      <c r="CB50">
        <f ca="1">IFERROR(IF(0=LEN(ReferenceData!$CB$50),"",ReferenceData!$CB$50),"")</f>
        <v>1.4210610690000001</v>
      </c>
      <c r="CC50">
        <f ca="1">IFERROR(IF(0=LEN(ReferenceData!$CC$50),"",ReferenceData!$CC$50),"")</f>
        <v>1.419</v>
      </c>
      <c r="CD50">
        <f ca="1">IFERROR(IF(0=LEN(ReferenceData!$CD$50),"",ReferenceData!$CD$50),"")</f>
        <v>1.406740458</v>
      </c>
      <c r="CE50">
        <f ca="1">IFERROR(IF(0=LEN(ReferenceData!$CE$50),"",ReferenceData!$CE$50),"")</f>
        <v>1.391977099</v>
      </c>
      <c r="CF50">
        <f ca="1">IFERROR(IF(0=LEN(ReferenceData!$CF$50),"",ReferenceData!$CF$50),"")</f>
        <v>1.3807499999999999</v>
      </c>
      <c r="CG50">
        <f ca="1">IFERROR(IF(0=LEN(ReferenceData!$CG$50),"",ReferenceData!$CG$50),"")</f>
        <v>1.368858779</v>
      </c>
      <c r="CH50">
        <f ca="1">IFERROR(IF(0=LEN(ReferenceData!$CH$50),"",ReferenceData!$CH$50),"")</f>
        <v>1.3440384620000001</v>
      </c>
      <c r="CI50">
        <f ca="1">IFERROR(IF(0=LEN(ReferenceData!$CI$50),"",ReferenceData!$CI$50),"")</f>
        <v>1.3187356320000001</v>
      </c>
      <c r="CJ50">
        <f ca="1">IFERROR(IF(0=LEN(ReferenceData!$CJ$50),"",ReferenceData!$CJ$50),"")</f>
        <v>1.3049961830000001</v>
      </c>
      <c r="CK50">
        <f ca="1">IFERROR(IF(0=LEN(ReferenceData!$CK$50),"",ReferenceData!$CK$50),"")</f>
        <v>1.2835000000000001</v>
      </c>
    </row>
    <row r="51" spans="1:89">
      <c r="A51" t="str">
        <f>IFERROR(IF(0=LEN(ReferenceData!$A$51),"",ReferenceData!$A$51),"")</f>
        <v>2017年预测每股FFO</v>
      </c>
      <c r="B51" t="str">
        <f>IFERROR(IF(0=LEN(ReferenceData!$B$51),"",ReferenceData!$B$51),"")</f>
        <v>BRFREITV Index</v>
      </c>
      <c r="C51" t="str">
        <f>IFERROR(IF(0=LEN(ReferenceData!$C$51),"",ReferenceData!$C$51),"")</f>
        <v/>
      </c>
      <c r="D51" t="str">
        <f>IFERROR(IF(0=LEN(ReferenceData!$D$51),"",ReferenceData!$D$51),"")</f>
        <v/>
      </c>
      <c r="E51" t="str">
        <f>IFERROR(IF(0=LEN(ReferenceData!$E$51),"",ReferenceData!$E$51),"")</f>
        <v>Sum</v>
      </c>
      <c r="F51" t="str">
        <f ca="1">IFERROR(IF(0=LEN(ReferenceData!$F$51),"",ReferenceData!$F$51),"")</f>
        <v/>
      </c>
      <c r="G51">
        <f ca="1">IFERROR(IF(0=LEN(ReferenceData!$G$51),"",ReferenceData!$G$51),"")</f>
        <v>18.869</v>
      </c>
      <c r="H51">
        <f ca="1">IFERROR(IF(0=LEN(ReferenceData!$H$51),"",ReferenceData!$H$51),"")</f>
        <v>38.344000000000001</v>
      </c>
      <c r="I51">
        <f ca="1">IFERROR(IF(0=LEN(ReferenceData!$I$51),"",ReferenceData!$I$51),"")</f>
        <v>38.363999999999997</v>
      </c>
      <c r="J51">
        <f ca="1">IFERROR(IF(0=LEN(ReferenceData!$J$51),"",ReferenceData!$J$51),"")</f>
        <v>38.322000000000003</v>
      </c>
      <c r="K51">
        <f ca="1">IFERROR(IF(0=LEN(ReferenceData!$K$51),"",ReferenceData!$K$51),"")</f>
        <v>38.291999999999994</v>
      </c>
      <c r="L51">
        <f ca="1">IFERROR(IF(0=LEN(ReferenceData!$L$51),"",ReferenceData!$L$51),"")</f>
        <v>38.335999999999991</v>
      </c>
      <c r="M51">
        <f ca="1">IFERROR(IF(0=LEN(ReferenceData!$M$51),"",ReferenceData!$M$51),"")</f>
        <v>38.357999999999997</v>
      </c>
      <c r="N51">
        <f ca="1">IFERROR(IF(0=LEN(ReferenceData!$N$51),"",ReferenceData!$N$51),"")</f>
        <v>38.35</v>
      </c>
      <c r="O51">
        <f ca="1">IFERROR(IF(0=LEN(ReferenceData!$O$51),"",ReferenceData!$O$51),"")</f>
        <v>38.332999999999991</v>
      </c>
      <c r="P51">
        <f ca="1">IFERROR(IF(0=LEN(ReferenceData!$P$51),"",ReferenceData!$P$51),"")</f>
        <v>38.344999999999999</v>
      </c>
      <c r="Q51">
        <f ca="1">IFERROR(IF(0=LEN(ReferenceData!$Q$51),"",ReferenceData!$Q$51),"")</f>
        <v>38.247</v>
      </c>
      <c r="R51">
        <f ca="1">IFERROR(IF(0=LEN(ReferenceData!$R$51),"",ReferenceData!$R$51),"")</f>
        <v>38.265999999999998</v>
      </c>
      <c r="S51">
        <f ca="1">IFERROR(IF(0=LEN(ReferenceData!$S$51),"",ReferenceData!$S$51),"")</f>
        <v>38.276999999999994</v>
      </c>
      <c r="T51">
        <f ca="1">IFERROR(IF(0=LEN(ReferenceData!$T$51),"",ReferenceData!$T$51),"")</f>
        <v>38.524000000000001</v>
      </c>
      <c r="U51">
        <f ca="1">IFERROR(IF(0=LEN(ReferenceData!$U$51),"",ReferenceData!$U$51),"")</f>
        <v>38.536000000000001</v>
      </c>
      <c r="V51">
        <f ca="1">IFERROR(IF(0=LEN(ReferenceData!$V$51),"",ReferenceData!$V$51),"")</f>
        <v>38.796999999999997</v>
      </c>
      <c r="W51">
        <f ca="1">IFERROR(IF(0=LEN(ReferenceData!$W$51),"",ReferenceData!$W$51),"")</f>
        <v>38.787999999999997</v>
      </c>
      <c r="X51">
        <f ca="1">IFERROR(IF(0=LEN(ReferenceData!$X$51),"",ReferenceData!$X$51),"")</f>
        <v>38.959999999999994</v>
      </c>
      <c r="Y51">
        <f ca="1">IFERROR(IF(0=LEN(ReferenceData!$Y$51),"",ReferenceData!$Y$51),"")</f>
        <v>38.939</v>
      </c>
      <c r="Z51">
        <f ca="1">IFERROR(IF(0=LEN(ReferenceData!$Z$51),"",ReferenceData!$Z$51),"")</f>
        <v>39.173000000000002</v>
      </c>
      <c r="AA51">
        <f ca="1">IFERROR(IF(0=LEN(ReferenceData!$AA$51),"",ReferenceData!$AA$51),"")</f>
        <v>39.249000000000002</v>
      </c>
      <c r="AB51">
        <f ca="1">IFERROR(IF(0=LEN(ReferenceData!$AB$51),"",ReferenceData!$AB$51),"")</f>
        <v>39.335999999999999</v>
      </c>
      <c r="AC51">
        <f ca="1">IFERROR(IF(0=LEN(ReferenceData!$AC$51),"",ReferenceData!$AC$51),"")</f>
        <v>39.802000000000007</v>
      </c>
      <c r="AD51">
        <f ca="1">IFERROR(IF(0=LEN(ReferenceData!$AD$51),"",ReferenceData!$AD$51),"")</f>
        <v>39.960000000000008</v>
      </c>
      <c r="AE51">
        <f ca="1">IFERROR(IF(0=LEN(ReferenceData!$AE$51),"",ReferenceData!$AE$51),"")</f>
        <v>39.960999999999999</v>
      </c>
      <c r="AF51">
        <f ca="1">IFERROR(IF(0=LEN(ReferenceData!$AF$51),"",ReferenceData!$AF$51),"")</f>
        <v>40.067999999999998</v>
      </c>
      <c r="AG51">
        <f ca="1">IFERROR(IF(0=LEN(ReferenceData!$AG$51),"",ReferenceData!$AG$51),"")</f>
        <v>40.25</v>
      </c>
      <c r="AH51">
        <f ca="1">IFERROR(IF(0=LEN(ReferenceData!$AH$51),"",ReferenceData!$AH$51),"")</f>
        <v>40.345999999999989</v>
      </c>
      <c r="AI51">
        <f ca="1">IFERROR(IF(0=LEN(ReferenceData!$AI$51),"",ReferenceData!$AI$51),"")</f>
        <v>40.373000000000005</v>
      </c>
      <c r="AJ51">
        <f ca="1">IFERROR(IF(0=LEN(ReferenceData!$AJ$51),"",ReferenceData!$AJ$51),"")</f>
        <v>28.823</v>
      </c>
      <c r="AK51">
        <f ca="1">IFERROR(IF(0=LEN(ReferenceData!$AK$51),"",ReferenceData!$AK$51),"")</f>
        <v>40.214999999999996</v>
      </c>
      <c r="AL51">
        <f ca="1">IFERROR(IF(0=LEN(ReferenceData!$AL$51),"",ReferenceData!$AL$51),"")</f>
        <v>39.742999999999995</v>
      </c>
      <c r="AM51">
        <f ca="1">IFERROR(IF(0=LEN(ReferenceData!$AM$51),"",ReferenceData!$AM$51),"")</f>
        <v>39.561</v>
      </c>
      <c r="AN51">
        <f ca="1">IFERROR(IF(0=LEN(ReferenceData!$AN$51),"",ReferenceData!$AN$51),"")</f>
        <v>39.270999999999994</v>
      </c>
      <c r="AO51">
        <f ca="1">IFERROR(IF(0=LEN(ReferenceData!$AO$51),"",ReferenceData!$AO$51),"")</f>
        <v>38.698</v>
      </c>
      <c r="AP51">
        <f ca="1">IFERROR(IF(0=LEN(ReferenceData!$AP$51),"",ReferenceData!$AP$51),"")</f>
        <v>32.893000000000001</v>
      </c>
      <c r="AQ51">
        <f ca="1">IFERROR(IF(0=LEN(ReferenceData!$AQ$51),"",ReferenceData!$AQ$51),"")</f>
        <v>32.800999999999995</v>
      </c>
      <c r="AR51">
        <f ca="1">IFERROR(IF(0=LEN(ReferenceData!$AR$51),"",ReferenceData!$AR$51),"")</f>
        <v>13.565</v>
      </c>
      <c r="AS51" t="str">
        <f ca="1">IFERROR(IF(0=LEN(ReferenceData!$AS$51),"",ReferenceData!$AS$51),"")</f>
        <v/>
      </c>
      <c r="AT51" t="str">
        <f ca="1">IFERROR(IF(0=LEN(ReferenceData!$AT$51),"",ReferenceData!$AT$51),"")</f>
        <v/>
      </c>
      <c r="AU51" t="str">
        <f ca="1">IFERROR(IF(0=LEN(ReferenceData!$AU$51),"",ReferenceData!$AU$51),"")</f>
        <v/>
      </c>
      <c r="AV51" t="str">
        <f ca="1">IFERROR(IF(0=LEN(ReferenceData!$AV$51),"",ReferenceData!$AV$51),"")</f>
        <v/>
      </c>
      <c r="AW51" t="str">
        <f ca="1">IFERROR(IF(0=LEN(ReferenceData!$AW$51),"",ReferenceData!$AW$51),"")</f>
        <v/>
      </c>
      <c r="AX51" t="str">
        <f ca="1">IFERROR(IF(0=LEN(ReferenceData!$AX$51),"",ReferenceData!$AX$51),"")</f>
        <v/>
      </c>
      <c r="AY51" t="str">
        <f ca="1">IFERROR(IF(0=LEN(ReferenceData!$AY$51),"",ReferenceData!$AY$51),"")</f>
        <v/>
      </c>
      <c r="AZ51" t="str">
        <f ca="1">IFERROR(IF(0=LEN(ReferenceData!$AZ$51),"",ReferenceData!$AZ$51),"")</f>
        <v/>
      </c>
      <c r="BA51" t="str">
        <f ca="1">IFERROR(IF(0=LEN(ReferenceData!$BA$51),"",ReferenceData!$BA$51),"")</f>
        <v/>
      </c>
      <c r="BB51" t="str">
        <f ca="1">IFERROR(IF(0=LEN(ReferenceData!$BB$51),"",ReferenceData!$BB$51),"")</f>
        <v/>
      </c>
      <c r="BC51" t="str">
        <f ca="1">IFERROR(IF(0=LEN(ReferenceData!$BC$51),"",ReferenceData!$BC$51),"")</f>
        <v/>
      </c>
      <c r="BD51" t="str">
        <f ca="1">IFERROR(IF(0=LEN(ReferenceData!$BD$51),"",ReferenceData!$BD$51),"")</f>
        <v/>
      </c>
      <c r="BE51" t="str">
        <f ca="1">IFERROR(IF(0=LEN(ReferenceData!$BE$51),"",ReferenceData!$BE$51),"")</f>
        <v/>
      </c>
      <c r="BF51" t="str">
        <f ca="1">IFERROR(IF(0=LEN(ReferenceData!$BF$51),"",ReferenceData!$BF$51),"")</f>
        <v/>
      </c>
      <c r="BG51" t="str">
        <f ca="1">IFERROR(IF(0=LEN(ReferenceData!$BG$51),"",ReferenceData!$BG$51),"")</f>
        <v/>
      </c>
      <c r="BH51" t="str">
        <f ca="1">IFERROR(IF(0=LEN(ReferenceData!$BH$51),"",ReferenceData!$BH$51),"")</f>
        <v/>
      </c>
      <c r="BI51" t="str">
        <f ca="1">IFERROR(IF(0=LEN(ReferenceData!$BI$51),"",ReferenceData!$BI$51),"")</f>
        <v/>
      </c>
      <c r="BJ51" t="str">
        <f ca="1">IFERROR(IF(0=LEN(ReferenceData!$BJ$51),"",ReferenceData!$BJ$51),"")</f>
        <v/>
      </c>
      <c r="BK51" t="str">
        <f ca="1">IFERROR(IF(0=LEN(ReferenceData!$BK$51),"",ReferenceData!$BK$51),"")</f>
        <v/>
      </c>
      <c r="BL51" t="str">
        <f ca="1">IFERROR(IF(0=LEN(ReferenceData!$BL$51),"",ReferenceData!$BL$51),"")</f>
        <v/>
      </c>
      <c r="BM51" t="str">
        <f ca="1">IFERROR(IF(0=LEN(ReferenceData!$BM$51),"",ReferenceData!$BM$51),"")</f>
        <v/>
      </c>
      <c r="BN51" t="str">
        <f ca="1">IFERROR(IF(0=LEN(ReferenceData!$BN$51),"",ReferenceData!$BN$51),"")</f>
        <v/>
      </c>
      <c r="BO51" t="str">
        <f ca="1">IFERROR(IF(0=LEN(ReferenceData!$BO$51),"",ReferenceData!$BO$51),"")</f>
        <v/>
      </c>
      <c r="BP51" t="str">
        <f ca="1">IFERROR(IF(0=LEN(ReferenceData!$BP$51),"",ReferenceData!$BP$51),"")</f>
        <v/>
      </c>
      <c r="BQ51" t="str">
        <f ca="1">IFERROR(IF(0=LEN(ReferenceData!$BQ$51),"",ReferenceData!$BQ$51),"")</f>
        <v/>
      </c>
      <c r="BR51" t="str">
        <f ca="1">IFERROR(IF(0=LEN(ReferenceData!$BR$51),"",ReferenceData!$BR$51),"")</f>
        <v/>
      </c>
      <c r="BS51" t="str">
        <f ca="1">IFERROR(IF(0=LEN(ReferenceData!$BS$51),"",ReferenceData!$BS$51),"")</f>
        <v/>
      </c>
      <c r="BT51" t="str">
        <f ca="1">IFERROR(IF(0=LEN(ReferenceData!$BT$51),"",ReferenceData!$BT$51),"")</f>
        <v/>
      </c>
      <c r="BU51" t="str">
        <f ca="1">IFERROR(IF(0=LEN(ReferenceData!$BU$51),"",ReferenceData!$BU$51),"")</f>
        <v/>
      </c>
      <c r="BV51" t="str">
        <f ca="1">IFERROR(IF(0=LEN(ReferenceData!$BV$51),"",ReferenceData!$BV$51),"")</f>
        <v/>
      </c>
      <c r="BW51" t="str">
        <f ca="1">IFERROR(IF(0=LEN(ReferenceData!$BW$51),"",ReferenceData!$BW$51),"")</f>
        <v/>
      </c>
      <c r="BX51" t="str">
        <f ca="1">IFERROR(IF(0=LEN(ReferenceData!$BX$51),"",ReferenceData!$BX$51),"")</f>
        <v/>
      </c>
      <c r="BY51" t="str">
        <f ca="1">IFERROR(IF(0=LEN(ReferenceData!$BY$51),"",ReferenceData!$BY$51),"")</f>
        <v/>
      </c>
      <c r="BZ51" t="str">
        <f ca="1">IFERROR(IF(0=LEN(ReferenceData!$BZ$51),"",ReferenceData!$BZ$51),"")</f>
        <v/>
      </c>
      <c r="CA51" t="str">
        <f ca="1">IFERROR(IF(0=LEN(ReferenceData!$CA$51),"",ReferenceData!$CA$51),"")</f>
        <v/>
      </c>
      <c r="CB51" t="str">
        <f ca="1">IFERROR(IF(0=LEN(ReferenceData!$CB$51),"",ReferenceData!$CB$51),"")</f>
        <v/>
      </c>
      <c r="CC51" t="str">
        <f ca="1">IFERROR(IF(0=LEN(ReferenceData!$CC$51),"",ReferenceData!$CC$51),"")</f>
        <v/>
      </c>
      <c r="CD51" t="str">
        <f ca="1">IFERROR(IF(0=LEN(ReferenceData!$CD$51),"",ReferenceData!$CD$51),"")</f>
        <v/>
      </c>
      <c r="CE51" t="str">
        <f ca="1">IFERROR(IF(0=LEN(ReferenceData!$CE$51),"",ReferenceData!$CE$51),"")</f>
        <v/>
      </c>
      <c r="CF51" t="str">
        <f ca="1">IFERROR(IF(0=LEN(ReferenceData!$CF$51),"",ReferenceData!$CF$51),"")</f>
        <v/>
      </c>
      <c r="CG51" t="str">
        <f ca="1">IFERROR(IF(0=LEN(ReferenceData!$CG$51),"",ReferenceData!$CG$51),"")</f>
        <v/>
      </c>
      <c r="CH51" t="str">
        <f ca="1">IFERROR(IF(0=LEN(ReferenceData!$CH$51),"",ReferenceData!$CH$51),"")</f>
        <v/>
      </c>
      <c r="CI51" t="str">
        <f ca="1">IFERROR(IF(0=LEN(ReferenceData!$CI$51),"",ReferenceData!$CI$51),"")</f>
        <v/>
      </c>
      <c r="CJ51" t="str">
        <f ca="1">IFERROR(IF(0=LEN(ReferenceData!$CJ$51),"",ReferenceData!$CJ$51),"")</f>
        <v/>
      </c>
      <c r="CK51" t="str">
        <f ca="1">IFERROR(IF(0=LEN(ReferenceData!$CK$51),"",ReferenceData!$CK$51),"")</f>
        <v/>
      </c>
    </row>
    <row r="52" spans="1:89">
      <c r="A52" t="str">
        <f>IFERROR(IF(0=LEN(ReferenceData!$A$52),"",ReferenceData!$A$52),"")</f>
        <v xml:space="preserve">    公寓投资与管理</v>
      </c>
      <c r="B52" t="str">
        <f>IFERROR(IF(0=LEN(ReferenceData!$B$52),"",ReferenceData!$B$52),"")</f>
        <v>AIV US Equity</v>
      </c>
      <c r="C52" t="str">
        <f>IFERROR(IF(0=LEN(ReferenceData!$C$52),"",ReferenceData!$C$52),"")</f>
        <v>BE038</v>
      </c>
      <c r="D52" t="str">
        <f>IFERROR(IF(0=LEN(ReferenceData!$D$52),"",ReferenceData!$D$52),"")</f>
        <v>BEST_FFOPS</v>
      </c>
      <c r="E52" t="str">
        <f>IFERROR(IF(0=LEN(ReferenceData!$E$52),"",ReferenceData!$E$52),"")</f>
        <v>动态</v>
      </c>
      <c r="F52" t="str">
        <f ca="1">IFERROR(IF(0=LEN(ReferenceData!$F$52),"",ReferenceData!$F$52),"")</f>
        <v/>
      </c>
      <c r="G52">
        <f ca="1">IFERROR(IF(0=LEN(ReferenceData!$G$52),"",ReferenceData!$G$52),"")</f>
        <v>2.4460000000000002</v>
      </c>
      <c r="H52">
        <f ca="1">IFERROR(IF(0=LEN(ReferenceData!$H$52),"",ReferenceData!$H$52),"")</f>
        <v>2.4460000000000002</v>
      </c>
      <c r="I52">
        <f ca="1">IFERROR(IF(0=LEN(ReferenceData!$I$52),"",ReferenceData!$I$52),"")</f>
        <v>2.4460000000000002</v>
      </c>
      <c r="J52">
        <f ca="1">IFERROR(IF(0=LEN(ReferenceData!$J$52),"",ReferenceData!$J$52),"")</f>
        <v>2.4409999999999998</v>
      </c>
      <c r="K52">
        <f ca="1">IFERROR(IF(0=LEN(ReferenceData!$K$52),"",ReferenceData!$K$52),"")</f>
        <v>2.4380000000000002</v>
      </c>
      <c r="L52">
        <f ca="1">IFERROR(IF(0=LEN(ReferenceData!$L$52),"",ReferenceData!$L$52),"")</f>
        <v>2.4409999999999998</v>
      </c>
      <c r="M52">
        <f ca="1">IFERROR(IF(0=LEN(ReferenceData!$M$52),"",ReferenceData!$M$52),"")</f>
        <v>2.4420000000000002</v>
      </c>
      <c r="N52">
        <f ca="1">IFERROR(IF(0=LEN(ReferenceData!$N$52),"",ReferenceData!$N$52),"")</f>
        <v>2.4359999999999999</v>
      </c>
      <c r="O52">
        <f ca="1">IFERROR(IF(0=LEN(ReferenceData!$O$52),"",ReferenceData!$O$52),"")</f>
        <v>2.4359999999999999</v>
      </c>
      <c r="P52">
        <f ca="1">IFERROR(IF(0=LEN(ReferenceData!$P$52),"",ReferenceData!$P$52),"")</f>
        <v>2.4340000000000002</v>
      </c>
      <c r="Q52">
        <f ca="1">IFERROR(IF(0=LEN(ReferenceData!$Q$52),"",ReferenceData!$Q$52),"")</f>
        <v>2.452</v>
      </c>
      <c r="R52">
        <f ca="1">IFERROR(IF(0=LEN(ReferenceData!$R$52),"",ReferenceData!$R$52),"")</f>
        <v>2.448</v>
      </c>
      <c r="S52">
        <f ca="1">IFERROR(IF(0=LEN(ReferenceData!$S$52),"",ReferenceData!$S$52),"")</f>
        <v>2.4470000000000001</v>
      </c>
      <c r="T52">
        <f ca="1">IFERROR(IF(0=LEN(ReferenceData!$T$52),"",ReferenceData!$T$52),"")</f>
        <v>2.4510000000000001</v>
      </c>
      <c r="U52">
        <f ca="1">IFERROR(IF(0=LEN(ReferenceData!$U$52),"",ReferenceData!$U$52),"")</f>
        <v>2.4510000000000001</v>
      </c>
      <c r="V52">
        <f ca="1">IFERROR(IF(0=LEN(ReferenceData!$V$52),"",ReferenceData!$V$52),"")</f>
        <v>2.4550000000000001</v>
      </c>
      <c r="W52">
        <f ca="1">IFERROR(IF(0=LEN(ReferenceData!$W$52),"",ReferenceData!$W$52),"")</f>
        <v>2.4740000000000002</v>
      </c>
      <c r="X52">
        <f ca="1">IFERROR(IF(0=LEN(ReferenceData!$X$52),"",ReferenceData!$X$52),"")</f>
        <v>2.4950000000000001</v>
      </c>
      <c r="Y52">
        <f ca="1">IFERROR(IF(0=LEN(ReferenceData!$Y$52),"",ReferenceData!$Y$52),"")</f>
        <v>2.4950000000000001</v>
      </c>
      <c r="Z52">
        <f ca="1">IFERROR(IF(0=LEN(ReferenceData!$Z$52),"",ReferenceData!$Z$52),"")</f>
        <v>2.4830000000000001</v>
      </c>
      <c r="AA52">
        <f ca="1">IFERROR(IF(0=LEN(ReferenceData!$AA$52),"",ReferenceData!$AA$52),"")</f>
        <v>2.4670000000000001</v>
      </c>
      <c r="AB52">
        <f ca="1">IFERROR(IF(0=LEN(ReferenceData!$AB$52),"",ReferenceData!$AB$52),"")</f>
        <v>2.4790000000000001</v>
      </c>
      <c r="AC52">
        <f ca="1">IFERROR(IF(0=LEN(ReferenceData!$AC$52),"",ReferenceData!$AC$52),"")</f>
        <v>2.456</v>
      </c>
      <c r="AD52">
        <f ca="1">IFERROR(IF(0=LEN(ReferenceData!$AD$52),"",ReferenceData!$AD$52),"")</f>
        <v>2.4700000000000002</v>
      </c>
      <c r="AE52">
        <f ca="1">IFERROR(IF(0=LEN(ReferenceData!$AE$52),"",ReferenceData!$AE$52),"")</f>
        <v>2.4910000000000001</v>
      </c>
      <c r="AF52">
        <f ca="1">IFERROR(IF(0=LEN(ReferenceData!$AF$52),"",ReferenceData!$AF$52),"")</f>
        <v>2.5470000000000002</v>
      </c>
      <c r="AG52">
        <f ca="1">IFERROR(IF(0=LEN(ReferenceData!$AG$52),"",ReferenceData!$AG$52),"")</f>
        <v>2.5649999999999999</v>
      </c>
      <c r="AH52">
        <f ca="1">IFERROR(IF(0=LEN(ReferenceData!$AH$52),"",ReferenceData!$AH$52),"")</f>
        <v>2.5670000000000002</v>
      </c>
      <c r="AI52">
        <f ca="1">IFERROR(IF(0=LEN(ReferenceData!$AI$52),"",ReferenceData!$AI$52),"")</f>
        <v>2.5819999999999999</v>
      </c>
      <c r="AJ52" t="str">
        <f ca="1">IFERROR(IF(0=LEN(ReferenceData!$AJ$52),"",ReferenceData!$AJ$52),"")</f>
        <v/>
      </c>
      <c r="AK52">
        <f ca="1">IFERROR(IF(0=LEN(ReferenceData!$AK$52),"",ReferenceData!$AK$52),"")</f>
        <v>2.57</v>
      </c>
      <c r="AL52">
        <f ca="1">IFERROR(IF(0=LEN(ReferenceData!$AL$52),"",ReferenceData!$AL$52),"")</f>
        <v>2.52</v>
      </c>
      <c r="AM52">
        <f ca="1">IFERROR(IF(0=LEN(ReferenceData!$AM$52),"",ReferenceData!$AM$52),"")</f>
        <v>2.5169999999999999</v>
      </c>
      <c r="AN52">
        <f ca="1">IFERROR(IF(0=LEN(ReferenceData!$AN$52),"",ReferenceData!$AN$52),"")</f>
        <v>2.4430000000000001</v>
      </c>
      <c r="AO52">
        <f ca="1">IFERROR(IF(0=LEN(ReferenceData!$AO$52),"",ReferenceData!$AO$52),"")</f>
        <v>2.4630000000000001</v>
      </c>
      <c r="AP52">
        <f ca="1">IFERROR(IF(0=LEN(ReferenceData!$AP$52),"",ReferenceData!$AP$52),"")</f>
        <v>2.4300000000000002</v>
      </c>
      <c r="AQ52">
        <f ca="1">IFERROR(IF(0=LEN(ReferenceData!$AQ$52),"",ReferenceData!$AQ$52),"")</f>
        <v>2.48</v>
      </c>
      <c r="AR52" t="str">
        <f ca="1">IFERROR(IF(0=LEN(ReferenceData!$AR$52),"",ReferenceData!$AR$52),"")</f>
        <v/>
      </c>
      <c r="AS52" t="str">
        <f ca="1">IFERROR(IF(0=LEN(ReferenceData!$AS$52),"",ReferenceData!$AS$52),"")</f>
        <v/>
      </c>
      <c r="AT52" t="str">
        <f ca="1">IFERROR(IF(0=LEN(ReferenceData!$AT$52),"",ReferenceData!$AT$52),"")</f>
        <v/>
      </c>
      <c r="AU52" t="str">
        <f ca="1">IFERROR(IF(0=LEN(ReferenceData!$AU$52),"",ReferenceData!$AU$52),"")</f>
        <v/>
      </c>
      <c r="AV52" t="str">
        <f ca="1">IFERROR(IF(0=LEN(ReferenceData!$AV$52),"",ReferenceData!$AV$52),"")</f>
        <v/>
      </c>
      <c r="AW52" t="str">
        <f ca="1">IFERROR(IF(0=LEN(ReferenceData!$AW$52),"",ReferenceData!$AW$52),"")</f>
        <v/>
      </c>
      <c r="AX52" t="str">
        <f ca="1">IFERROR(IF(0=LEN(ReferenceData!$AX$52),"",ReferenceData!$AX$52),"")</f>
        <v/>
      </c>
      <c r="AY52" t="str">
        <f ca="1">IFERROR(IF(0=LEN(ReferenceData!$AY$52),"",ReferenceData!$AY$52),"")</f>
        <v/>
      </c>
      <c r="AZ52" t="str">
        <f ca="1">IFERROR(IF(0=LEN(ReferenceData!$AZ$52),"",ReferenceData!$AZ$52),"")</f>
        <v/>
      </c>
      <c r="BA52" t="str">
        <f ca="1">IFERROR(IF(0=LEN(ReferenceData!$BA$52),"",ReferenceData!$BA$52),"")</f>
        <v/>
      </c>
      <c r="BB52" t="str">
        <f ca="1">IFERROR(IF(0=LEN(ReferenceData!$BB$52),"",ReferenceData!$BB$52),"")</f>
        <v/>
      </c>
      <c r="BC52" t="str">
        <f ca="1">IFERROR(IF(0=LEN(ReferenceData!$BC$52),"",ReferenceData!$BC$52),"")</f>
        <v/>
      </c>
      <c r="BD52" t="str">
        <f ca="1">IFERROR(IF(0=LEN(ReferenceData!$BD$52),"",ReferenceData!$BD$52),"")</f>
        <v/>
      </c>
      <c r="BE52" t="str">
        <f ca="1">IFERROR(IF(0=LEN(ReferenceData!$BE$52),"",ReferenceData!$BE$52),"")</f>
        <v/>
      </c>
      <c r="BF52" t="str">
        <f ca="1">IFERROR(IF(0=LEN(ReferenceData!$BF$52),"",ReferenceData!$BF$52),"")</f>
        <v/>
      </c>
      <c r="BG52" t="str">
        <f ca="1">IFERROR(IF(0=LEN(ReferenceData!$BG$52),"",ReferenceData!$BG$52),"")</f>
        <v/>
      </c>
      <c r="BH52" t="str">
        <f ca="1">IFERROR(IF(0=LEN(ReferenceData!$BH$52),"",ReferenceData!$BH$52),"")</f>
        <v/>
      </c>
      <c r="BI52" t="str">
        <f ca="1">IFERROR(IF(0=LEN(ReferenceData!$BI$52),"",ReferenceData!$BI$52),"")</f>
        <v/>
      </c>
      <c r="BJ52" t="str">
        <f ca="1">IFERROR(IF(0=LEN(ReferenceData!$BJ$52),"",ReferenceData!$BJ$52),"")</f>
        <v/>
      </c>
      <c r="BK52" t="str">
        <f ca="1">IFERROR(IF(0=LEN(ReferenceData!$BK$52),"",ReferenceData!$BK$52),"")</f>
        <v/>
      </c>
      <c r="BL52" t="str">
        <f ca="1">IFERROR(IF(0=LEN(ReferenceData!$BL$52),"",ReferenceData!$BL$52),"")</f>
        <v/>
      </c>
      <c r="BM52" t="str">
        <f ca="1">IFERROR(IF(0=LEN(ReferenceData!$BM$52),"",ReferenceData!$BM$52),"")</f>
        <v/>
      </c>
      <c r="BN52" t="str">
        <f ca="1">IFERROR(IF(0=LEN(ReferenceData!$BN$52),"",ReferenceData!$BN$52),"")</f>
        <v/>
      </c>
      <c r="BO52" t="str">
        <f ca="1">IFERROR(IF(0=LEN(ReferenceData!$BO$52),"",ReferenceData!$BO$52),"")</f>
        <v/>
      </c>
      <c r="BP52" t="str">
        <f ca="1">IFERROR(IF(0=LEN(ReferenceData!$BP$52),"",ReferenceData!$BP$52),"")</f>
        <v/>
      </c>
      <c r="BQ52" t="str">
        <f ca="1">IFERROR(IF(0=LEN(ReferenceData!$BQ$52),"",ReferenceData!$BQ$52),"")</f>
        <v/>
      </c>
      <c r="BR52" t="str">
        <f ca="1">IFERROR(IF(0=LEN(ReferenceData!$BR$52),"",ReferenceData!$BR$52),"")</f>
        <v/>
      </c>
      <c r="BS52" t="str">
        <f ca="1">IFERROR(IF(0=LEN(ReferenceData!$BS$52),"",ReferenceData!$BS$52),"")</f>
        <v/>
      </c>
      <c r="BT52" t="str">
        <f ca="1">IFERROR(IF(0=LEN(ReferenceData!$BT$52),"",ReferenceData!$BT$52),"")</f>
        <v/>
      </c>
      <c r="BU52" t="str">
        <f ca="1">IFERROR(IF(0=LEN(ReferenceData!$BU$52),"",ReferenceData!$BU$52),"")</f>
        <v/>
      </c>
      <c r="BV52" t="str">
        <f ca="1">IFERROR(IF(0=LEN(ReferenceData!$BV$52),"",ReferenceData!$BV$52),"")</f>
        <v/>
      </c>
      <c r="BW52" t="str">
        <f ca="1">IFERROR(IF(0=LEN(ReferenceData!$BW$52),"",ReferenceData!$BW$52),"")</f>
        <v/>
      </c>
      <c r="BX52" t="str">
        <f ca="1">IFERROR(IF(0=LEN(ReferenceData!$BX$52),"",ReferenceData!$BX$52),"")</f>
        <v/>
      </c>
      <c r="BY52" t="str">
        <f ca="1">IFERROR(IF(0=LEN(ReferenceData!$BY$52),"",ReferenceData!$BY$52),"")</f>
        <v/>
      </c>
      <c r="BZ52" t="str">
        <f ca="1">IFERROR(IF(0=LEN(ReferenceData!$BZ$52),"",ReferenceData!$BZ$52),"")</f>
        <v/>
      </c>
      <c r="CA52" t="str">
        <f ca="1">IFERROR(IF(0=LEN(ReferenceData!$CA$52),"",ReferenceData!$CA$52),"")</f>
        <v/>
      </c>
      <c r="CB52" t="str">
        <f ca="1">IFERROR(IF(0=LEN(ReferenceData!$CB$52),"",ReferenceData!$CB$52),"")</f>
        <v/>
      </c>
      <c r="CC52" t="str">
        <f ca="1">IFERROR(IF(0=LEN(ReferenceData!$CC$52),"",ReferenceData!$CC$52),"")</f>
        <v/>
      </c>
      <c r="CD52" t="str">
        <f ca="1">IFERROR(IF(0=LEN(ReferenceData!$CD$52),"",ReferenceData!$CD$52),"")</f>
        <v/>
      </c>
      <c r="CE52" t="str">
        <f ca="1">IFERROR(IF(0=LEN(ReferenceData!$CE$52),"",ReferenceData!$CE$52),"")</f>
        <v/>
      </c>
      <c r="CF52" t="str">
        <f ca="1">IFERROR(IF(0=LEN(ReferenceData!$CF$52),"",ReferenceData!$CF$52),"")</f>
        <v/>
      </c>
      <c r="CG52" t="str">
        <f ca="1">IFERROR(IF(0=LEN(ReferenceData!$CG$52),"",ReferenceData!$CG$52),"")</f>
        <v/>
      </c>
      <c r="CH52" t="str">
        <f ca="1">IFERROR(IF(0=LEN(ReferenceData!$CH$52),"",ReferenceData!$CH$52),"")</f>
        <v/>
      </c>
      <c r="CI52" t="str">
        <f ca="1">IFERROR(IF(0=LEN(ReferenceData!$CI$52),"",ReferenceData!$CI$52),"")</f>
        <v/>
      </c>
      <c r="CJ52" t="str">
        <f ca="1">IFERROR(IF(0=LEN(ReferenceData!$CJ$52),"",ReferenceData!$CJ$52),"")</f>
        <v/>
      </c>
      <c r="CK52" t="str">
        <f ca="1">IFERROR(IF(0=LEN(ReferenceData!$CK$52),"",ReferenceData!$CK$52),"")</f>
        <v/>
      </c>
    </row>
    <row r="53" spans="1:89">
      <c r="A53" t="str">
        <f>IFERROR(IF(0=LEN(ReferenceData!$A$53),"",ReferenceData!$A$53),"")</f>
        <v xml:space="preserve">    AvalonBay社区股份有限公司</v>
      </c>
      <c r="B53" t="str">
        <f>IFERROR(IF(0=LEN(ReferenceData!$B$53),"",ReferenceData!$B$53),"")</f>
        <v>AVB US Equity</v>
      </c>
      <c r="C53" t="str">
        <f>IFERROR(IF(0=LEN(ReferenceData!$C$53),"",ReferenceData!$C$53),"")</f>
        <v>BE038</v>
      </c>
      <c r="D53" t="str">
        <f>IFERROR(IF(0=LEN(ReferenceData!$D$53),"",ReferenceData!$D$53),"")</f>
        <v>BEST_FFOPS</v>
      </c>
      <c r="E53" t="str">
        <f>IFERROR(IF(0=LEN(ReferenceData!$E$53),"",ReferenceData!$E$53),"")</f>
        <v>动态</v>
      </c>
      <c r="F53" t="str">
        <f ca="1">IFERROR(IF(0=LEN(ReferenceData!$F$53),"",ReferenceData!$F$53),"")</f>
        <v/>
      </c>
      <c r="G53" t="str">
        <f ca="1">IFERROR(IF(0=LEN(ReferenceData!$G$53),"",ReferenceData!$G$53),"")</f>
        <v/>
      </c>
      <c r="H53">
        <f ca="1">IFERROR(IF(0=LEN(ReferenceData!$H$53),"",ReferenceData!$H$53),"")</f>
        <v>8.58</v>
      </c>
      <c r="I53">
        <f ca="1">IFERROR(IF(0=LEN(ReferenceData!$I$53),"",ReferenceData!$I$53),"")</f>
        <v>8.5879999999999992</v>
      </c>
      <c r="J53">
        <f ca="1">IFERROR(IF(0=LEN(ReferenceData!$J$53),"",ReferenceData!$J$53),"")</f>
        <v>8.5530000000000008</v>
      </c>
      <c r="K53">
        <f ca="1">IFERROR(IF(0=LEN(ReferenceData!$K$53),"",ReferenceData!$K$53),"")</f>
        <v>8.5449999999999999</v>
      </c>
      <c r="L53">
        <f ca="1">IFERROR(IF(0=LEN(ReferenceData!$L$53),"",ReferenceData!$L$53),"")</f>
        <v>8.5519999999999996</v>
      </c>
      <c r="M53">
        <f ca="1">IFERROR(IF(0=LEN(ReferenceData!$M$53),"",ReferenceData!$M$53),"")</f>
        <v>8.5660000000000007</v>
      </c>
      <c r="N53">
        <f ca="1">IFERROR(IF(0=LEN(ReferenceData!$N$53),"",ReferenceData!$N$53),"")</f>
        <v>8.625</v>
      </c>
      <c r="O53">
        <f ca="1">IFERROR(IF(0=LEN(ReferenceData!$O$53),"",ReferenceData!$O$53),"")</f>
        <v>8.6379999999999999</v>
      </c>
      <c r="P53">
        <f ca="1">IFERROR(IF(0=LEN(ReferenceData!$P$53),"",ReferenceData!$P$53),"")</f>
        <v>8.6739999999999995</v>
      </c>
      <c r="Q53">
        <f ca="1">IFERROR(IF(0=LEN(ReferenceData!$Q$53),"",ReferenceData!$Q$53),"")</f>
        <v>8.6839999999999993</v>
      </c>
      <c r="R53">
        <f ca="1">IFERROR(IF(0=LEN(ReferenceData!$R$53),"",ReferenceData!$R$53),"")</f>
        <v>8.6890000000000001</v>
      </c>
      <c r="S53">
        <f ca="1">IFERROR(IF(0=LEN(ReferenceData!$S$53),"",ReferenceData!$S$53),"")</f>
        <v>8.6809999999999992</v>
      </c>
      <c r="T53">
        <f ca="1">IFERROR(IF(0=LEN(ReferenceData!$T$53),"",ReferenceData!$T$53),"")</f>
        <v>8.734</v>
      </c>
      <c r="U53">
        <f ca="1">IFERROR(IF(0=LEN(ReferenceData!$U$53),"",ReferenceData!$U$53),"")</f>
        <v>8.7270000000000003</v>
      </c>
      <c r="V53">
        <f ca="1">IFERROR(IF(0=LEN(ReferenceData!$V$53),"",ReferenceData!$V$53),"")</f>
        <v>8.7439999999999998</v>
      </c>
      <c r="W53">
        <f ca="1">IFERROR(IF(0=LEN(ReferenceData!$W$53),"",ReferenceData!$W$53),"")</f>
        <v>8.7829999999999995</v>
      </c>
      <c r="X53">
        <f ca="1">IFERROR(IF(0=LEN(ReferenceData!$X$53),"",ReferenceData!$X$53),"")</f>
        <v>8.8559999999999999</v>
      </c>
      <c r="Y53">
        <f ca="1">IFERROR(IF(0=LEN(ReferenceData!$Y$53),"",ReferenceData!$Y$53),"")</f>
        <v>8.8529999999999998</v>
      </c>
      <c r="Z53">
        <f ca="1">IFERROR(IF(0=LEN(ReferenceData!$Z$53),"",ReferenceData!$Z$53),"")</f>
        <v>8.9209999999999994</v>
      </c>
      <c r="AA53">
        <f ca="1">IFERROR(IF(0=LEN(ReferenceData!$AA$53),"",ReferenceData!$AA$53),"")</f>
        <v>8.9420000000000002</v>
      </c>
      <c r="AB53">
        <f ca="1">IFERROR(IF(0=LEN(ReferenceData!$AB$53),"",ReferenceData!$AB$53),"")</f>
        <v>8.9420000000000002</v>
      </c>
      <c r="AC53">
        <f ca="1">IFERROR(IF(0=LEN(ReferenceData!$AC$53),"",ReferenceData!$AC$53),"")</f>
        <v>8.9290000000000003</v>
      </c>
      <c r="AD53">
        <f ca="1">IFERROR(IF(0=LEN(ReferenceData!$AD$53),"",ReferenceData!$AD$53),"")</f>
        <v>8.9730000000000008</v>
      </c>
      <c r="AE53">
        <f ca="1">IFERROR(IF(0=LEN(ReferenceData!$AE$53),"",ReferenceData!$AE$53),"")</f>
        <v>8.98</v>
      </c>
      <c r="AF53">
        <f ca="1">IFERROR(IF(0=LEN(ReferenceData!$AF$53),"",ReferenceData!$AF$53),"")</f>
        <v>8.9489999999999998</v>
      </c>
      <c r="AG53">
        <f ca="1">IFERROR(IF(0=LEN(ReferenceData!$AG$53),"",ReferenceData!$AG$53),"")</f>
        <v>8.9640000000000004</v>
      </c>
      <c r="AH53">
        <f ca="1">IFERROR(IF(0=LEN(ReferenceData!$AH$53),"",ReferenceData!$AH$53),"")</f>
        <v>8.9280000000000008</v>
      </c>
      <c r="AI53">
        <f ca="1">IFERROR(IF(0=LEN(ReferenceData!$AI$53),"",ReferenceData!$AI$53),"")</f>
        <v>8.8859999999999992</v>
      </c>
      <c r="AJ53" t="str">
        <f ca="1">IFERROR(IF(0=LEN(ReferenceData!$AJ$53),"",ReferenceData!$AJ$53),"")</f>
        <v/>
      </c>
      <c r="AK53">
        <f ca="1">IFERROR(IF(0=LEN(ReferenceData!$AK$53),"",ReferenceData!$AK$53),"")</f>
        <v>8.8239999999999998</v>
      </c>
      <c r="AL53">
        <f ca="1">IFERROR(IF(0=LEN(ReferenceData!$AL$53),"",ReferenceData!$AL$53),"")</f>
        <v>8.6790000000000003</v>
      </c>
      <c r="AM53">
        <f ca="1">IFERROR(IF(0=LEN(ReferenceData!$AM$53),"",ReferenceData!$AM$53),"")</f>
        <v>8.6050000000000004</v>
      </c>
      <c r="AN53">
        <f ca="1">IFERROR(IF(0=LEN(ReferenceData!$AN$53),"",ReferenceData!$AN$53),"")</f>
        <v>8.5839999999999996</v>
      </c>
      <c r="AO53">
        <f ca="1">IFERROR(IF(0=LEN(ReferenceData!$AO$53),"",ReferenceData!$AO$53),"")</f>
        <v>8.56</v>
      </c>
      <c r="AP53">
        <f ca="1">IFERROR(IF(0=LEN(ReferenceData!$AP$53),"",ReferenceData!$AP$53),"")</f>
        <v>8.49</v>
      </c>
      <c r="AQ53">
        <f ca="1">IFERROR(IF(0=LEN(ReferenceData!$AQ$53),"",ReferenceData!$AQ$53),"")</f>
        <v>8.5869999999999997</v>
      </c>
      <c r="AR53">
        <f ca="1">IFERROR(IF(0=LEN(ReferenceData!$AR$53),"",ReferenceData!$AR$53),"")</f>
        <v>8.42</v>
      </c>
      <c r="AS53" t="str">
        <f ca="1">IFERROR(IF(0=LEN(ReferenceData!$AS$53),"",ReferenceData!$AS$53),"")</f>
        <v/>
      </c>
      <c r="AT53" t="str">
        <f ca="1">IFERROR(IF(0=LEN(ReferenceData!$AT$53),"",ReferenceData!$AT$53),"")</f>
        <v/>
      </c>
      <c r="AU53" t="str">
        <f ca="1">IFERROR(IF(0=LEN(ReferenceData!$AU$53),"",ReferenceData!$AU$53),"")</f>
        <v/>
      </c>
      <c r="AV53" t="str">
        <f ca="1">IFERROR(IF(0=LEN(ReferenceData!$AV$53),"",ReferenceData!$AV$53),"")</f>
        <v/>
      </c>
      <c r="AW53" t="str">
        <f ca="1">IFERROR(IF(0=LEN(ReferenceData!$AW$53),"",ReferenceData!$AW$53),"")</f>
        <v/>
      </c>
      <c r="AX53" t="str">
        <f ca="1">IFERROR(IF(0=LEN(ReferenceData!$AX$53),"",ReferenceData!$AX$53),"")</f>
        <v/>
      </c>
      <c r="AY53" t="str">
        <f ca="1">IFERROR(IF(0=LEN(ReferenceData!$AY$53),"",ReferenceData!$AY$53),"")</f>
        <v/>
      </c>
      <c r="AZ53" t="str">
        <f ca="1">IFERROR(IF(0=LEN(ReferenceData!$AZ$53),"",ReferenceData!$AZ$53),"")</f>
        <v/>
      </c>
      <c r="BA53" t="str">
        <f ca="1">IFERROR(IF(0=LEN(ReferenceData!$BA$53),"",ReferenceData!$BA$53),"")</f>
        <v/>
      </c>
      <c r="BB53" t="str">
        <f ca="1">IFERROR(IF(0=LEN(ReferenceData!$BB$53),"",ReferenceData!$BB$53),"")</f>
        <v/>
      </c>
      <c r="BC53" t="str">
        <f ca="1">IFERROR(IF(0=LEN(ReferenceData!$BC$53),"",ReferenceData!$BC$53),"")</f>
        <v/>
      </c>
      <c r="BD53" t="str">
        <f ca="1">IFERROR(IF(0=LEN(ReferenceData!$BD$53),"",ReferenceData!$BD$53),"")</f>
        <v/>
      </c>
      <c r="BE53" t="str">
        <f ca="1">IFERROR(IF(0=LEN(ReferenceData!$BE$53),"",ReferenceData!$BE$53),"")</f>
        <v/>
      </c>
      <c r="BF53" t="str">
        <f ca="1">IFERROR(IF(0=LEN(ReferenceData!$BF$53),"",ReferenceData!$BF$53),"")</f>
        <v/>
      </c>
      <c r="BG53" t="str">
        <f ca="1">IFERROR(IF(0=LEN(ReferenceData!$BG$53),"",ReferenceData!$BG$53),"")</f>
        <v/>
      </c>
      <c r="BH53" t="str">
        <f ca="1">IFERROR(IF(0=LEN(ReferenceData!$BH$53),"",ReferenceData!$BH$53),"")</f>
        <v/>
      </c>
      <c r="BI53" t="str">
        <f ca="1">IFERROR(IF(0=LEN(ReferenceData!$BI$53),"",ReferenceData!$BI$53),"")</f>
        <v/>
      </c>
      <c r="BJ53" t="str">
        <f ca="1">IFERROR(IF(0=LEN(ReferenceData!$BJ$53),"",ReferenceData!$BJ$53),"")</f>
        <v/>
      </c>
      <c r="BK53" t="str">
        <f ca="1">IFERROR(IF(0=LEN(ReferenceData!$BK$53),"",ReferenceData!$BK$53),"")</f>
        <v/>
      </c>
      <c r="BL53" t="str">
        <f ca="1">IFERROR(IF(0=LEN(ReferenceData!$BL$53),"",ReferenceData!$BL$53),"")</f>
        <v/>
      </c>
      <c r="BM53" t="str">
        <f ca="1">IFERROR(IF(0=LEN(ReferenceData!$BM$53),"",ReferenceData!$BM$53),"")</f>
        <v/>
      </c>
      <c r="BN53" t="str">
        <f ca="1">IFERROR(IF(0=LEN(ReferenceData!$BN$53),"",ReferenceData!$BN$53),"")</f>
        <v/>
      </c>
      <c r="BO53" t="str">
        <f ca="1">IFERROR(IF(0=LEN(ReferenceData!$BO$53),"",ReferenceData!$BO$53),"")</f>
        <v/>
      </c>
      <c r="BP53" t="str">
        <f ca="1">IFERROR(IF(0=LEN(ReferenceData!$BP$53),"",ReferenceData!$BP$53),"")</f>
        <v/>
      </c>
      <c r="BQ53" t="str">
        <f ca="1">IFERROR(IF(0=LEN(ReferenceData!$BQ$53),"",ReferenceData!$BQ$53),"")</f>
        <v/>
      </c>
      <c r="BR53" t="str">
        <f ca="1">IFERROR(IF(0=LEN(ReferenceData!$BR$53),"",ReferenceData!$BR$53),"")</f>
        <v/>
      </c>
      <c r="BS53" t="str">
        <f ca="1">IFERROR(IF(0=LEN(ReferenceData!$BS$53),"",ReferenceData!$BS$53),"")</f>
        <v/>
      </c>
      <c r="BT53" t="str">
        <f ca="1">IFERROR(IF(0=LEN(ReferenceData!$BT$53),"",ReferenceData!$BT$53),"")</f>
        <v/>
      </c>
      <c r="BU53" t="str">
        <f ca="1">IFERROR(IF(0=LEN(ReferenceData!$BU$53),"",ReferenceData!$BU$53),"")</f>
        <v/>
      </c>
      <c r="BV53" t="str">
        <f ca="1">IFERROR(IF(0=LEN(ReferenceData!$BV$53),"",ReferenceData!$BV$53),"")</f>
        <v/>
      </c>
      <c r="BW53" t="str">
        <f ca="1">IFERROR(IF(0=LEN(ReferenceData!$BW$53),"",ReferenceData!$BW$53),"")</f>
        <v/>
      </c>
      <c r="BX53" t="str">
        <f ca="1">IFERROR(IF(0=LEN(ReferenceData!$BX$53),"",ReferenceData!$BX$53),"")</f>
        <v/>
      </c>
      <c r="BY53" t="str">
        <f ca="1">IFERROR(IF(0=LEN(ReferenceData!$BY$53),"",ReferenceData!$BY$53),"")</f>
        <v/>
      </c>
      <c r="BZ53" t="str">
        <f ca="1">IFERROR(IF(0=LEN(ReferenceData!$BZ$53),"",ReferenceData!$BZ$53),"")</f>
        <v/>
      </c>
      <c r="CA53" t="str">
        <f ca="1">IFERROR(IF(0=LEN(ReferenceData!$CA$53),"",ReferenceData!$CA$53),"")</f>
        <v/>
      </c>
      <c r="CB53" t="str">
        <f ca="1">IFERROR(IF(0=LEN(ReferenceData!$CB$53),"",ReferenceData!$CB$53),"")</f>
        <v/>
      </c>
      <c r="CC53" t="str">
        <f ca="1">IFERROR(IF(0=LEN(ReferenceData!$CC$53),"",ReferenceData!$CC$53),"")</f>
        <v/>
      </c>
      <c r="CD53" t="str">
        <f ca="1">IFERROR(IF(0=LEN(ReferenceData!$CD$53),"",ReferenceData!$CD$53),"")</f>
        <v/>
      </c>
      <c r="CE53" t="str">
        <f ca="1">IFERROR(IF(0=LEN(ReferenceData!$CE$53),"",ReferenceData!$CE$53),"")</f>
        <v/>
      </c>
      <c r="CF53" t="str">
        <f ca="1">IFERROR(IF(0=LEN(ReferenceData!$CF$53),"",ReferenceData!$CF$53),"")</f>
        <v/>
      </c>
      <c r="CG53" t="str">
        <f ca="1">IFERROR(IF(0=LEN(ReferenceData!$CG$53),"",ReferenceData!$CG$53),"")</f>
        <v/>
      </c>
      <c r="CH53" t="str">
        <f ca="1">IFERROR(IF(0=LEN(ReferenceData!$CH$53),"",ReferenceData!$CH$53),"")</f>
        <v/>
      </c>
      <c r="CI53" t="str">
        <f ca="1">IFERROR(IF(0=LEN(ReferenceData!$CI$53),"",ReferenceData!$CI$53),"")</f>
        <v/>
      </c>
      <c r="CJ53" t="str">
        <f ca="1">IFERROR(IF(0=LEN(ReferenceData!$CJ$53),"",ReferenceData!$CJ$53),"")</f>
        <v/>
      </c>
      <c r="CK53" t="str">
        <f ca="1">IFERROR(IF(0=LEN(ReferenceData!$CK$53),"",ReferenceData!$CK$53),"")</f>
        <v/>
      </c>
    </row>
    <row r="54" spans="1:89">
      <c r="A54" t="str">
        <f>IFERROR(IF(0=LEN(ReferenceData!$A$54),"",ReferenceData!$A$54),"")</f>
        <v xml:space="preserve">    Camden 房地产信托公司</v>
      </c>
      <c r="B54" t="str">
        <f>IFERROR(IF(0=LEN(ReferenceData!$B$54),"",ReferenceData!$B$54),"")</f>
        <v>CPT US Equity</v>
      </c>
      <c r="C54" t="str">
        <f>IFERROR(IF(0=LEN(ReferenceData!$C$54),"",ReferenceData!$C$54),"")</f>
        <v>BE038</v>
      </c>
      <c r="D54" t="str">
        <f>IFERROR(IF(0=LEN(ReferenceData!$D$54),"",ReferenceData!$D$54),"")</f>
        <v>BEST_FFOPS</v>
      </c>
      <c r="E54" t="str">
        <f>IFERROR(IF(0=LEN(ReferenceData!$E$54),"",ReferenceData!$E$54),"")</f>
        <v>动态</v>
      </c>
      <c r="F54" t="str">
        <f ca="1">IFERROR(IF(0=LEN(ReferenceData!$F$54),"",ReferenceData!$F$54),"")</f>
        <v/>
      </c>
      <c r="G54">
        <f ca="1">IFERROR(IF(0=LEN(ReferenceData!$G$54),"",ReferenceData!$G$54),"")</f>
        <v>4.5309999999999997</v>
      </c>
      <c r="H54">
        <f ca="1">IFERROR(IF(0=LEN(ReferenceData!$H$54),"",ReferenceData!$H$54),"")</f>
        <v>4.53</v>
      </c>
      <c r="I54">
        <f ca="1">IFERROR(IF(0=LEN(ReferenceData!$I$54),"",ReferenceData!$I$54),"")</f>
        <v>4.5309999999999997</v>
      </c>
      <c r="J54">
        <f ca="1">IFERROR(IF(0=LEN(ReferenceData!$J$54),"",ReferenceData!$J$54),"")</f>
        <v>4.5359999999999996</v>
      </c>
      <c r="K54">
        <f ca="1">IFERROR(IF(0=LEN(ReferenceData!$K$54),"",ReferenceData!$K$54),"")</f>
        <v>4.5339999999999998</v>
      </c>
      <c r="L54">
        <f ca="1">IFERROR(IF(0=LEN(ReferenceData!$L$54),"",ReferenceData!$L$54),"")</f>
        <v>4.5599999999999996</v>
      </c>
      <c r="M54">
        <f ca="1">IFERROR(IF(0=LEN(ReferenceData!$M$54),"",ReferenceData!$M$54),"")</f>
        <v>4.5960000000000001</v>
      </c>
      <c r="N54">
        <f ca="1">IFERROR(IF(0=LEN(ReferenceData!$N$54),"",ReferenceData!$N$54),"")</f>
        <v>4.5890000000000004</v>
      </c>
      <c r="O54">
        <f ca="1">IFERROR(IF(0=LEN(ReferenceData!$O$54),"",ReferenceData!$O$54),"")</f>
        <v>4.5759999999999996</v>
      </c>
      <c r="P54">
        <f ca="1">IFERROR(IF(0=LEN(ReferenceData!$P$54),"",ReferenceData!$P$54),"")</f>
        <v>4.5730000000000004</v>
      </c>
      <c r="Q54">
        <f ca="1">IFERROR(IF(0=LEN(ReferenceData!$Q$54),"",ReferenceData!$Q$54),"")</f>
        <v>4.5640000000000001</v>
      </c>
      <c r="R54">
        <f ca="1">IFERROR(IF(0=LEN(ReferenceData!$R$54),"",ReferenceData!$R$54),"")</f>
        <v>4.5629999999999997</v>
      </c>
      <c r="S54">
        <f ca="1">IFERROR(IF(0=LEN(ReferenceData!$S$54),"",ReferenceData!$S$54),"")</f>
        <v>4.5659999999999998</v>
      </c>
      <c r="T54">
        <f ca="1">IFERROR(IF(0=LEN(ReferenceData!$T$54),"",ReferenceData!$T$54),"")</f>
        <v>4.593</v>
      </c>
      <c r="U54">
        <f ca="1">IFERROR(IF(0=LEN(ReferenceData!$U$54),"",ReferenceData!$U$54),"")</f>
        <v>4.5970000000000004</v>
      </c>
      <c r="V54">
        <f ca="1">IFERROR(IF(0=LEN(ReferenceData!$V$54),"",ReferenceData!$V$54),"")</f>
        <v>4.5869999999999997</v>
      </c>
      <c r="W54">
        <f ca="1">IFERROR(IF(0=LEN(ReferenceData!$W$54),"",ReferenceData!$W$54),"")</f>
        <v>4.5510000000000002</v>
      </c>
      <c r="X54">
        <f ca="1">IFERROR(IF(0=LEN(ReferenceData!$X$54),"",ReferenceData!$X$54),"")</f>
        <v>4.5549999999999997</v>
      </c>
      <c r="Y54">
        <f ca="1">IFERROR(IF(0=LEN(ReferenceData!$Y$54),"",ReferenceData!$Y$54),"")</f>
        <v>4.5599999999999996</v>
      </c>
      <c r="Z54">
        <f ca="1">IFERROR(IF(0=LEN(ReferenceData!$Z$54),"",ReferenceData!$Z$54),"")</f>
        <v>4.5709999999999997</v>
      </c>
      <c r="AA54">
        <f ca="1">IFERROR(IF(0=LEN(ReferenceData!$AA$54),"",ReferenceData!$AA$54),"")</f>
        <v>4.5949999999999998</v>
      </c>
      <c r="AB54">
        <f ca="1">IFERROR(IF(0=LEN(ReferenceData!$AB$54),"",ReferenceData!$AB$54),"")</f>
        <v>4.6050000000000004</v>
      </c>
      <c r="AC54">
        <f ca="1">IFERROR(IF(0=LEN(ReferenceData!$AC$54),"",ReferenceData!$AC$54),"")</f>
        <v>5.0490000000000004</v>
      </c>
      <c r="AD54">
        <f ca="1">IFERROR(IF(0=LEN(ReferenceData!$AD$54),"",ReferenceData!$AD$54),"")</f>
        <v>5.0780000000000003</v>
      </c>
      <c r="AE54">
        <f ca="1">IFERROR(IF(0=LEN(ReferenceData!$AE$54),"",ReferenceData!$AE$54),"")</f>
        <v>5.0869999999999997</v>
      </c>
      <c r="AF54">
        <f ca="1">IFERROR(IF(0=LEN(ReferenceData!$AF$54),"",ReferenceData!$AF$54),"")</f>
        <v>5.1050000000000004</v>
      </c>
      <c r="AG54">
        <f ca="1">IFERROR(IF(0=LEN(ReferenceData!$AG$54),"",ReferenceData!$AG$54),"")</f>
        <v>5.1379999999999999</v>
      </c>
      <c r="AH54">
        <f ca="1">IFERROR(IF(0=LEN(ReferenceData!$AH$54),"",ReferenceData!$AH$54),"")</f>
        <v>5.1639999999999997</v>
      </c>
      <c r="AI54">
        <f ca="1">IFERROR(IF(0=LEN(ReferenceData!$AI$54),"",ReferenceData!$AI$54),"")</f>
        <v>5.1559999999999997</v>
      </c>
      <c r="AJ54">
        <f ca="1">IFERROR(IF(0=LEN(ReferenceData!$AJ$54),"",ReferenceData!$AJ$54),"")</f>
        <v>5.15</v>
      </c>
      <c r="AK54">
        <f ca="1">IFERROR(IF(0=LEN(ReferenceData!$AK$54),"",ReferenceData!$AK$54),"")</f>
        <v>5.15</v>
      </c>
      <c r="AL54">
        <f ca="1">IFERROR(IF(0=LEN(ReferenceData!$AL$54),"",ReferenceData!$AL$54),"")</f>
        <v>5.0720000000000001</v>
      </c>
      <c r="AM54">
        <f ca="1">IFERROR(IF(0=LEN(ReferenceData!$AM$54),"",ReferenceData!$AM$54),"")</f>
        <v>5.056</v>
      </c>
      <c r="AN54">
        <f ca="1">IFERROR(IF(0=LEN(ReferenceData!$AN$54),"",ReferenceData!$AN$54),"")</f>
        <v>5.056</v>
      </c>
      <c r="AO54">
        <f ca="1">IFERROR(IF(0=LEN(ReferenceData!$AO$54),"",ReferenceData!$AO$54),"")</f>
        <v>5.016</v>
      </c>
      <c r="AP54">
        <f ca="1">IFERROR(IF(0=LEN(ReferenceData!$AP$54),"",ReferenceData!$AP$54),"")</f>
        <v>5.0279999999999996</v>
      </c>
      <c r="AQ54">
        <f ca="1">IFERROR(IF(0=LEN(ReferenceData!$AQ$54),"",ReferenceData!$AQ$54),"")</f>
        <v>5.0279999999999996</v>
      </c>
      <c r="AR54">
        <f ca="1">IFERROR(IF(0=LEN(ReferenceData!$AR$54),"",ReferenceData!$AR$54),"")</f>
        <v>5.1449999999999996</v>
      </c>
      <c r="AS54" t="str">
        <f ca="1">IFERROR(IF(0=LEN(ReferenceData!$AS$54),"",ReferenceData!$AS$54),"")</f>
        <v/>
      </c>
      <c r="AT54" t="str">
        <f ca="1">IFERROR(IF(0=LEN(ReferenceData!$AT$54),"",ReferenceData!$AT$54),"")</f>
        <v/>
      </c>
      <c r="AU54" t="str">
        <f ca="1">IFERROR(IF(0=LEN(ReferenceData!$AU$54),"",ReferenceData!$AU$54),"")</f>
        <v/>
      </c>
      <c r="AV54" t="str">
        <f ca="1">IFERROR(IF(0=LEN(ReferenceData!$AV$54),"",ReferenceData!$AV$54),"")</f>
        <v/>
      </c>
      <c r="AW54" t="str">
        <f ca="1">IFERROR(IF(0=LEN(ReferenceData!$AW$54),"",ReferenceData!$AW$54),"")</f>
        <v/>
      </c>
      <c r="AX54" t="str">
        <f ca="1">IFERROR(IF(0=LEN(ReferenceData!$AX$54),"",ReferenceData!$AX$54),"")</f>
        <v/>
      </c>
      <c r="AY54" t="str">
        <f ca="1">IFERROR(IF(0=LEN(ReferenceData!$AY$54),"",ReferenceData!$AY$54),"")</f>
        <v/>
      </c>
      <c r="AZ54" t="str">
        <f ca="1">IFERROR(IF(0=LEN(ReferenceData!$AZ$54),"",ReferenceData!$AZ$54),"")</f>
        <v/>
      </c>
      <c r="BA54" t="str">
        <f ca="1">IFERROR(IF(0=LEN(ReferenceData!$BA$54),"",ReferenceData!$BA$54),"")</f>
        <v/>
      </c>
      <c r="BB54" t="str">
        <f ca="1">IFERROR(IF(0=LEN(ReferenceData!$BB$54),"",ReferenceData!$BB$54),"")</f>
        <v/>
      </c>
      <c r="BC54" t="str">
        <f ca="1">IFERROR(IF(0=LEN(ReferenceData!$BC$54),"",ReferenceData!$BC$54),"")</f>
        <v/>
      </c>
      <c r="BD54" t="str">
        <f ca="1">IFERROR(IF(0=LEN(ReferenceData!$BD$54),"",ReferenceData!$BD$54),"")</f>
        <v/>
      </c>
      <c r="BE54" t="str">
        <f ca="1">IFERROR(IF(0=LEN(ReferenceData!$BE$54),"",ReferenceData!$BE$54),"")</f>
        <v/>
      </c>
      <c r="BF54" t="str">
        <f ca="1">IFERROR(IF(0=LEN(ReferenceData!$BF$54),"",ReferenceData!$BF$54),"")</f>
        <v/>
      </c>
      <c r="BG54" t="str">
        <f ca="1">IFERROR(IF(0=LEN(ReferenceData!$BG$54),"",ReferenceData!$BG$54),"")</f>
        <v/>
      </c>
      <c r="BH54" t="str">
        <f ca="1">IFERROR(IF(0=LEN(ReferenceData!$BH$54),"",ReferenceData!$BH$54),"")</f>
        <v/>
      </c>
      <c r="BI54" t="str">
        <f ca="1">IFERROR(IF(0=LEN(ReferenceData!$BI$54),"",ReferenceData!$BI$54),"")</f>
        <v/>
      </c>
      <c r="BJ54" t="str">
        <f ca="1">IFERROR(IF(0=LEN(ReferenceData!$BJ$54),"",ReferenceData!$BJ$54),"")</f>
        <v/>
      </c>
      <c r="BK54" t="str">
        <f ca="1">IFERROR(IF(0=LEN(ReferenceData!$BK$54),"",ReferenceData!$BK$54),"")</f>
        <v/>
      </c>
      <c r="BL54" t="str">
        <f ca="1">IFERROR(IF(0=LEN(ReferenceData!$BL$54),"",ReferenceData!$BL$54),"")</f>
        <v/>
      </c>
      <c r="BM54" t="str">
        <f ca="1">IFERROR(IF(0=LEN(ReferenceData!$BM$54),"",ReferenceData!$BM$54),"")</f>
        <v/>
      </c>
      <c r="BN54" t="str">
        <f ca="1">IFERROR(IF(0=LEN(ReferenceData!$BN$54),"",ReferenceData!$BN$54),"")</f>
        <v/>
      </c>
      <c r="BO54" t="str">
        <f ca="1">IFERROR(IF(0=LEN(ReferenceData!$BO$54),"",ReferenceData!$BO$54),"")</f>
        <v/>
      </c>
      <c r="BP54" t="str">
        <f ca="1">IFERROR(IF(0=LEN(ReferenceData!$BP$54),"",ReferenceData!$BP$54),"")</f>
        <v/>
      </c>
      <c r="BQ54" t="str">
        <f ca="1">IFERROR(IF(0=LEN(ReferenceData!$BQ$54),"",ReferenceData!$BQ$54),"")</f>
        <v/>
      </c>
      <c r="BR54" t="str">
        <f ca="1">IFERROR(IF(0=LEN(ReferenceData!$BR$54),"",ReferenceData!$BR$54),"")</f>
        <v/>
      </c>
      <c r="BS54" t="str">
        <f ca="1">IFERROR(IF(0=LEN(ReferenceData!$BS$54),"",ReferenceData!$BS$54),"")</f>
        <v/>
      </c>
      <c r="BT54" t="str">
        <f ca="1">IFERROR(IF(0=LEN(ReferenceData!$BT$54),"",ReferenceData!$BT$54),"")</f>
        <v/>
      </c>
      <c r="BU54" t="str">
        <f ca="1">IFERROR(IF(0=LEN(ReferenceData!$BU$54),"",ReferenceData!$BU$54),"")</f>
        <v/>
      </c>
      <c r="BV54" t="str">
        <f ca="1">IFERROR(IF(0=LEN(ReferenceData!$BV$54),"",ReferenceData!$BV$54),"")</f>
        <v/>
      </c>
      <c r="BW54" t="str">
        <f ca="1">IFERROR(IF(0=LEN(ReferenceData!$BW$54),"",ReferenceData!$BW$54),"")</f>
        <v/>
      </c>
      <c r="BX54" t="str">
        <f ca="1">IFERROR(IF(0=LEN(ReferenceData!$BX$54),"",ReferenceData!$BX$54),"")</f>
        <v/>
      </c>
      <c r="BY54" t="str">
        <f ca="1">IFERROR(IF(0=LEN(ReferenceData!$BY$54),"",ReferenceData!$BY$54),"")</f>
        <v/>
      </c>
      <c r="BZ54" t="str">
        <f ca="1">IFERROR(IF(0=LEN(ReferenceData!$BZ$54),"",ReferenceData!$BZ$54),"")</f>
        <v/>
      </c>
      <c r="CA54" t="str">
        <f ca="1">IFERROR(IF(0=LEN(ReferenceData!$CA$54),"",ReferenceData!$CA$54),"")</f>
        <v/>
      </c>
      <c r="CB54" t="str">
        <f ca="1">IFERROR(IF(0=LEN(ReferenceData!$CB$54),"",ReferenceData!$CB$54),"")</f>
        <v/>
      </c>
      <c r="CC54" t="str">
        <f ca="1">IFERROR(IF(0=LEN(ReferenceData!$CC$54),"",ReferenceData!$CC$54),"")</f>
        <v/>
      </c>
      <c r="CD54" t="str">
        <f ca="1">IFERROR(IF(0=LEN(ReferenceData!$CD$54),"",ReferenceData!$CD$54),"")</f>
        <v/>
      </c>
      <c r="CE54" t="str">
        <f ca="1">IFERROR(IF(0=LEN(ReferenceData!$CE$54),"",ReferenceData!$CE$54),"")</f>
        <v/>
      </c>
      <c r="CF54" t="str">
        <f ca="1">IFERROR(IF(0=LEN(ReferenceData!$CF$54),"",ReferenceData!$CF$54),"")</f>
        <v/>
      </c>
      <c r="CG54" t="str">
        <f ca="1">IFERROR(IF(0=LEN(ReferenceData!$CG$54),"",ReferenceData!$CG$54),"")</f>
        <v/>
      </c>
      <c r="CH54" t="str">
        <f ca="1">IFERROR(IF(0=LEN(ReferenceData!$CH$54),"",ReferenceData!$CH$54),"")</f>
        <v/>
      </c>
      <c r="CI54" t="str">
        <f ca="1">IFERROR(IF(0=LEN(ReferenceData!$CI$54),"",ReferenceData!$CI$54),"")</f>
        <v/>
      </c>
      <c r="CJ54" t="str">
        <f ca="1">IFERROR(IF(0=LEN(ReferenceData!$CJ$54),"",ReferenceData!$CJ$54),"")</f>
        <v/>
      </c>
      <c r="CK54" t="str">
        <f ca="1">IFERROR(IF(0=LEN(ReferenceData!$CK$54),"",ReferenceData!$CK$54),"")</f>
        <v/>
      </c>
    </row>
    <row r="55" spans="1:89">
      <c r="A55" t="str">
        <f>IFERROR(IF(0=LEN(ReferenceData!$A$55),"",ReferenceData!$A$55),"")</f>
        <v xml:space="preserve">    公寓物业权益信托</v>
      </c>
      <c r="B55" t="str">
        <f>IFERROR(IF(0=LEN(ReferenceData!$B$55),"",ReferenceData!$B$55),"")</f>
        <v>EQR US Equity</v>
      </c>
      <c r="C55" t="str">
        <f>IFERROR(IF(0=LEN(ReferenceData!$C$55),"",ReferenceData!$C$55),"")</f>
        <v>BE038</v>
      </c>
      <c r="D55" t="str">
        <f>IFERROR(IF(0=LEN(ReferenceData!$D$55),"",ReferenceData!$D$55),"")</f>
        <v>BEST_FFOPS</v>
      </c>
      <c r="E55" t="str">
        <f>IFERROR(IF(0=LEN(ReferenceData!$E$55),"",ReferenceData!$E$55),"")</f>
        <v>动态</v>
      </c>
      <c r="F55" t="str">
        <f ca="1">IFERROR(IF(0=LEN(ReferenceData!$F$55),"",ReferenceData!$F$55),"")</f>
        <v/>
      </c>
      <c r="G55" t="str">
        <f ca="1">IFERROR(IF(0=LEN(ReferenceData!$G$55),"",ReferenceData!$G$55),"")</f>
        <v/>
      </c>
      <c r="H55">
        <f ca="1">IFERROR(IF(0=LEN(ReferenceData!$H$55),"",ReferenceData!$H$55),"")</f>
        <v>3.1259999999999999</v>
      </c>
      <c r="I55">
        <f ca="1">IFERROR(IF(0=LEN(ReferenceData!$I$55),"",ReferenceData!$I$55),"")</f>
        <v>3.125</v>
      </c>
      <c r="J55">
        <f ca="1">IFERROR(IF(0=LEN(ReferenceData!$J$55),"",ReferenceData!$J$55),"")</f>
        <v>3.1230000000000002</v>
      </c>
      <c r="K55">
        <f ca="1">IFERROR(IF(0=LEN(ReferenceData!$K$55),"",ReferenceData!$K$55),"")</f>
        <v>3.1230000000000002</v>
      </c>
      <c r="L55">
        <f ca="1">IFERROR(IF(0=LEN(ReferenceData!$L$55),"",ReferenceData!$L$55),"")</f>
        <v>3.1160000000000001</v>
      </c>
      <c r="M55">
        <f ca="1">IFERROR(IF(0=LEN(ReferenceData!$M$55),"",ReferenceData!$M$55),"")</f>
        <v>3.117</v>
      </c>
      <c r="N55">
        <f ca="1">IFERROR(IF(0=LEN(ReferenceData!$N$55),"",ReferenceData!$N$55),"")</f>
        <v>3.1110000000000002</v>
      </c>
      <c r="O55">
        <f ca="1">IFERROR(IF(0=LEN(ReferenceData!$O$55),"",ReferenceData!$O$55),"")</f>
        <v>3.105</v>
      </c>
      <c r="P55">
        <f ca="1">IFERROR(IF(0=LEN(ReferenceData!$P$55),"",ReferenceData!$P$55),"")</f>
        <v>3.101</v>
      </c>
      <c r="Q55">
        <f ca="1">IFERROR(IF(0=LEN(ReferenceData!$Q$55),"",ReferenceData!$Q$55),"")</f>
        <v>3.0939999999999999</v>
      </c>
      <c r="R55">
        <f ca="1">IFERROR(IF(0=LEN(ReferenceData!$R$55),"",ReferenceData!$R$55),"")</f>
        <v>3.1150000000000002</v>
      </c>
      <c r="S55">
        <f ca="1">IFERROR(IF(0=LEN(ReferenceData!$S$55),"",ReferenceData!$S$55),"")</f>
        <v>3.13</v>
      </c>
      <c r="T55">
        <f ca="1">IFERROR(IF(0=LEN(ReferenceData!$T$55),"",ReferenceData!$T$55),"")</f>
        <v>3.1779999999999999</v>
      </c>
      <c r="U55">
        <f ca="1">IFERROR(IF(0=LEN(ReferenceData!$U$55),"",ReferenceData!$U$55),"")</f>
        <v>3.1669999999999998</v>
      </c>
      <c r="V55">
        <f ca="1">IFERROR(IF(0=LEN(ReferenceData!$V$55),"",ReferenceData!$V$55),"")</f>
        <v>3.17</v>
      </c>
      <c r="W55">
        <f ca="1">IFERROR(IF(0=LEN(ReferenceData!$W$55),"",ReferenceData!$W$55),"")</f>
        <v>3.1739999999999999</v>
      </c>
      <c r="X55">
        <f ca="1">IFERROR(IF(0=LEN(ReferenceData!$X$55),"",ReferenceData!$X$55),"")</f>
        <v>3.1739999999999999</v>
      </c>
      <c r="Y55">
        <f ca="1">IFERROR(IF(0=LEN(ReferenceData!$Y$55),"",ReferenceData!$Y$55),"")</f>
        <v>3.1749999999999998</v>
      </c>
      <c r="Z55">
        <f ca="1">IFERROR(IF(0=LEN(ReferenceData!$Z$55),"",ReferenceData!$Z$55),"")</f>
        <v>3.2080000000000002</v>
      </c>
      <c r="AA55">
        <f ca="1">IFERROR(IF(0=LEN(ReferenceData!$AA$55),"",ReferenceData!$AA$55),"")</f>
        <v>3.2410000000000001</v>
      </c>
      <c r="AB55">
        <f ca="1">IFERROR(IF(0=LEN(ReferenceData!$AB$55),"",ReferenceData!$AB$55),"")</f>
        <v>3.2749999999999999</v>
      </c>
      <c r="AC55">
        <f ca="1">IFERROR(IF(0=LEN(ReferenceData!$AC$55),"",ReferenceData!$AC$55),"")</f>
        <v>3.2890000000000001</v>
      </c>
      <c r="AD55">
        <f ca="1">IFERROR(IF(0=LEN(ReferenceData!$AD$55),"",ReferenceData!$AD$55),"")</f>
        <v>3.3109999999999999</v>
      </c>
      <c r="AE55">
        <f ca="1">IFERROR(IF(0=LEN(ReferenceData!$AE$55),"",ReferenceData!$AE$55),"")</f>
        <v>3.3250000000000002</v>
      </c>
      <c r="AF55">
        <f ca="1">IFERROR(IF(0=LEN(ReferenceData!$AF$55),"",ReferenceData!$AF$55),"")</f>
        <v>3.508</v>
      </c>
      <c r="AG55">
        <f ca="1">IFERROR(IF(0=LEN(ReferenceData!$AG$55),"",ReferenceData!$AG$55),"")</f>
        <v>3.4929999999999999</v>
      </c>
      <c r="AH55">
        <f ca="1">IFERROR(IF(0=LEN(ReferenceData!$AH$55),"",ReferenceData!$AH$55),"")</f>
        <v>3.6040000000000001</v>
      </c>
      <c r="AI55">
        <f ca="1">IFERROR(IF(0=LEN(ReferenceData!$AI$55),"",ReferenceData!$AI$55),"")</f>
        <v>3.8090000000000002</v>
      </c>
      <c r="AJ55">
        <f ca="1">IFERROR(IF(0=LEN(ReferenceData!$AJ$55),"",ReferenceData!$AJ$55),"")</f>
        <v>4.01</v>
      </c>
      <c r="AK55">
        <f ca="1">IFERROR(IF(0=LEN(ReferenceData!$AK$55),"",ReferenceData!$AK$55),"")</f>
        <v>4.0119999999999996</v>
      </c>
      <c r="AL55">
        <f ca="1">IFERROR(IF(0=LEN(ReferenceData!$AL$55),"",ReferenceData!$AL$55),"")</f>
        <v>3.9940000000000002</v>
      </c>
      <c r="AM55">
        <f ca="1">IFERROR(IF(0=LEN(ReferenceData!$AM$55),"",ReferenceData!$AM$55),"")</f>
        <v>3.9550000000000001</v>
      </c>
      <c r="AN55">
        <f ca="1">IFERROR(IF(0=LEN(ReferenceData!$AN$55),"",ReferenceData!$AN$55),"")</f>
        <v>3.9609999999999999</v>
      </c>
      <c r="AO55">
        <f ca="1">IFERROR(IF(0=LEN(ReferenceData!$AO$55),"",ReferenceData!$AO$55),"")</f>
        <v>3.9340000000000002</v>
      </c>
      <c r="AP55">
        <f ca="1">IFERROR(IF(0=LEN(ReferenceData!$AP$55),"",ReferenceData!$AP$55),"")</f>
        <v>3.9430000000000001</v>
      </c>
      <c r="AQ55">
        <f ca="1">IFERROR(IF(0=LEN(ReferenceData!$AQ$55),"",ReferenceData!$AQ$55),"")</f>
        <v>3.9329999999999998</v>
      </c>
      <c r="AR55" t="str">
        <f ca="1">IFERROR(IF(0=LEN(ReferenceData!$AR$55),"",ReferenceData!$AR$55),"")</f>
        <v/>
      </c>
      <c r="AS55" t="str">
        <f ca="1">IFERROR(IF(0=LEN(ReferenceData!$AS$55),"",ReferenceData!$AS$55),"")</f>
        <v/>
      </c>
      <c r="AT55" t="str">
        <f ca="1">IFERROR(IF(0=LEN(ReferenceData!$AT$55),"",ReferenceData!$AT$55),"")</f>
        <v/>
      </c>
      <c r="AU55" t="str">
        <f ca="1">IFERROR(IF(0=LEN(ReferenceData!$AU$55),"",ReferenceData!$AU$55),"")</f>
        <v/>
      </c>
      <c r="AV55" t="str">
        <f ca="1">IFERROR(IF(0=LEN(ReferenceData!$AV$55),"",ReferenceData!$AV$55),"")</f>
        <v/>
      </c>
      <c r="AW55" t="str">
        <f ca="1">IFERROR(IF(0=LEN(ReferenceData!$AW$55),"",ReferenceData!$AW$55),"")</f>
        <v/>
      </c>
      <c r="AX55" t="str">
        <f ca="1">IFERROR(IF(0=LEN(ReferenceData!$AX$55),"",ReferenceData!$AX$55),"")</f>
        <v/>
      </c>
      <c r="AY55" t="str">
        <f ca="1">IFERROR(IF(0=LEN(ReferenceData!$AY$55),"",ReferenceData!$AY$55),"")</f>
        <v/>
      </c>
      <c r="AZ55" t="str">
        <f ca="1">IFERROR(IF(0=LEN(ReferenceData!$AZ$55),"",ReferenceData!$AZ$55),"")</f>
        <v/>
      </c>
      <c r="BA55" t="str">
        <f ca="1">IFERROR(IF(0=LEN(ReferenceData!$BA$55),"",ReferenceData!$BA$55),"")</f>
        <v/>
      </c>
      <c r="BB55" t="str">
        <f ca="1">IFERROR(IF(0=LEN(ReferenceData!$BB$55),"",ReferenceData!$BB$55),"")</f>
        <v/>
      </c>
      <c r="BC55" t="str">
        <f ca="1">IFERROR(IF(0=LEN(ReferenceData!$BC$55),"",ReferenceData!$BC$55),"")</f>
        <v/>
      </c>
      <c r="BD55" t="str">
        <f ca="1">IFERROR(IF(0=LEN(ReferenceData!$BD$55),"",ReferenceData!$BD$55),"")</f>
        <v/>
      </c>
      <c r="BE55" t="str">
        <f ca="1">IFERROR(IF(0=LEN(ReferenceData!$BE$55),"",ReferenceData!$BE$55),"")</f>
        <v/>
      </c>
      <c r="BF55" t="str">
        <f ca="1">IFERROR(IF(0=LEN(ReferenceData!$BF$55),"",ReferenceData!$BF$55),"")</f>
        <v/>
      </c>
      <c r="BG55" t="str">
        <f ca="1">IFERROR(IF(0=LEN(ReferenceData!$BG$55),"",ReferenceData!$BG$55),"")</f>
        <v/>
      </c>
      <c r="BH55" t="str">
        <f ca="1">IFERROR(IF(0=LEN(ReferenceData!$BH$55),"",ReferenceData!$BH$55),"")</f>
        <v/>
      </c>
      <c r="BI55" t="str">
        <f ca="1">IFERROR(IF(0=LEN(ReferenceData!$BI$55),"",ReferenceData!$BI$55),"")</f>
        <v/>
      </c>
      <c r="BJ55" t="str">
        <f ca="1">IFERROR(IF(0=LEN(ReferenceData!$BJ$55),"",ReferenceData!$BJ$55),"")</f>
        <v/>
      </c>
      <c r="BK55" t="str">
        <f ca="1">IFERROR(IF(0=LEN(ReferenceData!$BK$55),"",ReferenceData!$BK$55),"")</f>
        <v/>
      </c>
      <c r="BL55" t="str">
        <f ca="1">IFERROR(IF(0=LEN(ReferenceData!$BL$55),"",ReferenceData!$BL$55),"")</f>
        <v/>
      </c>
      <c r="BM55" t="str">
        <f ca="1">IFERROR(IF(0=LEN(ReferenceData!$BM$55),"",ReferenceData!$BM$55),"")</f>
        <v/>
      </c>
      <c r="BN55" t="str">
        <f ca="1">IFERROR(IF(0=LEN(ReferenceData!$BN$55),"",ReferenceData!$BN$55),"")</f>
        <v/>
      </c>
      <c r="BO55" t="str">
        <f ca="1">IFERROR(IF(0=LEN(ReferenceData!$BO$55),"",ReferenceData!$BO$55),"")</f>
        <v/>
      </c>
      <c r="BP55" t="str">
        <f ca="1">IFERROR(IF(0=LEN(ReferenceData!$BP$55),"",ReferenceData!$BP$55),"")</f>
        <v/>
      </c>
      <c r="BQ55" t="str">
        <f ca="1">IFERROR(IF(0=LEN(ReferenceData!$BQ$55),"",ReferenceData!$BQ$55),"")</f>
        <v/>
      </c>
      <c r="BR55" t="str">
        <f ca="1">IFERROR(IF(0=LEN(ReferenceData!$BR$55),"",ReferenceData!$BR$55),"")</f>
        <v/>
      </c>
      <c r="BS55" t="str">
        <f ca="1">IFERROR(IF(0=LEN(ReferenceData!$BS$55),"",ReferenceData!$BS$55),"")</f>
        <v/>
      </c>
      <c r="BT55" t="str">
        <f ca="1">IFERROR(IF(0=LEN(ReferenceData!$BT$55),"",ReferenceData!$BT$55),"")</f>
        <v/>
      </c>
      <c r="BU55" t="str">
        <f ca="1">IFERROR(IF(0=LEN(ReferenceData!$BU$55),"",ReferenceData!$BU$55),"")</f>
        <v/>
      </c>
      <c r="BV55" t="str">
        <f ca="1">IFERROR(IF(0=LEN(ReferenceData!$BV$55),"",ReferenceData!$BV$55),"")</f>
        <v/>
      </c>
      <c r="BW55" t="str">
        <f ca="1">IFERROR(IF(0=LEN(ReferenceData!$BW$55),"",ReferenceData!$BW$55),"")</f>
        <v/>
      </c>
      <c r="BX55" t="str">
        <f ca="1">IFERROR(IF(0=LEN(ReferenceData!$BX$55),"",ReferenceData!$BX$55),"")</f>
        <v/>
      </c>
      <c r="BY55" t="str">
        <f ca="1">IFERROR(IF(0=LEN(ReferenceData!$BY$55),"",ReferenceData!$BY$55),"")</f>
        <v/>
      </c>
      <c r="BZ55" t="str">
        <f ca="1">IFERROR(IF(0=LEN(ReferenceData!$BZ$55),"",ReferenceData!$BZ$55),"")</f>
        <v/>
      </c>
      <c r="CA55" t="str">
        <f ca="1">IFERROR(IF(0=LEN(ReferenceData!$CA$55),"",ReferenceData!$CA$55),"")</f>
        <v/>
      </c>
      <c r="CB55" t="str">
        <f ca="1">IFERROR(IF(0=LEN(ReferenceData!$CB$55),"",ReferenceData!$CB$55),"")</f>
        <v/>
      </c>
      <c r="CC55" t="str">
        <f ca="1">IFERROR(IF(0=LEN(ReferenceData!$CC$55),"",ReferenceData!$CC$55),"")</f>
        <v/>
      </c>
      <c r="CD55" t="str">
        <f ca="1">IFERROR(IF(0=LEN(ReferenceData!$CD$55),"",ReferenceData!$CD$55),"")</f>
        <v/>
      </c>
      <c r="CE55" t="str">
        <f ca="1">IFERROR(IF(0=LEN(ReferenceData!$CE$55),"",ReferenceData!$CE$55),"")</f>
        <v/>
      </c>
      <c r="CF55" t="str">
        <f ca="1">IFERROR(IF(0=LEN(ReferenceData!$CF$55),"",ReferenceData!$CF$55),"")</f>
        <v/>
      </c>
      <c r="CG55" t="str">
        <f ca="1">IFERROR(IF(0=LEN(ReferenceData!$CG$55),"",ReferenceData!$CG$55),"")</f>
        <v/>
      </c>
      <c r="CH55" t="str">
        <f ca="1">IFERROR(IF(0=LEN(ReferenceData!$CH$55),"",ReferenceData!$CH$55),"")</f>
        <v/>
      </c>
      <c r="CI55" t="str">
        <f ca="1">IFERROR(IF(0=LEN(ReferenceData!$CI$55),"",ReferenceData!$CI$55),"")</f>
        <v/>
      </c>
      <c r="CJ55" t="str">
        <f ca="1">IFERROR(IF(0=LEN(ReferenceData!$CJ$55),"",ReferenceData!$CJ$55),"")</f>
        <v/>
      </c>
      <c r="CK55" t="str">
        <f ca="1">IFERROR(IF(0=LEN(ReferenceData!$CK$55),"",ReferenceData!$CK$55),"")</f>
        <v/>
      </c>
    </row>
    <row r="56" spans="1:89">
      <c r="A56" t="str">
        <f>IFERROR(IF(0=LEN(ReferenceData!$A$56),"",ReferenceData!$A$56),"")</f>
        <v xml:space="preserve">    埃塞克斯房地产信托公司</v>
      </c>
      <c r="B56" t="str">
        <f>IFERROR(IF(0=LEN(ReferenceData!$B$56),"",ReferenceData!$B$56),"")</f>
        <v>ESS US Equity</v>
      </c>
      <c r="C56" t="str">
        <f>IFERROR(IF(0=LEN(ReferenceData!$C$56),"",ReferenceData!$C$56),"")</f>
        <v>BE038</v>
      </c>
      <c r="D56" t="str">
        <f>IFERROR(IF(0=LEN(ReferenceData!$D$56),"",ReferenceData!$D$56),"")</f>
        <v>BEST_FFOPS</v>
      </c>
      <c r="E56" t="str">
        <f>IFERROR(IF(0=LEN(ReferenceData!$E$56),"",ReferenceData!$E$56),"")</f>
        <v>动态</v>
      </c>
      <c r="F56" t="str">
        <f ca="1">IFERROR(IF(0=LEN(ReferenceData!$F$56),"",ReferenceData!$F$56),"")</f>
        <v/>
      </c>
      <c r="G56">
        <f ca="1">IFERROR(IF(0=LEN(ReferenceData!$G$56),"",ReferenceData!$G$56),"")</f>
        <v>11.891999999999999</v>
      </c>
      <c r="H56">
        <f ca="1">IFERROR(IF(0=LEN(ReferenceData!$H$56),"",ReferenceData!$H$56),"")</f>
        <v>11.891999999999999</v>
      </c>
      <c r="I56">
        <f ca="1">IFERROR(IF(0=LEN(ReferenceData!$I$56),"",ReferenceData!$I$56),"")</f>
        <v>11.891999999999999</v>
      </c>
      <c r="J56">
        <f ca="1">IFERROR(IF(0=LEN(ReferenceData!$J$56),"",ReferenceData!$J$56),"")</f>
        <v>11.884</v>
      </c>
      <c r="K56">
        <f ca="1">IFERROR(IF(0=LEN(ReferenceData!$K$56),"",ReferenceData!$K$56),"")</f>
        <v>11.875</v>
      </c>
      <c r="L56">
        <f ca="1">IFERROR(IF(0=LEN(ReferenceData!$L$56),"",ReferenceData!$L$56),"")</f>
        <v>11.879</v>
      </c>
      <c r="M56">
        <f ca="1">IFERROR(IF(0=LEN(ReferenceData!$M$56),"",ReferenceData!$M$56),"")</f>
        <v>11.864000000000001</v>
      </c>
      <c r="N56">
        <f ca="1">IFERROR(IF(0=LEN(ReferenceData!$N$56),"",ReferenceData!$N$56),"")</f>
        <v>11.836</v>
      </c>
      <c r="O56">
        <f ca="1">IFERROR(IF(0=LEN(ReferenceData!$O$56),"",ReferenceData!$O$56),"")</f>
        <v>11.807</v>
      </c>
      <c r="P56">
        <f ca="1">IFERROR(IF(0=LEN(ReferenceData!$P$56),"",ReferenceData!$P$56),"")</f>
        <v>11.792999999999999</v>
      </c>
      <c r="Q56">
        <f ca="1">IFERROR(IF(0=LEN(ReferenceData!$Q$56),"",ReferenceData!$Q$56),"")</f>
        <v>11.711</v>
      </c>
      <c r="R56">
        <f ca="1">IFERROR(IF(0=LEN(ReferenceData!$R$56),"",ReferenceData!$R$56),"")</f>
        <v>11.724</v>
      </c>
      <c r="S56">
        <f ca="1">IFERROR(IF(0=LEN(ReferenceData!$S$56),"",ReferenceData!$S$56),"")</f>
        <v>11.72</v>
      </c>
      <c r="T56">
        <f ca="1">IFERROR(IF(0=LEN(ReferenceData!$T$56),"",ReferenceData!$T$56),"")</f>
        <v>11.763</v>
      </c>
      <c r="U56">
        <f ca="1">IFERROR(IF(0=LEN(ReferenceData!$U$56),"",ReferenceData!$U$56),"")</f>
        <v>11.771000000000001</v>
      </c>
      <c r="V56">
        <f ca="1">IFERROR(IF(0=LEN(ReferenceData!$V$56),"",ReferenceData!$V$56),"")</f>
        <v>11.807</v>
      </c>
      <c r="W56">
        <f ca="1">IFERROR(IF(0=LEN(ReferenceData!$W$56),"",ReferenceData!$W$56),"")</f>
        <v>11.786</v>
      </c>
      <c r="X56">
        <f ca="1">IFERROR(IF(0=LEN(ReferenceData!$X$56),"",ReferenceData!$X$56),"")</f>
        <v>11.815</v>
      </c>
      <c r="Y56">
        <f ca="1">IFERROR(IF(0=LEN(ReferenceData!$Y$56),"",ReferenceData!$Y$56),"")</f>
        <v>11.817</v>
      </c>
      <c r="Z56">
        <f ca="1">IFERROR(IF(0=LEN(ReferenceData!$Z$56),"",ReferenceData!$Z$56),"")</f>
        <v>11.814</v>
      </c>
      <c r="AA56">
        <f ca="1">IFERROR(IF(0=LEN(ReferenceData!$AA$56),"",ReferenceData!$AA$56),"")</f>
        <v>11.833</v>
      </c>
      <c r="AB56">
        <f ca="1">IFERROR(IF(0=LEN(ReferenceData!$AB$56),"",ReferenceData!$AB$56),"")</f>
        <v>11.862</v>
      </c>
      <c r="AC56">
        <f ca="1">IFERROR(IF(0=LEN(ReferenceData!$AC$56),"",ReferenceData!$AC$56),"")</f>
        <v>11.919</v>
      </c>
      <c r="AD56">
        <f ca="1">IFERROR(IF(0=LEN(ReferenceData!$AD$56),"",ReferenceData!$AD$56),"")</f>
        <v>11.928000000000001</v>
      </c>
      <c r="AE56">
        <f ca="1">IFERROR(IF(0=LEN(ReferenceData!$AE$56),"",ReferenceData!$AE$56),"")</f>
        <v>11.881</v>
      </c>
      <c r="AF56">
        <f ca="1">IFERROR(IF(0=LEN(ReferenceData!$AF$56),"",ReferenceData!$AF$56),"")</f>
        <v>11.837999999999999</v>
      </c>
      <c r="AG56">
        <f ca="1">IFERROR(IF(0=LEN(ReferenceData!$AG$56),"",ReferenceData!$AG$56),"")</f>
        <v>11.904</v>
      </c>
      <c r="AH56">
        <f ca="1">IFERROR(IF(0=LEN(ReferenceData!$AH$56),"",ReferenceData!$AH$56),"")</f>
        <v>11.882</v>
      </c>
      <c r="AI56">
        <f ca="1">IFERROR(IF(0=LEN(ReferenceData!$AI$56),"",ReferenceData!$AI$56),"")</f>
        <v>11.766999999999999</v>
      </c>
      <c r="AJ56">
        <f ca="1">IFERROR(IF(0=LEN(ReferenceData!$AJ$56),"",ReferenceData!$AJ$56),"")</f>
        <v>11.69</v>
      </c>
      <c r="AK56">
        <f ca="1">IFERROR(IF(0=LEN(ReferenceData!$AK$56),"",ReferenceData!$AK$56),"")</f>
        <v>11.69</v>
      </c>
      <c r="AL56">
        <f ca="1">IFERROR(IF(0=LEN(ReferenceData!$AL$56),"",ReferenceData!$AL$56),"")</f>
        <v>11.462</v>
      </c>
      <c r="AM56">
        <f ca="1">IFERROR(IF(0=LEN(ReferenceData!$AM$56),"",ReferenceData!$AM$56),"")</f>
        <v>11.4</v>
      </c>
      <c r="AN56">
        <f ca="1">IFERROR(IF(0=LEN(ReferenceData!$AN$56),"",ReferenceData!$AN$56),"")</f>
        <v>11.321999999999999</v>
      </c>
      <c r="AO56">
        <f ca="1">IFERROR(IF(0=LEN(ReferenceData!$AO$56),"",ReferenceData!$AO$56),"")</f>
        <v>11.167999999999999</v>
      </c>
      <c r="AP56">
        <f ca="1">IFERROR(IF(0=LEN(ReferenceData!$AP$56),"",ReferenceData!$AP$56),"")</f>
        <v>11.177</v>
      </c>
      <c r="AQ56">
        <f ca="1">IFERROR(IF(0=LEN(ReferenceData!$AQ$56),"",ReferenceData!$AQ$56),"")</f>
        <v>10.95</v>
      </c>
      <c r="AR56" t="str">
        <f ca="1">IFERROR(IF(0=LEN(ReferenceData!$AR$56),"",ReferenceData!$AR$56),"")</f>
        <v/>
      </c>
      <c r="AS56" t="str">
        <f ca="1">IFERROR(IF(0=LEN(ReferenceData!$AS$56),"",ReferenceData!$AS$56),"")</f>
        <v/>
      </c>
      <c r="AT56" t="str">
        <f ca="1">IFERROR(IF(0=LEN(ReferenceData!$AT$56),"",ReferenceData!$AT$56),"")</f>
        <v/>
      </c>
      <c r="AU56" t="str">
        <f ca="1">IFERROR(IF(0=LEN(ReferenceData!$AU$56),"",ReferenceData!$AU$56),"")</f>
        <v/>
      </c>
      <c r="AV56" t="str">
        <f ca="1">IFERROR(IF(0=LEN(ReferenceData!$AV$56),"",ReferenceData!$AV$56),"")</f>
        <v/>
      </c>
      <c r="AW56" t="str">
        <f ca="1">IFERROR(IF(0=LEN(ReferenceData!$AW$56),"",ReferenceData!$AW$56),"")</f>
        <v/>
      </c>
      <c r="AX56" t="str">
        <f ca="1">IFERROR(IF(0=LEN(ReferenceData!$AX$56),"",ReferenceData!$AX$56),"")</f>
        <v/>
      </c>
      <c r="AY56" t="str">
        <f ca="1">IFERROR(IF(0=LEN(ReferenceData!$AY$56),"",ReferenceData!$AY$56),"")</f>
        <v/>
      </c>
      <c r="AZ56" t="str">
        <f ca="1">IFERROR(IF(0=LEN(ReferenceData!$AZ$56),"",ReferenceData!$AZ$56),"")</f>
        <v/>
      </c>
      <c r="BA56" t="str">
        <f ca="1">IFERROR(IF(0=LEN(ReferenceData!$BA$56),"",ReferenceData!$BA$56),"")</f>
        <v/>
      </c>
      <c r="BB56" t="str">
        <f ca="1">IFERROR(IF(0=LEN(ReferenceData!$BB$56),"",ReferenceData!$BB$56),"")</f>
        <v/>
      </c>
      <c r="BC56" t="str">
        <f ca="1">IFERROR(IF(0=LEN(ReferenceData!$BC$56),"",ReferenceData!$BC$56),"")</f>
        <v/>
      </c>
      <c r="BD56" t="str">
        <f ca="1">IFERROR(IF(0=LEN(ReferenceData!$BD$56),"",ReferenceData!$BD$56),"")</f>
        <v/>
      </c>
      <c r="BE56" t="str">
        <f ca="1">IFERROR(IF(0=LEN(ReferenceData!$BE$56),"",ReferenceData!$BE$56),"")</f>
        <v/>
      </c>
      <c r="BF56" t="str">
        <f ca="1">IFERROR(IF(0=LEN(ReferenceData!$BF$56),"",ReferenceData!$BF$56),"")</f>
        <v/>
      </c>
      <c r="BG56" t="str">
        <f ca="1">IFERROR(IF(0=LEN(ReferenceData!$BG$56),"",ReferenceData!$BG$56),"")</f>
        <v/>
      </c>
      <c r="BH56" t="str">
        <f ca="1">IFERROR(IF(0=LEN(ReferenceData!$BH$56),"",ReferenceData!$BH$56),"")</f>
        <v/>
      </c>
      <c r="BI56" t="str">
        <f ca="1">IFERROR(IF(0=LEN(ReferenceData!$BI$56),"",ReferenceData!$BI$56),"")</f>
        <v/>
      </c>
      <c r="BJ56" t="str">
        <f ca="1">IFERROR(IF(0=LEN(ReferenceData!$BJ$56),"",ReferenceData!$BJ$56),"")</f>
        <v/>
      </c>
      <c r="BK56" t="str">
        <f ca="1">IFERROR(IF(0=LEN(ReferenceData!$BK$56),"",ReferenceData!$BK$56),"")</f>
        <v/>
      </c>
      <c r="BL56" t="str">
        <f ca="1">IFERROR(IF(0=LEN(ReferenceData!$BL$56),"",ReferenceData!$BL$56),"")</f>
        <v/>
      </c>
      <c r="BM56" t="str">
        <f ca="1">IFERROR(IF(0=LEN(ReferenceData!$BM$56),"",ReferenceData!$BM$56),"")</f>
        <v/>
      </c>
      <c r="BN56" t="str">
        <f ca="1">IFERROR(IF(0=LEN(ReferenceData!$BN$56),"",ReferenceData!$BN$56),"")</f>
        <v/>
      </c>
      <c r="BO56" t="str">
        <f ca="1">IFERROR(IF(0=LEN(ReferenceData!$BO$56),"",ReferenceData!$BO$56),"")</f>
        <v/>
      </c>
      <c r="BP56" t="str">
        <f ca="1">IFERROR(IF(0=LEN(ReferenceData!$BP$56),"",ReferenceData!$BP$56),"")</f>
        <v/>
      </c>
      <c r="BQ56" t="str">
        <f ca="1">IFERROR(IF(0=LEN(ReferenceData!$BQ$56),"",ReferenceData!$BQ$56),"")</f>
        <v/>
      </c>
      <c r="BR56" t="str">
        <f ca="1">IFERROR(IF(0=LEN(ReferenceData!$BR$56),"",ReferenceData!$BR$56),"")</f>
        <v/>
      </c>
      <c r="BS56" t="str">
        <f ca="1">IFERROR(IF(0=LEN(ReferenceData!$BS$56),"",ReferenceData!$BS$56),"")</f>
        <v/>
      </c>
      <c r="BT56" t="str">
        <f ca="1">IFERROR(IF(0=LEN(ReferenceData!$BT$56),"",ReferenceData!$BT$56),"")</f>
        <v/>
      </c>
      <c r="BU56" t="str">
        <f ca="1">IFERROR(IF(0=LEN(ReferenceData!$BU$56),"",ReferenceData!$BU$56),"")</f>
        <v/>
      </c>
      <c r="BV56" t="str">
        <f ca="1">IFERROR(IF(0=LEN(ReferenceData!$BV$56),"",ReferenceData!$BV$56),"")</f>
        <v/>
      </c>
      <c r="BW56" t="str">
        <f ca="1">IFERROR(IF(0=LEN(ReferenceData!$BW$56),"",ReferenceData!$BW$56),"")</f>
        <v/>
      </c>
      <c r="BX56" t="str">
        <f ca="1">IFERROR(IF(0=LEN(ReferenceData!$BX$56),"",ReferenceData!$BX$56),"")</f>
        <v/>
      </c>
      <c r="BY56" t="str">
        <f ca="1">IFERROR(IF(0=LEN(ReferenceData!$BY$56),"",ReferenceData!$BY$56),"")</f>
        <v/>
      </c>
      <c r="BZ56" t="str">
        <f ca="1">IFERROR(IF(0=LEN(ReferenceData!$BZ$56),"",ReferenceData!$BZ$56),"")</f>
        <v/>
      </c>
      <c r="CA56" t="str">
        <f ca="1">IFERROR(IF(0=LEN(ReferenceData!$CA$56),"",ReferenceData!$CA$56),"")</f>
        <v/>
      </c>
      <c r="CB56" t="str">
        <f ca="1">IFERROR(IF(0=LEN(ReferenceData!$CB$56),"",ReferenceData!$CB$56),"")</f>
        <v/>
      </c>
      <c r="CC56" t="str">
        <f ca="1">IFERROR(IF(0=LEN(ReferenceData!$CC$56),"",ReferenceData!$CC$56),"")</f>
        <v/>
      </c>
      <c r="CD56" t="str">
        <f ca="1">IFERROR(IF(0=LEN(ReferenceData!$CD$56),"",ReferenceData!$CD$56),"")</f>
        <v/>
      </c>
      <c r="CE56" t="str">
        <f ca="1">IFERROR(IF(0=LEN(ReferenceData!$CE$56),"",ReferenceData!$CE$56),"")</f>
        <v/>
      </c>
      <c r="CF56" t="str">
        <f ca="1">IFERROR(IF(0=LEN(ReferenceData!$CF$56),"",ReferenceData!$CF$56),"")</f>
        <v/>
      </c>
      <c r="CG56" t="str">
        <f ca="1">IFERROR(IF(0=LEN(ReferenceData!$CG$56),"",ReferenceData!$CG$56),"")</f>
        <v/>
      </c>
      <c r="CH56" t="str">
        <f ca="1">IFERROR(IF(0=LEN(ReferenceData!$CH$56),"",ReferenceData!$CH$56),"")</f>
        <v/>
      </c>
      <c r="CI56" t="str">
        <f ca="1">IFERROR(IF(0=LEN(ReferenceData!$CI$56),"",ReferenceData!$CI$56),"")</f>
        <v/>
      </c>
      <c r="CJ56" t="str">
        <f ca="1">IFERROR(IF(0=LEN(ReferenceData!$CJ$56),"",ReferenceData!$CJ$56),"")</f>
        <v/>
      </c>
      <c r="CK56" t="str">
        <f ca="1">IFERROR(IF(0=LEN(ReferenceData!$CK$56),"",ReferenceData!$CK$56),"")</f>
        <v/>
      </c>
    </row>
    <row r="57" spans="1:89">
      <c r="A57" t="str">
        <f>IFERROR(IF(0=LEN(ReferenceData!$A$57),"",ReferenceData!$A$57),"")</f>
        <v xml:space="preserve">    Mid-America Apartment Communities股份有限公司</v>
      </c>
      <c r="B57" t="str">
        <f>IFERROR(IF(0=LEN(ReferenceData!$B$57),"",ReferenceData!$B$57),"")</f>
        <v>MAA US Equity</v>
      </c>
      <c r="C57" t="str">
        <f>IFERROR(IF(0=LEN(ReferenceData!$C$57),"",ReferenceData!$C$57),"")</f>
        <v>BE038</v>
      </c>
      <c r="D57" t="str">
        <f>IFERROR(IF(0=LEN(ReferenceData!$D$57),"",ReferenceData!$D$57),"")</f>
        <v>BEST_FFOPS</v>
      </c>
      <c r="E57" t="str">
        <f>IFERROR(IF(0=LEN(ReferenceData!$E$57),"",ReferenceData!$E$57),"")</f>
        <v>动态</v>
      </c>
      <c r="F57" t="str">
        <f ca="1">IFERROR(IF(0=LEN(ReferenceData!$F$57),"",ReferenceData!$F$57),"")</f>
        <v/>
      </c>
      <c r="G57" t="str">
        <f ca="1">IFERROR(IF(0=LEN(ReferenceData!$G$57),"",ReferenceData!$G$57),"")</f>
        <v/>
      </c>
      <c r="H57">
        <f ca="1">IFERROR(IF(0=LEN(ReferenceData!$H$57),"",ReferenceData!$H$57),"")</f>
        <v>5.9059999999999997</v>
      </c>
      <c r="I57">
        <f ca="1">IFERROR(IF(0=LEN(ReferenceData!$I$57),"",ReferenceData!$I$57),"")</f>
        <v>5.9160000000000004</v>
      </c>
      <c r="J57">
        <f ca="1">IFERROR(IF(0=LEN(ReferenceData!$J$57),"",ReferenceData!$J$57),"")</f>
        <v>5.92</v>
      </c>
      <c r="K57">
        <f ca="1">IFERROR(IF(0=LEN(ReferenceData!$K$57),"",ReferenceData!$K$57),"")</f>
        <v>5.9189999999999996</v>
      </c>
      <c r="L57">
        <f ca="1">IFERROR(IF(0=LEN(ReferenceData!$L$57),"",ReferenceData!$L$57),"")</f>
        <v>5.9249999999999998</v>
      </c>
      <c r="M57">
        <f ca="1">IFERROR(IF(0=LEN(ReferenceData!$M$57),"",ReferenceData!$M$57),"")</f>
        <v>5.9119999999999999</v>
      </c>
      <c r="N57">
        <f ca="1">IFERROR(IF(0=LEN(ReferenceData!$N$57),"",ReferenceData!$N$57),"")</f>
        <v>5.8929999999999998</v>
      </c>
      <c r="O57">
        <f ca="1">IFERROR(IF(0=LEN(ReferenceData!$O$57),"",ReferenceData!$O$57),"")</f>
        <v>5.9130000000000003</v>
      </c>
      <c r="P57">
        <f ca="1">IFERROR(IF(0=LEN(ReferenceData!$P$57),"",ReferenceData!$P$57),"")</f>
        <v>5.9119999999999999</v>
      </c>
      <c r="Q57">
        <f ca="1">IFERROR(IF(0=LEN(ReferenceData!$Q$57),"",ReferenceData!$Q$57),"")</f>
        <v>5.8869999999999996</v>
      </c>
      <c r="R57">
        <f ca="1">IFERROR(IF(0=LEN(ReferenceData!$R$57),"",ReferenceData!$R$57),"")</f>
        <v>5.8730000000000002</v>
      </c>
      <c r="S57">
        <f ca="1">IFERROR(IF(0=LEN(ReferenceData!$S$57),"",ReferenceData!$S$57),"")</f>
        <v>5.8789999999999996</v>
      </c>
      <c r="T57">
        <f ca="1">IFERROR(IF(0=LEN(ReferenceData!$T$57),"",ReferenceData!$T$57),"")</f>
        <v>5.9409999999999998</v>
      </c>
      <c r="U57">
        <f ca="1">IFERROR(IF(0=LEN(ReferenceData!$U$57),"",ReferenceData!$U$57),"")</f>
        <v>5.9580000000000002</v>
      </c>
      <c r="V57">
        <f ca="1">IFERROR(IF(0=LEN(ReferenceData!$V$57),"",ReferenceData!$V$57),"")</f>
        <v>6.1639999999999997</v>
      </c>
      <c r="W57">
        <f ca="1">IFERROR(IF(0=LEN(ReferenceData!$W$57),"",ReferenceData!$W$57),"")</f>
        <v>6.15</v>
      </c>
      <c r="X57">
        <f ca="1">IFERROR(IF(0=LEN(ReferenceData!$X$57),"",ReferenceData!$X$57),"")</f>
        <v>6.1829999999999998</v>
      </c>
      <c r="Y57">
        <f ca="1">IFERROR(IF(0=LEN(ReferenceData!$Y$57),"",ReferenceData!$Y$57),"")</f>
        <v>6.1520000000000001</v>
      </c>
      <c r="Z57">
        <f ca="1">IFERROR(IF(0=LEN(ReferenceData!$Z$57),"",ReferenceData!$Z$57),"")</f>
        <v>6.2859999999999996</v>
      </c>
      <c r="AA57">
        <f ca="1">IFERROR(IF(0=LEN(ReferenceData!$AA$57),"",ReferenceData!$AA$57),"")</f>
        <v>6.2809999999999997</v>
      </c>
      <c r="AB57">
        <f ca="1">IFERROR(IF(0=LEN(ReferenceData!$AB$57),"",ReferenceData!$AB$57),"")</f>
        <v>6.274</v>
      </c>
      <c r="AC57">
        <f ca="1">IFERROR(IF(0=LEN(ReferenceData!$AC$57),"",ReferenceData!$AC$57),"")</f>
        <v>6.2619999999999996</v>
      </c>
      <c r="AD57">
        <f ca="1">IFERROR(IF(0=LEN(ReferenceData!$AD$57),"",ReferenceData!$AD$57),"")</f>
        <v>6.2960000000000003</v>
      </c>
      <c r="AE57">
        <f ca="1">IFERROR(IF(0=LEN(ReferenceData!$AE$57),"",ReferenceData!$AE$57),"")</f>
        <v>6.2919999999999998</v>
      </c>
      <c r="AF57">
        <f ca="1">IFERROR(IF(0=LEN(ReferenceData!$AF$57),"",ReferenceData!$AF$57),"")</f>
        <v>6.2030000000000003</v>
      </c>
      <c r="AG57">
        <f ca="1">IFERROR(IF(0=LEN(ReferenceData!$AG$57),"",ReferenceData!$AG$57),"")</f>
        <v>6.2619999999999996</v>
      </c>
      <c r="AH57">
        <f ca="1">IFERROR(IF(0=LEN(ReferenceData!$AH$57),"",ReferenceData!$AH$57),"")</f>
        <v>6.2789999999999999</v>
      </c>
      <c r="AI57">
        <f ca="1">IFERROR(IF(0=LEN(ReferenceData!$AI$57),"",ReferenceData!$AI$57),"")</f>
        <v>6.2640000000000002</v>
      </c>
      <c r="AJ57">
        <f ca="1">IFERROR(IF(0=LEN(ReferenceData!$AJ$57),"",ReferenceData!$AJ$57),"")</f>
        <v>6.093</v>
      </c>
      <c r="AK57">
        <f ca="1">IFERROR(IF(0=LEN(ReferenceData!$AK$57),"",ReferenceData!$AK$57),"")</f>
        <v>6.093</v>
      </c>
      <c r="AL57">
        <f ca="1">IFERROR(IF(0=LEN(ReferenceData!$AL$57),"",ReferenceData!$AL$57),"")</f>
        <v>6.1550000000000002</v>
      </c>
      <c r="AM57">
        <f ca="1">IFERROR(IF(0=LEN(ReferenceData!$AM$57),"",ReferenceData!$AM$57),"")</f>
        <v>6.18</v>
      </c>
      <c r="AN57">
        <f ca="1">IFERROR(IF(0=LEN(ReferenceData!$AN$57),"",ReferenceData!$AN$57),"")</f>
        <v>6.0750000000000002</v>
      </c>
      <c r="AO57">
        <f ca="1">IFERROR(IF(0=LEN(ReferenceData!$AO$57),"",ReferenceData!$AO$57),"")</f>
        <v>5.73</v>
      </c>
      <c r="AP57" t="str">
        <f ca="1">IFERROR(IF(0=LEN(ReferenceData!$AP$57),"",ReferenceData!$AP$57),"")</f>
        <v/>
      </c>
      <c r="AQ57" t="str">
        <f ca="1">IFERROR(IF(0=LEN(ReferenceData!$AQ$57),"",ReferenceData!$AQ$57),"")</f>
        <v/>
      </c>
      <c r="AR57" t="str">
        <f ca="1">IFERROR(IF(0=LEN(ReferenceData!$AR$57),"",ReferenceData!$AR$57),"")</f>
        <v/>
      </c>
      <c r="AS57" t="str">
        <f ca="1">IFERROR(IF(0=LEN(ReferenceData!$AS$57),"",ReferenceData!$AS$57),"")</f>
        <v/>
      </c>
      <c r="AT57" t="str">
        <f ca="1">IFERROR(IF(0=LEN(ReferenceData!$AT$57),"",ReferenceData!$AT$57),"")</f>
        <v/>
      </c>
      <c r="AU57" t="str">
        <f ca="1">IFERROR(IF(0=LEN(ReferenceData!$AU$57),"",ReferenceData!$AU$57),"")</f>
        <v/>
      </c>
      <c r="AV57" t="str">
        <f ca="1">IFERROR(IF(0=LEN(ReferenceData!$AV$57),"",ReferenceData!$AV$57),"")</f>
        <v/>
      </c>
      <c r="AW57" t="str">
        <f ca="1">IFERROR(IF(0=LEN(ReferenceData!$AW$57),"",ReferenceData!$AW$57),"")</f>
        <v/>
      </c>
      <c r="AX57" t="str">
        <f ca="1">IFERROR(IF(0=LEN(ReferenceData!$AX$57),"",ReferenceData!$AX$57),"")</f>
        <v/>
      </c>
      <c r="AY57" t="str">
        <f ca="1">IFERROR(IF(0=LEN(ReferenceData!$AY$57),"",ReferenceData!$AY$57),"")</f>
        <v/>
      </c>
      <c r="AZ57" t="str">
        <f ca="1">IFERROR(IF(0=LEN(ReferenceData!$AZ$57),"",ReferenceData!$AZ$57),"")</f>
        <v/>
      </c>
      <c r="BA57" t="str">
        <f ca="1">IFERROR(IF(0=LEN(ReferenceData!$BA$57),"",ReferenceData!$BA$57),"")</f>
        <v/>
      </c>
      <c r="BB57" t="str">
        <f ca="1">IFERROR(IF(0=LEN(ReferenceData!$BB$57),"",ReferenceData!$BB$57),"")</f>
        <v/>
      </c>
      <c r="BC57" t="str">
        <f ca="1">IFERROR(IF(0=LEN(ReferenceData!$BC$57),"",ReferenceData!$BC$57),"")</f>
        <v/>
      </c>
      <c r="BD57" t="str">
        <f ca="1">IFERROR(IF(0=LEN(ReferenceData!$BD$57),"",ReferenceData!$BD$57),"")</f>
        <v/>
      </c>
      <c r="BE57" t="str">
        <f ca="1">IFERROR(IF(0=LEN(ReferenceData!$BE$57),"",ReferenceData!$BE$57),"")</f>
        <v/>
      </c>
      <c r="BF57" t="str">
        <f ca="1">IFERROR(IF(0=LEN(ReferenceData!$BF$57),"",ReferenceData!$BF$57),"")</f>
        <v/>
      </c>
      <c r="BG57" t="str">
        <f ca="1">IFERROR(IF(0=LEN(ReferenceData!$BG$57),"",ReferenceData!$BG$57),"")</f>
        <v/>
      </c>
      <c r="BH57" t="str">
        <f ca="1">IFERROR(IF(0=LEN(ReferenceData!$BH$57),"",ReferenceData!$BH$57),"")</f>
        <v/>
      </c>
      <c r="BI57" t="str">
        <f ca="1">IFERROR(IF(0=LEN(ReferenceData!$BI$57),"",ReferenceData!$BI$57),"")</f>
        <v/>
      </c>
      <c r="BJ57" t="str">
        <f ca="1">IFERROR(IF(0=LEN(ReferenceData!$BJ$57),"",ReferenceData!$BJ$57),"")</f>
        <v/>
      </c>
      <c r="BK57" t="str">
        <f ca="1">IFERROR(IF(0=LEN(ReferenceData!$BK$57),"",ReferenceData!$BK$57),"")</f>
        <v/>
      </c>
      <c r="BL57" t="str">
        <f ca="1">IFERROR(IF(0=LEN(ReferenceData!$BL$57),"",ReferenceData!$BL$57),"")</f>
        <v/>
      </c>
      <c r="BM57" t="str">
        <f ca="1">IFERROR(IF(0=LEN(ReferenceData!$BM$57),"",ReferenceData!$BM$57),"")</f>
        <v/>
      </c>
      <c r="BN57" t="str">
        <f ca="1">IFERROR(IF(0=LEN(ReferenceData!$BN$57),"",ReferenceData!$BN$57),"")</f>
        <v/>
      </c>
      <c r="BO57" t="str">
        <f ca="1">IFERROR(IF(0=LEN(ReferenceData!$BO$57),"",ReferenceData!$BO$57),"")</f>
        <v/>
      </c>
      <c r="BP57" t="str">
        <f ca="1">IFERROR(IF(0=LEN(ReferenceData!$BP$57),"",ReferenceData!$BP$57),"")</f>
        <v/>
      </c>
      <c r="BQ57" t="str">
        <f ca="1">IFERROR(IF(0=LEN(ReferenceData!$BQ$57),"",ReferenceData!$BQ$57),"")</f>
        <v/>
      </c>
      <c r="BR57" t="str">
        <f ca="1">IFERROR(IF(0=LEN(ReferenceData!$BR$57),"",ReferenceData!$BR$57),"")</f>
        <v/>
      </c>
      <c r="BS57" t="str">
        <f ca="1">IFERROR(IF(0=LEN(ReferenceData!$BS$57),"",ReferenceData!$BS$57),"")</f>
        <v/>
      </c>
      <c r="BT57" t="str">
        <f ca="1">IFERROR(IF(0=LEN(ReferenceData!$BT$57),"",ReferenceData!$BT$57),"")</f>
        <v/>
      </c>
      <c r="BU57" t="str">
        <f ca="1">IFERROR(IF(0=LEN(ReferenceData!$BU$57),"",ReferenceData!$BU$57),"")</f>
        <v/>
      </c>
      <c r="BV57" t="str">
        <f ca="1">IFERROR(IF(0=LEN(ReferenceData!$BV$57),"",ReferenceData!$BV$57),"")</f>
        <v/>
      </c>
      <c r="BW57" t="str">
        <f ca="1">IFERROR(IF(0=LEN(ReferenceData!$BW$57),"",ReferenceData!$BW$57),"")</f>
        <v/>
      </c>
      <c r="BX57" t="str">
        <f ca="1">IFERROR(IF(0=LEN(ReferenceData!$BX$57),"",ReferenceData!$BX$57),"")</f>
        <v/>
      </c>
      <c r="BY57" t="str">
        <f ca="1">IFERROR(IF(0=LEN(ReferenceData!$BY$57),"",ReferenceData!$BY$57),"")</f>
        <v/>
      </c>
      <c r="BZ57" t="str">
        <f ca="1">IFERROR(IF(0=LEN(ReferenceData!$BZ$57),"",ReferenceData!$BZ$57),"")</f>
        <v/>
      </c>
      <c r="CA57" t="str">
        <f ca="1">IFERROR(IF(0=LEN(ReferenceData!$CA$57),"",ReferenceData!$CA$57),"")</f>
        <v/>
      </c>
      <c r="CB57" t="str">
        <f ca="1">IFERROR(IF(0=LEN(ReferenceData!$CB$57),"",ReferenceData!$CB$57),"")</f>
        <v/>
      </c>
      <c r="CC57" t="str">
        <f ca="1">IFERROR(IF(0=LEN(ReferenceData!$CC$57),"",ReferenceData!$CC$57),"")</f>
        <v/>
      </c>
      <c r="CD57" t="str">
        <f ca="1">IFERROR(IF(0=LEN(ReferenceData!$CD$57),"",ReferenceData!$CD$57),"")</f>
        <v/>
      </c>
      <c r="CE57" t="str">
        <f ca="1">IFERROR(IF(0=LEN(ReferenceData!$CE$57),"",ReferenceData!$CE$57),"")</f>
        <v/>
      </c>
      <c r="CF57" t="str">
        <f ca="1">IFERROR(IF(0=LEN(ReferenceData!$CF$57),"",ReferenceData!$CF$57),"")</f>
        <v/>
      </c>
      <c r="CG57" t="str">
        <f ca="1">IFERROR(IF(0=LEN(ReferenceData!$CG$57),"",ReferenceData!$CG$57),"")</f>
        <v/>
      </c>
      <c r="CH57" t="str">
        <f ca="1">IFERROR(IF(0=LEN(ReferenceData!$CH$57),"",ReferenceData!$CH$57),"")</f>
        <v/>
      </c>
      <c r="CI57" t="str">
        <f ca="1">IFERROR(IF(0=LEN(ReferenceData!$CI$57),"",ReferenceData!$CI$57),"")</f>
        <v/>
      </c>
      <c r="CJ57" t="str">
        <f ca="1">IFERROR(IF(0=LEN(ReferenceData!$CJ$57),"",ReferenceData!$CJ$57),"")</f>
        <v/>
      </c>
      <c r="CK57" t="str">
        <f ca="1">IFERROR(IF(0=LEN(ReferenceData!$CK$57),"",ReferenceData!$CK$57),"")</f>
        <v/>
      </c>
    </row>
    <row r="58" spans="1:89">
      <c r="A58" t="str">
        <f>IFERROR(IF(0=LEN(ReferenceData!$A$58),"",ReferenceData!$A$58),"")</f>
        <v xml:space="preserve">    UDR 公司</v>
      </c>
      <c r="B58" t="str">
        <f>IFERROR(IF(0=LEN(ReferenceData!$B$58),"",ReferenceData!$B$58),"")</f>
        <v>UDR US Equity</v>
      </c>
      <c r="C58" t="str">
        <f>IFERROR(IF(0=LEN(ReferenceData!$C$58),"",ReferenceData!$C$58),"")</f>
        <v>BE038</v>
      </c>
      <c r="D58" t="str">
        <f>IFERROR(IF(0=LEN(ReferenceData!$D$58),"",ReferenceData!$D$58),"")</f>
        <v>BEST_FFOPS</v>
      </c>
      <c r="E58" t="str">
        <f>IFERROR(IF(0=LEN(ReferenceData!$E$58),"",ReferenceData!$E$58),"")</f>
        <v>动态</v>
      </c>
      <c r="F58" t="str">
        <f ca="1">IFERROR(IF(0=LEN(ReferenceData!$F$58),"",ReferenceData!$F$58),"")</f>
        <v/>
      </c>
      <c r="G58" t="str">
        <f ca="1">IFERROR(IF(0=LEN(ReferenceData!$G$58),"",ReferenceData!$G$58),"")</f>
        <v/>
      </c>
      <c r="H58">
        <f ca="1">IFERROR(IF(0=LEN(ReferenceData!$H$58),"",ReferenceData!$H$58),"")</f>
        <v>1.8640000000000001</v>
      </c>
      <c r="I58">
        <f ca="1">IFERROR(IF(0=LEN(ReferenceData!$I$58),"",ReferenceData!$I$58),"")</f>
        <v>1.8660000000000001</v>
      </c>
      <c r="J58">
        <f ca="1">IFERROR(IF(0=LEN(ReferenceData!$J$58),"",ReferenceData!$J$58),"")</f>
        <v>1.865</v>
      </c>
      <c r="K58">
        <f ca="1">IFERROR(IF(0=LEN(ReferenceData!$K$58),"",ReferenceData!$K$58),"")</f>
        <v>1.8580000000000001</v>
      </c>
      <c r="L58">
        <f ca="1">IFERROR(IF(0=LEN(ReferenceData!$L$58),"",ReferenceData!$L$58),"")</f>
        <v>1.863</v>
      </c>
      <c r="M58">
        <f ca="1">IFERROR(IF(0=LEN(ReferenceData!$M$58),"",ReferenceData!$M$58),"")</f>
        <v>1.861</v>
      </c>
      <c r="N58">
        <f ca="1">IFERROR(IF(0=LEN(ReferenceData!$N$58),"",ReferenceData!$N$58),"")</f>
        <v>1.86</v>
      </c>
      <c r="O58">
        <f ca="1">IFERROR(IF(0=LEN(ReferenceData!$O$58),"",ReferenceData!$O$58),"")</f>
        <v>1.8580000000000001</v>
      </c>
      <c r="P58">
        <f ca="1">IFERROR(IF(0=LEN(ReferenceData!$P$58),"",ReferenceData!$P$58),"")</f>
        <v>1.8580000000000001</v>
      </c>
      <c r="Q58">
        <f ca="1">IFERROR(IF(0=LEN(ReferenceData!$Q$58),"",ReferenceData!$Q$58),"")</f>
        <v>1.855</v>
      </c>
      <c r="R58">
        <f ca="1">IFERROR(IF(0=LEN(ReferenceData!$R$58),"",ReferenceData!$R$58),"")</f>
        <v>1.8540000000000001</v>
      </c>
      <c r="S58">
        <f ca="1">IFERROR(IF(0=LEN(ReferenceData!$S$58),"",ReferenceData!$S$58),"")</f>
        <v>1.8540000000000001</v>
      </c>
      <c r="T58">
        <f ca="1">IFERROR(IF(0=LEN(ReferenceData!$T$58),"",ReferenceData!$T$58),"")</f>
        <v>1.8640000000000001</v>
      </c>
      <c r="U58">
        <f ca="1">IFERROR(IF(0=LEN(ReferenceData!$U$58),"",ReferenceData!$U$58),"")</f>
        <v>1.865</v>
      </c>
      <c r="V58">
        <f ca="1">IFERROR(IF(0=LEN(ReferenceData!$V$58),"",ReferenceData!$V$58),"")</f>
        <v>1.87</v>
      </c>
      <c r="W58">
        <f ca="1">IFERROR(IF(0=LEN(ReferenceData!$W$58),"",ReferenceData!$W$58),"")</f>
        <v>1.87</v>
      </c>
      <c r="X58">
        <f ca="1">IFERROR(IF(0=LEN(ReferenceData!$X$58),"",ReferenceData!$X$58),"")</f>
        <v>1.8819999999999999</v>
      </c>
      <c r="Y58">
        <f ca="1">IFERROR(IF(0=LEN(ReferenceData!$Y$58),"",ReferenceData!$Y$58),"")</f>
        <v>1.887</v>
      </c>
      <c r="Z58">
        <f ca="1">IFERROR(IF(0=LEN(ReferenceData!$Z$58),"",ReferenceData!$Z$58),"")</f>
        <v>1.89</v>
      </c>
      <c r="AA58">
        <f ca="1">IFERROR(IF(0=LEN(ReferenceData!$AA$58),"",ReferenceData!$AA$58),"")</f>
        <v>1.89</v>
      </c>
      <c r="AB58">
        <f ca="1">IFERROR(IF(0=LEN(ReferenceData!$AB$58),"",ReferenceData!$AB$58),"")</f>
        <v>1.899</v>
      </c>
      <c r="AC58">
        <f ca="1">IFERROR(IF(0=LEN(ReferenceData!$AC$58),"",ReferenceData!$AC$58),"")</f>
        <v>1.8979999999999999</v>
      </c>
      <c r="AD58">
        <f ca="1">IFERROR(IF(0=LEN(ReferenceData!$AD$58),"",ReferenceData!$AD$58),"")</f>
        <v>1.9039999999999999</v>
      </c>
      <c r="AE58">
        <f ca="1">IFERROR(IF(0=LEN(ReferenceData!$AE$58),"",ReferenceData!$AE$58),"")</f>
        <v>1.905</v>
      </c>
      <c r="AF58">
        <f ca="1">IFERROR(IF(0=LEN(ReferenceData!$AF$58),"",ReferenceData!$AF$58),"")</f>
        <v>1.9179999999999999</v>
      </c>
      <c r="AG58">
        <f ca="1">IFERROR(IF(0=LEN(ReferenceData!$AG$58),"",ReferenceData!$AG$58),"")</f>
        <v>1.9239999999999999</v>
      </c>
      <c r="AH58">
        <f ca="1">IFERROR(IF(0=LEN(ReferenceData!$AH$58),"",ReferenceData!$AH$58),"")</f>
        <v>1.9219999999999999</v>
      </c>
      <c r="AI58">
        <f ca="1">IFERROR(IF(0=LEN(ReferenceData!$AI$58),"",ReferenceData!$AI$58),"")</f>
        <v>1.909</v>
      </c>
      <c r="AJ58">
        <f ca="1">IFERROR(IF(0=LEN(ReferenceData!$AJ$58),"",ReferenceData!$AJ$58),"")</f>
        <v>1.88</v>
      </c>
      <c r="AK58">
        <f ca="1">IFERROR(IF(0=LEN(ReferenceData!$AK$58),"",ReferenceData!$AK$58),"")</f>
        <v>1.8759999999999999</v>
      </c>
      <c r="AL58">
        <f ca="1">IFERROR(IF(0=LEN(ReferenceData!$AL$58),"",ReferenceData!$AL$58),"")</f>
        <v>1.861</v>
      </c>
      <c r="AM58">
        <f ca="1">IFERROR(IF(0=LEN(ReferenceData!$AM$58),"",ReferenceData!$AM$58),"")</f>
        <v>1.8480000000000001</v>
      </c>
      <c r="AN58">
        <f ca="1">IFERROR(IF(0=LEN(ReferenceData!$AN$58),"",ReferenceData!$AN$58),"")</f>
        <v>1.83</v>
      </c>
      <c r="AO58">
        <f ca="1">IFERROR(IF(0=LEN(ReferenceData!$AO$58),"",ReferenceData!$AO$58),"")</f>
        <v>1.827</v>
      </c>
      <c r="AP58">
        <f ca="1">IFERROR(IF(0=LEN(ReferenceData!$AP$58),"",ReferenceData!$AP$58),"")</f>
        <v>1.825</v>
      </c>
      <c r="AQ58">
        <f ca="1">IFERROR(IF(0=LEN(ReferenceData!$AQ$58),"",ReferenceData!$AQ$58),"")</f>
        <v>1.823</v>
      </c>
      <c r="AR58" t="str">
        <f ca="1">IFERROR(IF(0=LEN(ReferenceData!$AR$58),"",ReferenceData!$AR$58),"")</f>
        <v/>
      </c>
      <c r="AS58" t="str">
        <f ca="1">IFERROR(IF(0=LEN(ReferenceData!$AS$58),"",ReferenceData!$AS$58),"")</f>
        <v/>
      </c>
      <c r="AT58" t="str">
        <f ca="1">IFERROR(IF(0=LEN(ReferenceData!$AT$58),"",ReferenceData!$AT$58),"")</f>
        <v/>
      </c>
      <c r="AU58" t="str">
        <f ca="1">IFERROR(IF(0=LEN(ReferenceData!$AU$58),"",ReferenceData!$AU$58),"")</f>
        <v/>
      </c>
      <c r="AV58" t="str">
        <f ca="1">IFERROR(IF(0=LEN(ReferenceData!$AV$58),"",ReferenceData!$AV$58),"")</f>
        <v/>
      </c>
      <c r="AW58" t="str">
        <f ca="1">IFERROR(IF(0=LEN(ReferenceData!$AW$58),"",ReferenceData!$AW$58),"")</f>
        <v/>
      </c>
      <c r="AX58" t="str">
        <f ca="1">IFERROR(IF(0=LEN(ReferenceData!$AX$58),"",ReferenceData!$AX$58),"")</f>
        <v/>
      </c>
      <c r="AY58" t="str">
        <f ca="1">IFERROR(IF(0=LEN(ReferenceData!$AY$58),"",ReferenceData!$AY$58),"")</f>
        <v/>
      </c>
      <c r="AZ58" t="str">
        <f ca="1">IFERROR(IF(0=LEN(ReferenceData!$AZ$58),"",ReferenceData!$AZ$58),"")</f>
        <v/>
      </c>
      <c r="BA58" t="str">
        <f ca="1">IFERROR(IF(0=LEN(ReferenceData!$BA$58),"",ReferenceData!$BA$58),"")</f>
        <v/>
      </c>
      <c r="BB58" t="str">
        <f ca="1">IFERROR(IF(0=LEN(ReferenceData!$BB$58),"",ReferenceData!$BB$58),"")</f>
        <v/>
      </c>
      <c r="BC58" t="str">
        <f ca="1">IFERROR(IF(0=LEN(ReferenceData!$BC$58),"",ReferenceData!$BC$58),"")</f>
        <v/>
      </c>
      <c r="BD58" t="str">
        <f ca="1">IFERROR(IF(0=LEN(ReferenceData!$BD$58),"",ReferenceData!$BD$58),"")</f>
        <v/>
      </c>
      <c r="BE58" t="str">
        <f ca="1">IFERROR(IF(0=LEN(ReferenceData!$BE$58),"",ReferenceData!$BE$58),"")</f>
        <v/>
      </c>
      <c r="BF58" t="str">
        <f ca="1">IFERROR(IF(0=LEN(ReferenceData!$BF$58),"",ReferenceData!$BF$58),"")</f>
        <v/>
      </c>
      <c r="BG58" t="str">
        <f ca="1">IFERROR(IF(0=LEN(ReferenceData!$BG$58),"",ReferenceData!$BG$58),"")</f>
        <v/>
      </c>
      <c r="BH58" t="str">
        <f ca="1">IFERROR(IF(0=LEN(ReferenceData!$BH$58),"",ReferenceData!$BH$58),"")</f>
        <v/>
      </c>
      <c r="BI58" t="str">
        <f ca="1">IFERROR(IF(0=LEN(ReferenceData!$BI$58),"",ReferenceData!$BI$58),"")</f>
        <v/>
      </c>
      <c r="BJ58" t="str">
        <f ca="1">IFERROR(IF(0=LEN(ReferenceData!$BJ$58),"",ReferenceData!$BJ$58),"")</f>
        <v/>
      </c>
      <c r="BK58" t="str">
        <f ca="1">IFERROR(IF(0=LEN(ReferenceData!$BK$58),"",ReferenceData!$BK$58),"")</f>
        <v/>
      </c>
      <c r="BL58" t="str">
        <f ca="1">IFERROR(IF(0=LEN(ReferenceData!$BL$58),"",ReferenceData!$BL$58),"")</f>
        <v/>
      </c>
      <c r="BM58" t="str">
        <f ca="1">IFERROR(IF(0=LEN(ReferenceData!$BM$58),"",ReferenceData!$BM$58),"")</f>
        <v/>
      </c>
      <c r="BN58" t="str">
        <f ca="1">IFERROR(IF(0=LEN(ReferenceData!$BN$58),"",ReferenceData!$BN$58),"")</f>
        <v/>
      </c>
      <c r="BO58" t="str">
        <f ca="1">IFERROR(IF(0=LEN(ReferenceData!$BO$58),"",ReferenceData!$BO$58),"")</f>
        <v/>
      </c>
      <c r="BP58" t="str">
        <f ca="1">IFERROR(IF(0=LEN(ReferenceData!$BP$58),"",ReferenceData!$BP$58),"")</f>
        <v/>
      </c>
      <c r="BQ58" t="str">
        <f ca="1">IFERROR(IF(0=LEN(ReferenceData!$BQ$58),"",ReferenceData!$BQ$58),"")</f>
        <v/>
      </c>
      <c r="BR58" t="str">
        <f ca="1">IFERROR(IF(0=LEN(ReferenceData!$BR$58),"",ReferenceData!$BR$58),"")</f>
        <v/>
      </c>
      <c r="BS58" t="str">
        <f ca="1">IFERROR(IF(0=LEN(ReferenceData!$BS$58),"",ReferenceData!$BS$58),"")</f>
        <v/>
      </c>
      <c r="BT58" t="str">
        <f ca="1">IFERROR(IF(0=LEN(ReferenceData!$BT$58),"",ReferenceData!$BT$58),"")</f>
        <v/>
      </c>
      <c r="BU58" t="str">
        <f ca="1">IFERROR(IF(0=LEN(ReferenceData!$BU$58),"",ReferenceData!$BU$58),"")</f>
        <v/>
      </c>
      <c r="BV58" t="str">
        <f ca="1">IFERROR(IF(0=LEN(ReferenceData!$BV$58),"",ReferenceData!$BV$58),"")</f>
        <v/>
      </c>
      <c r="BW58" t="str">
        <f ca="1">IFERROR(IF(0=LEN(ReferenceData!$BW$58),"",ReferenceData!$BW$58),"")</f>
        <v/>
      </c>
      <c r="BX58" t="str">
        <f ca="1">IFERROR(IF(0=LEN(ReferenceData!$BX$58),"",ReferenceData!$BX$58),"")</f>
        <v/>
      </c>
      <c r="BY58" t="str">
        <f ca="1">IFERROR(IF(0=LEN(ReferenceData!$BY$58),"",ReferenceData!$BY$58),"")</f>
        <v/>
      </c>
      <c r="BZ58" t="str">
        <f ca="1">IFERROR(IF(0=LEN(ReferenceData!$BZ$58),"",ReferenceData!$BZ$58),"")</f>
        <v/>
      </c>
      <c r="CA58" t="str">
        <f ca="1">IFERROR(IF(0=LEN(ReferenceData!$CA$58),"",ReferenceData!$CA$58),"")</f>
        <v/>
      </c>
      <c r="CB58" t="str">
        <f ca="1">IFERROR(IF(0=LEN(ReferenceData!$CB$58),"",ReferenceData!$CB$58),"")</f>
        <v/>
      </c>
      <c r="CC58" t="str">
        <f ca="1">IFERROR(IF(0=LEN(ReferenceData!$CC$58),"",ReferenceData!$CC$58),"")</f>
        <v/>
      </c>
      <c r="CD58" t="str">
        <f ca="1">IFERROR(IF(0=LEN(ReferenceData!$CD$58),"",ReferenceData!$CD$58),"")</f>
        <v/>
      </c>
      <c r="CE58" t="str">
        <f ca="1">IFERROR(IF(0=LEN(ReferenceData!$CE$58),"",ReferenceData!$CE$58),"")</f>
        <v/>
      </c>
      <c r="CF58" t="str">
        <f ca="1">IFERROR(IF(0=LEN(ReferenceData!$CF$58),"",ReferenceData!$CF$58),"")</f>
        <v/>
      </c>
      <c r="CG58" t="str">
        <f ca="1">IFERROR(IF(0=LEN(ReferenceData!$CG$58),"",ReferenceData!$CG$58),"")</f>
        <v/>
      </c>
      <c r="CH58" t="str">
        <f ca="1">IFERROR(IF(0=LEN(ReferenceData!$CH$58),"",ReferenceData!$CH$58),"")</f>
        <v/>
      </c>
      <c r="CI58" t="str">
        <f ca="1">IFERROR(IF(0=LEN(ReferenceData!$CI$58),"",ReferenceData!$CI$58),"")</f>
        <v/>
      </c>
      <c r="CJ58" t="str">
        <f ca="1">IFERROR(IF(0=LEN(ReferenceData!$CJ$58),"",ReferenceData!$CJ$58),"")</f>
        <v/>
      </c>
      <c r="CK58" t="str">
        <f ca="1">IFERROR(IF(0=LEN(ReferenceData!$CK$58),"",ReferenceData!$CK$58),"")</f>
        <v/>
      </c>
    </row>
    <row r="59" spans="1:89">
      <c r="A59" t="str">
        <f>IFERROR(IF(0=LEN(ReferenceData!$A$59),"",ReferenceData!$A$59),"")</f>
        <v>2018年预测每股FFO</v>
      </c>
      <c r="B59" t="str">
        <f>IFERROR(IF(0=LEN(ReferenceData!$B$59),"",ReferenceData!$B$59),"")</f>
        <v>BRFREITV Index</v>
      </c>
      <c r="C59" t="str">
        <f>IFERROR(IF(0=LEN(ReferenceData!$C$59),"",ReferenceData!$C$59),"")</f>
        <v/>
      </c>
      <c r="D59" t="str">
        <f>IFERROR(IF(0=LEN(ReferenceData!$D$59),"",ReferenceData!$D$59),"")</f>
        <v/>
      </c>
      <c r="E59" t="str">
        <f>IFERROR(IF(0=LEN(ReferenceData!$E$59),"",ReferenceData!$E$59),"")</f>
        <v>Sum</v>
      </c>
      <c r="F59">
        <f ca="1">IFERROR(IF(0=LEN(ReferenceData!$F$59),"",ReferenceData!$F$59),"")</f>
        <v>39.85</v>
      </c>
      <c r="G59">
        <f ca="1">IFERROR(IF(0=LEN(ReferenceData!$G$59),"",ReferenceData!$G$59),"")</f>
        <v>39.910999999999994</v>
      </c>
      <c r="H59">
        <f ca="1">IFERROR(IF(0=LEN(ReferenceData!$H$59),"",ReferenceData!$H$59),"")</f>
        <v>40.206999999999994</v>
      </c>
      <c r="I59">
        <f ca="1">IFERROR(IF(0=LEN(ReferenceData!$I$59),"",ReferenceData!$I$59),"")</f>
        <v>40.31</v>
      </c>
      <c r="J59">
        <f ca="1">IFERROR(IF(0=LEN(ReferenceData!$J$59),"",ReferenceData!$J$59),"")</f>
        <v>40.366</v>
      </c>
      <c r="K59">
        <f ca="1">IFERROR(IF(0=LEN(ReferenceData!$K$59),"",ReferenceData!$K$59),"")</f>
        <v>40.408000000000008</v>
      </c>
      <c r="L59">
        <f ca="1">IFERROR(IF(0=LEN(ReferenceData!$L$59),"",ReferenceData!$L$59),"")</f>
        <v>40.498000000000005</v>
      </c>
      <c r="M59">
        <f ca="1">IFERROR(IF(0=LEN(ReferenceData!$M$59),"",ReferenceData!$M$59),"")</f>
        <v>40.481999999999999</v>
      </c>
      <c r="N59">
        <f ca="1">IFERROR(IF(0=LEN(ReferenceData!$N$59),"",ReferenceData!$N$59),"")</f>
        <v>40.583999999999996</v>
      </c>
      <c r="O59">
        <f ca="1">IFERROR(IF(0=LEN(ReferenceData!$O$59),"",ReferenceData!$O$59),"")</f>
        <v>40.542000000000002</v>
      </c>
      <c r="P59">
        <f ca="1">IFERROR(IF(0=LEN(ReferenceData!$P$59),"",ReferenceData!$P$59),"")</f>
        <v>40.474000000000004</v>
      </c>
      <c r="Q59">
        <f ca="1">IFERROR(IF(0=LEN(ReferenceData!$Q$59),"",ReferenceData!$Q$59),"")</f>
        <v>40.373000000000005</v>
      </c>
      <c r="R59">
        <f ca="1">IFERROR(IF(0=LEN(ReferenceData!$R$59),"",ReferenceData!$R$59),"")</f>
        <v>40.366000000000007</v>
      </c>
      <c r="S59">
        <f ca="1">IFERROR(IF(0=LEN(ReferenceData!$S$59),"",ReferenceData!$S$59),"")</f>
        <v>40.387999999999991</v>
      </c>
      <c r="T59">
        <f ca="1">IFERROR(IF(0=LEN(ReferenceData!$T$59),"",ReferenceData!$T$59),"")</f>
        <v>40.787999999999997</v>
      </c>
      <c r="U59">
        <f ca="1">IFERROR(IF(0=LEN(ReferenceData!$U$59),"",ReferenceData!$U$59),"")</f>
        <v>40.698000000000008</v>
      </c>
      <c r="V59">
        <f ca="1">IFERROR(IF(0=LEN(ReferenceData!$V$59),"",ReferenceData!$V$59),"")</f>
        <v>41.058</v>
      </c>
      <c r="W59">
        <f ca="1">IFERROR(IF(0=LEN(ReferenceData!$W$59),"",ReferenceData!$W$59),"")</f>
        <v>41.036999999999999</v>
      </c>
      <c r="X59">
        <f ca="1">IFERROR(IF(0=LEN(ReferenceData!$X$59),"",ReferenceData!$X$59),"")</f>
        <v>38.700000000000003</v>
      </c>
      <c r="Y59">
        <f ca="1">IFERROR(IF(0=LEN(ReferenceData!$Y$59),"",ReferenceData!$Y$59),"")</f>
        <v>41.446000000000005</v>
      </c>
      <c r="Z59">
        <f ca="1">IFERROR(IF(0=LEN(ReferenceData!$Z$59),"",ReferenceData!$Z$59),"")</f>
        <v>41.706000000000003</v>
      </c>
      <c r="AA59">
        <f ca="1">IFERROR(IF(0=LEN(ReferenceData!$AA$59),"",ReferenceData!$AA$59),"")</f>
        <v>41.977000000000004</v>
      </c>
      <c r="AB59">
        <f ca="1">IFERROR(IF(0=LEN(ReferenceData!$AB$59),"",ReferenceData!$AB$59),"")</f>
        <v>42.030999999999999</v>
      </c>
      <c r="AC59">
        <f ca="1">IFERROR(IF(0=LEN(ReferenceData!$AC$59),"",ReferenceData!$AC$59),"")</f>
        <v>39.945999999999998</v>
      </c>
      <c r="AD59">
        <f ca="1">IFERROR(IF(0=LEN(ReferenceData!$AD$59),"",ReferenceData!$AD$59),"")</f>
        <v>36.190999999999995</v>
      </c>
      <c r="AE59">
        <f ca="1">IFERROR(IF(0=LEN(ReferenceData!$AE$59),"",ReferenceData!$AE$59),"")</f>
        <v>42.689</v>
      </c>
      <c r="AF59">
        <f ca="1">IFERROR(IF(0=LEN(ReferenceData!$AF$59),"",ReferenceData!$AF$59),"")</f>
        <v>5.42</v>
      </c>
      <c r="AG59">
        <f ca="1">IFERROR(IF(0=LEN(ReferenceData!$AG$59),"",ReferenceData!$AG$59),"")</f>
        <v>12.39</v>
      </c>
      <c r="AH59">
        <f ca="1">IFERROR(IF(0=LEN(ReferenceData!$AH$59),"",ReferenceData!$AH$59),"")</f>
        <v>14.02</v>
      </c>
      <c r="AI59" t="str">
        <f ca="1">IFERROR(IF(0=LEN(ReferenceData!$AI$59),"",ReferenceData!$AI$59),"")</f>
        <v/>
      </c>
      <c r="AJ59">
        <f ca="1">IFERROR(IF(0=LEN(ReferenceData!$AJ$59),"",ReferenceData!$AJ$59),"")</f>
        <v>2.14</v>
      </c>
      <c r="AK59">
        <f ca="1">IFERROR(IF(0=LEN(ReferenceData!$AK$59),"",ReferenceData!$AK$59),"")</f>
        <v>14.94</v>
      </c>
      <c r="AL59">
        <f ca="1">IFERROR(IF(0=LEN(ReferenceData!$AL$59),"",ReferenceData!$AL$59),"")</f>
        <v>38.159999999999997</v>
      </c>
      <c r="AM59" t="str">
        <f ca="1">IFERROR(IF(0=LEN(ReferenceData!$AM$59),"",ReferenceData!$AM$59),"")</f>
        <v/>
      </c>
      <c r="AN59" t="str">
        <f ca="1">IFERROR(IF(0=LEN(ReferenceData!$AN$59),"",ReferenceData!$AN$59),"")</f>
        <v/>
      </c>
      <c r="AO59" t="str">
        <f ca="1">IFERROR(IF(0=LEN(ReferenceData!$AO$59),"",ReferenceData!$AO$59),"")</f>
        <v/>
      </c>
      <c r="AP59" t="str">
        <f ca="1">IFERROR(IF(0=LEN(ReferenceData!$AP$59),"",ReferenceData!$AP$59),"")</f>
        <v/>
      </c>
      <c r="AQ59" t="str">
        <f ca="1">IFERROR(IF(0=LEN(ReferenceData!$AQ$59),"",ReferenceData!$AQ$59),"")</f>
        <v/>
      </c>
      <c r="AR59" t="str">
        <f ca="1">IFERROR(IF(0=LEN(ReferenceData!$AR$59),"",ReferenceData!$AR$59),"")</f>
        <v/>
      </c>
      <c r="AS59" t="str">
        <f ca="1">IFERROR(IF(0=LEN(ReferenceData!$AS$59),"",ReferenceData!$AS$59),"")</f>
        <v/>
      </c>
      <c r="AT59" t="str">
        <f ca="1">IFERROR(IF(0=LEN(ReferenceData!$AT$59),"",ReferenceData!$AT$59),"")</f>
        <v/>
      </c>
      <c r="AU59" t="str">
        <f ca="1">IFERROR(IF(0=LEN(ReferenceData!$AU$59),"",ReferenceData!$AU$59),"")</f>
        <v/>
      </c>
      <c r="AV59" t="str">
        <f ca="1">IFERROR(IF(0=LEN(ReferenceData!$AV$59),"",ReferenceData!$AV$59),"")</f>
        <v/>
      </c>
      <c r="AW59" t="str">
        <f ca="1">IFERROR(IF(0=LEN(ReferenceData!$AW$59),"",ReferenceData!$AW$59),"")</f>
        <v/>
      </c>
      <c r="AX59" t="str">
        <f ca="1">IFERROR(IF(0=LEN(ReferenceData!$AX$59),"",ReferenceData!$AX$59),"")</f>
        <v/>
      </c>
      <c r="AY59" t="str">
        <f ca="1">IFERROR(IF(0=LEN(ReferenceData!$AY$59),"",ReferenceData!$AY$59),"")</f>
        <v/>
      </c>
      <c r="AZ59" t="str">
        <f ca="1">IFERROR(IF(0=LEN(ReferenceData!$AZ$59),"",ReferenceData!$AZ$59),"")</f>
        <v/>
      </c>
      <c r="BA59" t="str">
        <f ca="1">IFERROR(IF(0=LEN(ReferenceData!$BA$59),"",ReferenceData!$BA$59),"")</f>
        <v/>
      </c>
      <c r="BB59" t="str">
        <f ca="1">IFERROR(IF(0=LEN(ReferenceData!$BB$59),"",ReferenceData!$BB$59),"")</f>
        <v/>
      </c>
      <c r="BC59" t="str">
        <f ca="1">IFERROR(IF(0=LEN(ReferenceData!$BC$59),"",ReferenceData!$BC$59),"")</f>
        <v/>
      </c>
      <c r="BD59" t="str">
        <f ca="1">IFERROR(IF(0=LEN(ReferenceData!$BD$59),"",ReferenceData!$BD$59),"")</f>
        <v/>
      </c>
      <c r="BE59" t="str">
        <f ca="1">IFERROR(IF(0=LEN(ReferenceData!$BE$59),"",ReferenceData!$BE$59),"")</f>
        <v/>
      </c>
      <c r="BF59" t="str">
        <f ca="1">IFERROR(IF(0=LEN(ReferenceData!$BF$59),"",ReferenceData!$BF$59),"")</f>
        <v/>
      </c>
      <c r="BG59" t="str">
        <f ca="1">IFERROR(IF(0=LEN(ReferenceData!$BG$59),"",ReferenceData!$BG$59),"")</f>
        <v/>
      </c>
      <c r="BH59" t="str">
        <f ca="1">IFERROR(IF(0=LEN(ReferenceData!$BH$59),"",ReferenceData!$BH$59),"")</f>
        <v/>
      </c>
      <c r="BI59" t="str">
        <f ca="1">IFERROR(IF(0=LEN(ReferenceData!$BI$59),"",ReferenceData!$BI$59),"")</f>
        <v/>
      </c>
      <c r="BJ59" t="str">
        <f ca="1">IFERROR(IF(0=LEN(ReferenceData!$BJ$59),"",ReferenceData!$BJ$59),"")</f>
        <v/>
      </c>
      <c r="BK59" t="str">
        <f ca="1">IFERROR(IF(0=LEN(ReferenceData!$BK$59),"",ReferenceData!$BK$59),"")</f>
        <v/>
      </c>
      <c r="BL59" t="str">
        <f ca="1">IFERROR(IF(0=LEN(ReferenceData!$BL$59),"",ReferenceData!$BL$59),"")</f>
        <v/>
      </c>
      <c r="BM59" t="str">
        <f ca="1">IFERROR(IF(0=LEN(ReferenceData!$BM$59),"",ReferenceData!$BM$59),"")</f>
        <v/>
      </c>
      <c r="BN59" t="str">
        <f ca="1">IFERROR(IF(0=LEN(ReferenceData!$BN$59),"",ReferenceData!$BN$59),"")</f>
        <v/>
      </c>
      <c r="BO59" t="str">
        <f ca="1">IFERROR(IF(0=LEN(ReferenceData!$BO$59),"",ReferenceData!$BO$59),"")</f>
        <v/>
      </c>
      <c r="BP59" t="str">
        <f ca="1">IFERROR(IF(0=LEN(ReferenceData!$BP$59),"",ReferenceData!$BP$59),"")</f>
        <v/>
      </c>
      <c r="BQ59" t="str">
        <f ca="1">IFERROR(IF(0=LEN(ReferenceData!$BQ$59),"",ReferenceData!$BQ$59),"")</f>
        <v/>
      </c>
      <c r="BR59" t="str">
        <f ca="1">IFERROR(IF(0=LEN(ReferenceData!$BR$59),"",ReferenceData!$BR$59),"")</f>
        <v/>
      </c>
      <c r="BS59" t="str">
        <f ca="1">IFERROR(IF(0=LEN(ReferenceData!$BS$59),"",ReferenceData!$BS$59),"")</f>
        <v/>
      </c>
      <c r="BT59" t="str">
        <f ca="1">IFERROR(IF(0=LEN(ReferenceData!$BT$59),"",ReferenceData!$BT$59),"")</f>
        <v/>
      </c>
      <c r="BU59" t="str">
        <f ca="1">IFERROR(IF(0=LEN(ReferenceData!$BU$59),"",ReferenceData!$BU$59),"")</f>
        <v/>
      </c>
      <c r="BV59" t="str">
        <f ca="1">IFERROR(IF(0=LEN(ReferenceData!$BV$59),"",ReferenceData!$BV$59),"")</f>
        <v/>
      </c>
      <c r="BW59" t="str">
        <f ca="1">IFERROR(IF(0=LEN(ReferenceData!$BW$59),"",ReferenceData!$BW$59),"")</f>
        <v/>
      </c>
      <c r="BX59" t="str">
        <f ca="1">IFERROR(IF(0=LEN(ReferenceData!$BX$59),"",ReferenceData!$BX$59),"")</f>
        <v/>
      </c>
      <c r="BY59" t="str">
        <f ca="1">IFERROR(IF(0=LEN(ReferenceData!$BY$59),"",ReferenceData!$BY$59),"")</f>
        <v/>
      </c>
      <c r="BZ59" t="str">
        <f ca="1">IFERROR(IF(0=LEN(ReferenceData!$BZ$59),"",ReferenceData!$BZ$59),"")</f>
        <v/>
      </c>
      <c r="CA59" t="str">
        <f ca="1">IFERROR(IF(0=LEN(ReferenceData!$CA$59),"",ReferenceData!$CA$59),"")</f>
        <v/>
      </c>
      <c r="CB59" t="str">
        <f ca="1">IFERROR(IF(0=LEN(ReferenceData!$CB$59),"",ReferenceData!$CB$59),"")</f>
        <v/>
      </c>
      <c r="CC59" t="str">
        <f ca="1">IFERROR(IF(0=LEN(ReferenceData!$CC$59),"",ReferenceData!$CC$59),"")</f>
        <v/>
      </c>
      <c r="CD59" t="str">
        <f ca="1">IFERROR(IF(0=LEN(ReferenceData!$CD$59),"",ReferenceData!$CD$59),"")</f>
        <v/>
      </c>
      <c r="CE59" t="str">
        <f ca="1">IFERROR(IF(0=LEN(ReferenceData!$CE$59),"",ReferenceData!$CE$59),"")</f>
        <v/>
      </c>
      <c r="CF59" t="str">
        <f ca="1">IFERROR(IF(0=LEN(ReferenceData!$CF$59),"",ReferenceData!$CF$59),"")</f>
        <v/>
      </c>
      <c r="CG59" t="str">
        <f ca="1">IFERROR(IF(0=LEN(ReferenceData!$CG$59),"",ReferenceData!$CG$59),"")</f>
        <v/>
      </c>
      <c r="CH59" t="str">
        <f ca="1">IFERROR(IF(0=LEN(ReferenceData!$CH$59),"",ReferenceData!$CH$59),"")</f>
        <v/>
      </c>
      <c r="CI59" t="str">
        <f ca="1">IFERROR(IF(0=LEN(ReferenceData!$CI$59),"",ReferenceData!$CI$59),"")</f>
        <v/>
      </c>
      <c r="CJ59" t="str">
        <f ca="1">IFERROR(IF(0=LEN(ReferenceData!$CJ$59),"",ReferenceData!$CJ$59),"")</f>
        <v/>
      </c>
      <c r="CK59" t="str">
        <f ca="1">IFERROR(IF(0=LEN(ReferenceData!$CK$59),"",ReferenceData!$CK$59),"")</f>
        <v/>
      </c>
    </row>
    <row r="60" spans="1:89">
      <c r="A60" t="str">
        <f>IFERROR(IF(0=LEN(ReferenceData!$A$60),"",ReferenceData!$A$60),"")</f>
        <v xml:space="preserve">    公寓投资与管理</v>
      </c>
      <c r="B60" t="str">
        <f>IFERROR(IF(0=LEN(ReferenceData!$B$60),"",ReferenceData!$B$60),"")</f>
        <v>AIV US Equity</v>
      </c>
      <c r="C60" t="str">
        <f>IFERROR(IF(0=LEN(ReferenceData!$C$60),"",ReferenceData!$C$60),"")</f>
        <v>BE038</v>
      </c>
      <c r="D60" t="str">
        <f>IFERROR(IF(0=LEN(ReferenceData!$D$60),"",ReferenceData!$D$60),"")</f>
        <v>BEST_FFOPS</v>
      </c>
      <c r="E60" t="str">
        <f>IFERROR(IF(0=LEN(ReferenceData!$E$60),"",ReferenceData!$E$60),"")</f>
        <v>动态</v>
      </c>
      <c r="F60">
        <f ca="1">IFERROR(IF(0=LEN(ReferenceData!$F$60),"",ReferenceData!$F$60),"")</f>
        <v>2.4940000000000002</v>
      </c>
      <c r="G60">
        <f ca="1">IFERROR(IF(0=LEN(ReferenceData!$G$60),"",ReferenceData!$G$60),"")</f>
        <v>2.5059999999999998</v>
      </c>
      <c r="H60">
        <f ca="1">IFERROR(IF(0=LEN(ReferenceData!$H$60),"",ReferenceData!$H$60),"")</f>
        <v>2.54</v>
      </c>
      <c r="I60">
        <f ca="1">IFERROR(IF(0=LEN(ReferenceData!$I$60),"",ReferenceData!$I$60),"")</f>
        <v>2.5419999999999998</v>
      </c>
      <c r="J60">
        <f ca="1">IFERROR(IF(0=LEN(ReferenceData!$J$60),"",ReferenceData!$J$60),"")</f>
        <v>2.5459999999999998</v>
      </c>
      <c r="K60">
        <f ca="1">IFERROR(IF(0=LEN(ReferenceData!$K$60),"",ReferenceData!$K$60),"")</f>
        <v>2.5510000000000002</v>
      </c>
      <c r="L60">
        <f ca="1">IFERROR(IF(0=LEN(ReferenceData!$L$60),"",ReferenceData!$L$60),"")</f>
        <v>2.548</v>
      </c>
      <c r="M60">
        <f ca="1">IFERROR(IF(0=LEN(ReferenceData!$M$60),"",ReferenceData!$M$60),"")</f>
        <v>2.5510000000000002</v>
      </c>
      <c r="N60">
        <f ca="1">IFERROR(IF(0=LEN(ReferenceData!$N$60),"",ReferenceData!$N$60),"")</f>
        <v>2.548</v>
      </c>
      <c r="O60">
        <f ca="1">IFERROR(IF(0=LEN(ReferenceData!$O$60),"",ReferenceData!$O$60),"")</f>
        <v>2.5529999999999999</v>
      </c>
      <c r="P60">
        <f ca="1">IFERROR(IF(0=LEN(ReferenceData!$P$60),"",ReferenceData!$P$60),"")</f>
        <v>2.5579999999999998</v>
      </c>
      <c r="Q60">
        <f ca="1">IFERROR(IF(0=LEN(ReferenceData!$Q$60),"",ReferenceData!$Q$60),"")</f>
        <v>2.5739999999999998</v>
      </c>
      <c r="R60">
        <f ca="1">IFERROR(IF(0=LEN(ReferenceData!$R$60),"",ReferenceData!$R$60),"")</f>
        <v>2.5739999999999998</v>
      </c>
      <c r="S60">
        <f ca="1">IFERROR(IF(0=LEN(ReferenceData!$S$60),"",ReferenceData!$S$60),"")</f>
        <v>2.5739999999999998</v>
      </c>
      <c r="T60">
        <f ca="1">IFERROR(IF(0=LEN(ReferenceData!$T$60),"",ReferenceData!$T$60),"")</f>
        <v>2.585</v>
      </c>
      <c r="U60">
        <f ca="1">IFERROR(IF(0=LEN(ReferenceData!$U$60),"",ReferenceData!$U$60),"")</f>
        <v>2.577</v>
      </c>
      <c r="V60">
        <f ca="1">IFERROR(IF(0=LEN(ReferenceData!$V$60),"",ReferenceData!$V$60),"")</f>
        <v>2.5960000000000001</v>
      </c>
      <c r="W60">
        <f ca="1">IFERROR(IF(0=LEN(ReferenceData!$W$60),"",ReferenceData!$W$60),"")</f>
        <v>2.6259999999999999</v>
      </c>
      <c r="X60" t="str">
        <f ca="1">IFERROR(IF(0=LEN(ReferenceData!$X$60),"",ReferenceData!$X$60),"")</f>
        <v/>
      </c>
      <c r="Y60">
        <f ca="1">IFERROR(IF(0=LEN(ReferenceData!$Y$60),"",ReferenceData!$Y$60),"")</f>
        <v>2.6659999999999999</v>
      </c>
      <c r="Z60">
        <f ca="1">IFERROR(IF(0=LEN(ReferenceData!$Z$60),"",ReferenceData!$Z$60),"")</f>
        <v>2.625</v>
      </c>
      <c r="AA60">
        <f ca="1">IFERROR(IF(0=LEN(ReferenceData!$AA$60),"",ReferenceData!$AA$60),"")</f>
        <v>2.6230000000000002</v>
      </c>
      <c r="AB60">
        <f ca="1">IFERROR(IF(0=LEN(ReferenceData!$AB$60),"",ReferenceData!$AB$60),"")</f>
        <v>2.6230000000000002</v>
      </c>
      <c r="AC60" t="str">
        <f ca="1">IFERROR(IF(0=LEN(ReferenceData!$AC$60),"",ReferenceData!$AC$60),"")</f>
        <v/>
      </c>
      <c r="AD60">
        <f ca="1">IFERROR(IF(0=LEN(ReferenceData!$AD$60),"",ReferenceData!$AD$60),"")</f>
        <v>2.5870000000000002</v>
      </c>
      <c r="AE60">
        <f ca="1">IFERROR(IF(0=LEN(ReferenceData!$AE$60),"",ReferenceData!$AE$60),"")</f>
        <v>2.5630000000000002</v>
      </c>
      <c r="AF60" t="str">
        <f ca="1">IFERROR(IF(0=LEN(ReferenceData!$AF$60),"",ReferenceData!$AF$60),"")</f>
        <v/>
      </c>
      <c r="AG60" t="str">
        <f ca="1">IFERROR(IF(0=LEN(ReferenceData!$AG$60),"",ReferenceData!$AG$60),"")</f>
        <v/>
      </c>
      <c r="AH60" t="str">
        <f ca="1">IFERROR(IF(0=LEN(ReferenceData!$AH$60),"",ReferenceData!$AH$60),"")</f>
        <v/>
      </c>
      <c r="AI60" t="str">
        <f ca="1">IFERROR(IF(0=LEN(ReferenceData!$AI$60),"",ReferenceData!$AI$60),"")</f>
        <v/>
      </c>
      <c r="AJ60" t="str">
        <f ca="1">IFERROR(IF(0=LEN(ReferenceData!$AJ$60),"",ReferenceData!$AJ$60),"")</f>
        <v/>
      </c>
      <c r="AK60">
        <f ca="1">IFERROR(IF(0=LEN(ReferenceData!$AK$60),"",ReferenceData!$AK$60),"")</f>
        <v>2.77</v>
      </c>
      <c r="AL60">
        <f ca="1">IFERROR(IF(0=LEN(ReferenceData!$AL$60),"",ReferenceData!$AL$60),"")</f>
        <v>2.71</v>
      </c>
      <c r="AM60" t="str">
        <f ca="1">IFERROR(IF(0=LEN(ReferenceData!$AM$60),"",ReferenceData!$AM$60),"")</f>
        <v/>
      </c>
      <c r="AN60" t="str">
        <f ca="1">IFERROR(IF(0=LEN(ReferenceData!$AN$60),"",ReferenceData!$AN$60),"")</f>
        <v/>
      </c>
      <c r="AO60" t="str">
        <f ca="1">IFERROR(IF(0=LEN(ReferenceData!$AO$60),"",ReferenceData!$AO$60),"")</f>
        <v/>
      </c>
      <c r="AP60" t="str">
        <f ca="1">IFERROR(IF(0=LEN(ReferenceData!$AP$60),"",ReferenceData!$AP$60),"")</f>
        <v/>
      </c>
      <c r="AQ60" t="str">
        <f ca="1">IFERROR(IF(0=LEN(ReferenceData!$AQ$60),"",ReferenceData!$AQ$60),"")</f>
        <v/>
      </c>
      <c r="AR60" t="str">
        <f ca="1">IFERROR(IF(0=LEN(ReferenceData!$AR$60),"",ReferenceData!$AR$60),"")</f>
        <v/>
      </c>
      <c r="AS60" t="str">
        <f ca="1">IFERROR(IF(0=LEN(ReferenceData!$AS$60),"",ReferenceData!$AS$60),"")</f>
        <v/>
      </c>
      <c r="AT60" t="str">
        <f ca="1">IFERROR(IF(0=LEN(ReferenceData!$AT$60),"",ReferenceData!$AT$60),"")</f>
        <v/>
      </c>
      <c r="AU60" t="str">
        <f ca="1">IFERROR(IF(0=LEN(ReferenceData!$AU$60),"",ReferenceData!$AU$60),"")</f>
        <v/>
      </c>
      <c r="AV60" t="str">
        <f ca="1">IFERROR(IF(0=LEN(ReferenceData!$AV$60),"",ReferenceData!$AV$60),"")</f>
        <v/>
      </c>
      <c r="AW60" t="str">
        <f ca="1">IFERROR(IF(0=LEN(ReferenceData!$AW$60),"",ReferenceData!$AW$60),"")</f>
        <v/>
      </c>
      <c r="AX60" t="str">
        <f ca="1">IFERROR(IF(0=LEN(ReferenceData!$AX$60),"",ReferenceData!$AX$60),"")</f>
        <v/>
      </c>
      <c r="AY60" t="str">
        <f ca="1">IFERROR(IF(0=LEN(ReferenceData!$AY$60),"",ReferenceData!$AY$60),"")</f>
        <v/>
      </c>
      <c r="AZ60" t="str">
        <f ca="1">IFERROR(IF(0=LEN(ReferenceData!$AZ$60),"",ReferenceData!$AZ$60),"")</f>
        <v/>
      </c>
      <c r="BA60" t="str">
        <f ca="1">IFERROR(IF(0=LEN(ReferenceData!$BA$60),"",ReferenceData!$BA$60),"")</f>
        <v/>
      </c>
      <c r="BB60" t="str">
        <f ca="1">IFERROR(IF(0=LEN(ReferenceData!$BB$60),"",ReferenceData!$BB$60),"")</f>
        <v/>
      </c>
      <c r="BC60" t="str">
        <f ca="1">IFERROR(IF(0=LEN(ReferenceData!$BC$60),"",ReferenceData!$BC$60),"")</f>
        <v/>
      </c>
      <c r="BD60" t="str">
        <f ca="1">IFERROR(IF(0=LEN(ReferenceData!$BD$60),"",ReferenceData!$BD$60),"")</f>
        <v/>
      </c>
      <c r="BE60" t="str">
        <f ca="1">IFERROR(IF(0=LEN(ReferenceData!$BE$60),"",ReferenceData!$BE$60),"")</f>
        <v/>
      </c>
      <c r="BF60" t="str">
        <f ca="1">IFERROR(IF(0=LEN(ReferenceData!$BF$60),"",ReferenceData!$BF$60),"")</f>
        <v/>
      </c>
      <c r="BG60" t="str">
        <f ca="1">IFERROR(IF(0=LEN(ReferenceData!$BG$60),"",ReferenceData!$BG$60),"")</f>
        <v/>
      </c>
      <c r="BH60" t="str">
        <f ca="1">IFERROR(IF(0=LEN(ReferenceData!$BH$60),"",ReferenceData!$BH$60),"")</f>
        <v/>
      </c>
      <c r="BI60" t="str">
        <f ca="1">IFERROR(IF(0=LEN(ReferenceData!$BI$60),"",ReferenceData!$BI$60),"")</f>
        <v/>
      </c>
      <c r="BJ60" t="str">
        <f ca="1">IFERROR(IF(0=LEN(ReferenceData!$BJ$60),"",ReferenceData!$BJ$60),"")</f>
        <v/>
      </c>
      <c r="BK60" t="str">
        <f ca="1">IFERROR(IF(0=LEN(ReferenceData!$BK$60),"",ReferenceData!$BK$60),"")</f>
        <v/>
      </c>
      <c r="BL60" t="str">
        <f ca="1">IFERROR(IF(0=LEN(ReferenceData!$BL$60),"",ReferenceData!$BL$60),"")</f>
        <v/>
      </c>
      <c r="BM60" t="str">
        <f ca="1">IFERROR(IF(0=LEN(ReferenceData!$BM$60),"",ReferenceData!$BM$60),"")</f>
        <v/>
      </c>
      <c r="BN60" t="str">
        <f ca="1">IFERROR(IF(0=LEN(ReferenceData!$BN$60),"",ReferenceData!$BN$60),"")</f>
        <v/>
      </c>
      <c r="BO60" t="str">
        <f ca="1">IFERROR(IF(0=LEN(ReferenceData!$BO$60),"",ReferenceData!$BO$60),"")</f>
        <v/>
      </c>
      <c r="BP60" t="str">
        <f ca="1">IFERROR(IF(0=LEN(ReferenceData!$BP$60),"",ReferenceData!$BP$60),"")</f>
        <v/>
      </c>
      <c r="BQ60" t="str">
        <f ca="1">IFERROR(IF(0=LEN(ReferenceData!$BQ$60),"",ReferenceData!$BQ$60),"")</f>
        <v/>
      </c>
      <c r="BR60" t="str">
        <f ca="1">IFERROR(IF(0=LEN(ReferenceData!$BR$60),"",ReferenceData!$BR$60),"")</f>
        <v/>
      </c>
      <c r="BS60" t="str">
        <f ca="1">IFERROR(IF(0=LEN(ReferenceData!$BS$60),"",ReferenceData!$BS$60),"")</f>
        <v/>
      </c>
      <c r="BT60" t="str">
        <f ca="1">IFERROR(IF(0=LEN(ReferenceData!$BT$60),"",ReferenceData!$BT$60),"")</f>
        <v/>
      </c>
      <c r="BU60" t="str">
        <f ca="1">IFERROR(IF(0=LEN(ReferenceData!$BU$60),"",ReferenceData!$BU$60),"")</f>
        <v/>
      </c>
      <c r="BV60" t="str">
        <f ca="1">IFERROR(IF(0=LEN(ReferenceData!$BV$60),"",ReferenceData!$BV$60),"")</f>
        <v/>
      </c>
      <c r="BW60" t="str">
        <f ca="1">IFERROR(IF(0=LEN(ReferenceData!$BW$60),"",ReferenceData!$BW$60),"")</f>
        <v/>
      </c>
      <c r="BX60" t="str">
        <f ca="1">IFERROR(IF(0=LEN(ReferenceData!$BX$60),"",ReferenceData!$BX$60),"")</f>
        <v/>
      </c>
      <c r="BY60" t="str">
        <f ca="1">IFERROR(IF(0=LEN(ReferenceData!$BY$60),"",ReferenceData!$BY$60),"")</f>
        <v/>
      </c>
      <c r="BZ60" t="str">
        <f ca="1">IFERROR(IF(0=LEN(ReferenceData!$BZ$60),"",ReferenceData!$BZ$60),"")</f>
        <v/>
      </c>
      <c r="CA60" t="str">
        <f ca="1">IFERROR(IF(0=LEN(ReferenceData!$CA$60),"",ReferenceData!$CA$60),"")</f>
        <v/>
      </c>
      <c r="CB60" t="str">
        <f ca="1">IFERROR(IF(0=LEN(ReferenceData!$CB$60),"",ReferenceData!$CB$60),"")</f>
        <v/>
      </c>
      <c r="CC60" t="str">
        <f ca="1">IFERROR(IF(0=LEN(ReferenceData!$CC$60),"",ReferenceData!$CC$60),"")</f>
        <v/>
      </c>
      <c r="CD60" t="str">
        <f ca="1">IFERROR(IF(0=LEN(ReferenceData!$CD$60),"",ReferenceData!$CD$60),"")</f>
        <v/>
      </c>
      <c r="CE60" t="str">
        <f ca="1">IFERROR(IF(0=LEN(ReferenceData!$CE$60),"",ReferenceData!$CE$60),"")</f>
        <v/>
      </c>
      <c r="CF60" t="str">
        <f ca="1">IFERROR(IF(0=LEN(ReferenceData!$CF$60),"",ReferenceData!$CF$60),"")</f>
        <v/>
      </c>
      <c r="CG60" t="str">
        <f ca="1">IFERROR(IF(0=LEN(ReferenceData!$CG$60),"",ReferenceData!$CG$60),"")</f>
        <v/>
      </c>
      <c r="CH60" t="str">
        <f ca="1">IFERROR(IF(0=LEN(ReferenceData!$CH$60),"",ReferenceData!$CH$60),"")</f>
        <v/>
      </c>
      <c r="CI60" t="str">
        <f ca="1">IFERROR(IF(0=LEN(ReferenceData!$CI$60),"",ReferenceData!$CI$60),"")</f>
        <v/>
      </c>
      <c r="CJ60" t="str">
        <f ca="1">IFERROR(IF(0=LEN(ReferenceData!$CJ$60),"",ReferenceData!$CJ$60),"")</f>
        <v/>
      </c>
      <c r="CK60" t="str">
        <f ca="1">IFERROR(IF(0=LEN(ReferenceData!$CK$60),"",ReferenceData!$CK$60),"")</f>
        <v/>
      </c>
    </row>
    <row r="61" spans="1:89">
      <c r="A61" t="str">
        <f>IFERROR(IF(0=LEN(ReferenceData!$A$61),"",ReferenceData!$A$61),"")</f>
        <v xml:space="preserve">    AvalonBay社区股份有限公司</v>
      </c>
      <c r="B61" t="str">
        <f>IFERROR(IF(0=LEN(ReferenceData!$B$61),"",ReferenceData!$B$61),"")</f>
        <v>AVB US Equity</v>
      </c>
      <c r="C61" t="str">
        <f>IFERROR(IF(0=LEN(ReferenceData!$C$61),"",ReferenceData!$C$61),"")</f>
        <v>BE038</v>
      </c>
      <c r="D61" t="str">
        <f>IFERROR(IF(0=LEN(ReferenceData!$D$61),"",ReferenceData!$D$61),"")</f>
        <v>BEST_FFOPS</v>
      </c>
      <c r="E61" t="str">
        <f>IFERROR(IF(0=LEN(ReferenceData!$E$61),"",ReferenceData!$E$61),"")</f>
        <v>动态</v>
      </c>
      <c r="F61">
        <f ca="1">IFERROR(IF(0=LEN(ReferenceData!$F$61),"",ReferenceData!$F$61),"")</f>
        <v>8.94</v>
      </c>
      <c r="G61">
        <f ca="1">IFERROR(IF(0=LEN(ReferenceData!$G$61),"",ReferenceData!$G$61),"")</f>
        <v>8.9480000000000004</v>
      </c>
      <c r="H61">
        <f ca="1">IFERROR(IF(0=LEN(ReferenceData!$H$61),"",ReferenceData!$H$61),"")</f>
        <v>9.0719999999999992</v>
      </c>
      <c r="I61">
        <f ca="1">IFERROR(IF(0=LEN(ReferenceData!$I$61),"",ReferenceData!$I$61),"")</f>
        <v>9.1029999999999998</v>
      </c>
      <c r="J61">
        <f ca="1">IFERROR(IF(0=LEN(ReferenceData!$J$61),"",ReferenceData!$J$61),"")</f>
        <v>9.09</v>
      </c>
      <c r="K61">
        <f ca="1">IFERROR(IF(0=LEN(ReferenceData!$K$61),"",ReferenceData!$K$61),"")</f>
        <v>9.08</v>
      </c>
      <c r="L61">
        <f ca="1">IFERROR(IF(0=LEN(ReferenceData!$L$61),"",ReferenceData!$L$61),"")</f>
        <v>9.0969999999999995</v>
      </c>
      <c r="M61">
        <f ca="1">IFERROR(IF(0=LEN(ReferenceData!$M$61),"",ReferenceData!$M$61),"")</f>
        <v>9.1</v>
      </c>
      <c r="N61">
        <f ca="1">IFERROR(IF(0=LEN(ReferenceData!$N$61),"",ReferenceData!$N$61),"")</f>
        <v>9.1969999999999992</v>
      </c>
      <c r="O61">
        <f ca="1">IFERROR(IF(0=LEN(ReferenceData!$O$61),"",ReferenceData!$O$61),"")</f>
        <v>9.1920000000000002</v>
      </c>
      <c r="P61">
        <f ca="1">IFERROR(IF(0=LEN(ReferenceData!$P$61),"",ReferenceData!$P$61),"")</f>
        <v>9.1820000000000004</v>
      </c>
      <c r="Q61">
        <f ca="1">IFERROR(IF(0=LEN(ReferenceData!$Q$61),"",ReferenceData!$Q$61),"")</f>
        <v>9.1940000000000008</v>
      </c>
      <c r="R61">
        <f ca="1">IFERROR(IF(0=LEN(ReferenceData!$R$61),"",ReferenceData!$R$61),"")</f>
        <v>9.1880000000000006</v>
      </c>
      <c r="S61">
        <f ca="1">IFERROR(IF(0=LEN(ReferenceData!$S$61),"",ReferenceData!$S$61),"")</f>
        <v>9.1859999999999999</v>
      </c>
      <c r="T61">
        <f ca="1">IFERROR(IF(0=LEN(ReferenceData!$T$61),"",ReferenceData!$T$61),"")</f>
        <v>9.2230000000000008</v>
      </c>
      <c r="U61">
        <f ca="1">IFERROR(IF(0=LEN(ReferenceData!$U$61),"",ReferenceData!$U$61),"")</f>
        <v>9.1940000000000008</v>
      </c>
      <c r="V61">
        <f ca="1">IFERROR(IF(0=LEN(ReferenceData!$V$61),"",ReferenceData!$V$61),"")</f>
        <v>9.2669999999999995</v>
      </c>
      <c r="W61">
        <f ca="1">IFERROR(IF(0=LEN(ReferenceData!$W$61),"",ReferenceData!$W$61),"")</f>
        <v>9.2590000000000003</v>
      </c>
      <c r="X61">
        <f ca="1">IFERROR(IF(0=LEN(ReferenceData!$X$61),"",ReferenceData!$X$61),"")</f>
        <v>9.4670000000000005</v>
      </c>
      <c r="Y61">
        <f ca="1">IFERROR(IF(0=LEN(ReferenceData!$Y$61),"",ReferenceData!$Y$61),"")</f>
        <v>9.4629999999999992</v>
      </c>
      <c r="Z61">
        <f ca="1">IFERROR(IF(0=LEN(ReferenceData!$Z$61),"",ReferenceData!$Z$61),"")</f>
        <v>9.5830000000000002</v>
      </c>
      <c r="AA61">
        <f ca="1">IFERROR(IF(0=LEN(ReferenceData!$AA$61),"",ReferenceData!$AA$61),"")</f>
        <v>9.625</v>
      </c>
      <c r="AB61">
        <f ca="1">IFERROR(IF(0=LEN(ReferenceData!$AB$61),"",ReferenceData!$AB$61),"")</f>
        <v>9.64</v>
      </c>
      <c r="AC61">
        <f ca="1">IFERROR(IF(0=LEN(ReferenceData!$AC$61),"",ReferenceData!$AC$61),"")</f>
        <v>9.67</v>
      </c>
      <c r="AD61">
        <f ca="1">IFERROR(IF(0=LEN(ReferenceData!$AD$61),"",ReferenceData!$AD$61),"")</f>
        <v>9.7129999999999992</v>
      </c>
      <c r="AE61">
        <f ca="1">IFERROR(IF(0=LEN(ReferenceData!$AE$61),"",ReferenceData!$AE$61),"")</f>
        <v>9.6999999999999993</v>
      </c>
      <c r="AF61" t="str">
        <f ca="1">IFERROR(IF(0=LEN(ReferenceData!$AF$61),"",ReferenceData!$AF$61),"")</f>
        <v/>
      </c>
      <c r="AG61" t="str">
        <f ca="1">IFERROR(IF(0=LEN(ReferenceData!$AG$61),"",ReferenceData!$AG$61),"")</f>
        <v/>
      </c>
      <c r="AH61">
        <f ca="1">IFERROR(IF(0=LEN(ReferenceData!$AH$61),"",ReferenceData!$AH$61),"")</f>
        <v>9.9700000000000006</v>
      </c>
      <c r="AI61" t="str">
        <f ca="1">IFERROR(IF(0=LEN(ReferenceData!$AI$61),"",ReferenceData!$AI$61),"")</f>
        <v/>
      </c>
      <c r="AJ61" t="str">
        <f ca="1">IFERROR(IF(0=LEN(ReferenceData!$AJ$61),"",ReferenceData!$AJ$61),"")</f>
        <v/>
      </c>
      <c r="AK61">
        <f ca="1">IFERROR(IF(0=LEN(ReferenceData!$AK$61),"",ReferenceData!$AK$61),"")</f>
        <v>10.08</v>
      </c>
      <c r="AL61">
        <f ca="1">IFERROR(IF(0=LEN(ReferenceData!$AL$61),"",ReferenceData!$AL$61),"")</f>
        <v>9.68</v>
      </c>
      <c r="AM61" t="str">
        <f ca="1">IFERROR(IF(0=LEN(ReferenceData!$AM$61),"",ReferenceData!$AM$61),"")</f>
        <v/>
      </c>
      <c r="AN61" t="str">
        <f ca="1">IFERROR(IF(0=LEN(ReferenceData!$AN$61),"",ReferenceData!$AN$61),"")</f>
        <v/>
      </c>
      <c r="AO61" t="str">
        <f ca="1">IFERROR(IF(0=LEN(ReferenceData!$AO$61),"",ReferenceData!$AO$61),"")</f>
        <v/>
      </c>
      <c r="AP61" t="str">
        <f ca="1">IFERROR(IF(0=LEN(ReferenceData!$AP$61),"",ReferenceData!$AP$61),"")</f>
        <v/>
      </c>
      <c r="AQ61" t="str">
        <f ca="1">IFERROR(IF(0=LEN(ReferenceData!$AQ$61),"",ReferenceData!$AQ$61),"")</f>
        <v/>
      </c>
      <c r="AR61" t="str">
        <f ca="1">IFERROR(IF(0=LEN(ReferenceData!$AR$61),"",ReferenceData!$AR$61),"")</f>
        <v/>
      </c>
      <c r="AS61" t="str">
        <f ca="1">IFERROR(IF(0=LEN(ReferenceData!$AS$61),"",ReferenceData!$AS$61),"")</f>
        <v/>
      </c>
      <c r="AT61" t="str">
        <f ca="1">IFERROR(IF(0=LEN(ReferenceData!$AT$61),"",ReferenceData!$AT$61),"")</f>
        <v/>
      </c>
      <c r="AU61" t="str">
        <f ca="1">IFERROR(IF(0=LEN(ReferenceData!$AU$61),"",ReferenceData!$AU$61),"")</f>
        <v/>
      </c>
      <c r="AV61" t="str">
        <f ca="1">IFERROR(IF(0=LEN(ReferenceData!$AV$61),"",ReferenceData!$AV$61),"")</f>
        <v/>
      </c>
      <c r="AW61" t="str">
        <f ca="1">IFERROR(IF(0=LEN(ReferenceData!$AW$61),"",ReferenceData!$AW$61),"")</f>
        <v/>
      </c>
      <c r="AX61" t="str">
        <f ca="1">IFERROR(IF(0=LEN(ReferenceData!$AX$61),"",ReferenceData!$AX$61),"")</f>
        <v/>
      </c>
      <c r="AY61" t="str">
        <f ca="1">IFERROR(IF(0=LEN(ReferenceData!$AY$61),"",ReferenceData!$AY$61),"")</f>
        <v/>
      </c>
      <c r="AZ61" t="str">
        <f ca="1">IFERROR(IF(0=LEN(ReferenceData!$AZ$61),"",ReferenceData!$AZ$61),"")</f>
        <v/>
      </c>
      <c r="BA61" t="str">
        <f ca="1">IFERROR(IF(0=LEN(ReferenceData!$BA$61),"",ReferenceData!$BA$61),"")</f>
        <v/>
      </c>
      <c r="BB61" t="str">
        <f ca="1">IFERROR(IF(0=LEN(ReferenceData!$BB$61),"",ReferenceData!$BB$61),"")</f>
        <v/>
      </c>
      <c r="BC61" t="str">
        <f ca="1">IFERROR(IF(0=LEN(ReferenceData!$BC$61),"",ReferenceData!$BC$61),"")</f>
        <v/>
      </c>
      <c r="BD61" t="str">
        <f ca="1">IFERROR(IF(0=LEN(ReferenceData!$BD$61),"",ReferenceData!$BD$61),"")</f>
        <v/>
      </c>
      <c r="BE61" t="str">
        <f ca="1">IFERROR(IF(0=LEN(ReferenceData!$BE$61),"",ReferenceData!$BE$61),"")</f>
        <v/>
      </c>
      <c r="BF61" t="str">
        <f ca="1">IFERROR(IF(0=LEN(ReferenceData!$BF$61),"",ReferenceData!$BF$61),"")</f>
        <v/>
      </c>
      <c r="BG61" t="str">
        <f ca="1">IFERROR(IF(0=LEN(ReferenceData!$BG$61),"",ReferenceData!$BG$61),"")</f>
        <v/>
      </c>
      <c r="BH61" t="str">
        <f ca="1">IFERROR(IF(0=LEN(ReferenceData!$BH$61),"",ReferenceData!$BH$61),"")</f>
        <v/>
      </c>
      <c r="BI61" t="str">
        <f ca="1">IFERROR(IF(0=LEN(ReferenceData!$BI$61),"",ReferenceData!$BI$61),"")</f>
        <v/>
      </c>
      <c r="BJ61" t="str">
        <f ca="1">IFERROR(IF(0=LEN(ReferenceData!$BJ$61),"",ReferenceData!$BJ$61),"")</f>
        <v/>
      </c>
      <c r="BK61" t="str">
        <f ca="1">IFERROR(IF(0=LEN(ReferenceData!$BK$61),"",ReferenceData!$BK$61),"")</f>
        <v/>
      </c>
      <c r="BL61" t="str">
        <f ca="1">IFERROR(IF(0=LEN(ReferenceData!$BL$61),"",ReferenceData!$BL$61),"")</f>
        <v/>
      </c>
      <c r="BM61" t="str">
        <f ca="1">IFERROR(IF(0=LEN(ReferenceData!$BM$61),"",ReferenceData!$BM$61),"")</f>
        <v/>
      </c>
      <c r="BN61" t="str">
        <f ca="1">IFERROR(IF(0=LEN(ReferenceData!$BN$61),"",ReferenceData!$BN$61),"")</f>
        <v/>
      </c>
      <c r="BO61" t="str">
        <f ca="1">IFERROR(IF(0=LEN(ReferenceData!$BO$61),"",ReferenceData!$BO$61),"")</f>
        <v/>
      </c>
      <c r="BP61" t="str">
        <f ca="1">IFERROR(IF(0=LEN(ReferenceData!$BP$61),"",ReferenceData!$BP$61),"")</f>
        <v/>
      </c>
      <c r="BQ61" t="str">
        <f ca="1">IFERROR(IF(0=LEN(ReferenceData!$BQ$61),"",ReferenceData!$BQ$61),"")</f>
        <v/>
      </c>
      <c r="BR61" t="str">
        <f ca="1">IFERROR(IF(0=LEN(ReferenceData!$BR$61),"",ReferenceData!$BR$61),"")</f>
        <v/>
      </c>
      <c r="BS61" t="str">
        <f ca="1">IFERROR(IF(0=LEN(ReferenceData!$BS$61),"",ReferenceData!$BS$61),"")</f>
        <v/>
      </c>
      <c r="BT61" t="str">
        <f ca="1">IFERROR(IF(0=LEN(ReferenceData!$BT$61),"",ReferenceData!$BT$61),"")</f>
        <v/>
      </c>
      <c r="BU61" t="str">
        <f ca="1">IFERROR(IF(0=LEN(ReferenceData!$BU$61),"",ReferenceData!$BU$61),"")</f>
        <v/>
      </c>
      <c r="BV61" t="str">
        <f ca="1">IFERROR(IF(0=LEN(ReferenceData!$BV$61),"",ReferenceData!$BV$61),"")</f>
        <v/>
      </c>
      <c r="BW61" t="str">
        <f ca="1">IFERROR(IF(0=LEN(ReferenceData!$BW$61),"",ReferenceData!$BW$61),"")</f>
        <v/>
      </c>
      <c r="BX61" t="str">
        <f ca="1">IFERROR(IF(0=LEN(ReferenceData!$BX$61),"",ReferenceData!$BX$61),"")</f>
        <v/>
      </c>
      <c r="BY61" t="str">
        <f ca="1">IFERROR(IF(0=LEN(ReferenceData!$BY$61),"",ReferenceData!$BY$61),"")</f>
        <v/>
      </c>
      <c r="BZ61" t="str">
        <f ca="1">IFERROR(IF(0=LEN(ReferenceData!$BZ$61),"",ReferenceData!$BZ$61),"")</f>
        <v/>
      </c>
      <c r="CA61" t="str">
        <f ca="1">IFERROR(IF(0=LEN(ReferenceData!$CA$61),"",ReferenceData!$CA$61),"")</f>
        <v/>
      </c>
      <c r="CB61" t="str">
        <f ca="1">IFERROR(IF(0=LEN(ReferenceData!$CB$61),"",ReferenceData!$CB$61),"")</f>
        <v/>
      </c>
      <c r="CC61" t="str">
        <f ca="1">IFERROR(IF(0=LEN(ReferenceData!$CC$61),"",ReferenceData!$CC$61),"")</f>
        <v/>
      </c>
      <c r="CD61" t="str">
        <f ca="1">IFERROR(IF(0=LEN(ReferenceData!$CD$61),"",ReferenceData!$CD$61),"")</f>
        <v/>
      </c>
      <c r="CE61" t="str">
        <f ca="1">IFERROR(IF(0=LEN(ReferenceData!$CE$61),"",ReferenceData!$CE$61),"")</f>
        <v/>
      </c>
      <c r="CF61" t="str">
        <f ca="1">IFERROR(IF(0=LEN(ReferenceData!$CF$61),"",ReferenceData!$CF$61),"")</f>
        <v/>
      </c>
      <c r="CG61" t="str">
        <f ca="1">IFERROR(IF(0=LEN(ReferenceData!$CG$61),"",ReferenceData!$CG$61),"")</f>
        <v/>
      </c>
      <c r="CH61" t="str">
        <f ca="1">IFERROR(IF(0=LEN(ReferenceData!$CH$61),"",ReferenceData!$CH$61),"")</f>
        <v/>
      </c>
      <c r="CI61" t="str">
        <f ca="1">IFERROR(IF(0=LEN(ReferenceData!$CI$61),"",ReferenceData!$CI$61),"")</f>
        <v/>
      </c>
      <c r="CJ61" t="str">
        <f ca="1">IFERROR(IF(0=LEN(ReferenceData!$CJ$61),"",ReferenceData!$CJ$61),"")</f>
        <v/>
      </c>
      <c r="CK61" t="str">
        <f ca="1">IFERROR(IF(0=LEN(ReferenceData!$CK$61),"",ReferenceData!$CK$61),"")</f>
        <v/>
      </c>
    </row>
    <row r="62" spans="1:89">
      <c r="A62" t="str">
        <f>IFERROR(IF(0=LEN(ReferenceData!$A$62),"",ReferenceData!$A$62),"")</f>
        <v xml:space="preserve">    Camden 房地产信托公司</v>
      </c>
      <c r="B62" t="str">
        <f>IFERROR(IF(0=LEN(ReferenceData!$B$62),"",ReferenceData!$B$62),"")</f>
        <v>CPT US Equity</v>
      </c>
      <c r="C62" t="str">
        <f>IFERROR(IF(0=LEN(ReferenceData!$C$62),"",ReferenceData!$C$62),"")</f>
        <v>BE038</v>
      </c>
      <c r="D62" t="str">
        <f>IFERROR(IF(0=LEN(ReferenceData!$D$62),"",ReferenceData!$D$62),"")</f>
        <v>BEST_FFOPS</v>
      </c>
      <c r="E62" t="str">
        <f>IFERROR(IF(0=LEN(ReferenceData!$E$62),"",ReferenceData!$E$62),"")</f>
        <v>动态</v>
      </c>
      <c r="F62">
        <f ca="1">IFERROR(IF(0=LEN(ReferenceData!$F$62),"",ReferenceData!$F$62),"")</f>
        <v>4.7530000000000001</v>
      </c>
      <c r="G62">
        <f ca="1">IFERROR(IF(0=LEN(ReferenceData!$G$62),"",ReferenceData!$G$62),"")</f>
        <v>4.7569999999999997</v>
      </c>
      <c r="H62">
        <f ca="1">IFERROR(IF(0=LEN(ReferenceData!$H$62),"",ReferenceData!$H$62),"")</f>
        <v>4.7919999999999998</v>
      </c>
      <c r="I62">
        <f ca="1">IFERROR(IF(0=LEN(ReferenceData!$I$62),"",ReferenceData!$I$62),"")</f>
        <v>4.7969999999999997</v>
      </c>
      <c r="J62">
        <f ca="1">IFERROR(IF(0=LEN(ReferenceData!$J$62),"",ReferenceData!$J$62),"")</f>
        <v>4.8</v>
      </c>
      <c r="K62">
        <f ca="1">IFERROR(IF(0=LEN(ReferenceData!$K$62),"",ReferenceData!$K$62),"")</f>
        <v>4.7850000000000001</v>
      </c>
      <c r="L62">
        <f ca="1">IFERROR(IF(0=LEN(ReferenceData!$L$62),"",ReferenceData!$L$62),"")</f>
        <v>4.7990000000000004</v>
      </c>
      <c r="M62">
        <f ca="1">IFERROR(IF(0=LEN(ReferenceData!$M$62),"",ReferenceData!$M$62),"")</f>
        <v>4.806</v>
      </c>
      <c r="N62">
        <f ca="1">IFERROR(IF(0=LEN(ReferenceData!$N$62),"",ReferenceData!$N$62),"")</f>
        <v>4.8010000000000002</v>
      </c>
      <c r="O62">
        <f ca="1">IFERROR(IF(0=LEN(ReferenceData!$O$62),"",ReferenceData!$O$62),"")</f>
        <v>4.7850000000000001</v>
      </c>
      <c r="P62">
        <f ca="1">IFERROR(IF(0=LEN(ReferenceData!$P$62),"",ReferenceData!$P$62),"")</f>
        <v>4.7779999999999996</v>
      </c>
      <c r="Q62">
        <f ca="1">IFERROR(IF(0=LEN(ReferenceData!$Q$62),"",ReferenceData!$Q$62),"")</f>
        <v>4.7610000000000001</v>
      </c>
      <c r="R62">
        <f ca="1">IFERROR(IF(0=LEN(ReferenceData!$R$62),"",ReferenceData!$R$62),"")</f>
        <v>4.7530000000000001</v>
      </c>
      <c r="S62">
        <f ca="1">IFERROR(IF(0=LEN(ReferenceData!$S$62),"",ReferenceData!$S$62),"")</f>
        <v>4.7560000000000002</v>
      </c>
      <c r="T62">
        <f ca="1">IFERROR(IF(0=LEN(ReferenceData!$T$62),"",ReferenceData!$T$62),"")</f>
        <v>4.7919999999999998</v>
      </c>
      <c r="U62">
        <f ca="1">IFERROR(IF(0=LEN(ReferenceData!$U$62),"",ReferenceData!$U$62),"")</f>
        <v>4.7930000000000001</v>
      </c>
      <c r="V62">
        <f ca="1">IFERROR(IF(0=LEN(ReferenceData!$V$62),"",ReferenceData!$V$62),"")</f>
        <v>4.7889999999999997</v>
      </c>
      <c r="W62">
        <f ca="1">IFERROR(IF(0=LEN(ReferenceData!$W$62),"",ReferenceData!$W$62),"")</f>
        <v>4.7640000000000002</v>
      </c>
      <c r="X62">
        <f ca="1">IFERROR(IF(0=LEN(ReferenceData!$X$62),"",ReferenceData!$X$62),"")</f>
        <v>4.7859999999999996</v>
      </c>
      <c r="Y62">
        <f ca="1">IFERROR(IF(0=LEN(ReferenceData!$Y$62),"",ReferenceData!$Y$62),"")</f>
        <v>4.8159999999999998</v>
      </c>
      <c r="Z62">
        <f ca="1">IFERROR(IF(0=LEN(ReferenceData!$Z$62),"",ReferenceData!$Z$62),"")</f>
        <v>4.7380000000000004</v>
      </c>
      <c r="AA62">
        <f ca="1">IFERROR(IF(0=LEN(ReferenceData!$AA$62),"",ReferenceData!$AA$62),"")</f>
        <v>4.8209999999999997</v>
      </c>
      <c r="AB62">
        <f ca="1">IFERROR(IF(0=LEN(ReferenceData!$AB$62),"",ReferenceData!$AB$62),"")</f>
        <v>4.8339999999999996</v>
      </c>
      <c r="AC62">
        <f ca="1">IFERROR(IF(0=LEN(ReferenceData!$AC$62),"",ReferenceData!$AC$62),"")</f>
        <v>5.2629999999999999</v>
      </c>
      <c r="AD62">
        <f ca="1">IFERROR(IF(0=LEN(ReferenceData!$AD$62),"",ReferenceData!$AD$62),"")</f>
        <v>5.3140000000000001</v>
      </c>
      <c r="AE62">
        <f ca="1">IFERROR(IF(0=LEN(ReferenceData!$AE$62),"",ReferenceData!$AE$62),"")</f>
        <v>5.32</v>
      </c>
      <c r="AF62">
        <f ca="1">IFERROR(IF(0=LEN(ReferenceData!$AF$62),"",ReferenceData!$AF$62),"")</f>
        <v>5.42</v>
      </c>
      <c r="AG62">
        <f ca="1">IFERROR(IF(0=LEN(ReferenceData!$AG$62),"",ReferenceData!$AG$62),"")</f>
        <v>5.64</v>
      </c>
      <c r="AH62" t="str">
        <f ca="1">IFERROR(IF(0=LEN(ReferenceData!$AH$62),"",ReferenceData!$AH$62),"")</f>
        <v/>
      </c>
      <c r="AI62" t="str">
        <f ca="1">IFERROR(IF(0=LEN(ReferenceData!$AI$62),"",ReferenceData!$AI$62),"")</f>
        <v/>
      </c>
      <c r="AJ62" t="str">
        <f ca="1">IFERROR(IF(0=LEN(ReferenceData!$AJ$62),"",ReferenceData!$AJ$62),"")</f>
        <v/>
      </c>
      <c r="AK62" t="str">
        <f ca="1">IFERROR(IF(0=LEN(ReferenceData!$AK$62),"",ReferenceData!$AK$62),"")</f>
        <v/>
      </c>
      <c r="AL62" t="str">
        <f ca="1">IFERROR(IF(0=LEN(ReferenceData!$AL$62),"",ReferenceData!$AL$62),"")</f>
        <v/>
      </c>
      <c r="AM62" t="str">
        <f ca="1">IFERROR(IF(0=LEN(ReferenceData!$AM$62),"",ReferenceData!$AM$62),"")</f>
        <v/>
      </c>
      <c r="AN62" t="str">
        <f ca="1">IFERROR(IF(0=LEN(ReferenceData!$AN$62),"",ReferenceData!$AN$62),"")</f>
        <v/>
      </c>
      <c r="AO62" t="str">
        <f ca="1">IFERROR(IF(0=LEN(ReferenceData!$AO$62),"",ReferenceData!$AO$62),"")</f>
        <v/>
      </c>
      <c r="AP62" t="str">
        <f ca="1">IFERROR(IF(0=LEN(ReferenceData!$AP$62),"",ReferenceData!$AP$62),"")</f>
        <v/>
      </c>
      <c r="AQ62" t="str">
        <f ca="1">IFERROR(IF(0=LEN(ReferenceData!$AQ$62),"",ReferenceData!$AQ$62),"")</f>
        <v/>
      </c>
      <c r="AR62" t="str">
        <f ca="1">IFERROR(IF(0=LEN(ReferenceData!$AR$62),"",ReferenceData!$AR$62),"")</f>
        <v/>
      </c>
      <c r="AS62" t="str">
        <f ca="1">IFERROR(IF(0=LEN(ReferenceData!$AS$62),"",ReferenceData!$AS$62),"")</f>
        <v/>
      </c>
      <c r="AT62" t="str">
        <f ca="1">IFERROR(IF(0=LEN(ReferenceData!$AT$62),"",ReferenceData!$AT$62),"")</f>
        <v/>
      </c>
      <c r="AU62" t="str">
        <f ca="1">IFERROR(IF(0=LEN(ReferenceData!$AU$62),"",ReferenceData!$AU$62),"")</f>
        <v/>
      </c>
      <c r="AV62" t="str">
        <f ca="1">IFERROR(IF(0=LEN(ReferenceData!$AV$62),"",ReferenceData!$AV$62),"")</f>
        <v/>
      </c>
      <c r="AW62" t="str">
        <f ca="1">IFERROR(IF(0=LEN(ReferenceData!$AW$62),"",ReferenceData!$AW$62),"")</f>
        <v/>
      </c>
      <c r="AX62" t="str">
        <f ca="1">IFERROR(IF(0=LEN(ReferenceData!$AX$62),"",ReferenceData!$AX$62),"")</f>
        <v/>
      </c>
      <c r="AY62" t="str">
        <f ca="1">IFERROR(IF(0=LEN(ReferenceData!$AY$62),"",ReferenceData!$AY$62),"")</f>
        <v/>
      </c>
      <c r="AZ62" t="str">
        <f ca="1">IFERROR(IF(0=LEN(ReferenceData!$AZ$62),"",ReferenceData!$AZ$62),"")</f>
        <v/>
      </c>
      <c r="BA62" t="str">
        <f ca="1">IFERROR(IF(0=LEN(ReferenceData!$BA$62),"",ReferenceData!$BA$62),"")</f>
        <v/>
      </c>
      <c r="BB62" t="str">
        <f ca="1">IFERROR(IF(0=LEN(ReferenceData!$BB$62),"",ReferenceData!$BB$62),"")</f>
        <v/>
      </c>
      <c r="BC62" t="str">
        <f ca="1">IFERROR(IF(0=LEN(ReferenceData!$BC$62),"",ReferenceData!$BC$62),"")</f>
        <v/>
      </c>
      <c r="BD62" t="str">
        <f ca="1">IFERROR(IF(0=LEN(ReferenceData!$BD$62),"",ReferenceData!$BD$62),"")</f>
        <v/>
      </c>
      <c r="BE62" t="str">
        <f ca="1">IFERROR(IF(0=LEN(ReferenceData!$BE$62),"",ReferenceData!$BE$62),"")</f>
        <v/>
      </c>
      <c r="BF62" t="str">
        <f ca="1">IFERROR(IF(0=LEN(ReferenceData!$BF$62),"",ReferenceData!$BF$62),"")</f>
        <v/>
      </c>
      <c r="BG62" t="str">
        <f ca="1">IFERROR(IF(0=LEN(ReferenceData!$BG$62),"",ReferenceData!$BG$62),"")</f>
        <v/>
      </c>
      <c r="BH62" t="str">
        <f ca="1">IFERROR(IF(0=LEN(ReferenceData!$BH$62),"",ReferenceData!$BH$62),"")</f>
        <v/>
      </c>
      <c r="BI62" t="str">
        <f ca="1">IFERROR(IF(0=LEN(ReferenceData!$BI$62),"",ReferenceData!$BI$62),"")</f>
        <v/>
      </c>
      <c r="BJ62" t="str">
        <f ca="1">IFERROR(IF(0=LEN(ReferenceData!$BJ$62),"",ReferenceData!$BJ$62),"")</f>
        <v/>
      </c>
      <c r="BK62" t="str">
        <f ca="1">IFERROR(IF(0=LEN(ReferenceData!$BK$62),"",ReferenceData!$BK$62),"")</f>
        <v/>
      </c>
      <c r="BL62" t="str">
        <f ca="1">IFERROR(IF(0=LEN(ReferenceData!$BL$62),"",ReferenceData!$BL$62),"")</f>
        <v/>
      </c>
      <c r="BM62" t="str">
        <f ca="1">IFERROR(IF(0=LEN(ReferenceData!$BM$62),"",ReferenceData!$BM$62),"")</f>
        <v/>
      </c>
      <c r="BN62" t="str">
        <f ca="1">IFERROR(IF(0=LEN(ReferenceData!$BN$62),"",ReferenceData!$BN$62),"")</f>
        <v/>
      </c>
      <c r="BO62" t="str">
        <f ca="1">IFERROR(IF(0=LEN(ReferenceData!$BO$62),"",ReferenceData!$BO$62),"")</f>
        <v/>
      </c>
      <c r="BP62" t="str">
        <f ca="1">IFERROR(IF(0=LEN(ReferenceData!$BP$62),"",ReferenceData!$BP$62),"")</f>
        <v/>
      </c>
      <c r="BQ62" t="str">
        <f ca="1">IFERROR(IF(0=LEN(ReferenceData!$BQ$62),"",ReferenceData!$BQ$62),"")</f>
        <v/>
      </c>
      <c r="BR62" t="str">
        <f ca="1">IFERROR(IF(0=LEN(ReferenceData!$BR$62),"",ReferenceData!$BR$62),"")</f>
        <v/>
      </c>
      <c r="BS62" t="str">
        <f ca="1">IFERROR(IF(0=LEN(ReferenceData!$BS$62),"",ReferenceData!$BS$62),"")</f>
        <v/>
      </c>
      <c r="BT62" t="str">
        <f ca="1">IFERROR(IF(0=LEN(ReferenceData!$BT$62),"",ReferenceData!$BT$62),"")</f>
        <v/>
      </c>
      <c r="BU62" t="str">
        <f ca="1">IFERROR(IF(0=LEN(ReferenceData!$BU$62),"",ReferenceData!$BU$62),"")</f>
        <v/>
      </c>
      <c r="BV62" t="str">
        <f ca="1">IFERROR(IF(0=LEN(ReferenceData!$BV$62),"",ReferenceData!$BV$62),"")</f>
        <v/>
      </c>
      <c r="BW62" t="str">
        <f ca="1">IFERROR(IF(0=LEN(ReferenceData!$BW$62),"",ReferenceData!$BW$62),"")</f>
        <v/>
      </c>
      <c r="BX62" t="str">
        <f ca="1">IFERROR(IF(0=LEN(ReferenceData!$BX$62),"",ReferenceData!$BX$62),"")</f>
        <v/>
      </c>
      <c r="BY62" t="str">
        <f ca="1">IFERROR(IF(0=LEN(ReferenceData!$BY$62),"",ReferenceData!$BY$62),"")</f>
        <v/>
      </c>
      <c r="BZ62" t="str">
        <f ca="1">IFERROR(IF(0=LEN(ReferenceData!$BZ$62),"",ReferenceData!$BZ$62),"")</f>
        <v/>
      </c>
      <c r="CA62" t="str">
        <f ca="1">IFERROR(IF(0=LEN(ReferenceData!$CA$62),"",ReferenceData!$CA$62),"")</f>
        <v/>
      </c>
      <c r="CB62" t="str">
        <f ca="1">IFERROR(IF(0=LEN(ReferenceData!$CB$62),"",ReferenceData!$CB$62),"")</f>
        <v/>
      </c>
      <c r="CC62" t="str">
        <f ca="1">IFERROR(IF(0=LEN(ReferenceData!$CC$62),"",ReferenceData!$CC$62),"")</f>
        <v/>
      </c>
      <c r="CD62" t="str">
        <f ca="1">IFERROR(IF(0=LEN(ReferenceData!$CD$62),"",ReferenceData!$CD$62),"")</f>
        <v/>
      </c>
      <c r="CE62" t="str">
        <f ca="1">IFERROR(IF(0=LEN(ReferenceData!$CE$62),"",ReferenceData!$CE$62),"")</f>
        <v/>
      </c>
      <c r="CF62" t="str">
        <f ca="1">IFERROR(IF(0=LEN(ReferenceData!$CF$62),"",ReferenceData!$CF$62),"")</f>
        <v/>
      </c>
      <c r="CG62" t="str">
        <f ca="1">IFERROR(IF(0=LEN(ReferenceData!$CG$62),"",ReferenceData!$CG$62),"")</f>
        <v/>
      </c>
      <c r="CH62" t="str">
        <f ca="1">IFERROR(IF(0=LEN(ReferenceData!$CH$62),"",ReferenceData!$CH$62),"")</f>
        <v/>
      </c>
      <c r="CI62" t="str">
        <f ca="1">IFERROR(IF(0=LEN(ReferenceData!$CI$62),"",ReferenceData!$CI$62),"")</f>
        <v/>
      </c>
      <c r="CJ62" t="str">
        <f ca="1">IFERROR(IF(0=LEN(ReferenceData!$CJ$62),"",ReferenceData!$CJ$62),"")</f>
        <v/>
      </c>
      <c r="CK62" t="str">
        <f ca="1">IFERROR(IF(0=LEN(ReferenceData!$CK$62),"",ReferenceData!$CK$62),"")</f>
        <v/>
      </c>
    </row>
    <row r="63" spans="1:89">
      <c r="A63" t="str">
        <f>IFERROR(IF(0=LEN(ReferenceData!$A$63),"",ReferenceData!$A$63),"")</f>
        <v xml:space="preserve">    公寓物业权益信托</v>
      </c>
      <c r="B63" t="str">
        <f>IFERROR(IF(0=LEN(ReferenceData!$B$63),"",ReferenceData!$B$63),"")</f>
        <v>EQR US Equity</v>
      </c>
      <c r="C63" t="str">
        <f>IFERROR(IF(0=LEN(ReferenceData!$C$63),"",ReferenceData!$C$63),"")</f>
        <v>BE038</v>
      </c>
      <c r="D63" t="str">
        <f>IFERROR(IF(0=LEN(ReferenceData!$D$63),"",ReferenceData!$D$63),"")</f>
        <v>BEST_FFOPS</v>
      </c>
      <c r="E63" t="str">
        <f>IFERROR(IF(0=LEN(ReferenceData!$E$63),"",ReferenceData!$E$63),"")</f>
        <v>动态</v>
      </c>
      <c r="F63">
        <f ca="1">IFERROR(IF(0=LEN(ReferenceData!$F$63),"",ReferenceData!$F$63),"")</f>
        <v>3.24</v>
      </c>
      <c r="G63">
        <f ca="1">IFERROR(IF(0=LEN(ReferenceData!$G$63),"",ReferenceData!$G$63),"")</f>
        <v>3.2410000000000001</v>
      </c>
      <c r="H63">
        <f ca="1">IFERROR(IF(0=LEN(ReferenceData!$H$63),"",ReferenceData!$H$63),"")</f>
        <v>3.258</v>
      </c>
      <c r="I63">
        <f ca="1">IFERROR(IF(0=LEN(ReferenceData!$I$63),"",ReferenceData!$I$63),"")</f>
        <v>3.262</v>
      </c>
      <c r="J63">
        <f ca="1">IFERROR(IF(0=LEN(ReferenceData!$J$63),"",ReferenceData!$J$63),"")</f>
        <v>3.2629999999999999</v>
      </c>
      <c r="K63">
        <f ca="1">IFERROR(IF(0=LEN(ReferenceData!$K$63),"",ReferenceData!$K$63),"")</f>
        <v>3.266</v>
      </c>
      <c r="L63">
        <f ca="1">IFERROR(IF(0=LEN(ReferenceData!$L$63),"",ReferenceData!$L$63),"")</f>
        <v>3.2709999999999999</v>
      </c>
      <c r="M63">
        <f ca="1">IFERROR(IF(0=LEN(ReferenceData!$M$63),"",ReferenceData!$M$63),"")</f>
        <v>3.2730000000000001</v>
      </c>
      <c r="N63">
        <f ca="1">IFERROR(IF(0=LEN(ReferenceData!$N$63),"",ReferenceData!$N$63),"")</f>
        <v>3.2719999999999998</v>
      </c>
      <c r="O63">
        <f ca="1">IFERROR(IF(0=LEN(ReferenceData!$O$63),"",ReferenceData!$O$63),"")</f>
        <v>3.25</v>
      </c>
      <c r="P63">
        <f ca="1">IFERROR(IF(0=LEN(ReferenceData!$P$63),"",ReferenceData!$P$63),"")</f>
        <v>3.2469999999999999</v>
      </c>
      <c r="Q63">
        <f ca="1">IFERROR(IF(0=LEN(ReferenceData!$Q$63),"",ReferenceData!$Q$63),"")</f>
        <v>3.2469999999999999</v>
      </c>
      <c r="R63">
        <f ca="1">IFERROR(IF(0=LEN(ReferenceData!$R$63),"",ReferenceData!$R$63),"")</f>
        <v>3.258</v>
      </c>
      <c r="S63">
        <f ca="1">IFERROR(IF(0=LEN(ReferenceData!$S$63),"",ReferenceData!$S$63),"")</f>
        <v>3.2719999999999998</v>
      </c>
      <c r="T63">
        <f ca="1">IFERROR(IF(0=LEN(ReferenceData!$T$63),"",ReferenceData!$T$63),"")</f>
        <v>3.3239999999999998</v>
      </c>
      <c r="U63">
        <f ca="1">IFERROR(IF(0=LEN(ReferenceData!$U$63),"",ReferenceData!$U$63),"")</f>
        <v>3.3319999999999999</v>
      </c>
      <c r="V63">
        <f ca="1">IFERROR(IF(0=LEN(ReferenceData!$V$63),"",ReferenceData!$V$63),"")</f>
        <v>3.3490000000000002</v>
      </c>
      <c r="W63">
        <f ca="1">IFERROR(IF(0=LEN(ReferenceData!$W$63),"",ReferenceData!$W$63),"")</f>
        <v>3.351</v>
      </c>
      <c r="X63">
        <f ca="1">IFERROR(IF(0=LEN(ReferenceData!$X$63),"",ReferenceData!$X$63),"")</f>
        <v>3.3980000000000001</v>
      </c>
      <c r="Y63">
        <f ca="1">IFERROR(IF(0=LEN(ReferenceData!$Y$63),"",ReferenceData!$Y$63),"")</f>
        <v>3.3959999999999999</v>
      </c>
      <c r="Z63">
        <f ca="1">IFERROR(IF(0=LEN(ReferenceData!$Z$63),"",ReferenceData!$Z$63),"")</f>
        <v>3.4449999999999998</v>
      </c>
      <c r="AA63">
        <f ca="1">IFERROR(IF(0=LEN(ReferenceData!$AA$63),"",ReferenceData!$AA$63),"")</f>
        <v>3.5030000000000001</v>
      </c>
      <c r="AB63">
        <f ca="1">IFERROR(IF(0=LEN(ReferenceData!$AB$63),"",ReferenceData!$AB$63),"")</f>
        <v>3.508</v>
      </c>
      <c r="AC63">
        <f ca="1">IFERROR(IF(0=LEN(ReferenceData!$AC$63),"",ReferenceData!$AC$63),"")</f>
        <v>3.556</v>
      </c>
      <c r="AD63">
        <f ca="1">IFERROR(IF(0=LEN(ReferenceData!$AD$63),"",ReferenceData!$AD$63),"")</f>
        <v>3.5830000000000002</v>
      </c>
      <c r="AE63">
        <f ca="1">IFERROR(IF(0=LEN(ReferenceData!$AE$63),"",ReferenceData!$AE$63),"")</f>
        <v>3.57</v>
      </c>
      <c r="AF63" t="str">
        <f ca="1">IFERROR(IF(0=LEN(ReferenceData!$AF$63),"",ReferenceData!$AF$63),"")</f>
        <v/>
      </c>
      <c r="AG63" t="str">
        <f ca="1">IFERROR(IF(0=LEN(ReferenceData!$AG$63),"",ReferenceData!$AG$63),"")</f>
        <v/>
      </c>
      <c r="AH63">
        <f ca="1">IFERROR(IF(0=LEN(ReferenceData!$AH$63),"",ReferenceData!$AH$63),"")</f>
        <v>4.05</v>
      </c>
      <c r="AI63" t="str">
        <f ca="1">IFERROR(IF(0=LEN(ReferenceData!$AI$63),"",ReferenceData!$AI$63),"")</f>
        <v/>
      </c>
      <c r="AJ63" t="str">
        <f ca="1">IFERROR(IF(0=LEN(ReferenceData!$AJ$63),"",ReferenceData!$AJ$63),"")</f>
        <v/>
      </c>
      <c r="AK63" t="str">
        <f ca="1">IFERROR(IF(0=LEN(ReferenceData!$AK$63),"",ReferenceData!$AK$63),"")</f>
        <v/>
      </c>
      <c r="AL63">
        <f ca="1">IFERROR(IF(0=LEN(ReferenceData!$AL$63),"",ReferenceData!$AL$63),"")</f>
        <v>4.4800000000000004</v>
      </c>
      <c r="AM63" t="str">
        <f ca="1">IFERROR(IF(0=LEN(ReferenceData!$AM$63),"",ReferenceData!$AM$63),"")</f>
        <v/>
      </c>
      <c r="AN63" t="str">
        <f ca="1">IFERROR(IF(0=LEN(ReferenceData!$AN$63),"",ReferenceData!$AN$63),"")</f>
        <v/>
      </c>
      <c r="AO63" t="str">
        <f ca="1">IFERROR(IF(0=LEN(ReferenceData!$AO$63),"",ReferenceData!$AO$63),"")</f>
        <v/>
      </c>
      <c r="AP63" t="str">
        <f ca="1">IFERROR(IF(0=LEN(ReferenceData!$AP$63),"",ReferenceData!$AP$63),"")</f>
        <v/>
      </c>
      <c r="AQ63" t="str">
        <f ca="1">IFERROR(IF(0=LEN(ReferenceData!$AQ$63),"",ReferenceData!$AQ$63),"")</f>
        <v/>
      </c>
      <c r="AR63" t="str">
        <f ca="1">IFERROR(IF(0=LEN(ReferenceData!$AR$63),"",ReferenceData!$AR$63),"")</f>
        <v/>
      </c>
      <c r="AS63" t="str">
        <f ca="1">IFERROR(IF(0=LEN(ReferenceData!$AS$63),"",ReferenceData!$AS$63),"")</f>
        <v/>
      </c>
      <c r="AT63" t="str">
        <f ca="1">IFERROR(IF(0=LEN(ReferenceData!$AT$63),"",ReferenceData!$AT$63),"")</f>
        <v/>
      </c>
      <c r="AU63" t="str">
        <f ca="1">IFERROR(IF(0=LEN(ReferenceData!$AU$63),"",ReferenceData!$AU$63),"")</f>
        <v/>
      </c>
      <c r="AV63" t="str">
        <f ca="1">IFERROR(IF(0=LEN(ReferenceData!$AV$63),"",ReferenceData!$AV$63),"")</f>
        <v/>
      </c>
      <c r="AW63" t="str">
        <f ca="1">IFERROR(IF(0=LEN(ReferenceData!$AW$63),"",ReferenceData!$AW$63),"")</f>
        <v/>
      </c>
      <c r="AX63" t="str">
        <f ca="1">IFERROR(IF(0=LEN(ReferenceData!$AX$63),"",ReferenceData!$AX$63),"")</f>
        <v/>
      </c>
      <c r="AY63" t="str">
        <f ca="1">IFERROR(IF(0=LEN(ReferenceData!$AY$63),"",ReferenceData!$AY$63),"")</f>
        <v/>
      </c>
      <c r="AZ63" t="str">
        <f ca="1">IFERROR(IF(0=LEN(ReferenceData!$AZ$63),"",ReferenceData!$AZ$63),"")</f>
        <v/>
      </c>
      <c r="BA63" t="str">
        <f ca="1">IFERROR(IF(0=LEN(ReferenceData!$BA$63),"",ReferenceData!$BA$63),"")</f>
        <v/>
      </c>
      <c r="BB63" t="str">
        <f ca="1">IFERROR(IF(0=LEN(ReferenceData!$BB$63),"",ReferenceData!$BB$63),"")</f>
        <v/>
      </c>
      <c r="BC63" t="str">
        <f ca="1">IFERROR(IF(0=LEN(ReferenceData!$BC$63),"",ReferenceData!$BC$63),"")</f>
        <v/>
      </c>
      <c r="BD63" t="str">
        <f ca="1">IFERROR(IF(0=LEN(ReferenceData!$BD$63),"",ReferenceData!$BD$63),"")</f>
        <v/>
      </c>
      <c r="BE63" t="str">
        <f ca="1">IFERROR(IF(0=LEN(ReferenceData!$BE$63),"",ReferenceData!$BE$63),"")</f>
        <v/>
      </c>
      <c r="BF63" t="str">
        <f ca="1">IFERROR(IF(0=LEN(ReferenceData!$BF$63),"",ReferenceData!$BF$63),"")</f>
        <v/>
      </c>
      <c r="BG63" t="str">
        <f ca="1">IFERROR(IF(0=LEN(ReferenceData!$BG$63),"",ReferenceData!$BG$63),"")</f>
        <v/>
      </c>
      <c r="BH63" t="str">
        <f ca="1">IFERROR(IF(0=LEN(ReferenceData!$BH$63),"",ReferenceData!$BH$63),"")</f>
        <v/>
      </c>
      <c r="BI63" t="str">
        <f ca="1">IFERROR(IF(0=LEN(ReferenceData!$BI$63),"",ReferenceData!$BI$63),"")</f>
        <v/>
      </c>
      <c r="BJ63" t="str">
        <f ca="1">IFERROR(IF(0=LEN(ReferenceData!$BJ$63),"",ReferenceData!$BJ$63),"")</f>
        <v/>
      </c>
      <c r="BK63" t="str">
        <f ca="1">IFERROR(IF(0=LEN(ReferenceData!$BK$63),"",ReferenceData!$BK$63),"")</f>
        <v/>
      </c>
      <c r="BL63" t="str">
        <f ca="1">IFERROR(IF(0=LEN(ReferenceData!$BL$63),"",ReferenceData!$BL$63),"")</f>
        <v/>
      </c>
      <c r="BM63" t="str">
        <f ca="1">IFERROR(IF(0=LEN(ReferenceData!$BM$63),"",ReferenceData!$BM$63),"")</f>
        <v/>
      </c>
      <c r="BN63" t="str">
        <f ca="1">IFERROR(IF(0=LEN(ReferenceData!$BN$63),"",ReferenceData!$BN$63),"")</f>
        <v/>
      </c>
      <c r="BO63" t="str">
        <f ca="1">IFERROR(IF(0=LEN(ReferenceData!$BO$63),"",ReferenceData!$BO$63),"")</f>
        <v/>
      </c>
      <c r="BP63" t="str">
        <f ca="1">IFERROR(IF(0=LEN(ReferenceData!$BP$63),"",ReferenceData!$BP$63),"")</f>
        <v/>
      </c>
      <c r="BQ63" t="str">
        <f ca="1">IFERROR(IF(0=LEN(ReferenceData!$BQ$63),"",ReferenceData!$BQ$63),"")</f>
        <v/>
      </c>
      <c r="BR63" t="str">
        <f ca="1">IFERROR(IF(0=LEN(ReferenceData!$BR$63),"",ReferenceData!$BR$63),"")</f>
        <v/>
      </c>
      <c r="BS63" t="str">
        <f ca="1">IFERROR(IF(0=LEN(ReferenceData!$BS$63),"",ReferenceData!$BS$63),"")</f>
        <v/>
      </c>
      <c r="BT63" t="str">
        <f ca="1">IFERROR(IF(0=LEN(ReferenceData!$BT$63),"",ReferenceData!$BT$63),"")</f>
        <v/>
      </c>
      <c r="BU63" t="str">
        <f ca="1">IFERROR(IF(0=LEN(ReferenceData!$BU$63),"",ReferenceData!$BU$63),"")</f>
        <v/>
      </c>
      <c r="BV63" t="str">
        <f ca="1">IFERROR(IF(0=LEN(ReferenceData!$BV$63),"",ReferenceData!$BV$63),"")</f>
        <v/>
      </c>
      <c r="BW63" t="str">
        <f ca="1">IFERROR(IF(0=LEN(ReferenceData!$BW$63),"",ReferenceData!$BW$63),"")</f>
        <v/>
      </c>
      <c r="BX63" t="str">
        <f ca="1">IFERROR(IF(0=LEN(ReferenceData!$BX$63),"",ReferenceData!$BX$63),"")</f>
        <v/>
      </c>
      <c r="BY63" t="str">
        <f ca="1">IFERROR(IF(0=LEN(ReferenceData!$BY$63),"",ReferenceData!$BY$63),"")</f>
        <v/>
      </c>
      <c r="BZ63" t="str">
        <f ca="1">IFERROR(IF(0=LEN(ReferenceData!$BZ$63),"",ReferenceData!$BZ$63),"")</f>
        <v/>
      </c>
      <c r="CA63" t="str">
        <f ca="1">IFERROR(IF(0=LEN(ReferenceData!$CA$63),"",ReferenceData!$CA$63),"")</f>
        <v/>
      </c>
      <c r="CB63" t="str">
        <f ca="1">IFERROR(IF(0=LEN(ReferenceData!$CB$63),"",ReferenceData!$CB$63),"")</f>
        <v/>
      </c>
      <c r="CC63" t="str">
        <f ca="1">IFERROR(IF(0=LEN(ReferenceData!$CC$63),"",ReferenceData!$CC$63),"")</f>
        <v/>
      </c>
      <c r="CD63" t="str">
        <f ca="1">IFERROR(IF(0=LEN(ReferenceData!$CD$63),"",ReferenceData!$CD$63),"")</f>
        <v/>
      </c>
      <c r="CE63" t="str">
        <f ca="1">IFERROR(IF(0=LEN(ReferenceData!$CE$63),"",ReferenceData!$CE$63),"")</f>
        <v/>
      </c>
      <c r="CF63" t="str">
        <f ca="1">IFERROR(IF(0=LEN(ReferenceData!$CF$63),"",ReferenceData!$CF$63),"")</f>
        <v/>
      </c>
      <c r="CG63" t="str">
        <f ca="1">IFERROR(IF(0=LEN(ReferenceData!$CG$63),"",ReferenceData!$CG$63),"")</f>
        <v/>
      </c>
      <c r="CH63" t="str">
        <f ca="1">IFERROR(IF(0=LEN(ReferenceData!$CH$63),"",ReferenceData!$CH$63),"")</f>
        <v/>
      </c>
      <c r="CI63" t="str">
        <f ca="1">IFERROR(IF(0=LEN(ReferenceData!$CI$63),"",ReferenceData!$CI$63),"")</f>
        <v/>
      </c>
      <c r="CJ63" t="str">
        <f ca="1">IFERROR(IF(0=LEN(ReferenceData!$CJ$63),"",ReferenceData!$CJ$63),"")</f>
        <v/>
      </c>
      <c r="CK63" t="str">
        <f ca="1">IFERROR(IF(0=LEN(ReferenceData!$CK$63),"",ReferenceData!$CK$63),"")</f>
        <v/>
      </c>
    </row>
    <row r="64" spans="1:89">
      <c r="A64" t="str">
        <f>IFERROR(IF(0=LEN(ReferenceData!$A$64),"",ReferenceData!$A$64),"")</f>
        <v xml:space="preserve">    埃塞克斯房地产信托公司</v>
      </c>
      <c r="B64" t="str">
        <f>IFERROR(IF(0=LEN(ReferenceData!$B$64),"",ReferenceData!$B$64),"")</f>
        <v>ESS US Equity</v>
      </c>
      <c r="C64" t="str">
        <f>IFERROR(IF(0=LEN(ReferenceData!$C$64),"",ReferenceData!$C$64),"")</f>
        <v>BE038</v>
      </c>
      <c r="D64" t="str">
        <f>IFERROR(IF(0=LEN(ReferenceData!$D$64),"",ReferenceData!$D$64),"")</f>
        <v>BEST_FFOPS</v>
      </c>
      <c r="E64" t="str">
        <f>IFERROR(IF(0=LEN(ReferenceData!$E$64),"",ReferenceData!$E$64),"")</f>
        <v>动态</v>
      </c>
      <c r="F64">
        <f ca="1">IFERROR(IF(0=LEN(ReferenceData!$F$64),"",ReferenceData!$F$64),"")</f>
        <v>12.448</v>
      </c>
      <c r="G64">
        <f ca="1">IFERROR(IF(0=LEN(ReferenceData!$G$64),"",ReferenceData!$G$64),"")</f>
        <v>12.451000000000001</v>
      </c>
      <c r="H64">
        <f ca="1">IFERROR(IF(0=LEN(ReferenceData!$H$64),"",ReferenceData!$H$64),"")</f>
        <v>12.435</v>
      </c>
      <c r="I64">
        <f ca="1">IFERROR(IF(0=LEN(ReferenceData!$I$64),"",ReferenceData!$I$64),"")</f>
        <v>12.45</v>
      </c>
      <c r="J64">
        <f ca="1">IFERROR(IF(0=LEN(ReferenceData!$J$64),"",ReferenceData!$J$64),"")</f>
        <v>12.454000000000001</v>
      </c>
      <c r="K64">
        <f ca="1">IFERROR(IF(0=LEN(ReferenceData!$K$64),"",ReferenceData!$K$64),"")</f>
        <v>12.468</v>
      </c>
      <c r="L64">
        <f ca="1">IFERROR(IF(0=LEN(ReferenceData!$L$64),"",ReferenceData!$L$64),"")</f>
        <v>12.47</v>
      </c>
      <c r="M64">
        <f ca="1">IFERROR(IF(0=LEN(ReferenceData!$M$64),"",ReferenceData!$M$64),"")</f>
        <v>12.45</v>
      </c>
      <c r="N64">
        <f ca="1">IFERROR(IF(0=LEN(ReferenceData!$N$64),"",ReferenceData!$N$64),"")</f>
        <v>12.457000000000001</v>
      </c>
      <c r="O64">
        <f ca="1">IFERROR(IF(0=LEN(ReferenceData!$O$64),"",ReferenceData!$O$64),"")</f>
        <v>12.438000000000001</v>
      </c>
      <c r="P64">
        <f ca="1">IFERROR(IF(0=LEN(ReferenceData!$P$64),"",ReferenceData!$P$64),"")</f>
        <v>12.396000000000001</v>
      </c>
      <c r="Q64">
        <f ca="1">IFERROR(IF(0=LEN(ReferenceData!$Q$64),"",ReferenceData!$Q$64),"")</f>
        <v>12.324999999999999</v>
      </c>
      <c r="R64">
        <f ca="1">IFERROR(IF(0=LEN(ReferenceData!$R$64),"",ReferenceData!$R$64),"")</f>
        <v>12.321</v>
      </c>
      <c r="S64">
        <f ca="1">IFERROR(IF(0=LEN(ReferenceData!$S$64),"",ReferenceData!$S$64),"")</f>
        <v>12.33</v>
      </c>
      <c r="T64">
        <f ca="1">IFERROR(IF(0=LEN(ReferenceData!$T$64),"",ReferenceData!$T$64),"")</f>
        <v>12.499000000000001</v>
      </c>
      <c r="U64">
        <f ca="1">IFERROR(IF(0=LEN(ReferenceData!$U$64),"",ReferenceData!$U$64),"")</f>
        <v>12.477</v>
      </c>
      <c r="V64">
        <f ca="1">IFERROR(IF(0=LEN(ReferenceData!$V$64),"",ReferenceData!$V$64),"")</f>
        <v>12.526</v>
      </c>
      <c r="W64">
        <f ca="1">IFERROR(IF(0=LEN(ReferenceData!$W$64),"",ReferenceData!$W$64),"")</f>
        <v>12.49</v>
      </c>
      <c r="X64">
        <f ca="1">IFERROR(IF(0=LEN(ReferenceData!$X$64),"",ReferenceData!$X$64),"")</f>
        <v>12.532999999999999</v>
      </c>
      <c r="Y64">
        <f ca="1">IFERROR(IF(0=LEN(ReferenceData!$Y$64),"",ReferenceData!$Y$64),"")</f>
        <v>12.547000000000001</v>
      </c>
      <c r="Z64">
        <f ca="1">IFERROR(IF(0=LEN(ReferenceData!$Z$64),"",ReferenceData!$Z$64),"")</f>
        <v>12.643000000000001</v>
      </c>
      <c r="AA64">
        <f ca="1">IFERROR(IF(0=LEN(ReferenceData!$AA$64),"",ReferenceData!$AA$64),"")</f>
        <v>12.715999999999999</v>
      </c>
      <c r="AB64">
        <f ca="1">IFERROR(IF(0=LEN(ReferenceData!$AB$64),"",ReferenceData!$AB$64),"")</f>
        <v>12.76</v>
      </c>
      <c r="AC64">
        <f ca="1">IFERROR(IF(0=LEN(ReferenceData!$AC$64),"",ReferenceData!$AC$64),"")</f>
        <v>12.872</v>
      </c>
      <c r="AD64">
        <f ca="1">IFERROR(IF(0=LEN(ReferenceData!$AD$64),"",ReferenceData!$AD$64),"")</f>
        <v>12.933999999999999</v>
      </c>
      <c r="AE64">
        <f ca="1">IFERROR(IF(0=LEN(ReferenceData!$AE$64),"",ReferenceData!$AE$64),"")</f>
        <v>12.816000000000001</v>
      </c>
      <c r="AF64" t="str">
        <f ca="1">IFERROR(IF(0=LEN(ReferenceData!$AF$64),"",ReferenceData!$AF$64),"")</f>
        <v/>
      </c>
      <c r="AG64" t="str">
        <f ca="1">IFERROR(IF(0=LEN(ReferenceData!$AG$64),"",ReferenceData!$AG$64),"")</f>
        <v/>
      </c>
      <c r="AH64" t="str">
        <f ca="1">IFERROR(IF(0=LEN(ReferenceData!$AH$64),"",ReferenceData!$AH$64),"")</f>
        <v/>
      </c>
      <c r="AI64" t="str">
        <f ca="1">IFERROR(IF(0=LEN(ReferenceData!$AI$64),"",ReferenceData!$AI$64),"")</f>
        <v/>
      </c>
      <c r="AJ64" t="str">
        <f ca="1">IFERROR(IF(0=LEN(ReferenceData!$AJ$64),"",ReferenceData!$AJ$64),"")</f>
        <v/>
      </c>
      <c r="AK64" t="str">
        <f ca="1">IFERROR(IF(0=LEN(ReferenceData!$AK$64),"",ReferenceData!$AK$64),"")</f>
        <v/>
      </c>
      <c r="AL64">
        <f ca="1">IFERROR(IF(0=LEN(ReferenceData!$AL$64),"",ReferenceData!$AL$64),"")</f>
        <v>12.53</v>
      </c>
      <c r="AM64" t="str">
        <f ca="1">IFERROR(IF(0=LEN(ReferenceData!$AM$64),"",ReferenceData!$AM$64),"")</f>
        <v/>
      </c>
      <c r="AN64" t="str">
        <f ca="1">IFERROR(IF(0=LEN(ReferenceData!$AN$64),"",ReferenceData!$AN$64),"")</f>
        <v/>
      </c>
      <c r="AO64" t="str">
        <f ca="1">IFERROR(IF(0=LEN(ReferenceData!$AO$64),"",ReferenceData!$AO$64),"")</f>
        <v/>
      </c>
      <c r="AP64" t="str">
        <f ca="1">IFERROR(IF(0=LEN(ReferenceData!$AP$64),"",ReferenceData!$AP$64),"")</f>
        <v/>
      </c>
      <c r="AQ64" t="str">
        <f ca="1">IFERROR(IF(0=LEN(ReferenceData!$AQ$64),"",ReferenceData!$AQ$64),"")</f>
        <v/>
      </c>
      <c r="AR64" t="str">
        <f ca="1">IFERROR(IF(0=LEN(ReferenceData!$AR$64),"",ReferenceData!$AR$64),"")</f>
        <v/>
      </c>
      <c r="AS64" t="str">
        <f ca="1">IFERROR(IF(0=LEN(ReferenceData!$AS$64),"",ReferenceData!$AS$64),"")</f>
        <v/>
      </c>
      <c r="AT64" t="str">
        <f ca="1">IFERROR(IF(0=LEN(ReferenceData!$AT$64),"",ReferenceData!$AT$64),"")</f>
        <v/>
      </c>
      <c r="AU64" t="str">
        <f ca="1">IFERROR(IF(0=LEN(ReferenceData!$AU$64),"",ReferenceData!$AU$64),"")</f>
        <v/>
      </c>
      <c r="AV64" t="str">
        <f ca="1">IFERROR(IF(0=LEN(ReferenceData!$AV$64),"",ReferenceData!$AV$64),"")</f>
        <v/>
      </c>
      <c r="AW64" t="str">
        <f ca="1">IFERROR(IF(0=LEN(ReferenceData!$AW$64),"",ReferenceData!$AW$64),"")</f>
        <v/>
      </c>
      <c r="AX64" t="str">
        <f ca="1">IFERROR(IF(0=LEN(ReferenceData!$AX$64),"",ReferenceData!$AX$64),"")</f>
        <v/>
      </c>
      <c r="AY64" t="str">
        <f ca="1">IFERROR(IF(0=LEN(ReferenceData!$AY$64),"",ReferenceData!$AY$64),"")</f>
        <v/>
      </c>
      <c r="AZ64" t="str">
        <f ca="1">IFERROR(IF(0=LEN(ReferenceData!$AZ$64),"",ReferenceData!$AZ$64),"")</f>
        <v/>
      </c>
      <c r="BA64" t="str">
        <f ca="1">IFERROR(IF(0=LEN(ReferenceData!$BA$64),"",ReferenceData!$BA$64),"")</f>
        <v/>
      </c>
      <c r="BB64" t="str">
        <f ca="1">IFERROR(IF(0=LEN(ReferenceData!$BB$64),"",ReferenceData!$BB$64),"")</f>
        <v/>
      </c>
      <c r="BC64" t="str">
        <f ca="1">IFERROR(IF(0=LEN(ReferenceData!$BC$64),"",ReferenceData!$BC$64),"")</f>
        <v/>
      </c>
      <c r="BD64" t="str">
        <f ca="1">IFERROR(IF(0=LEN(ReferenceData!$BD$64),"",ReferenceData!$BD$64),"")</f>
        <v/>
      </c>
      <c r="BE64" t="str">
        <f ca="1">IFERROR(IF(0=LEN(ReferenceData!$BE$64),"",ReferenceData!$BE$64),"")</f>
        <v/>
      </c>
      <c r="BF64" t="str">
        <f ca="1">IFERROR(IF(0=LEN(ReferenceData!$BF$64),"",ReferenceData!$BF$64),"")</f>
        <v/>
      </c>
      <c r="BG64" t="str">
        <f ca="1">IFERROR(IF(0=LEN(ReferenceData!$BG$64),"",ReferenceData!$BG$64),"")</f>
        <v/>
      </c>
      <c r="BH64" t="str">
        <f ca="1">IFERROR(IF(0=LEN(ReferenceData!$BH$64),"",ReferenceData!$BH$64),"")</f>
        <v/>
      </c>
      <c r="BI64" t="str">
        <f ca="1">IFERROR(IF(0=LEN(ReferenceData!$BI$64),"",ReferenceData!$BI$64),"")</f>
        <v/>
      </c>
      <c r="BJ64" t="str">
        <f ca="1">IFERROR(IF(0=LEN(ReferenceData!$BJ$64),"",ReferenceData!$BJ$64),"")</f>
        <v/>
      </c>
      <c r="BK64" t="str">
        <f ca="1">IFERROR(IF(0=LEN(ReferenceData!$BK$64),"",ReferenceData!$BK$64),"")</f>
        <v/>
      </c>
      <c r="BL64" t="str">
        <f ca="1">IFERROR(IF(0=LEN(ReferenceData!$BL$64),"",ReferenceData!$BL$64),"")</f>
        <v/>
      </c>
      <c r="BM64" t="str">
        <f ca="1">IFERROR(IF(0=LEN(ReferenceData!$BM$64),"",ReferenceData!$BM$64),"")</f>
        <v/>
      </c>
      <c r="BN64" t="str">
        <f ca="1">IFERROR(IF(0=LEN(ReferenceData!$BN$64),"",ReferenceData!$BN$64),"")</f>
        <v/>
      </c>
      <c r="BO64" t="str">
        <f ca="1">IFERROR(IF(0=LEN(ReferenceData!$BO$64),"",ReferenceData!$BO$64),"")</f>
        <v/>
      </c>
      <c r="BP64" t="str">
        <f ca="1">IFERROR(IF(0=LEN(ReferenceData!$BP$64),"",ReferenceData!$BP$64),"")</f>
        <v/>
      </c>
      <c r="BQ64" t="str">
        <f ca="1">IFERROR(IF(0=LEN(ReferenceData!$BQ$64),"",ReferenceData!$BQ$64),"")</f>
        <v/>
      </c>
      <c r="BR64" t="str">
        <f ca="1">IFERROR(IF(0=LEN(ReferenceData!$BR$64),"",ReferenceData!$BR$64),"")</f>
        <v/>
      </c>
      <c r="BS64" t="str">
        <f ca="1">IFERROR(IF(0=LEN(ReferenceData!$BS$64),"",ReferenceData!$BS$64),"")</f>
        <v/>
      </c>
      <c r="BT64" t="str">
        <f ca="1">IFERROR(IF(0=LEN(ReferenceData!$BT$64),"",ReferenceData!$BT$64),"")</f>
        <v/>
      </c>
      <c r="BU64" t="str">
        <f ca="1">IFERROR(IF(0=LEN(ReferenceData!$BU$64),"",ReferenceData!$BU$64),"")</f>
        <v/>
      </c>
      <c r="BV64" t="str">
        <f ca="1">IFERROR(IF(0=LEN(ReferenceData!$BV$64),"",ReferenceData!$BV$64),"")</f>
        <v/>
      </c>
      <c r="BW64" t="str">
        <f ca="1">IFERROR(IF(0=LEN(ReferenceData!$BW$64),"",ReferenceData!$BW$64),"")</f>
        <v/>
      </c>
      <c r="BX64" t="str">
        <f ca="1">IFERROR(IF(0=LEN(ReferenceData!$BX$64),"",ReferenceData!$BX$64),"")</f>
        <v/>
      </c>
      <c r="BY64" t="str">
        <f ca="1">IFERROR(IF(0=LEN(ReferenceData!$BY$64),"",ReferenceData!$BY$64),"")</f>
        <v/>
      </c>
      <c r="BZ64" t="str">
        <f ca="1">IFERROR(IF(0=LEN(ReferenceData!$BZ$64),"",ReferenceData!$BZ$64),"")</f>
        <v/>
      </c>
      <c r="CA64" t="str">
        <f ca="1">IFERROR(IF(0=LEN(ReferenceData!$CA$64),"",ReferenceData!$CA$64),"")</f>
        <v/>
      </c>
      <c r="CB64" t="str">
        <f ca="1">IFERROR(IF(0=LEN(ReferenceData!$CB$64),"",ReferenceData!$CB$64),"")</f>
        <v/>
      </c>
      <c r="CC64" t="str">
        <f ca="1">IFERROR(IF(0=LEN(ReferenceData!$CC$64),"",ReferenceData!$CC$64),"")</f>
        <v/>
      </c>
      <c r="CD64" t="str">
        <f ca="1">IFERROR(IF(0=LEN(ReferenceData!$CD$64),"",ReferenceData!$CD$64),"")</f>
        <v/>
      </c>
      <c r="CE64" t="str">
        <f ca="1">IFERROR(IF(0=LEN(ReferenceData!$CE$64),"",ReferenceData!$CE$64),"")</f>
        <v/>
      </c>
      <c r="CF64" t="str">
        <f ca="1">IFERROR(IF(0=LEN(ReferenceData!$CF$64),"",ReferenceData!$CF$64),"")</f>
        <v/>
      </c>
      <c r="CG64" t="str">
        <f ca="1">IFERROR(IF(0=LEN(ReferenceData!$CG$64),"",ReferenceData!$CG$64),"")</f>
        <v/>
      </c>
      <c r="CH64" t="str">
        <f ca="1">IFERROR(IF(0=LEN(ReferenceData!$CH$64),"",ReferenceData!$CH$64),"")</f>
        <v/>
      </c>
      <c r="CI64" t="str">
        <f ca="1">IFERROR(IF(0=LEN(ReferenceData!$CI$64),"",ReferenceData!$CI$64),"")</f>
        <v/>
      </c>
      <c r="CJ64" t="str">
        <f ca="1">IFERROR(IF(0=LEN(ReferenceData!$CJ$64),"",ReferenceData!$CJ$64),"")</f>
        <v/>
      </c>
      <c r="CK64" t="str">
        <f ca="1">IFERROR(IF(0=LEN(ReferenceData!$CK$64),"",ReferenceData!$CK$64),"")</f>
        <v/>
      </c>
    </row>
    <row r="65" spans="1:89">
      <c r="A65" t="str">
        <f>IFERROR(IF(0=LEN(ReferenceData!$A$65),"",ReferenceData!$A$65),"")</f>
        <v xml:space="preserve">    Mid-America Apartment Communities股份有限公司</v>
      </c>
      <c r="B65" t="str">
        <f>IFERROR(IF(0=LEN(ReferenceData!$B$65),"",ReferenceData!$B$65),"")</f>
        <v>MAA US Equity</v>
      </c>
      <c r="C65" t="str">
        <f>IFERROR(IF(0=LEN(ReferenceData!$C$65),"",ReferenceData!$C$65),"")</f>
        <v>BE038</v>
      </c>
      <c r="D65" t="str">
        <f>IFERROR(IF(0=LEN(ReferenceData!$D$65),"",ReferenceData!$D$65),"")</f>
        <v>BEST_FFOPS</v>
      </c>
      <c r="E65" t="str">
        <f>IFERROR(IF(0=LEN(ReferenceData!$E$65),"",ReferenceData!$E$65),"")</f>
        <v>动态</v>
      </c>
      <c r="F65">
        <f ca="1">IFERROR(IF(0=LEN(ReferenceData!$F$65),"",ReferenceData!$F$65),"")</f>
        <v>6.0339999999999998</v>
      </c>
      <c r="G65">
        <f ca="1">IFERROR(IF(0=LEN(ReferenceData!$G$65),"",ReferenceData!$G$65),"")</f>
        <v>6.0650000000000004</v>
      </c>
      <c r="H65">
        <f ca="1">IFERROR(IF(0=LEN(ReferenceData!$H$65),"",ReferenceData!$H$65),"")</f>
        <v>6.14</v>
      </c>
      <c r="I65">
        <f ca="1">IFERROR(IF(0=LEN(ReferenceData!$I$65),"",ReferenceData!$I$65),"")</f>
        <v>6.1879999999999997</v>
      </c>
      <c r="J65">
        <f ca="1">IFERROR(IF(0=LEN(ReferenceData!$J$65),"",ReferenceData!$J$65),"")</f>
        <v>6.2480000000000002</v>
      </c>
      <c r="K65">
        <f ca="1">IFERROR(IF(0=LEN(ReferenceData!$K$65),"",ReferenceData!$K$65),"")</f>
        <v>6.2960000000000003</v>
      </c>
      <c r="L65">
        <f ca="1">IFERROR(IF(0=LEN(ReferenceData!$L$65),"",ReferenceData!$L$65),"")</f>
        <v>6.3540000000000001</v>
      </c>
      <c r="M65">
        <f ca="1">IFERROR(IF(0=LEN(ReferenceData!$M$65),"",ReferenceData!$M$65),"")</f>
        <v>6.3419999999999996</v>
      </c>
      <c r="N65">
        <f ca="1">IFERROR(IF(0=LEN(ReferenceData!$N$65),"",ReferenceData!$N$65),"")</f>
        <v>6.351</v>
      </c>
      <c r="O65">
        <f ca="1">IFERROR(IF(0=LEN(ReferenceData!$O$65),"",ReferenceData!$O$65),"")</f>
        <v>6.3689999999999998</v>
      </c>
      <c r="P65">
        <f ca="1">IFERROR(IF(0=LEN(ReferenceData!$P$65),"",ReferenceData!$P$65),"")</f>
        <v>6.3620000000000001</v>
      </c>
      <c r="Q65">
        <f ca="1">IFERROR(IF(0=LEN(ReferenceData!$Q$65),"",ReferenceData!$Q$65),"")</f>
        <v>6.3310000000000004</v>
      </c>
      <c r="R65">
        <f ca="1">IFERROR(IF(0=LEN(ReferenceData!$R$65),"",ReferenceData!$R$65),"")</f>
        <v>6.3310000000000004</v>
      </c>
      <c r="S65">
        <f ca="1">IFERROR(IF(0=LEN(ReferenceData!$S$65),"",ReferenceData!$S$65),"")</f>
        <v>6.33</v>
      </c>
      <c r="T65">
        <f ca="1">IFERROR(IF(0=LEN(ReferenceData!$T$65),"",ReferenceData!$T$65),"")</f>
        <v>6.3979999999999997</v>
      </c>
      <c r="U65">
        <f ca="1">IFERROR(IF(0=LEN(ReferenceData!$U$65),"",ReferenceData!$U$65),"")</f>
        <v>6.3490000000000002</v>
      </c>
      <c r="V65">
        <f ca="1">IFERROR(IF(0=LEN(ReferenceData!$V$65),"",ReferenceData!$V$65),"")</f>
        <v>6.5579999999999998</v>
      </c>
      <c r="W65">
        <f ca="1">IFERROR(IF(0=LEN(ReferenceData!$W$65),"",ReferenceData!$W$65),"")</f>
        <v>6.577</v>
      </c>
      <c r="X65">
        <f ca="1">IFERROR(IF(0=LEN(ReferenceData!$X$65),"",ReferenceData!$X$65),"")</f>
        <v>6.5140000000000002</v>
      </c>
      <c r="Y65">
        <f ca="1">IFERROR(IF(0=LEN(ReferenceData!$Y$65),"",ReferenceData!$Y$65),"")</f>
        <v>6.548</v>
      </c>
      <c r="Z65">
        <f ca="1">IFERROR(IF(0=LEN(ReferenceData!$Z$65),"",ReferenceData!$Z$65),"")</f>
        <v>6.6630000000000003</v>
      </c>
      <c r="AA65">
        <f ca="1">IFERROR(IF(0=LEN(ReferenceData!$AA$65),"",ReferenceData!$AA$65),"")</f>
        <v>6.6630000000000003</v>
      </c>
      <c r="AB65">
        <f ca="1">IFERROR(IF(0=LEN(ReferenceData!$AB$65),"",ReferenceData!$AB$65),"")</f>
        <v>6.6349999999999998</v>
      </c>
      <c r="AC65">
        <f ca="1">IFERROR(IF(0=LEN(ReferenceData!$AC$65),"",ReferenceData!$AC$65),"")</f>
        <v>6.5549999999999997</v>
      </c>
      <c r="AD65" t="str">
        <f ca="1">IFERROR(IF(0=LEN(ReferenceData!$AD$65),"",ReferenceData!$AD$65),"")</f>
        <v/>
      </c>
      <c r="AE65">
        <f ca="1">IFERROR(IF(0=LEN(ReferenceData!$AE$65),"",ReferenceData!$AE$65),"")</f>
        <v>6.67</v>
      </c>
      <c r="AF65" t="str">
        <f ca="1">IFERROR(IF(0=LEN(ReferenceData!$AF$65),"",ReferenceData!$AF$65),"")</f>
        <v/>
      </c>
      <c r="AG65">
        <f ca="1">IFERROR(IF(0=LEN(ReferenceData!$AG$65),"",ReferenceData!$AG$65),"")</f>
        <v>6.75</v>
      </c>
      <c r="AH65" t="str">
        <f ca="1">IFERROR(IF(0=LEN(ReferenceData!$AH$65),"",ReferenceData!$AH$65),"")</f>
        <v/>
      </c>
      <c r="AI65" t="str">
        <f ca="1">IFERROR(IF(0=LEN(ReferenceData!$AI$65),"",ReferenceData!$AI$65),"")</f>
        <v/>
      </c>
      <c r="AJ65" t="str">
        <f ca="1">IFERROR(IF(0=LEN(ReferenceData!$AJ$65),"",ReferenceData!$AJ$65),"")</f>
        <v/>
      </c>
      <c r="AK65" t="str">
        <f ca="1">IFERROR(IF(0=LEN(ReferenceData!$AK$65),"",ReferenceData!$AK$65),"")</f>
        <v/>
      </c>
      <c r="AL65">
        <f ca="1">IFERROR(IF(0=LEN(ReferenceData!$AL$65),"",ReferenceData!$AL$65),"")</f>
        <v>6.69</v>
      </c>
      <c r="AM65" t="str">
        <f ca="1">IFERROR(IF(0=LEN(ReferenceData!$AM$65),"",ReferenceData!$AM$65),"")</f>
        <v/>
      </c>
      <c r="AN65" t="str">
        <f ca="1">IFERROR(IF(0=LEN(ReferenceData!$AN$65),"",ReferenceData!$AN$65),"")</f>
        <v/>
      </c>
      <c r="AO65" t="str">
        <f ca="1">IFERROR(IF(0=LEN(ReferenceData!$AO$65),"",ReferenceData!$AO$65),"")</f>
        <v/>
      </c>
      <c r="AP65" t="str">
        <f ca="1">IFERROR(IF(0=LEN(ReferenceData!$AP$65),"",ReferenceData!$AP$65),"")</f>
        <v/>
      </c>
      <c r="AQ65" t="str">
        <f ca="1">IFERROR(IF(0=LEN(ReferenceData!$AQ$65),"",ReferenceData!$AQ$65),"")</f>
        <v/>
      </c>
      <c r="AR65" t="str">
        <f ca="1">IFERROR(IF(0=LEN(ReferenceData!$AR$65),"",ReferenceData!$AR$65),"")</f>
        <v/>
      </c>
      <c r="AS65" t="str">
        <f ca="1">IFERROR(IF(0=LEN(ReferenceData!$AS$65),"",ReferenceData!$AS$65),"")</f>
        <v/>
      </c>
      <c r="AT65" t="str">
        <f ca="1">IFERROR(IF(0=LEN(ReferenceData!$AT$65),"",ReferenceData!$AT$65),"")</f>
        <v/>
      </c>
      <c r="AU65" t="str">
        <f ca="1">IFERROR(IF(0=LEN(ReferenceData!$AU$65),"",ReferenceData!$AU$65),"")</f>
        <v/>
      </c>
      <c r="AV65" t="str">
        <f ca="1">IFERROR(IF(0=LEN(ReferenceData!$AV$65),"",ReferenceData!$AV$65),"")</f>
        <v/>
      </c>
      <c r="AW65" t="str">
        <f ca="1">IFERROR(IF(0=LEN(ReferenceData!$AW$65),"",ReferenceData!$AW$65),"")</f>
        <v/>
      </c>
      <c r="AX65" t="str">
        <f ca="1">IFERROR(IF(0=LEN(ReferenceData!$AX$65),"",ReferenceData!$AX$65),"")</f>
        <v/>
      </c>
      <c r="AY65" t="str">
        <f ca="1">IFERROR(IF(0=LEN(ReferenceData!$AY$65),"",ReferenceData!$AY$65),"")</f>
        <v/>
      </c>
      <c r="AZ65" t="str">
        <f ca="1">IFERROR(IF(0=LEN(ReferenceData!$AZ$65),"",ReferenceData!$AZ$65),"")</f>
        <v/>
      </c>
      <c r="BA65" t="str">
        <f ca="1">IFERROR(IF(0=LEN(ReferenceData!$BA$65),"",ReferenceData!$BA$65),"")</f>
        <v/>
      </c>
      <c r="BB65" t="str">
        <f ca="1">IFERROR(IF(0=LEN(ReferenceData!$BB$65),"",ReferenceData!$BB$65),"")</f>
        <v/>
      </c>
      <c r="BC65" t="str">
        <f ca="1">IFERROR(IF(0=LEN(ReferenceData!$BC$65),"",ReferenceData!$BC$65),"")</f>
        <v/>
      </c>
      <c r="BD65" t="str">
        <f ca="1">IFERROR(IF(0=LEN(ReferenceData!$BD$65),"",ReferenceData!$BD$65),"")</f>
        <v/>
      </c>
      <c r="BE65" t="str">
        <f ca="1">IFERROR(IF(0=LEN(ReferenceData!$BE$65),"",ReferenceData!$BE$65),"")</f>
        <v/>
      </c>
      <c r="BF65" t="str">
        <f ca="1">IFERROR(IF(0=LEN(ReferenceData!$BF$65),"",ReferenceData!$BF$65),"")</f>
        <v/>
      </c>
      <c r="BG65" t="str">
        <f ca="1">IFERROR(IF(0=LEN(ReferenceData!$BG$65),"",ReferenceData!$BG$65),"")</f>
        <v/>
      </c>
      <c r="BH65" t="str">
        <f ca="1">IFERROR(IF(0=LEN(ReferenceData!$BH$65),"",ReferenceData!$BH$65),"")</f>
        <v/>
      </c>
      <c r="BI65" t="str">
        <f ca="1">IFERROR(IF(0=LEN(ReferenceData!$BI$65),"",ReferenceData!$BI$65),"")</f>
        <v/>
      </c>
      <c r="BJ65" t="str">
        <f ca="1">IFERROR(IF(0=LEN(ReferenceData!$BJ$65),"",ReferenceData!$BJ$65),"")</f>
        <v/>
      </c>
      <c r="BK65" t="str">
        <f ca="1">IFERROR(IF(0=LEN(ReferenceData!$BK$65),"",ReferenceData!$BK$65),"")</f>
        <v/>
      </c>
      <c r="BL65" t="str">
        <f ca="1">IFERROR(IF(0=LEN(ReferenceData!$BL$65),"",ReferenceData!$BL$65),"")</f>
        <v/>
      </c>
      <c r="BM65" t="str">
        <f ca="1">IFERROR(IF(0=LEN(ReferenceData!$BM$65),"",ReferenceData!$BM$65),"")</f>
        <v/>
      </c>
      <c r="BN65" t="str">
        <f ca="1">IFERROR(IF(0=LEN(ReferenceData!$BN$65),"",ReferenceData!$BN$65),"")</f>
        <v/>
      </c>
      <c r="BO65" t="str">
        <f ca="1">IFERROR(IF(0=LEN(ReferenceData!$BO$65),"",ReferenceData!$BO$65),"")</f>
        <v/>
      </c>
      <c r="BP65" t="str">
        <f ca="1">IFERROR(IF(0=LEN(ReferenceData!$BP$65),"",ReferenceData!$BP$65),"")</f>
        <v/>
      </c>
      <c r="BQ65" t="str">
        <f ca="1">IFERROR(IF(0=LEN(ReferenceData!$BQ$65),"",ReferenceData!$BQ$65),"")</f>
        <v/>
      </c>
      <c r="BR65" t="str">
        <f ca="1">IFERROR(IF(0=LEN(ReferenceData!$BR$65),"",ReferenceData!$BR$65),"")</f>
        <v/>
      </c>
      <c r="BS65" t="str">
        <f ca="1">IFERROR(IF(0=LEN(ReferenceData!$BS$65),"",ReferenceData!$BS$65),"")</f>
        <v/>
      </c>
      <c r="BT65" t="str">
        <f ca="1">IFERROR(IF(0=LEN(ReferenceData!$BT$65),"",ReferenceData!$BT$65),"")</f>
        <v/>
      </c>
      <c r="BU65" t="str">
        <f ca="1">IFERROR(IF(0=LEN(ReferenceData!$BU$65),"",ReferenceData!$BU$65),"")</f>
        <v/>
      </c>
      <c r="BV65" t="str">
        <f ca="1">IFERROR(IF(0=LEN(ReferenceData!$BV$65),"",ReferenceData!$BV$65),"")</f>
        <v/>
      </c>
      <c r="BW65" t="str">
        <f ca="1">IFERROR(IF(0=LEN(ReferenceData!$BW$65),"",ReferenceData!$BW$65),"")</f>
        <v/>
      </c>
      <c r="BX65" t="str">
        <f ca="1">IFERROR(IF(0=LEN(ReferenceData!$BX$65),"",ReferenceData!$BX$65),"")</f>
        <v/>
      </c>
      <c r="BY65" t="str">
        <f ca="1">IFERROR(IF(0=LEN(ReferenceData!$BY$65),"",ReferenceData!$BY$65),"")</f>
        <v/>
      </c>
      <c r="BZ65" t="str">
        <f ca="1">IFERROR(IF(0=LEN(ReferenceData!$BZ$65),"",ReferenceData!$BZ$65),"")</f>
        <v/>
      </c>
      <c r="CA65" t="str">
        <f ca="1">IFERROR(IF(0=LEN(ReferenceData!$CA$65),"",ReferenceData!$CA$65),"")</f>
        <v/>
      </c>
      <c r="CB65" t="str">
        <f ca="1">IFERROR(IF(0=LEN(ReferenceData!$CB$65),"",ReferenceData!$CB$65),"")</f>
        <v/>
      </c>
      <c r="CC65" t="str">
        <f ca="1">IFERROR(IF(0=LEN(ReferenceData!$CC$65),"",ReferenceData!$CC$65),"")</f>
        <v/>
      </c>
      <c r="CD65" t="str">
        <f ca="1">IFERROR(IF(0=LEN(ReferenceData!$CD$65),"",ReferenceData!$CD$65),"")</f>
        <v/>
      </c>
      <c r="CE65" t="str">
        <f ca="1">IFERROR(IF(0=LEN(ReferenceData!$CE$65),"",ReferenceData!$CE$65),"")</f>
        <v/>
      </c>
      <c r="CF65" t="str">
        <f ca="1">IFERROR(IF(0=LEN(ReferenceData!$CF$65),"",ReferenceData!$CF$65),"")</f>
        <v/>
      </c>
      <c r="CG65" t="str">
        <f ca="1">IFERROR(IF(0=LEN(ReferenceData!$CG$65),"",ReferenceData!$CG$65),"")</f>
        <v/>
      </c>
      <c r="CH65" t="str">
        <f ca="1">IFERROR(IF(0=LEN(ReferenceData!$CH$65),"",ReferenceData!$CH$65),"")</f>
        <v/>
      </c>
      <c r="CI65" t="str">
        <f ca="1">IFERROR(IF(0=LEN(ReferenceData!$CI$65),"",ReferenceData!$CI$65),"")</f>
        <v/>
      </c>
      <c r="CJ65" t="str">
        <f ca="1">IFERROR(IF(0=LEN(ReferenceData!$CJ$65),"",ReferenceData!$CJ$65),"")</f>
        <v/>
      </c>
      <c r="CK65" t="str">
        <f ca="1">IFERROR(IF(0=LEN(ReferenceData!$CK$65),"",ReferenceData!$CK$65),"")</f>
        <v/>
      </c>
    </row>
    <row r="66" spans="1:89">
      <c r="A66" t="str">
        <f>IFERROR(IF(0=LEN(ReferenceData!$A$66),"",ReferenceData!$A$66),"")</f>
        <v xml:space="preserve">    UDR 公司</v>
      </c>
      <c r="B66" t="str">
        <f>IFERROR(IF(0=LEN(ReferenceData!$B$66),"",ReferenceData!$B$66),"")</f>
        <v>UDR US Equity</v>
      </c>
      <c r="C66" t="str">
        <f>IFERROR(IF(0=LEN(ReferenceData!$C$66),"",ReferenceData!$C$66),"")</f>
        <v>BE038</v>
      </c>
      <c r="D66" t="str">
        <f>IFERROR(IF(0=LEN(ReferenceData!$D$66),"",ReferenceData!$D$66),"")</f>
        <v>BEST_FFOPS</v>
      </c>
      <c r="E66" t="str">
        <f>IFERROR(IF(0=LEN(ReferenceData!$E$66),"",ReferenceData!$E$66),"")</f>
        <v>动态</v>
      </c>
      <c r="F66">
        <f ca="1">IFERROR(IF(0=LEN(ReferenceData!$F$66),"",ReferenceData!$F$66),"")</f>
        <v>1.9410000000000001</v>
      </c>
      <c r="G66">
        <f ca="1">IFERROR(IF(0=LEN(ReferenceData!$G$66),"",ReferenceData!$G$66),"")</f>
        <v>1.9430000000000001</v>
      </c>
      <c r="H66">
        <f ca="1">IFERROR(IF(0=LEN(ReferenceData!$H$66),"",ReferenceData!$H$66),"")</f>
        <v>1.97</v>
      </c>
      <c r="I66">
        <f ca="1">IFERROR(IF(0=LEN(ReferenceData!$I$66),"",ReferenceData!$I$66),"")</f>
        <v>1.968</v>
      </c>
      <c r="J66">
        <f ca="1">IFERROR(IF(0=LEN(ReferenceData!$J$66),"",ReferenceData!$J$66),"")</f>
        <v>1.9650000000000001</v>
      </c>
      <c r="K66">
        <f ca="1">IFERROR(IF(0=LEN(ReferenceData!$K$66),"",ReferenceData!$K$66),"")</f>
        <v>1.962</v>
      </c>
      <c r="L66">
        <f ca="1">IFERROR(IF(0=LEN(ReferenceData!$L$66),"",ReferenceData!$L$66),"")</f>
        <v>1.9590000000000001</v>
      </c>
      <c r="M66">
        <f ca="1">IFERROR(IF(0=LEN(ReferenceData!$M$66),"",ReferenceData!$M$66),"")</f>
        <v>1.96</v>
      </c>
      <c r="N66">
        <f ca="1">IFERROR(IF(0=LEN(ReferenceData!$N$66),"",ReferenceData!$N$66),"")</f>
        <v>1.958</v>
      </c>
      <c r="O66">
        <f ca="1">IFERROR(IF(0=LEN(ReferenceData!$O$66),"",ReferenceData!$O$66),"")</f>
        <v>1.9550000000000001</v>
      </c>
      <c r="P66">
        <f ca="1">IFERROR(IF(0=LEN(ReferenceData!$P$66),"",ReferenceData!$P$66),"")</f>
        <v>1.9510000000000001</v>
      </c>
      <c r="Q66">
        <f ca="1">IFERROR(IF(0=LEN(ReferenceData!$Q$66),"",ReferenceData!$Q$66),"")</f>
        <v>1.9410000000000001</v>
      </c>
      <c r="R66">
        <f ca="1">IFERROR(IF(0=LEN(ReferenceData!$R$66),"",ReferenceData!$R$66),"")</f>
        <v>1.9410000000000001</v>
      </c>
      <c r="S66">
        <f ca="1">IFERROR(IF(0=LEN(ReferenceData!$S$66),"",ReferenceData!$S$66),"")</f>
        <v>1.94</v>
      </c>
      <c r="T66">
        <f ca="1">IFERROR(IF(0=LEN(ReferenceData!$T$66),"",ReferenceData!$T$66),"")</f>
        <v>1.9670000000000001</v>
      </c>
      <c r="U66">
        <f ca="1">IFERROR(IF(0=LEN(ReferenceData!$U$66),"",ReferenceData!$U$66),"")</f>
        <v>1.976</v>
      </c>
      <c r="V66">
        <f ca="1">IFERROR(IF(0=LEN(ReferenceData!$V$66),"",ReferenceData!$V$66),"")</f>
        <v>1.9730000000000001</v>
      </c>
      <c r="W66">
        <f ca="1">IFERROR(IF(0=LEN(ReferenceData!$W$66),"",ReferenceData!$W$66),"")</f>
        <v>1.97</v>
      </c>
      <c r="X66">
        <f ca="1">IFERROR(IF(0=LEN(ReferenceData!$X$66),"",ReferenceData!$X$66),"")</f>
        <v>2.0019999999999998</v>
      </c>
      <c r="Y66">
        <f ca="1">IFERROR(IF(0=LEN(ReferenceData!$Y$66),"",ReferenceData!$Y$66),"")</f>
        <v>2.0099999999999998</v>
      </c>
      <c r="Z66">
        <f ca="1">IFERROR(IF(0=LEN(ReferenceData!$Z$66),"",ReferenceData!$Z$66),"")</f>
        <v>2.0089999999999999</v>
      </c>
      <c r="AA66">
        <f ca="1">IFERROR(IF(0=LEN(ReferenceData!$AA$66),"",ReferenceData!$AA$66),"")</f>
        <v>2.0259999999999998</v>
      </c>
      <c r="AB66">
        <f ca="1">IFERROR(IF(0=LEN(ReferenceData!$AB$66),"",ReferenceData!$AB$66),"")</f>
        <v>2.0310000000000001</v>
      </c>
      <c r="AC66">
        <f ca="1">IFERROR(IF(0=LEN(ReferenceData!$AC$66),"",ReferenceData!$AC$66),"")</f>
        <v>2.0299999999999998</v>
      </c>
      <c r="AD66">
        <f ca="1">IFERROR(IF(0=LEN(ReferenceData!$AD$66),"",ReferenceData!$AD$66),"")</f>
        <v>2.06</v>
      </c>
      <c r="AE66">
        <f ca="1">IFERROR(IF(0=LEN(ReferenceData!$AE$66),"",ReferenceData!$AE$66),"")</f>
        <v>2.0499999999999998</v>
      </c>
      <c r="AF66" t="str">
        <f ca="1">IFERROR(IF(0=LEN(ReferenceData!$AF$66),"",ReferenceData!$AF$66),"")</f>
        <v/>
      </c>
      <c r="AG66" t="str">
        <f ca="1">IFERROR(IF(0=LEN(ReferenceData!$AG$66),"",ReferenceData!$AG$66),"")</f>
        <v/>
      </c>
      <c r="AH66" t="str">
        <f ca="1">IFERROR(IF(0=LEN(ReferenceData!$AH$66),"",ReferenceData!$AH$66),"")</f>
        <v/>
      </c>
      <c r="AI66" t="str">
        <f ca="1">IFERROR(IF(0=LEN(ReferenceData!$AI$66),"",ReferenceData!$AI$66),"")</f>
        <v/>
      </c>
      <c r="AJ66">
        <f ca="1">IFERROR(IF(0=LEN(ReferenceData!$AJ$66),"",ReferenceData!$AJ$66),"")</f>
        <v>2.14</v>
      </c>
      <c r="AK66">
        <f ca="1">IFERROR(IF(0=LEN(ReferenceData!$AK$66),"",ReferenceData!$AK$66),"")</f>
        <v>2.09</v>
      </c>
      <c r="AL66">
        <f ca="1">IFERROR(IF(0=LEN(ReferenceData!$AL$66),"",ReferenceData!$AL$66),"")</f>
        <v>2.0699999999999998</v>
      </c>
      <c r="AM66" t="str">
        <f ca="1">IFERROR(IF(0=LEN(ReferenceData!$AM$66),"",ReferenceData!$AM$66),"")</f>
        <v/>
      </c>
      <c r="AN66" t="str">
        <f ca="1">IFERROR(IF(0=LEN(ReferenceData!$AN$66),"",ReferenceData!$AN$66),"")</f>
        <v/>
      </c>
      <c r="AO66" t="str">
        <f ca="1">IFERROR(IF(0=LEN(ReferenceData!$AO$66),"",ReferenceData!$AO$66),"")</f>
        <v/>
      </c>
      <c r="AP66" t="str">
        <f ca="1">IFERROR(IF(0=LEN(ReferenceData!$AP$66),"",ReferenceData!$AP$66),"")</f>
        <v/>
      </c>
      <c r="AQ66" t="str">
        <f ca="1">IFERROR(IF(0=LEN(ReferenceData!$AQ$66),"",ReferenceData!$AQ$66),"")</f>
        <v/>
      </c>
      <c r="AR66" t="str">
        <f ca="1">IFERROR(IF(0=LEN(ReferenceData!$AR$66),"",ReferenceData!$AR$66),"")</f>
        <v/>
      </c>
      <c r="AS66" t="str">
        <f ca="1">IFERROR(IF(0=LEN(ReferenceData!$AS$66),"",ReferenceData!$AS$66),"")</f>
        <v/>
      </c>
      <c r="AT66" t="str">
        <f ca="1">IFERROR(IF(0=LEN(ReferenceData!$AT$66),"",ReferenceData!$AT$66),"")</f>
        <v/>
      </c>
      <c r="AU66" t="str">
        <f ca="1">IFERROR(IF(0=LEN(ReferenceData!$AU$66),"",ReferenceData!$AU$66),"")</f>
        <v/>
      </c>
      <c r="AV66" t="str">
        <f ca="1">IFERROR(IF(0=LEN(ReferenceData!$AV$66),"",ReferenceData!$AV$66),"")</f>
        <v/>
      </c>
      <c r="AW66" t="str">
        <f ca="1">IFERROR(IF(0=LEN(ReferenceData!$AW$66),"",ReferenceData!$AW$66),"")</f>
        <v/>
      </c>
      <c r="AX66" t="str">
        <f ca="1">IFERROR(IF(0=LEN(ReferenceData!$AX$66),"",ReferenceData!$AX$66),"")</f>
        <v/>
      </c>
      <c r="AY66" t="str">
        <f ca="1">IFERROR(IF(0=LEN(ReferenceData!$AY$66),"",ReferenceData!$AY$66),"")</f>
        <v/>
      </c>
      <c r="AZ66" t="str">
        <f ca="1">IFERROR(IF(0=LEN(ReferenceData!$AZ$66),"",ReferenceData!$AZ$66),"")</f>
        <v/>
      </c>
      <c r="BA66" t="str">
        <f ca="1">IFERROR(IF(0=LEN(ReferenceData!$BA$66),"",ReferenceData!$BA$66),"")</f>
        <v/>
      </c>
      <c r="BB66" t="str">
        <f ca="1">IFERROR(IF(0=LEN(ReferenceData!$BB$66),"",ReferenceData!$BB$66),"")</f>
        <v/>
      </c>
      <c r="BC66" t="str">
        <f ca="1">IFERROR(IF(0=LEN(ReferenceData!$BC$66),"",ReferenceData!$BC$66),"")</f>
        <v/>
      </c>
      <c r="BD66" t="str">
        <f ca="1">IFERROR(IF(0=LEN(ReferenceData!$BD$66),"",ReferenceData!$BD$66),"")</f>
        <v/>
      </c>
      <c r="BE66" t="str">
        <f ca="1">IFERROR(IF(0=LEN(ReferenceData!$BE$66),"",ReferenceData!$BE$66),"")</f>
        <v/>
      </c>
      <c r="BF66" t="str">
        <f ca="1">IFERROR(IF(0=LEN(ReferenceData!$BF$66),"",ReferenceData!$BF$66),"")</f>
        <v/>
      </c>
      <c r="BG66" t="str">
        <f ca="1">IFERROR(IF(0=LEN(ReferenceData!$BG$66),"",ReferenceData!$BG$66),"")</f>
        <v/>
      </c>
      <c r="BH66" t="str">
        <f ca="1">IFERROR(IF(0=LEN(ReferenceData!$BH$66),"",ReferenceData!$BH$66),"")</f>
        <v/>
      </c>
      <c r="BI66" t="str">
        <f ca="1">IFERROR(IF(0=LEN(ReferenceData!$BI$66),"",ReferenceData!$BI$66),"")</f>
        <v/>
      </c>
      <c r="BJ66" t="str">
        <f ca="1">IFERROR(IF(0=LEN(ReferenceData!$BJ$66),"",ReferenceData!$BJ$66),"")</f>
        <v/>
      </c>
      <c r="BK66" t="str">
        <f ca="1">IFERROR(IF(0=LEN(ReferenceData!$BK$66),"",ReferenceData!$BK$66),"")</f>
        <v/>
      </c>
      <c r="BL66" t="str">
        <f ca="1">IFERROR(IF(0=LEN(ReferenceData!$BL$66),"",ReferenceData!$BL$66),"")</f>
        <v/>
      </c>
      <c r="BM66" t="str">
        <f ca="1">IFERROR(IF(0=LEN(ReferenceData!$BM$66),"",ReferenceData!$BM$66),"")</f>
        <v/>
      </c>
      <c r="BN66" t="str">
        <f ca="1">IFERROR(IF(0=LEN(ReferenceData!$BN$66),"",ReferenceData!$BN$66),"")</f>
        <v/>
      </c>
      <c r="BO66" t="str">
        <f ca="1">IFERROR(IF(0=LEN(ReferenceData!$BO$66),"",ReferenceData!$BO$66),"")</f>
        <v/>
      </c>
      <c r="BP66" t="str">
        <f ca="1">IFERROR(IF(0=LEN(ReferenceData!$BP$66),"",ReferenceData!$BP$66),"")</f>
        <v/>
      </c>
      <c r="BQ66" t="str">
        <f ca="1">IFERROR(IF(0=LEN(ReferenceData!$BQ$66),"",ReferenceData!$BQ$66),"")</f>
        <v/>
      </c>
      <c r="BR66" t="str">
        <f ca="1">IFERROR(IF(0=LEN(ReferenceData!$BR$66),"",ReferenceData!$BR$66),"")</f>
        <v/>
      </c>
      <c r="BS66" t="str">
        <f ca="1">IFERROR(IF(0=LEN(ReferenceData!$BS$66),"",ReferenceData!$BS$66),"")</f>
        <v/>
      </c>
      <c r="BT66" t="str">
        <f ca="1">IFERROR(IF(0=LEN(ReferenceData!$BT$66),"",ReferenceData!$BT$66),"")</f>
        <v/>
      </c>
      <c r="BU66" t="str">
        <f ca="1">IFERROR(IF(0=LEN(ReferenceData!$BU$66),"",ReferenceData!$BU$66),"")</f>
        <v/>
      </c>
      <c r="BV66" t="str">
        <f ca="1">IFERROR(IF(0=LEN(ReferenceData!$BV$66),"",ReferenceData!$BV$66),"")</f>
        <v/>
      </c>
      <c r="BW66" t="str">
        <f ca="1">IFERROR(IF(0=LEN(ReferenceData!$BW$66),"",ReferenceData!$BW$66),"")</f>
        <v/>
      </c>
      <c r="BX66" t="str">
        <f ca="1">IFERROR(IF(0=LEN(ReferenceData!$BX$66),"",ReferenceData!$BX$66),"")</f>
        <v/>
      </c>
      <c r="BY66" t="str">
        <f ca="1">IFERROR(IF(0=LEN(ReferenceData!$BY$66),"",ReferenceData!$BY$66),"")</f>
        <v/>
      </c>
      <c r="BZ66" t="str">
        <f ca="1">IFERROR(IF(0=LEN(ReferenceData!$BZ$66),"",ReferenceData!$BZ$66),"")</f>
        <v/>
      </c>
      <c r="CA66" t="str">
        <f ca="1">IFERROR(IF(0=LEN(ReferenceData!$CA$66),"",ReferenceData!$CA$66),"")</f>
        <v/>
      </c>
      <c r="CB66" t="str">
        <f ca="1">IFERROR(IF(0=LEN(ReferenceData!$CB$66),"",ReferenceData!$CB$66),"")</f>
        <v/>
      </c>
      <c r="CC66" t="str">
        <f ca="1">IFERROR(IF(0=LEN(ReferenceData!$CC$66),"",ReferenceData!$CC$66),"")</f>
        <v/>
      </c>
      <c r="CD66" t="str">
        <f ca="1">IFERROR(IF(0=LEN(ReferenceData!$CD$66),"",ReferenceData!$CD$66),"")</f>
        <v/>
      </c>
      <c r="CE66" t="str">
        <f ca="1">IFERROR(IF(0=LEN(ReferenceData!$CE$66),"",ReferenceData!$CE$66),"")</f>
        <v/>
      </c>
      <c r="CF66" t="str">
        <f ca="1">IFERROR(IF(0=LEN(ReferenceData!$CF$66),"",ReferenceData!$CF$66),"")</f>
        <v/>
      </c>
      <c r="CG66" t="str">
        <f ca="1">IFERROR(IF(0=LEN(ReferenceData!$CG$66),"",ReferenceData!$CG$66),"")</f>
        <v/>
      </c>
      <c r="CH66" t="str">
        <f ca="1">IFERROR(IF(0=LEN(ReferenceData!$CH$66),"",ReferenceData!$CH$66),"")</f>
        <v/>
      </c>
      <c r="CI66" t="str">
        <f ca="1">IFERROR(IF(0=LEN(ReferenceData!$CI$66),"",ReferenceData!$CI$66),"")</f>
        <v/>
      </c>
      <c r="CJ66" t="str">
        <f ca="1">IFERROR(IF(0=LEN(ReferenceData!$CJ$66),"",ReferenceData!$CJ$66),"")</f>
        <v/>
      </c>
      <c r="CK66" t="str">
        <f ca="1">IFERROR(IF(0=LEN(ReferenceData!$CK$66),"",ReferenceData!$CK$66),"")</f>
        <v/>
      </c>
    </row>
    <row r="67" spans="1:89">
      <c r="A67" t="str">
        <f>IFERROR(IF(0=LEN(ReferenceData!$A$67),"",ReferenceData!$A$67),"")</f>
        <v>价格/AFFO TTM</v>
      </c>
      <c r="B67" t="str">
        <f>IFERROR(IF(0=LEN(ReferenceData!$B$67),"",ReferenceData!$B$67),"")</f>
        <v>BRFREITV Index</v>
      </c>
      <c r="C67" t="str">
        <f>IFERROR(IF(0=LEN(ReferenceData!$C$67),"",ReferenceData!$C$67),"")</f>
        <v/>
      </c>
      <c r="D67" t="str">
        <f>IFERROR(IF(0=LEN(ReferenceData!$D$67),"",ReferenceData!$D$67),"")</f>
        <v/>
      </c>
      <c r="E67" t="str">
        <f>IFERROR(IF(0=LEN(ReferenceData!$E$67),"",ReferenceData!$E$67),"")</f>
        <v>Median</v>
      </c>
      <c r="F67">
        <f ca="1">IFERROR(IF(0=LEN(ReferenceData!$F$67),"",ReferenceData!$F$67),"")</f>
        <v>18.741175429999998</v>
      </c>
      <c r="G67">
        <f ca="1">IFERROR(IF(0=LEN(ReferenceData!$G$67),"",ReferenceData!$G$67),"")</f>
        <v>17.947267230000001</v>
      </c>
      <c r="H67">
        <f ca="1">IFERROR(IF(0=LEN(ReferenceData!$H$67),"",ReferenceData!$H$67),"")</f>
        <v>19.539889160000001</v>
      </c>
      <c r="I67">
        <f ca="1">IFERROR(IF(0=LEN(ReferenceData!$I$67),"",ReferenceData!$I$67),"")</f>
        <v>20.325641839999999</v>
      </c>
      <c r="J67">
        <f ca="1">IFERROR(IF(0=LEN(ReferenceData!$J$67),"",ReferenceData!$J$67),"")</f>
        <v>21.101843729999999</v>
      </c>
      <c r="K67">
        <f ca="1">IFERROR(IF(0=LEN(ReferenceData!$K$67),"",ReferenceData!$K$67),"")</f>
        <v>20.958531910000001</v>
      </c>
      <c r="L67">
        <f ca="1">IFERROR(IF(0=LEN(ReferenceData!$L$67),"",ReferenceData!$L$67),"")</f>
        <v>20.54789813</v>
      </c>
      <c r="M67">
        <f ca="1">IFERROR(IF(0=LEN(ReferenceData!$M$67),"",ReferenceData!$M$67),"")</f>
        <v>21.17976681</v>
      </c>
      <c r="N67">
        <f ca="1">IFERROR(IF(0=LEN(ReferenceData!$N$67),"",ReferenceData!$N$67),"")</f>
        <v>21.327075860000001</v>
      </c>
      <c r="O67">
        <f ca="1">IFERROR(IF(0=LEN(ReferenceData!$O$67),"",ReferenceData!$O$67),"")</f>
        <v>21.261605169999999</v>
      </c>
      <c r="P67">
        <f ca="1">IFERROR(IF(0=LEN(ReferenceData!$P$67),"",ReferenceData!$P$67),"")</f>
        <v>21.189056839999999</v>
      </c>
      <c r="Q67">
        <f ca="1">IFERROR(IF(0=LEN(ReferenceData!$Q$67),"",ReferenceData!$Q$67),"")</f>
        <v>20.646135709999999</v>
      </c>
      <c r="R67">
        <f ca="1">IFERROR(IF(0=LEN(ReferenceData!$R$67),"",ReferenceData!$R$67),"")</f>
        <v>20.048979129999999</v>
      </c>
      <c r="S67">
        <f ca="1">IFERROR(IF(0=LEN(ReferenceData!$S$67),"",ReferenceData!$S$67),"")</f>
        <v>20.430776349999999</v>
      </c>
      <c r="T67">
        <f ca="1">IFERROR(IF(0=LEN(ReferenceData!$T$67),"",ReferenceData!$T$67),"")</f>
        <v>19.56445252</v>
      </c>
      <c r="U67">
        <f ca="1">IFERROR(IF(0=LEN(ReferenceData!$U$67),"",ReferenceData!$U$67),"")</f>
        <v>20.42092212</v>
      </c>
      <c r="V67">
        <f ca="1">IFERROR(IF(0=LEN(ReferenceData!$V$67),"",ReferenceData!$V$67),"")</f>
        <v>18.632979540000001</v>
      </c>
      <c r="W67">
        <f ca="1">IFERROR(IF(0=LEN(ReferenceData!$W$67),"",ReferenceData!$W$67),"")</f>
        <v>19.17618667</v>
      </c>
      <c r="X67">
        <f ca="1">IFERROR(IF(0=LEN(ReferenceData!$X$67),"",ReferenceData!$X$67),"")</f>
        <v>19.976826190000001</v>
      </c>
      <c r="Y67">
        <f ca="1">IFERROR(IF(0=LEN(ReferenceData!$Y$67),"",ReferenceData!$Y$67),"")</f>
        <v>19.55127478</v>
      </c>
      <c r="Z67">
        <f ca="1">IFERROR(IF(0=LEN(ReferenceData!$Z$67),"",ReferenceData!$Z$67),"")</f>
        <v>20.368084169999999</v>
      </c>
      <c r="AA67">
        <f ca="1">IFERROR(IF(0=LEN(ReferenceData!$AA$67),"",ReferenceData!$AA$67),"")</f>
        <v>20.634705660000002</v>
      </c>
      <c r="AB67">
        <f ca="1">IFERROR(IF(0=LEN(ReferenceData!$AB$67),"",ReferenceData!$AB$67),"")</f>
        <v>20.160572559999999</v>
      </c>
      <c r="AC67">
        <f ca="1">IFERROR(IF(0=LEN(ReferenceData!$AC$67),"",ReferenceData!$AC$67),"")</f>
        <v>19.82849551</v>
      </c>
      <c r="AD67">
        <f ca="1">IFERROR(IF(0=LEN(ReferenceData!$AD$67),"",ReferenceData!$AD$67),"")</f>
        <v>21.855913300000001</v>
      </c>
      <c r="AE67">
        <f ca="1">IFERROR(IF(0=LEN(ReferenceData!$AE$67),"",ReferenceData!$AE$67),"")</f>
        <v>20.586523540000002</v>
      </c>
      <c r="AF67">
        <f ca="1">IFERROR(IF(0=LEN(ReferenceData!$AF$67),"",ReferenceData!$AF$67),"")</f>
        <v>21.342102319999999</v>
      </c>
      <c r="AG67">
        <f ca="1">IFERROR(IF(0=LEN(ReferenceData!$AG$67),"",ReferenceData!$AG$67),"")</f>
        <v>22.529440409999999</v>
      </c>
      <c r="AH67">
        <f ca="1">IFERROR(IF(0=LEN(ReferenceData!$AH$67),"",ReferenceData!$AH$67),"")</f>
        <v>22.59980453</v>
      </c>
      <c r="AI67">
        <f ca="1">IFERROR(IF(0=LEN(ReferenceData!$AI$67),"",ReferenceData!$AI$67),"")</f>
        <v>21.099682040000001</v>
      </c>
      <c r="AJ67">
        <f ca="1">IFERROR(IF(0=LEN(ReferenceData!$AJ$67),"",ReferenceData!$AJ$67),"")</f>
        <v>21.11192793</v>
      </c>
      <c r="AK67">
        <f ca="1">IFERROR(IF(0=LEN(ReferenceData!$AK$67),"",ReferenceData!$AK$67),"")</f>
        <v>19.229449385000002</v>
      </c>
      <c r="AL67">
        <f ca="1">IFERROR(IF(0=LEN(ReferenceData!$AL$67),"",ReferenceData!$AL$67),"")</f>
        <v>20.484910634999999</v>
      </c>
      <c r="AM67">
        <f ca="1">IFERROR(IF(0=LEN(ReferenceData!$AM$67),"",ReferenceData!$AM$67),"")</f>
        <v>19.278935224999998</v>
      </c>
      <c r="AN67">
        <f ca="1">IFERROR(IF(0=LEN(ReferenceData!$AN$67),"",ReferenceData!$AN$67),"")</f>
        <v>20.544456285000003</v>
      </c>
      <c r="AO67">
        <f ca="1">IFERROR(IF(0=LEN(ReferenceData!$AO$67),"",ReferenceData!$AO$67),"")</f>
        <v>20.425643130000001</v>
      </c>
      <c r="AP67">
        <f ca="1">IFERROR(IF(0=LEN(ReferenceData!$AP$67),"",ReferenceData!$AP$67),"")</f>
        <v>21.432603595</v>
      </c>
      <c r="AQ67">
        <f ca="1">IFERROR(IF(0=LEN(ReferenceData!$AQ$67),"",ReferenceData!$AQ$67),"")</f>
        <v>21.270710305000001</v>
      </c>
      <c r="AR67">
        <f ca="1">IFERROR(IF(0=LEN(ReferenceData!$AR$67),"",ReferenceData!$AR$67),"")</f>
        <v>21.889526314999998</v>
      </c>
      <c r="AS67">
        <f ca="1">IFERROR(IF(0=LEN(ReferenceData!$AS$67),"",ReferenceData!$AS$67),"")</f>
        <v>20.323424320000001</v>
      </c>
      <c r="AT67">
        <f ca="1">IFERROR(IF(0=LEN(ReferenceData!$AT$67),"",ReferenceData!$AT$67),"")</f>
        <v>20.545077669999998</v>
      </c>
      <c r="AU67">
        <f ca="1">IFERROR(IF(0=LEN(ReferenceData!$AU$67),"",ReferenceData!$AU$67),"")</f>
        <v>20.335918289999999</v>
      </c>
      <c r="AV67">
        <f ca="1">IFERROR(IF(0=LEN(ReferenceData!$AV$67),"",ReferenceData!$AV$67),"")</f>
        <v>18.080211540000001</v>
      </c>
      <c r="AW67">
        <f ca="1">IFERROR(IF(0=LEN(ReferenceData!$AW$67),"",ReferenceData!$AW$67),"")</f>
        <v>20.000825579999997</v>
      </c>
      <c r="AX67">
        <f ca="1">IFERROR(IF(0=LEN(ReferenceData!$AX$67),"",ReferenceData!$AX$67),"")</f>
        <v>19.402038839999999</v>
      </c>
      <c r="AY67">
        <f ca="1">IFERROR(IF(0=LEN(ReferenceData!$AY$67),"",ReferenceData!$AY$67),"")</f>
        <v>19.97461599</v>
      </c>
      <c r="AZ67">
        <f ca="1">IFERROR(IF(0=LEN(ReferenceData!$AZ$67),"",ReferenceData!$AZ$67),"")</f>
        <v>19.193485760000002</v>
      </c>
      <c r="BA67">
        <f ca="1">IFERROR(IF(0=LEN(ReferenceData!$BA$67),"",ReferenceData!$BA$67),"")</f>
        <v>18.035739159999999</v>
      </c>
      <c r="BB67">
        <f ca="1">IFERROR(IF(0=LEN(ReferenceData!$BB$67),"",ReferenceData!$BB$67),"")</f>
        <v>18.014816029999999</v>
      </c>
      <c r="BC67">
        <f ca="1">IFERROR(IF(0=LEN(ReferenceData!$BC$67),"",ReferenceData!$BC$67),"")</f>
        <v>18.243093139999999</v>
      </c>
      <c r="BD67">
        <f ca="1">IFERROR(IF(0=LEN(ReferenceData!$BD$67),"",ReferenceData!$BD$67),"")</f>
        <v>17.204063819999998</v>
      </c>
      <c r="BE67">
        <f ca="1">IFERROR(IF(0=LEN(ReferenceData!$BE$67),"",ReferenceData!$BE$67),"")</f>
        <v>16.504309370000001</v>
      </c>
      <c r="BF67">
        <f ca="1">IFERROR(IF(0=LEN(ReferenceData!$BF$67),"",ReferenceData!$BF$67),"")</f>
        <v>16.354061229999999</v>
      </c>
      <c r="BG67">
        <f ca="1">IFERROR(IF(0=LEN(ReferenceData!$BG$67),"",ReferenceData!$BG$67),"")</f>
        <v>17.436366960000001</v>
      </c>
      <c r="BH67">
        <f ca="1">IFERROR(IF(0=LEN(ReferenceData!$BH$67),"",ReferenceData!$BH$67),"")</f>
        <v>16.65626348</v>
      </c>
      <c r="BI67">
        <f ca="1">IFERROR(IF(0=LEN(ReferenceData!$BI$67),"",ReferenceData!$BI$67),"")</f>
        <v>15.93369135</v>
      </c>
      <c r="BJ67">
        <f ca="1">IFERROR(IF(0=LEN(ReferenceData!$BJ$67),"",ReferenceData!$BJ$67),"")</f>
        <v>18.190040270000001</v>
      </c>
      <c r="BK67">
        <f ca="1">IFERROR(IF(0=LEN(ReferenceData!$BK$67),"",ReferenceData!$BK$67),"")</f>
        <v>17.962633820000001</v>
      </c>
      <c r="BL67">
        <f ca="1">IFERROR(IF(0=LEN(ReferenceData!$BL$67),"",ReferenceData!$BL$67),"")</f>
        <v>18.475966029999999</v>
      </c>
      <c r="BM67">
        <f ca="1">IFERROR(IF(0=LEN(ReferenceData!$BM$67),"",ReferenceData!$BM$67),"")</f>
        <v>19.30038098</v>
      </c>
      <c r="BN67">
        <f ca="1">IFERROR(IF(0=LEN(ReferenceData!$BN$67),"",ReferenceData!$BN$67),"")</f>
        <v>18.323889489999999</v>
      </c>
      <c r="BO67">
        <f ca="1">IFERROR(IF(0=LEN(ReferenceData!$BO$67),"",ReferenceData!$BO$67),"")</f>
        <v>19.139991800000001</v>
      </c>
      <c r="BP67">
        <f ca="1">IFERROR(IF(0=LEN(ReferenceData!$BP$67),"",ReferenceData!$BP$67),"")</f>
        <v>19.209199170000002</v>
      </c>
      <c r="BQ67">
        <f ca="1">IFERROR(IF(0=LEN(ReferenceData!$BQ$67),"",ReferenceData!$BQ$67),"")</f>
        <v>18.88254036</v>
      </c>
      <c r="BR67">
        <f ca="1">IFERROR(IF(0=LEN(ReferenceData!$BR$67),"",ReferenceData!$BR$67),"")</f>
        <v>18.851302910000001</v>
      </c>
      <c r="BS67">
        <f ca="1">IFERROR(IF(0=LEN(ReferenceData!$BS$67),"",ReferenceData!$BS$67),"")</f>
        <v>18.831217809999998</v>
      </c>
      <c r="BT67">
        <f ca="1">IFERROR(IF(0=LEN(ReferenceData!$BT$67),"",ReferenceData!$BT$67),"")</f>
        <v>18.504117579999999</v>
      </c>
      <c r="BU67">
        <f ca="1">IFERROR(IF(0=LEN(ReferenceData!$BU$67),"",ReferenceData!$BU$67),"")</f>
        <v>20.873257110000001</v>
      </c>
      <c r="BV67">
        <f ca="1">IFERROR(IF(0=LEN(ReferenceData!$BV$67),"",ReferenceData!$BV$67),"")</f>
        <v>21.438455489999999</v>
      </c>
      <c r="BW67">
        <f ca="1">IFERROR(IF(0=LEN(ReferenceData!$BW$67),"",ReferenceData!$BW$67),"")</f>
        <v>20.344135219999998</v>
      </c>
      <c r="BX67">
        <f ca="1">IFERROR(IF(0=LEN(ReferenceData!$BX$67),"",ReferenceData!$BX$67),"")</f>
        <v>22.951142610000002</v>
      </c>
      <c r="BY67">
        <f ca="1">IFERROR(IF(0=LEN(ReferenceData!$BY$67),"",ReferenceData!$BY$67),"")</f>
        <v>23.8535374</v>
      </c>
      <c r="BZ67">
        <f ca="1">IFERROR(IF(0=LEN(ReferenceData!$BZ$67),"",ReferenceData!$BZ$67),"")</f>
        <v>23.1767413</v>
      </c>
      <c r="CA67">
        <f ca="1">IFERROR(IF(0=LEN(ReferenceData!$CA$67),"",ReferenceData!$CA$67),"")</f>
        <v>22.707455199999998</v>
      </c>
      <c r="CB67">
        <f ca="1">IFERROR(IF(0=LEN(ReferenceData!$CB$67),"",ReferenceData!$CB$67),"")</f>
        <v>23.62307839</v>
      </c>
      <c r="CC67">
        <f ca="1">IFERROR(IF(0=LEN(ReferenceData!$CC$67),"",ReferenceData!$CC$67),"")</f>
        <v>22.795355019999999</v>
      </c>
      <c r="CD67">
        <f ca="1">IFERROR(IF(0=LEN(ReferenceData!$CD$67),"",ReferenceData!$CD$67),"")</f>
        <v>21.900270500000001</v>
      </c>
      <c r="CE67">
        <f ca="1">IFERROR(IF(0=LEN(ReferenceData!$CE$67),"",ReferenceData!$CE$67),"")</f>
        <v>23.00419891</v>
      </c>
      <c r="CF67">
        <f ca="1">IFERROR(IF(0=LEN(ReferenceData!$CF$67),"",ReferenceData!$CF$67),"")</f>
        <v>20.963259099999998</v>
      </c>
      <c r="CG67">
        <f ca="1">IFERROR(IF(0=LEN(ReferenceData!$CG$67),"",ReferenceData!$CG$67),"")</f>
        <v>26.10047011</v>
      </c>
      <c r="CH67">
        <f ca="1">IFERROR(IF(0=LEN(ReferenceData!$CH$67),"",ReferenceData!$CH$67),"")</f>
        <v>26.373505430000002</v>
      </c>
      <c r="CI67">
        <f ca="1">IFERROR(IF(0=LEN(ReferenceData!$CI$67),"",ReferenceData!$CI$67),"")</f>
        <v>25.292506280000001</v>
      </c>
      <c r="CJ67">
        <f ca="1">IFERROR(IF(0=LEN(ReferenceData!$CJ$67),"",ReferenceData!$CJ$67),"")</f>
        <v>23.194515379999999</v>
      </c>
      <c r="CK67">
        <f ca="1">IFERROR(IF(0=LEN(ReferenceData!$CK$67),"",ReferenceData!$CK$67),"")</f>
        <v>22.642436839999998</v>
      </c>
    </row>
    <row r="68" spans="1:89">
      <c r="A68" t="str">
        <f>IFERROR(IF(0=LEN(ReferenceData!$A$68),"",ReferenceData!$A$68),"")</f>
        <v xml:space="preserve">    公寓投资与管理</v>
      </c>
      <c r="B68" t="str">
        <f>IFERROR(IF(0=LEN(ReferenceData!$B$68),"",ReferenceData!$B$68),"")</f>
        <v>AIV US Equity</v>
      </c>
      <c r="C68" t="str">
        <f>IFERROR(IF(0=LEN(ReferenceData!$C$68),"",ReferenceData!$C$68),"")</f>
        <v>F0893</v>
      </c>
      <c r="D68" t="str">
        <f>IFERROR(IF(0=LEN(ReferenceData!$D$68),"",ReferenceData!$D$68),"")</f>
        <v>PRICE_TO_AFFOPS</v>
      </c>
      <c r="E68" t="str">
        <f>IFERROR(IF(0=LEN(ReferenceData!$E$68),"",ReferenceData!$E$68),"")</f>
        <v>动态</v>
      </c>
      <c r="F68">
        <f ca="1">IFERROR(IF(0=LEN(ReferenceData!$F$68),"",ReferenceData!$F$68),"")</f>
        <v>16.360704810000001</v>
      </c>
      <c r="G68">
        <f ca="1">IFERROR(IF(0=LEN(ReferenceData!$G$68),"",ReferenceData!$G$68),"")</f>
        <v>15.79682437</v>
      </c>
      <c r="H68">
        <f ca="1">IFERROR(IF(0=LEN(ReferenceData!$H$68),"",ReferenceData!$H$68),"")</f>
        <v>17.09620103</v>
      </c>
      <c r="I68">
        <f ca="1">IFERROR(IF(0=LEN(ReferenceData!$I$68),"",ReferenceData!$I$68),"")</f>
        <v>17.860299879999999</v>
      </c>
      <c r="J68">
        <f ca="1">IFERROR(IF(0=LEN(ReferenceData!$J$68),"",ReferenceData!$J$68),"")</f>
        <v>18.22983967</v>
      </c>
      <c r="K68">
        <f ca="1">IFERROR(IF(0=LEN(ReferenceData!$K$68),"",ReferenceData!$K$68),"")</f>
        <v>18.184358100000001</v>
      </c>
      <c r="L68">
        <f ca="1">IFERROR(IF(0=LEN(ReferenceData!$L$68),"",ReferenceData!$L$68),"")</f>
        <v>18.13474184</v>
      </c>
      <c r="M68">
        <f ca="1">IFERROR(IF(0=LEN(ReferenceData!$M$68),"",ReferenceData!$M$68),"")</f>
        <v>19.341656140000001</v>
      </c>
      <c r="N68">
        <f ca="1">IFERROR(IF(0=LEN(ReferenceData!$N$68),"",ReferenceData!$N$68),"")</f>
        <v>19.435526960000001</v>
      </c>
      <c r="O68">
        <f ca="1">IFERROR(IF(0=LEN(ReferenceData!$O$68),"",ReferenceData!$O$68),"")</f>
        <v>18.334678230000002</v>
      </c>
      <c r="P68">
        <f ca="1">IFERROR(IF(0=LEN(ReferenceData!$P$68),"",ReferenceData!$P$68),"")</f>
        <v>18.45074271</v>
      </c>
      <c r="Q68">
        <f ca="1">IFERROR(IF(0=LEN(ReferenceData!$Q$68),"",ReferenceData!$Q$68),"")</f>
        <v>18.803249910000002</v>
      </c>
      <c r="R68">
        <f ca="1">IFERROR(IF(0=LEN(ReferenceData!$R$68),"",ReferenceData!$R$68),"")</f>
        <v>19.065480879999999</v>
      </c>
      <c r="S68">
        <f ca="1">IFERROR(IF(0=LEN(ReferenceData!$S$68),"",ReferenceData!$S$68),"")</f>
        <v>20.081592350000001</v>
      </c>
      <c r="T68">
        <f ca="1">IFERROR(IF(0=LEN(ReferenceData!$T$68),"",ReferenceData!$T$68),"")</f>
        <v>19.019896299999999</v>
      </c>
      <c r="U68">
        <f ca="1">IFERROR(IF(0=LEN(ReferenceData!$U$68),"",ReferenceData!$U$68),"")</f>
        <v>19.615481890000002</v>
      </c>
      <c r="V68">
        <f ca="1">IFERROR(IF(0=LEN(ReferenceData!$V$68),"",ReferenceData!$V$68),"")</f>
        <v>18.318980230000001</v>
      </c>
      <c r="W68">
        <f ca="1">IFERROR(IF(0=LEN(ReferenceData!$W$68),"",ReferenceData!$W$68),"")</f>
        <v>19.17618667</v>
      </c>
      <c r="X68">
        <f ca="1">IFERROR(IF(0=LEN(ReferenceData!$X$68),"",ReferenceData!$X$68),"")</f>
        <v>19.976826190000001</v>
      </c>
      <c r="Y68">
        <f ca="1">IFERROR(IF(0=LEN(ReferenceData!$Y$68),"",ReferenceData!$Y$68),"")</f>
        <v>19.55127478</v>
      </c>
      <c r="Z68">
        <f ca="1">IFERROR(IF(0=LEN(ReferenceData!$Z$68),"",ReferenceData!$Z$68),"")</f>
        <v>19.893140809999998</v>
      </c>
      <c r="AA68">
        <f ca="1">IFERROR(IF(0=LEN(ReferenceData!$AA$68),"",ReferenceData!$AA$68),"")</f>
        <v>19.109878139999999</v>
      </c>
      <c r="AB68">
        <f ca="1">IFERROR(IF(0=LEN(ReferenceData!$AB$68),"",ReferenceData!$AB$68),"")</f>
        <v>18.719700159999999</v>
      </c>
      <c r="AC68">
        <f ca="1">IFERROR(IF(0=LEN(ReferenceData!$AC$68),"",ReferenceData!$AC$68),"")</f>
        <v>17.582911800000002</v>
      </c>
      <c r="AD68">
        <f ca="1">IFERROR(IF(0=LEN(ReferenceData!$AD$68),"",ReferenceData!$AD$68),"")</f>
        <v>18.355401180000001</v>
      </c>
      <c r="AE68">
        <f ca="1">IFERROR(IF(0=LEN(ReferenceData!$AE$68),"",ReferenceData!$AE$68),"")</f>
        <v>16.455481679999998</v>
      </c>
      <c r="AF68">
        <f ca="1">IFERROR(IF(0=LEN(ReferenceData!$AF$68),"",ReferenceData!$AF$68),"")</f>
        <v>17.597162189999999</v>
      </c>
      <c r="AG68">
        <f ca="1">IFERROR(IF(0=LEN(ReferenceData!$AG$68),"",ReferenceData!$AG$68),"")</f>
        <v>17.992705050000001</v>
      </c>
      <c r="AH68">
        <f ca="1">IFERROR(IF(0=LEN(ReferenceData!$AH$68),"",ReferenceData!$AH$68),"")</f>
        <v>17.47472217</v>
      </c>
      <c r="AI68">
        <f ca="1">IFERROR(IF(0=LEN(ReferenceData!$AI$68),"",ReferenceData!$AI$68),"")</f>
        <v>17.96993865</v>
      </c>
      <c r="AJ68">
        <f ca="1">IFERROR(IF(0=LEN(ReferenceData!$AJ$68),"",ReferenceData!$AJ$68),"")</f>
        <v>16.974920359999999</v>
      </c>
      <c r="AK68">
        <f ca="1">IFERROR(IF(0=LEN(ReferenceData!$AK$68),"",ReferenceData!$AK$68),"")</f>
        <v>16.989966190000001</v>
      </c>
      <c r="AL68">
        <f ca="1">IFERROR(IF(0=LEN(ReferenceData!$AL$68),"",ReferenceData!$AL$68),"")</f>
        <v>18.42819536</v>
      </c>
      <c r="AM68">
        <f ca="1">IFERROR(IF(0=LEN(ReferenceData!$AM$68),"",ReferenceData!$AM$68),"")</f>
        <v>17.41436169</v>
      </c>
      <c r="AN68">
        <f ca="1">IFERROR(IF(0=LEN(ReferenceData!$AN$68),"",ReferenceData!$AN$68),"")</f>
        <v>18.210634590000002</v>
      </c>
      <c r="AO68">
        <f ca="1">IFERROR(IF(0=LEN(ReferenceData!$AO$68),"",ReferenceData!$AO$68),"")</f>
        <v>18.114612260000001</v>
      </c>
      <c r="AP68">
        <f ca="1">IFERROR(IF(0=LEN(ReferenceData!$AP$68),"",ReferenceData!$AP$68),"")</f>
        <v>18.89719423</v>
      </c>
      <c r="AQ68">
        <f ca="1">IFERROR(IF(0=LEN(ReferenceData!$AQ$68),"",ReferenceData!$AQ$68),"")</f>
        <v>18.227422430000001</v>
      </c>
      <c r="AR68">
        <f ca="1">IFERROR(IF(0=LEN(ReferenceData!$AR$68),"",ReferenceData!$AR$68),"")</f>
        <v>19.28198137</v>
      </c>
      <c r="AS68">
        <f ca="1">IFERROR(IF(0=LEN(ReferenceData!$AS$68),"",ReferenceData!$AS$68),"")</f>
        <v>17.971038830000001</v>
      </c>
      <c r="AT68">
        <f ca="1">IFERROR(IF(0=LEN(ReferenceData!$AT$68),"",ReferenceData!$AT$68),"")</f>
        <v>17.785357550000001</v>
      </c>
      <c r="AU68">
        <f ca="1">IFERROR(IF(0=LEN(ReferenceData!$AU$68),"",ReferenceData!$AU$68),"")</f>
        <v>17.08826702</v>
      </c>
      <c r="AV68">
        <f ca="1">IFERROR(IF(0=LEN(ReferenceData!$AV$68),"",ReferenceData!$AV$68),"")</f>
        <v>15.19275375</v>
      </c>
      <c r="AW68">
        <f ca="1">IFERROR(IF(0=LEN(ReferenceData!$AW$68),"",ReferenceData!$AW$68),"")</f>
        <v>16.367455230000001</v>
      </c>
      <c r="AX68">
        <f ca="1">IFERROR(IF(0=LEN(ReferenceData!$AX$68),"",ReferenceData!$AX$68),"")</f>
        <v>16.324470959999999</v>
      </c>
      <c r="AY68">
        <f ca="1">IFERROR(IF(0=LEN(ReferenceData!$AY$68),"",ReferenceData!$AY$68),"")</f>
        <v>15.4122492</v>
      </c>
      <c r="AZ68">
        <f ca="1">IFERROR(IF(0=LEN(ReferenceData!$AZ$68),"",ReferenceData!$AZ$68),"")</f>
        <v>15.272743630000001</v>
      </c>
      <c r="BA68">
        <f ca="1">IFERROR(IF(0=LEN(ReferenceData!$BA$68),"",ReferenceData!$BA$68),"")</f>
        <v>14.95739156</v>
      </c>
      <c r="BB68">
        <f ca="1">IFERROR(IF(0=LEN(ReferenceData!$BB$68),"",ReferenceData!$BB$68),"")</f>
        <v>14.661445759999999</v>
      </c>
      <c r="BC68">
        <f ca="1">IFERROR(IF(0=LEN(ReferenceData!$BC$68),"",ReferenceData!$BC$68),"")</f>
        <v>14.64505576</v>
      </c>
      <c r="BD68">
        <f ca="1">IFERROR(IF(0=LEN(ReferenceData!$BD$68),"",ReferenceData!$BD$68),"")</f>
        <v>13.70432284</v>
      </c>
      <c r="BE68">
        <f ca="1">IFERROR(IF(0=LEN(ReferenceData!$BE$68),"",ReferenceData!$BE$68),"")</f>
        <v>12.694994810000001</v>
      </c>
      <c r="BF68">
        <f ca="1">IFERROR(IF(0=LEN(ReferenceData!$BF$68),"",ReferenceData!$BF$68),"")</f>
        <v>12.60867354</v>
      </c>
      <c r="BG68">
        <f ca="1">IFERROR(IF(0=LEN(ReferenceData!$BG$68),"",ReferenceData!$BG$68),"")</f>
        <v>14.04980827</v>
      </c>
      <c r="BH68">
        <f ca="1">IFERROR(IF(0=LEN(ReferenceData!$BH$68),"",ReferenceData!$BH$68),"")</f>
        <v>14.029722769999999</v>
      </c>
      <c r="BI68">
        <f ca="1">IFERROR(IF(0=LEN(ReferenceData!$BI$68),"",ReferenceData!$BI$68),"")</f>
        <v>14.17362443</v>
      </c>
      <c r="BJ68">
        <f ca="1">IFERROR(IF(0=LEN(ReferenceData!$BJ$68),"",ReferenceData!$BJ$68),"")</f>
        <v>15.12608376</v>
      </c>
      <c r="BK68">
        <f ca="1">IFERROR(IF(0=LEN(ReferenceData!$BK$68),"",ReferenceData!$BK$68),"")</f>
        <v>15.46588006</v>
      </c>
      <c r="BL68">
        <f ca="1">IFERROR(IF(0=LEN(ReferenceData!$BL$68),"",ReferenceData!$BL$68),"")</f>
        <v>15.844162669999999</v>
      </c>
      <c r="BM68">
        <f ca="1">IFERROR(IF(0=LEN(ReferenceData!$BM$68),"",ReferenceData!$BM$68),"")</f>
        <v>16.289223410000002</v>
      </c>
      <c r="BN68">
        <f ca="1">IFERROR(IF(0=LEN(ReferenceData!$BN$68),"",ReferenceData!$BN$68),"")</f>
        <v>16.053603020000001</v>
      </c>
      <c r="BO68">
        <f ca="1">IFERROR(IF(0=LEN(ReferenceData!$BO$68),"",ReferenceData!$BO$68),"")</f>
        <v>16.206539079999999</v>
      </c>
      <c r="BP68">
        <f ca="1">IFERROR(IF(0=LEN(ReferenceData!$BP$68),"",ReferenceData!$BP$68),"")</f>
        <v>14.92621155</v>
      </c>
      <c r="BQ68">
        <f ca="1">IFERROR(IF(0=LEN(ReferenceData!$BQ$68),"",ReferenceData!$BQ$68),"")</f>
        <v>14.80583888</v>
      </c>
      <c r="BR68">
        <f ca="1">IFERROR(IF(0=LEN(ReferenceData!$BR$68),"",ReferenceData!$BR$68),"")</f>
        <v>14.499906040000001</v>
      </c>
      <c r="BS68">
        <f ca="1">IFERROR(IF(0=LEN(ReferenceData!$BS$68),"",ReferenceData!$BS$68),"")</f>
        <v>15.43687643</v>
      </c>
      <c r="BT68">
        <f ca="1">IFERROR(IF(0=LEN(ReferenceData!$BT$68),"",ReferenceData!$BT$68),"")</f>
        <v>15.032012679999999</v>
      </c>
      <c r="BU68">
        <f ca="1">IFERROR(IF(0=LEN(ReferenceData!$BU$68),"",ReferenceData!$BU$68),"")</f>
        <v>15.70756149</v>
      </c>
      <c r="BV68">
        <f ca="1">IFERROR(IF(0=LEN(ReferenceData!$BV$68),"",ReferenceData!$BV$68),"")</f>
        <v>16.271088049999999</v>
      </c>
      <c r="BW68">
        <f ca="1">IFERROR(IF(0=LEN(ReferenceData!$BW$68),"",ReferenceData!$BW$68),"")</f>
        <v>16.03381371</v>
      </c>
      <c r="BX68">
        <f ca="1">IFERROR(IF(0=LEN(ReferenceData!$BX$68),"",ReferenceData!$BX$68),"")</f>
        <v>18.043279040000002</v>
      </c>
      <c r="BY68">
        <f ca="1">IFERROR(IF(0=LEN(ReferenceData!$BY$68),"",ReferenceData!$BY$68),"")</f>
        <v>18.096602359999999</v>
      </c>
      <c r="BZ68">
        <f ca="1">IFERROR(IF(0=LEN(ReferenceData!$BZ$68),"",ReferenceData!$BZ$68),"")</f>
        <v>17.603361629999998</v>
      </c>
      <c r="CA68">
        <f ca="1">IFERROR(IF(0=LEN(ReferenceData!$CA$68),"",ReferenceData!$CA$68),"")</f>
        <v>16.68312572</v>
      </c>
      <c r="CB68">
        <f ca="1">IFERROR(IF(0=LEN(ReferenceData!$CB$68),"",ReferenceData!$CB$68),"")</f>
        <v>16.495071169999999</v>
      </c>
      <c r="CC68">
        <f ca="1">IFERROR(IF(0=LEN(ReferenceData!$CC$68),"",ReferenceData!$CC$68),"")</f>
        <v>15.386892530000001</v>
      </c>
      <c r="CD68">
        <f ca="1">IFERROR(IF(0=LEN(ReferenceData!$CD$68),"",ReferenceData!$CD$68),"")</f>
        <v>14.93416358</v>
      </c>
      <c r="CE68">
        <f ca="1">IFERROR(IF(0=LEN(ReferenceData!$CE$68),"",ReferenceData!$CE$68),"")</f>
        <v>16.915785840000002</v>
      </c>
      <c r="CF68">
        <f ca="1">IFERROR(IF(0=LEN(ReferenceData!$CF$68),"",ReferenceData!$CF$68),"")</f>
        <v>15.16729561</v>
      </c>
      <c r="CG68">
        <f ca="1">IFERROR(IF(0=LEN(ReferenceData!$CG$68),"",ReferenceData!$CG$68),"")</f>
        <v>18.374245349999999</v>
      </c>
      <c r="CH68">
        <f ca="1">IFERROR(IF(0=LEN(ReferenceData!$CH$68),"",ReferenceData!$CH$68),"")</f>
        <v>18.879070309999999</v>
      </c>
      <c r="CI68">
        <f ca="1">IFERROR(IF(0=LEN(ReferenceData!$CI$68),"",ReferenceData!$CI$68),"")</f>
        <v>17.65504267</v>
      </c>
      <c r="CJ68">
        <f ca="1">IFERROR(IF(0=LEN(ReferenceData!$CJ$68),"",ReferenceData!$CJ$68),"")</f>
        <v>16.85821017</v>
      </c>
      <c r="CK68">
        <f ca="1">IFERROR(IF(0=LEN(ReferenceData!$CK$68),"",ReferenceData!$CK$68),"")</f>
        <v>17.00326772</v>
      </c>
    </row>
    <row r="69" spans="1:89">
      <c r="A69" t="str">
        <f>IFERROR(IF(0=LEN(ReferenceData!$A$69),"",ReferenceData!$A$69),"")</f>
        <v xml:space="preserve">    AvalonBay社区股份有限公司</v>
      </c>
      <c r="B69" t="str">
        <f>IFERROR(IF(0=LEN(ReferenceData!$B$69),"",ReferenceData!$B$69),"")</f>
        <v>AVB US Equity</v>
      </c>
      <c r="C69" t="str">
        <f>IFERROR(IF(0=LEN(ReferenceData!$C$69),"",ReferenceData!$C$69),"")</f>
        <v>F0893</v>
      </c>
      <c r="D69" t="str">
        <f>IFERROR(IF(0=LEN(ReferenceData!$D$69),"",ReferenceData!$D$69),"")</f>
        <v>PRICE_TO_AFFOPS</v>
      </c>
      <c r="E69" t="str">
        <f>IFERROR(IF(0=LEN(ReferenceData!$E$69),"",ReferenceData!$E$69),"")</f>
        <v>动态</v>
      </c>
      <c r="F69">
        <f ca="1">IFERROR(IF(0=LEN(ReferenceData!$F$69),"",ReferenceData!$F$69),"")</f>
        <v>18.741175429999998</v>
      </c>
      <c r="G69">
        <f ca="1">IFERROR(IF(0=LEN(ReferenceData!$G$69),"",ReferenceData!$G$69),"")</f>
        <v>18.103009610000001</v>
      </c>
      <c r="H69">
        <f ca="1">IFERROR(IF(0=LEN(ReferenceData!$H$69),"",ReferenceData!$H$69),"")</f>
        <v>19.771521839999998</v>
      </c>
      <c r="I69">
        <f ca="1">IFERROR(IF(0=LEN(ReferenceData!$I$69),"",ReferenceData!$I$69),"")</f>
        <v>20.700922609999999</v>
      </c>
      <c r="J69">
        <f ca="1">IFERROR(IF(0=LEN(ReferenceData!$J$69),"",ReferenceData!$J$69),"")</f>
        <v>21.366000270000001</v>
      </c>
      <c r="K69">
        <f ca="1">IFERROR(IF(0=LEN(ReferenceData!$K$69),"",ReferenceData!$K$69),"")</f>
        <v>21.366000270000001</v>
      </c>
      <c r="L69">
        <f ca="1">IFERROR(IF(0=LEN(ReferenceData!$L$69),"",ReferenceData!$L$69),"")</f>
        <v>21.0231168</v>
      </c>
      <c r="M69">
        <f ca="1">IFERROR(IF(0=LEN(ReferenceData!$M$69),"",ReferenceData!$M$69),"")</f>
        <v>22.444212499999999</v>
      </c>
      <c r="N69">
        <f ca="1">IFERROR(IF(0=LEN(ReferenceData!$N$69),"",ReferenceData!$N$69),"")</f>
        <v>22.996560349999999</v>
      </c>
      <c r="O69">
        <f ca="1">IFERROR(IF(0=LEN(ReferenceData!$O$69),"",ReferenceData!$O$69),"")</f>
        <v>22.9750403</v>
      </c>
      <c r="P69">
        <f ca="1">IFERROR(IF(0=LEN(ReferenceData!$P$69),"",ReferenceData!$P$69),"")</f>
        <v>23.032152580000002</v>
      </c>
      <c r="Q69">
        <f ca="1">IFERROR(IF(0=LEN(ReferenceData!$Q$69),"",ReferenceData!$Q$69),"")</f>
        <v>22.863542389999999</v>
      </c>
      <c r="R69">
        <f ca="1">IFERROR(IF(0=LEN(ReferenceData!$R$69),"",ReferenceData!$R$69),"")</f>
        <v>22.112022670000002</v>
      </c>
      <c r="S69">
        <f ca="1">IFERROR(IF(0=LEN(ReferenceData!$S$69),"",ReferenceData!$S$69),"")</f>
        <v>22.44913682</v>
      </c>
      <c r="T69">
        <f ca="1">IFERROR(IF(0=LEN(ReferenceData!$T$69),"",ReferenceData!$T$69),"")</f>
        <v>21.170202969999998</v>
      </c>
      <c r="U69">
        <f ca="1">IFERROR(IF(0=LEN(ReferenceData!$U$69),"",ReferenceData!$U$69),"")</f>
        <v>21.639267539999999</v>
      </c>
      <c r="V69">
        <f ca="1">IFERROR(IF(0=LEN(ReferenceData!$V$69),"",ReferenceData!$V$69),"")</f>
        <v>20.414599200000001</v>
      </c>
      <c r="W69">
        <f ca="1">IFERROR(IF(0=LEN(ReferenceData!$W$69),"",ReferenceData!$W$69),"")</f>
        <v>21.24488474</v>
      </c>
      <c r="X69">
        <f ca="1">IFERROR(IF(0=LEN(ReferenceData!$X$69),"",ReferenceData!$X$69),"")</f>
        <v>22.071447030000002</v>
      </c>
      <c r="Y69">
        <f ca="1">IFERROR(IF(0=LEN(ReferenceData!$Y$69),"",ReferenceData!$Y$69),"")</f>
        <v>22.110773720000001</v>
      </c>
      <c r="Z69">
        <f ca="1">IFERROR(IF(0=LEN(ReferenceData!$Z$69),"",ReferenceData!$Z$69),"")</f>
        <v>23.455031940000001</v>
      </c>
      <c r="AA69">
        <f ca="1">IFERROR(IF(0=LEN(ReferenceData!$AA$69),"",ReferenceData!$AA$69),"")</f>
        <v>22.79048323</v>
      </c>
      <c r="AB69">
        <f ca="1">IFERROR(IF(0=LEN(ReferenceData!$AB$69),"",ReferenceData!$AB$69),"")</f>
        <v>23.192185500000001</v>
      </c>
      <c r="AC69">
        <f ca="1">IFERROR(IF(0=LEN(ReferenceData!$AC$69),"",ReferenceData!$AC$69),"")</f>
        <v>22.793787389999999</v>
      </c>
      <c r="AD69">
        <f ca="1">IFERROR(IF(0=LEN(ReferenceData!$AD$69),"",ReferenceData!$AD$69),"")</f>
        <v>24.522757859999999</v>
      </c>
      <c r="AE69">
        <f ca="1">IFERROR(IF(0=LEN(ReferenceData!$AE$69),"",ReferenceData!$AE$69),"")</f>
        <v>22.77094859</v>
      </c>
      <c r="AF69">
        <f ca="1">IFERROR(IF(0=LEN(ReferenceData!$AF$69),"",ReferenceData!$AF$69),"")</f>
        <v>22.751048560000001</v>
      </c>
      <c r="AG69">
        <f ca="1">IFERROR(IF(0=LEN(ReferenceData!$AG$69),"",ReferenceData!$AG$69),"")</f>
        <v>24.427958310000001</v>
      </c>
      <c r="AH69">
        <f ca="1">IFERROR(IF(0=LEN(ReferenceData!$AH$69),"",ReferenceData!$AH$69),"")</f>
        <v>24.95337868</v>
      </c>
      <c r="AI69">
        <f ca="1">IFERROR(IF(0=LEN(ReferenceData!$AI$69),"",ReferenceData!$AI$69),"")</f>
        <v>23.99801527</v>
      </c>
      <c r="AJ69">
        <f ca="1">IFERROR(IF(0=LEN(ReferenceData!$AJ$69),"",ReferenceData!$AJ$69),"")</f>
        <v>23.996642619999999</v>
      </c>
      <c r="AK69">
        <f ca="1">IFERROR(IF(0=LEN(ReferenceData!$AK$69),"",ReferenceData!$AK$69),"")</f>
        <v>23.300092859999999</v>
      </c>
      <c r="AL69">
        <f ca="1">IFERROR(IF(0=LEN(ReferenceData!$AL$69),"",ReferenceData!$AL$69),"")</f>
        <v>24.327747500000001</v>
      </c>
      <c r="AM69">
        <f ca="1">IFERROR(IF(0=LEN(ReferenceData!$AM$69),"",ReferenceData!$AM$69),"")</f>
        <v>22.567465439999999</v>
      </c>
      <c r="AN69">
        <f ca="1">IFERROR(IF(0=LEN(ReferenceData!$AN$69),"",ReferenceData!$AN$69),"")</f>
        <v>24.07548401</v>
      </c>
      <c r="AO69">
        <f ca="1">IFERROR(IF(0=LEN(ReferenceData!$AO$69),"",ReferenceData!$AO$69),"")</f>
        <v>23.7631534</v>
      </c>
      <c r="AP69">
        <f ca="1">IFERROR(IF(0=LEN(ReferenceData!$AP$69),"",ReferenceData!$AP$69),"")</f>
        <v>25.196114640000001</v>
      </c>
      <c r="AQ69">
        <f ca="1">IFERROR(IF(0=LEN(ReferenceData!$AQ$69),"",ReferenceData!$AQ$69),"")</f>
        <v>24.80292536</v>
      </c>
      <c r="AR69">
        <f ca="1">IFERROR(IF(0=LEN(ReferenceData!$AR$69),"",ReferenceData!$AR$69),"")</f>
        <v>25.488048339999999</v>
      </c>
      <c r="AS69">
        <f ca="1">IFERROR(IF(0=LEN(ReferenceData!$AS$69),"",ReferenceData!$AS$69),"")</f>
        <v>24.073600890000002</v>
      </c>
      <c r="AT69">
        <f ca="1">IFERROR(IF(0=LEN(ReferenceData!$AT$69),"",ReferenceData!$AT$69),"")</f>
        <v>24.153259810000002</v>
      </c>
      <c r="AU69">
        <f ca="1">IFERROR(IF(0=LEN(ReferenceData!$AU$69),"",ReferenceData!$AU$69),"")</f>
        <v>23.409689709999999</v>
      </c>
      <c r="AV69">
        <f ca="1">IFERROR(IF(0=LEN(ReferenceData!$AV$69),"",ReferenceData!$AV$69),"")</f>
        <v>21.175975090000001</v>
      </c>
      <c r="AW69">
        <f ca="1">IFERROR(IF(0=LEN(ReferenceData!$AW$69),"",ReferenceData!$AW$69),"")</f>
        <v>23.49617387</v>
      </c>
      <c r="AX69">
        <f ca="1">IFERROR(IF(0=LEN(ReferenceData!$AX$69),"",ReferenceData!$AX$69),"")</f>
        <v>22.578283110000001</v>
      </c>
      <c r="AY69">
        <f ca="1">IFERROR(IF(0=LEN(ReferenceData!$AY$69),"",ReferenceData!$AY$69),"")</f>
        <v>21.680213909999999</v>
      </c>
      <c r="AZ69">
        <f ca="1">IFERROR(IF(0=LEN(ReferenceData!$AZ$69),"",ReferenceData!$AZ$69),"")</f>
        <v>21.903202929999999</v>
      </c>
      <c r="BA69">
        <f ca="1">IFERROR(IF(0=LEN(ReferenceData!$BA$69),"",ReferenceData!$BA$69),"")</f>
        <v>21.086311049999999</v>
      </c>
      <c r="BB69">
        <f ca="1">IFERROR(IF(0=LEN(ReferenceData!$BB$69),"",ReferenceData!$BB$69),"")</f>
        <v>20.27868449</v>
      </c>
      <c r="BC69">
        <f ca="1">IFERROR(IF(0=LEN(ReferenceData!$BC$69),"",ReferenceData!$BC$69),"")</f>
        <v>20.76732402</v>
      </c>
      <c r="BD69">
        <f ca="1">IFERROR(IF(0=LEN(ReferenceData!$BD$69),"",ReferenceData!$BD$69),"")</f>
        <v>19.886520239999999</v>
      </c>
      <c r="BE69">
        <f ca="1">IFERROR(IF(0=LEN(ReferenceData!$BE$69),"",ReferenceData!$BE$69),"")</f>
        <v>19.037921359999999</v>
      </c>
      <c r="BF69">
        <f ca="1">IFERROR(IF(0=LEN(ReferenceData!$BF$69),"",ReferenceData!$BF$69),"")</f>
        <v>20.18293984</v>
      </c>
      <c r="BG69">
        <f ca="1">IFERROR(IF(0=LEN(ReferenceData!$BG$69),"",ReferenceData!$BG$69),"")</f>
        <v>21.287758319999998</v>
      </c>
      <c r="BH69">
        <f ca="1">IFERROR(IF(0=LEN(ReferenceData!$BH$69),"",ReferenceData!$BH$69),"")</f>
        <v>21.635035630000001</v>
      </c>
      <c r="BI69">
        <f ca="1">IFERROR(IF(0=LEN(ReferenceData!$BI$69),"",ReferenceData!$BI$69),"")</f>
        <v>21.80105713</v>
      </c>
      <c r="BJ69">
        <f ca="1">IFERROR(IF(0=LEN(ReferenceData!$BJ$69),"",ReferenceData!$BJ$69),"")</f>
        <v>23.814003809999999</v>
      </c>
      <c r="BK69">
        <f ca="1">IFERROR(IF(0=LEN(ReferenceData!$BK$69),"",ReferenceData!$BK$69),"")</f>
        <v>23.73834235</v>
      </c>
      <c r="BL69">
        <f ca="1">IFERROR(IF(0=LEN(ReferenceData!$BL$69),"",ReferenceData!$BL$69),"")</f>
        <v>24.519999349999999</v>
      </c>
      <c r="BM69">
        <f ca="1">IFERROR(IF(0=LEN(ReferenceData!$BM$69),"",ReferenceData!$BM$69),"")</f>
        <v>24.590236040000001</v>
      </c>
      <c r="BN69">
        <f ca="1">IFERROR(IF(0=LEN(ReferenceData!$BN$69),"",ReferenceData!$BN$69),"")</f>
        <v>23.412847259999999</v>
      </c>
      <c r="BO69">
        <f ca="1">IFERROR(IF(0=LEN(ReferenceData!$BO$69),"",ReferenceData!$BO$69),"")</f>
        <v>23.44166448</v>
      </c>
      <c r="BP69">
        <f ca="1">IFERROR(IF(0=LEN(ReferenceData!$BP$69),"",ReferenceData!$BP$69),"")</f>
        <v>24.373096480000001</v>
      </c>
      <c r="BQ69">
        <f ca="1">IFERROR(IF(0=LEN(ReferenceData!$BQ$69),"",ReferenceData!$BQ$69),"")</f>
        <v>25.46227099</v>
      </c>
      <c r="BR69">
        <f ca="1">IFERROR(IF(0=LEN(ReferenceData!$BR$69),"",ReferenceData!$BR$69),"")</f>
        <v>24.77018335</v>
      </c>
      <c r="BS69">
        <f ca="1">IFERROR(IF(0=LEN(ReferenceData!$BS$69),"",ReferenceData!$BS$69),"")</f>
        <v>25.47876209</v>
      </c>
      <c r="BT69">
        <f ca="1">IFERROR(IF(0=LEN(ReferenceData!$BT$69),"",ReferenceData!$BT$69),"")</f>
        <v>25.55958141</v>
      </c>
      <c r="BU69">
        <f ca="1">IFERROR(IF(0=LEN(ReferenceData!$BU$69),"",ReferenceData!$BU$69),"")</f>
        <v>28.009972059999999</v>
      </c>
      <c r="BV69">
        <f ca="1">IFERROR(IF(0=LEN(ReferenceData!$BV$69),"",ReferenceData!$BV$69),"")</f>
        <v>29.112399589999999</v>
      </c>
      <c r="BW69">
        <f ca="1">IFERROR(IF(0=LEN(ReferenceData!$BW$69),"",ReferenceData!$BW$69),"")</f>
        <v>28.002055160000001</v>
      </c>
      <c r="BX69">
        <f ca="1">IFERROR(IF(0=LEN(ReferenceData!$BX$69),"",ReferenceData!$BX$69),"")</f>
        <v>28.800835989999999</v>
      </c>
      <c r="BY69">
        <f ca="1">IFERROR(IF(0=LEN(ReferenceData!$BY$69),"",ReferenceData!$BY$69),"")</f>
        <v>29.965234720000002</v>
      </c>
      <c r="BZ69">
        <f ca="1">IFERROR(IF(0=LEN(ReferenceData!$BZ$69),"",ReferenceData!$BZ$69),"")</f>
        <v>29.130577219999999</v>
      </c>
      <c r="CA69">
        <f ca="1">IFERROR(IF(0=LEN(ReferenceData!$CA$69),"",ReferenceData!$CA$69),"")</f>
        <v>27.871721999999998</v>
      </c>
      <c r="CB69">
        <f ca="1">IFERROR(IF(0=LEN(ReferenceData!$CB$69),"",ReferenceData!$CB$69),"")</f>
        <v>29.23446371</v>
      </c>
      <c r="CC69">
        <f ca="1">IFERROR(IF(0=LEN(ReferenceData!$CC$69),"",ReferenceData!$CC$69),"")</f>
        <v>28.071619439999999</v>
      </c>
      <c r="CD69">
        <f ca="1">IFERROR(IF(0=LEN(ReferenceData!$CD$69),"",ReferenceData!$CD$69),"")</f>
        <v>28.40467173</v>
      </c>
      <c r="CE69">
        <f ca="1">IFERROR(IF(0=LEN(ReferenceData!$CE$69),"",ReferenceData!$CE$69),"")</f>
        <v>30.415863550000001</v>
      </c>
      <c r="CF69">
        <f ca="1">IFERROR(IF(0=LEN(ReferenceData!$CF$69),"",ReferenceData!$CF$69),"")</f>
        <v>25.947559559999998</v>
      </c>
      <c r="CG69">
        <f ca="1">IFERROR(IF(0=LEN(ReferenceData!$CG$69),"",ReferenceData!$CG$69),"")</f>
        <v>32.388925550000003</v>
      </c>
      <c r="CH69">
        <f ca="1">IFERROR(IF(0=LEN(ReferenceData!$CH$69),"",ReferenceData!$CH$69),"")</f>
        <v>31.868821820000001</v>
      </c>
      <c r="CI69">
        <f ca="1">IFERROR(IF(0=LEN(ReferenceData!$CI$69),"",ReferenceData!$CI$69),"")</f>
        <v>30.493753049999999</v>
      </c>
      <c r="CJ69">
        <f ca="1">IFERROR(IF(0=LEN(ReferenceData!$CJ$69),"",ReferenceData!$CJ$69),"")</f>
        <v>32.369715890000002</v>
      </c>
      <c r="CK69">
        <f ca="1">IFERROR(IF(0=LEN(ReferenceData!$CK$69),"",ReferenceData!$CK$69),"")</f>
        <v>30.798299610000001</v>
      </c>
    </row>
    <row r="70" spans="1:89">
      <c r="A70" t="str">
        <f>IFERROR(IF(0=LEN(ReferenceData!$A$70),"",ReferenceData!$A$70),"")</f>
        <v xml:space="preserve">    Camden 房地产信托公司</v>
      </c>
      <c r="B70" t="str">
        <f>IFERROR(IF(0=LEN(ReferenceData!$B$70),"",ReferenceData!$B$70),"")</f>
        <v>CPT US Equity</v>
      </c>
      <c r="C70" t="str">
        <f>IFERROR(IF(0=LEN(ReferenceData!$C$70),"",ReferenceData!$C$70),"")</f>
        <v>F0893</v>
      </c>
      <c r="D70" t="str">
        <f>IFERROR(IF(0=LEN(ReferenceData!$D$70),"",ReferenceData!$D$70),"")</f>
        <v>PRICE_TO_AFFOPS</v>
      </c>
      <c r="E70" t="str">
        <f>IFERROR(IF(0=LEN(ReferenceData!$E$70),"",ReferenceData!$E$70),"")</f>
        <v>动态</v>
      </c>
      <c r="F70">
        <f ca="1">IFERROR(IF(0=LEN(ReferenceData!$F$70),"",ReferenceData!$F$70),"")</f>
        <v>18.351807579999999</v>
      </c>
      <c r="G70">
        <f ca="1">IFERROR(IF(0=LEN(ReferenceData!$G$70),"",ReferenceData!$G$70),"")</f>
        <v>17.59892365</v>
      </c>
      <c r="H70">
        <f ca="1">IFERROR(IF(0=LEN(ReferenceData!$H$70),"",ReferenceData!$H$70),"")</f>
        <v>19.111313899999999</v>
      </c>
      <c r="I70">
        <f ca="1">IFERROR(IF(0=LEN(ReferenceData!$I$70),"",ReferenceData!$I$70),"")</f>
        <v>20.325641839999999</v>
      </c>
      <c r="J70">
        <f ca="1">IFERROR(IF(0=LEN(ReferenceData!$J$70),"",ReferenceData!$J$70),"")</f>
        <v>20.296739720000001</v>
      </c>
      <c r="K70">
        <f ca="1">IFERROR(IF(0=LEN(ReferenceData!$K$70),"",ReferenceData!$K$70),"")</f>
        <v>20.287845440000002</v>
      </c>
      <c r="L70">
        <f ca="1">IFERROR(IF(0=LEN(ReferenceData!$L$70),"",ReferenceData!$L$70),"")</f>
        <v>20.334540400000002</v>
      </c>
      <c r="M70">
        <f ca="1">IFERROR(IF(0=LEN(ReferenceData!$M$70),"",ReferenceData!$M$70),"")</f>
        <v>19.782297109999998</v>
      </c>
      <c r="N70">
        <f ca="1">IFERROR(IF(0=LEN(ReferenceData!$N$70),"",ReferenceData!$N$70),"")</f>
        <v>19.830934859999999</v>
      </c>
      <c r="O70">
        <f ca="1">IFERROR(IF(0=LEN(ReferenceData!$O$70),"",ReferenceData!$O$70),"")</f>
        <v>18.904606909999998</v>
      </c>
      <c r="P70">
        <f ca="1">IFERROR(IF(0=LEN(ReferenceData!$P$70),"",ReferenceData!$P$70),"")</f>
        <v>18.417294729999998</v>
      </c>
      <c r="Q70">
        <f ca="1">IFERROR(IF(0=LEN(ReferenceData!$Q$70),"",ReferenceData!$Q$70),"")</f>
        <v>18.200646689999999</v>
      </c>
      <c r="R70">
        <f ca="1">IFERROR(IF(0=LEN(ReferenceData!$R$70),"",ReferenceData!$R$70),"")</f>
        <v>17.787246840000002</v>
      </c>
      <c r="S70">
        <f ca="1">IFERROR(IF(0=LEN(ReferenceData!$S$70),"",ReferenceData!$S$70),"")</f>
        <v>18.262583190000001</v>
      </c>
      <c r="T70">
        <f ca="1">IFERROR(IF(0=LEN(ReferenceData!$T$70),"",ReferenceData!$T$70),"")</f>
        <v>18.029581539999999</v>
      </c>
      <c r="U70">
        <f ca="1">IFERROR(IF(0=LEN(ReferenceData!$U$70),"",ReferenceData!$U$70),"")</f>
        <v>18.137452679999999</v>
      </c>
      <c r="V70">
        <f ca="1">IFERROR(IF(0=LEN(ReferenceData!$V$70),"",ReferenceData!$V$70),"")</f>
        <v>16.801823110000001</v>
      </c>
      <c r="W70">
        <f ca="1">IFERROR(IF(0=LEN(ReferenceData!$W$70),"",ReferenceData!$W$70),"")</f>
        <v>17.38458232</v>
      </c>
      <c r="X70">
        <f ca="1">IFERROR(IF(0=LEN(ReferenceData!$X$70),"",ReferenceData!$X$70),"")</f>
        <v>17.875551609999999</v>
      </c>
      <c r="Y70">
        <f ca="1">IFERROR(IF(0=LEN(ReferenceData!$Y$70),"",ReferenceData!$Y$70),"")</f>
        <v>18.707404279999999</v>
      </c>
      <c r="Z70">
        <f ca="1">IFERROR(IF(0=LEN(ReferenceData!$Z$70),"",ReferenceData!$Z$70),"")</f>
        <v>19.095321290000001</v>
      </c>
      <c r="AA70">
        <f ca="1">IFERROR(IF(0=LEN(ReferenceData!$AA$70),"",ReferenceData!$AA$70),"")</f>
        <v>18.84594607</v>
      </c>
      <c r="AB70">
        <f ca="1">IFERROR(IF(0=LEN(ReferenceData!$AB$70),"",ReferenceData!$AB$70),"")</f>
        <v>18.292359350000002</v>
      </c>
      <c r="AC70">
        <f ca="1">IFERROR(IF(0=LEN(ReferenceData!$AC$70),"",ReferenceData!$AC$70),"")</f>
        <v>17.33062047</v>
      </c>
      <c r="AD70">
        <f ca="1">IFERROR(IF(0=LEN(ReferenceData!$AD$70),"",ReferenceData!$AD$70),"")</f>
        <v>18.051924629999998</v>
      </c>
      <c r="AE70">
        <f ca="1">IFERROR(IF(0=LEN(ReferenceData!$AE$70),"",ReferenceData!$AE$70),"")</f>
        <v>16.47879386</v>
      </c>
      <c r="AF70">
        <f ca="1">IFERROR(IF(0=LEN(ReferenceData!$AF$70),"",ReferenceData!$AF$70),"")</f>
        <v>16.822745130000001</v>
      </c>
      <c r="AG70">
        <f ca="1">IFERROR(IF(0=LEN(ReferenceData!$AG$70),"",ReferenceData!$AG$70),"")</f>
        <v>16.924166660000001</v>
      </c>
      <c r="AH70">
        <f ca="1">IFERROR(IF(0=LEN(ReferenceData!$AH$70),"",ReferenceData!$AH$70),"")</f>
        <v>17.202895269999999</v>
      </c>
      <c r="AI70">
        <f ca="1">IFERROR(IF(0=LEN(ReferenceData!$AI$70),"",ReferenceData!$AI$70),"")</f>
        <v>16.619555399999999</v>
      </c>
      <c r="AJ70">
        <f ca="1">IFERROR(IF(0=LEN(ReferenceData!$AJ$70),"",ReferenceData!$AJ$70),"")</f>
        <v>16.644330459999999</v>
      </c>
      <c r="AK70">
        <f ca="1">IFERROR(IF(0=LEN(ReferenceData!$AK$70),"",ReferenceData!$AK$70),"")</f>
        <v>16.482296519999998</v>
      </c>
      <c r="AL70">
        <f ca="1">IFERROR(IF(0=LEN(ReferenceData!$AL$70),"",ReferenceData!$AL$70),"")</f>
        <v>18.22136987</v>
      </c>
      <c r="AM70">
        <f ca="1">IFERROR(IF(0=LEN(ReferenceData!$AM$70),"",ReferenceData!$AM$70),"")</f>
        <v>16.99715376</v>
      </c>
      <c r="AN70">
        <f ca="1">IFERROR(IF(0=LEN(ReferenceData!$AN$70),"",ReferenceData!$AN$70),"")</f>
        <v>17.456278560000001</v>
      </c>
      <c r="AO70">
        <f ca="1">IFERROR(IF(0=LEN(ReferenceData!$AO$70),"",ReferenceData!$AO$70),"")</f>
        <v>17.479559800000001</v>
      </c>
      <c r="AP70">
        <f ca="1">IFERROR(IF(0=LEN(ReferenceData!$AP$70),"",ReferenceData!$AP$70),"")</f>
        <v>18.189637820000002</v>
      </c>
      <c r="AQ70">
        <f ca="1">IFERROR(IF(0=LEN(ReferenceData!$AQ$70),"",ReferenceData!$AQ$70),"")</f>
        <v>17.06228535</v>
      </c>
      <c r="AR70">
        <f ca="1">IFERROR(IF(0=LEN(ReferenceData!$AR$70),"",ReferenceData!$AR$70),"")</f>
        <v>18.060847460000002</v>
      </c>
      <c r="AS70">
        <f ca="1">IFERROR(IF(0=LEN(ReferenceData!$AS$70),"",ReferenceData!$AS$70),"")</f>
        <v>17.308409810000001</v>
      </c>
      <c r="AT70">
        <f ca="1">IFERROR(IF(0=LEN(ReferenceData!$AT$70),"",ReferenceData!$AT$70),"")</f>
        <v>18.069240529999998</v>
      </c>
      <c r="AU70">
        <f ca="1">IFERROR(IF(0=LEN(ReferenceData!$AU$70),"",ReferenceData!$AU$70),"")</f>
        <v>18.066884089999999</v>
      </c>
      <c r="AV70">
        <f ca="1">IFERROR(IF(0=LEN(ReferenceData!$AV$70),"",ReferenceData!$AV$70),"")</f>
        <v>16.1487357</v>
      </c>
      <c r="AW70">
        <f ca="1">IFERROR(IF(0=LEN(ReferenceData!$AW$70),"",ReferenceData!$AW$70),"")</f>
        <v>17.7704849</v>
      </c>
      <c r="AX70">
        <f ca="1">IFERROR(IF(0=LEN(ReferenceData!$AX$70),"",ReferenceData!$AX$70),"")</f>
        <v>17.18161795</v>
      </c>
      <c r="AY70">
        <f ca="1">IFERROR(IF(0=LEN(ReferenceData!$AY$70),"",ReferenceData!$AY$70),"")</f>
        <v>16.894307869999999</v>
      </c>
      <c r="AZ70">
        <f ca="1">IFERROR(IF(0=LEN(ReferenceData!$AZ$70),"",ReferenceData!$AZ$70),"")</f>
        <v>16.762844680000001</v>
      </c>
      <c r="BA70">
        <f ca="1">IFERROR(IF(0=LEN(ReferenceData!$BA$70),"",ReferenceData!$BA$70),"")</f>
        <v>16.34520547</v>
      </c>
      <c r="BB70">
        <f ca="1">IFERROR(IF(0=LEN(ReferenceData!$BB$70),"",ReferenceData!$BB$70),"")</f>
        <v>16.070756849999999</v>
      </c>
      <c r="BC70">
        <f ca="1">IFERROR(IF(0=LEN(ReferenceData!$BC$70),"",ReferenceData!$BC$70),"")</f>
        <v>16.254316660000001</v>
      </c>
      <c r="BD70">
        <f ca="1">IFERROR(IF(0=LEN(ReferenceData!$BD$70),"",ReferenceData!$BD$70),"")</f>
        <v>15.06509529</v>
      </c>
      <c r="BE70">
        <f ca="1">IFERROR(IF(0=LEN(ReferenceData!$BE$70),"",ReferenceData!$BE$70),"")</f>
        <v>13.861252350000001</v>
      </c>
      <c r="BF70">
        <f ca="1">IFERROR(IF(0=LEN(ReferenceData!$BF$70),"",ReferenceData!$BF$70),"")</f>
        <v>14.517931689999999</v>
      </c>
      <c r="BG70">
        <f ca="1">IFERROR(IF(0=LEN(ReferenceData!$BG$70),"",ReferenceData!$BG$70),"")</f>
        <v>16.09204445</v>
      </c>
      <c r="BH70">
        <f ca="1">IFERROR(IF(0=LEN(ReferenceData!$BH$70),"",ReferenceData!$BH$70),"")</f>
        <v>15.40023693</v>
      </c>
      <c r="BI70">
        <f ca="1">IFERROR(IF(0=LEN(ReferenceData!$BI$70),"",ReferenceData!$BI$70),"")</f>
        <v>15.93369135</v>
      </c>
      <c r="BJ70">
        <f ca="1">IFERROR(IF(0=LEN(ReferenceData!$BJ$70),"",ReferenceData!$BJ$70),"")</f>
        <v>18.190040270000001</v>
      </c>
      <c r="BK70">
        <f ca="1">IFERROR(IF(0=LEN(ReferenceData!$BK$70),"",ReferenceData!$BK$70),"")</f>
        <v>17.829024440000001</v>
      </c>
      <c r="BL70">
        <f ca="1">IFERROR(IF(0=LEN(ReferenceData!$BL$70),"",ReferenceData!$BL$70),"")</f>
        <v>18.475966029999999</v>
      </c>
      <c r="BM70">
        <f ca="1">IFERROR(IF(0=LEN(ReferenceData!$BM$70),"",ReferenceData!$BM$70),"")</f>
        <v>19.30038098</v>
      </c>
      <c r="BN70">
        <f ca="1">IFERROR(IF(0=LEN(ReferenceData!$BN$70),"",ReferenceData!$BN$70),"")</f>
        <v>18.323889489999999</v>
      </c>
      <c r="BO70">
        <f ca="1">IFERROR(IF(0=LEN(ReferenceData!$BO$70),"",ReferenceData!$BO$70),"")</f>
        <v>19.139991800000001</v>
      </c>
      <c r="BP70">
        <f ca="1">IFERROR(IF(0=LEN(ReferenceData!$BP$70),"",ReferenceData!$BP$70),"")</f>
        <v>19.209199170000002</v>
      </c>
      <c r="BQ70">
        <f ca="1">IFERROR(IF(0=LEN(ReferenceData!$BQ$70),"",ReferenceData!$BQ$70),"")</f>
        <v>18.88254036</v>
      </c>
      <c r="BR70">
        <f ca="1">IFERROR(IF(0=LEN(ReferenceData!$BR$70),"",ReferenceData!$BR$70),"")</f>
        <v>18.851302910000001</v>
      </c>
      <c r="BS70">
        <f ca="1">IFERROR(IF(0=LEN(ReferenceData!$BS$70),"",ReferenceData!$BS$70),"")</f>
        <v>18.831217809999998</v>
      </c>
      <c r="BT70">
        <f ca="1">IFERROR(IF(0=LEN(ReferenceData!$BT$70),"",ReferenceData!$BT$70),"")</f>
        <v>18.504117579999999</v>
      </c>
      <c r="BU70">
        <f ca="1">IFERROR(IF(0=LEN(ReferenceData!$BU$70),"",ReferenceData!$BU$70),"")</f>
        <v>20.873257110000001</v>
      </c>
      <c r="BV70">
        <f ca="1">IFERROR(IF(0=LEN(ReferenceData!$BV$70),"",ReferenceData!$BV$70),"")</f>
        <v>21.438455489999999</v>
      </c>
      <c r="BW70">
        <f ca="1">IFERROR(IF(0=LEN(ReferenceData!$BW$70),"",ReferenceData!$BW$70),"")</f>
        <v>20.344135219999998</v>
      </c>
      <c r="BX70">
        <f ca="1">IFERROR(IF(0=LEN(ReferenceData!$BX$70),"",ReferenceData!$BX$70),"")</f>
        <v>22.951142610000002</v>
      </c>
      <c r="BY70">
        <f ca="1">IFERROR(IF(0=LEN(ReferenceData!$BY$70),"",ReferenceData!$BY$70),"")</f>
        <v>23.8535374</v>
      </c>
      <c r="BZ70">
        <f ca="1">IFERROR(IF(0=LEN(ReferenceData!$BZ$70),"",ReferenceData!$BZ$70),"")</f>
        <v>23.1767413</v>
      </c>
      <c r="CA70">
        <f ca="1">IFERROR(IF(0=LEN(ReferenceData!$CA$70),"",ReferenceData!$CA$70),"")</f>
        <v>22.707455199999998</v>
      </c>
      <c r="CB70">
        <f ca="1">IFERROR(IF(0=LEN(ReferenceData!$CB$70),"",ReferenceData!$CB$70),"")</f>
        <v>23.62307839</v>
      </c>
      <c r="CC70">
        <f ca="1">IFERROR(IF(0=LEN(ReferenceData!$CC$70),"",ReferenceData!$CC$70),"")</f>
        <v>22.795355019999999</v>
      </c>
      <c r="CD70">
        <f ca="1">IFERROR(IF(0=LEN(ReferenceData!$CD$70),"",ReferenceData!$CD$70),"")</f>
        <v>21.900270500000001</v>
      </c>
      <c r="CE70">
        <f ca="1">IFERROR(IF(0=LEN(ReferenceData!$CE$70),"",ReferenceData!$CE$70),"")</f>
        <v>23.00419891</v>
      </c>
      <c r="CF70">
        <f ca="1">IFERROR(IF(0=LEN(ReferenceData!$CF$70),"",ReferenceData!$CF$70),"")</f>
        <v>20.963259099999998</v>
      </c>
      <c r="CG70">
        <f ca="1">IFERROR(IF(0=LEN(ReferenceData!$CG$70),"",ReferenceData!$CG$70),"")</f>
        <v>26.564685149999999</v>
      </c>
      <c r="CH70">
        <f ca="1">IFERROR(IF(0=LEN(ReferenceData!$CH$70),"",ReferenceData!$CH$70),"")</f>
        <v>26.664074129999999</v>
      </c>
      <c r="CI70">
        <f ca="1">IFERROR(IF(0=LEN(ReferenceData!$CI$70),"",ReferenceData!$CI$70),"")</f>
        <v>25.292506280000001</v>
      </c>
      <c r="CJ70">
        <f ca="1">IFERROR(IF(0=LEN(ReferenceData!$CJ$70),"",ReferenceData!$CJ$70),"")</f>
        <v>23.194515379999999</v>
      </c>
      <c r="CK70">
        <f ca="1">IFERROR(IF(0=LEN(ReferenceData!$CK$70),"",ReferenceData!$CK$70),"")</f>
        <v>22.642436839999998</v>
      </c>
    </row>
    <row r="71" spans="1:89">
      <c r="A71" t="str">
        <f>IFERROR(IF(0=LEN(ReferenceData!$A$71),"",ReferenceData!$A$71),"")</f>
        <v xml:space="preserve">    公寓物业权益信托</v>
      </c>
      <c r="B71" t="str">
        <f>IFERROR(IF(0=LEN(ReferenceData!$B$71),"",ReferenceData!$B$71),"")</f>
        <v>EQR US Equity</v>
      </c>
      <c r="C71" t="str">
        <f>IFERROR(IF(0=LEN(ReferenceData!$C$71),"",ReferenceData!$C$71),"")</f>
        <v>F0893</v>
      </c>
      <c r="D71" t="str">
        <f>IFERROR(IF(0=LEN(ReferenceData!$D$71),"",ReferenceData!$D$71),"")</f>
        <v>PRICE_TO_AFFOPS</v>
      </c>
      <c r="E71" t="str">
        <f>IFERROR(IF(0=LEN(ReferenceData!$E$71),"",ReferenceData!$E$71),"")</f>
        <v>动态</v>
      </c>
      <c r="F71">
        <f ca="1">IFERROR(IF(0=LEN(ReferenceData!$F$71),"",ReferenceData!$F$71),"")</f>
        <v>18.949479570000001</v>
      </c>
      <c r="G71">
        <f ca="1">IFERROR(IF(0=LEN(ReferenceData!$G$71),"",ReferenceData!$G$71),"")</f>
        <v>17.947267230000001</v>
      </c>
      <c r="H71">
        <f ca="1">IFERROR(IF(0=LEN(ReferenceData!$H$71),"",ReferenceData!$H$71),"")</f>
        <v>19.664434180000001</v>
      </c>
      <c r="I71">
        <f ca="1">IFERROR(IF(0=LEN(ReferenceData!$I$71),"",ReferenceData!$I$71),"")</f>
        <v>20.353854370000001</v>
      </c>
      <c r="J71">
        <f ca="1">IFERROR(IF(0=LEN(ReferenceData!$J$71),"",ReferenceData!$J$71),"")</f>
        <v>21.564135619999998</v>
      </c>
      <c r="K71">
        <f ca="1">IFERROR(IF(0=LEN(ReferenceData!$K$71),"",ReferenceData!$K$71),"")</f>
        <v>21.706132329999999</v>
      </c>
      <c r="L71">
        <f ca="1">IFERROR(IF(0=LEN(ReferenceData!$L$71),"",ReferenceData!$L$71),"")</f>
        <v>21.276915020000001</v>
      </c>
      <c r="M71">
        <f ca="1">IFERROR(IF(0=LEN(ReferenceData!$M$71),"",ReferenceData!$M$71),"")</f>
        <v>21.80298938</v>
      </c>
      <c r="N71">
        <f ca="1">IFERROR(IF(0=LEN(ReferenceData!$N$71),"",ReferenceData!$N$71),"")</f>
        <v>22.098458040000001</v>
      </c>
      <c r="O71">
        <f ca="1">IFERROR(IF(0=LEN(ReferenceData!$O$71),"",ReferenceData!$O$71),"")</f>
        <v>21.374397479999999</v>
      </c>
      <c r="P71">
        <f ca="1">IFERROR(IF(0=LEN(ReferenceData!$P$71),"",ReferenceData!$P$71),"")</f>
        <v>21.189056839999999</v>
      </c>
      <c r="Q71">
        <f ca="1">IFERROR(IF(0=LEN(ReferenceData!$Q$71),"",ReferenceData!$Q$71),"")</f>
        <v>21.023034119999998</v>
      </c>
      <c r="R71">
        <f ca="1">IFERROR(IF(0=LEN(ReferenceData!$R$71),"",ReferenceData!$R$71),"")</f>
        <v>20.254772110000001</v>
      </c>
      <c r="S71">
        <f ca="1">IFERROR(IF(0=LEN(ReferenceData!$S$71),"",ReferenceData!$S$71),"")</f>
        <v>20.430776349999999</v>
      </c>
      <c r="T71">
        <f ca="1">IFERROR(IF(0=LEN(ReferenceData!$T$71),"",ReferenceData!$T$71),"")</f>
        <v>19.68571871</v>
      </c>
      <c r="U71">
        <f ca="1">IFERROR(IF(0=LEN(ReferenceData!$U$71),"",ReferenceData!$U$71),"")</f>
        <v>20.848656510000001</v>
      </c>
      <c r="V71">
        <f ca="1">IFERROR(IF(0=LEN(ReferenceData!$V$71),"",ReferenceData!$V$71),"")</f>
        <v>18.632979540000001</v>
      </c>
      <c r="W71">
        <f ca="1">IFERROR(IF(0=LEN(ReferenceData!$W$71),"",ReferenceData!$W$71),"")</f>
        <v>19.173245900000001</v>
      </c>
      <c r="X71">
        <f ca="1">IFERROR(IF(0=LEN(ReferenceData!$X$71),"",ReferenceData!$X$71),"")</f>
        <v>19.974330500000001</v>
      </c>
      <c r="Y71">
        <f ca="1">IFERROR(IF(0=LEN(ReferenceData!$Y$71),"",ReferenceData!$Y$71),"")</f>
        <v>19.43341109</v>
      </c>
      <c r="Z71">
        <f ca="1">IFERROR(IF(0=LEN(ReferenceData!$Z$71),"",ReferenceData!$Z$71),"")</f>
        <v>20.368084169999999</v>
      </c>
      <c r="AA71">
        <f ca="1">IFERROR(IF(0=LEN(ReferenceData!$AA$71),"",ReferenceData!$AA$71),"")</f>
        <v>20.634705660000002</v>
      </c>
      <c r="AB71">
        <f ca="1">IFERROR(IF(0=LEN(ReferenceData!$AB$71),"",ReferenceData!$AB$71),"")</f>
        <v>20.160572559999999</v>
      </c>
      <c r="AC71">
        <f ca="1">IFERROR(IF(0=LEN(ReferenceData!$AC$71),"",ReferenceData!$AC$71),"")</f>
        <v>19.82849551</v>
      </c>
      <c r="AD71">
        <f ca="1">IFERROR(IF(0=LEN(ReferenceData!$AD$71),"",ReferenceData!$AD$71),"")</f>
        <v>21.855913300000001</v>
      </c>
      <c r="AE71">
        <f ca="1">IFERROR(IF(0=LEN(ReferenceData!$AE$71),"",ReferenceData!$AE$71),"")</f>
        <v>21.517787420000001</v>
      </c>
      <c r="AF71">
        <f ca="1">IFERROR(IF(0=LEN(ReferenceData!$AF$71),"",ReferenceData!$AF$71),"")</f>
        <v>22.268844569999999</v>
      </c>
      <c r="AG71">
        <f ca="1">IFERROR(IF(0=LEN(ReferenceData!$AG$71),"",ReferenceData!$AG$71),"")</f>
        <v>23.56875118</v>
      </c>
      <c r="AH71">
        <f ca="1">IFERROR(IF(0=LEN(ReferenceData!$AH$71),"",ReferenceData!$AH$71),"")</f>
        <v>23.508847679999999</v>
      </c>
      <c r="AI71">
        <f ca="1">IFERROR(IF(0=LEN(ReferenceData!$AI$71),"",ReferenceData!$AI$71),"")</f>
        <v>22.77253949</v>
      </c>
      <c r="AJ71">
        <f ca="1">IFERROR(IF(0=LEN(ReferenceData!$AJ$71),"",ReferenceData!$AJ$71),"")</f>
        <v>22.124588289999998</v>
      </c>
      <c r="AK71">
        <f ca="1">IFERROR(IF(0=LEN(ReferenceData!$AK$71),"",ReferenceData!$AK$71),"")</f>
        <v>21.468932580000001</v>
      </c>
      <c r="AL71">
        <f ca="1">IFERROR(IF(0=LEN(ReferenceData!$AL$71),"",ReferenceData!$AL$71),"")</f>
        <v>22.54162591</v>
      </c>
      <c r="AM71">
        <f ca="1">IFERROR(IF(0=LEN(ReferenceData!$AM$71),"",ReferenceData!$AM$71),"")</f>
        <v>21.14350876</v>
      </c>
      <c r="AN71">
        <f ca="1">IFERROR(IF(0=LEN(ReferenceData!$AN$71),"",ReferenceData!$AN$71),"")</f>
        <v>22.87827798</v>
      </c>
      <c r="AO71">
        <f ca="1">IFERROR(IF(0=LEN(ReferenceData!$AO$71),"",ReferenceData!$AO$71),"")</f>
        <v>22.736674000000001</v>
      </c>
      <c r="AP71">
        <f ca="1">IFERROR(IF(0=LEN(ReferenceData!$AP$71),"",ReferenceData!$AP$71),"")</f>
        <v>23.968012959999999</v>
      </c>
      <c r="AQ71">
        <f ca="1">IFERROR(IF(0=LEN(ReferenceData!$AQ$71),"",ReferenceData!$AQ$71),"")</f>
        <v>24.313998179999999</v>
      </c>
      <c r="AR71">
        <f ca="1">IFERROR(IF(0=LEN(ReferenceData!$AR$71),"",ReferenceData!$AR$71),"")</f>
        <v>24.497071259999998</v>
      </c>
      <c r="AS71">
        <f ca="1">IFERROR(IF(0=LEN(ReferenceData!$AS$71),"",ReferenceData!$AS$71),"")</f>
        <v>22.675809810000001</v>
      </c>
      <c r="AT71">
        <f ca="1">IFERROR(IF(0=LEN(ReferenceData!$AT$71),"",ReferenceData!$AT$71),"")</f>
        <v>23.020914810000001</v>
      </c>
      <c r="AU71">
        <f ca="1">IFERROR(IF(0=LEN(ReferenceData!$AU$71),"",ReferenceData!$AU$71),"")</f>
        <v>22.604952489999999</v>
      </c>
      <c r="AV71">
        <f ca="1">IFERROR(IF(0=LEN(ReferenceData!$AV$71),"",ReferenceData!$AV$71),"")</f>
        <v>20.011687380000001</v>
      </c>
      <c r="AW71">
        <f ca="1">IFERROR(IF(0=LEN(ReferenceData!$AW$71),"",ReferenceData!$AW$71),"")</f>
        <v>22.231166259999998</v>
      </c>
      <c r="AX71">
        <f ca="1">IFERROR(IF(0=LEN(ReferenceData!$AX$71),"",ReferenceData!$AX$71),"")</f>
        <v>21.622459729999999</v>
      </c>
      <c r="AY71">
        <f ca="1">IFERROR(IF(0=LEN(ReferenceData!$AY$71),"",ReferenceData!$AY$71),"")</f>
        <v>21.07061041</v>
      </c>
      <c r="AZ71">
        <f ca="1">IFERROR(IF(0=LEN(ReferenceData!$AZ$71),"",ReferenceData!$AZ$71),"")</f>
        <v>21.190920739999999</v>
      </c>
      <c r="BA71">
        <f ca="1">IFERROR(IF(0=LEN(ReferenceData!$BA$71),"",ReferenceData!$BA$71),"")</f>
        <v>20.38168817</v>
      </c>
      <c r="BB71">
        <f ca="1">IFERROR(IF(0=LEN(ReferenceData!$BB$71),"",ReferenceData!$BB$71),"")</f>
        <v>19.884490190000001</v>
      </c>
      <c r="BC71">
        <f ca="1">IFERROR(IF(0=LEN(ReferenceData!$BC$71),"",ReferenceData!$BC$71),"")</f>
        <v>20.51541649</v>
      </c>
      <c r="BD71">
        <f ca="1">IFERROR(IF(0=LEN(ReferenceData!$BD$71),"",ReferenceData!$BD$71),"")</f>
        <v>19.43122567</v>
      </c>
      <c r="BE71">
        <f ca="1">IFERROR(IF(0=LEN(ReferenceData!$BE$71),"",ReferenceData!$BE$71),"")</f>
        <v>18.199669119999999</v>
      </c>
      <c r="BF71">
        <f ca="1">IFERROR(IF(0=LEN(ReferenceData!$BF$71),"",ReferenceData!$BF$71),"")</f>
        <v>18.23170206</v>
      </c>
      <c r="BG71">
        <f ca="1">IFERROR(IF(0=LEN(ReferenceData!$BG$71),"",ReferenceData!$BG$71),"")</f>
        <v>18.52176794</v>
      </c>
      <c r="BH71">
        <f ca="1">IFERROR(IF(0=LEN(ReferenceData!$BH$71),"",ReferenceData!$BH$71),"")</f>
        <v>18.949791990000001</v>
      </c>
      <c r="BI71">
        <f ca="1">IFERROR(IF(0=LEN(ReferenceData!$BI$71),"",ReferenceData!$BI$71),"")</f>
        <v>18.364703309999999</v>
      </c>
      <c r="BJ71">
        <f ca="1">IFERROR(IF(0=LEN(ReferenceData!$BJ$71),"",ReferenceData!$BJ$71),"")</f>
        <v>19.819298239999998</v>
      </c>
      <c r="BK71">
        <f ca="1">IFERROR(IF(0=LEN(ReferenceData!$BK$71),"",ReferenceData!$BK$71),"")</f>
        <v>20.548365279999999</v>
      </c>
      <c r="BL71">
        <f ca="1">IFERROR(IF(0=LEN(ReferenceData!$BL$71),"",ReferenceData!$BL$71),"")</f>
        <v>20.258636989999999</v>
      </c>
      <c r="BM71">
        <f ca="1">IFERROR(IF(0=LEN(ReferenceData!$BM$71),"",ReferenceData!$BM$71),"")</f>
        <v>20.799583800000001</v>
      </c>
      <c r="BN71">
        <f ca="1">IFERROR(IF(0=LEN(ReferenceData!$BN$71),"",ReferenceData!$BN$71),"")</f>
        <v>19.724855040000001</v>
      </c>
      <c r="BO71">
        <f ca="1">IFERROR(IF(0=LEN(ReferenceData!$BO$71),"",ReferenceData!$BO$71),"")</f>
        <v>19.938432580000001</v>
      </c>
      <c r="BP71">
        <f ca="1">IFERROR(IF(0=LEN(ReferenceData!$BP$71),"",ReferenceData!$BP$71),"")</f>
        <v>20.065221309999998</v>
      </c>
      <c r="BQ71">
        <f ca="1">IFERROR(IF(0=LEN(ReferenceData!$BQ$71),"",ReferenceData!$BQ$71),"")</f>
        <v>20.528905779999999</v>
      </c>
      <c r="BR71">
        <f ca="1">IFERROR(IF(0=LEN(ReferenceData!$BR$71),"",ReferenceData!$BR$71),"")</f>
        <v>20.796238939999999</v>
      </c>
      <c r="BS71">
        <f ca="1">IFERROR(IF(0=LEN(ReferenceData!$BS$71),"",ReferenceData!$BS$71),"")</f>
        <v>21.508054000000001</v>
      </c>
      <c r="BT71">
        <f ca="1">IFERROR(IF(0=LEN(ReferenceData!$BT$71),"",ReferenceData!$BT$71),"")</f>
        <v>21.553010740000001</v>
      </c>
      <c r="BU71">
        <f ca="1">IFERROR(IF(0=LEN(ReferenceData!$BU$71),"",ReferenceData!$BU$71),"")</f>
        <v>23.620662599999999</v>
      </c>
      <c r="BV71">
        <f ca="1">IFERROR(IF(0=LEN(ReferenceData!$BV$71),"",ReferenceData!$BV$71),"")</f>
        <v>24.758677970000001</v>
      </c>
      <c r="BW71">
        <f ca="1">IFERROR(IF(0=LEN(ReferenceData!$BW$71),"",ReferenceData!$BW$71),"")</f>
        <v>24.387160919999999</v>
      </c>
      <c r="BX71">
        <f ca="1">IFERROR(IF(0=LEN(ReferenceData!$BX$71),"",ReferenceData!$BX$71),"")</f>
        <v>24.654083799999999</v>
      </c>
      <c r="BY71">
        <f ca="1">IFERROR(IF(0=LEN(ReferenceData!$BY$71),"",ReferenceData!$BY$71),"")</f>
        <v>24.791275110000001</v>
      </c>
      <c r="BZ71">
        <f ca="1">IFERROR(IF(0=LEN(ReferenceData!$BZ$71),"",ReferenceData!$BZ$71),"")</f>
        <v>25.267409619999999</v>
      </c>
      <c r="CA71">
        <f ca="1">IFERROR(IF(0=LEN(ReferenceData!$CA$71),"",ReferenceData!$CA$71),"")</f>
        <v>23.3729312</v>
      </c>
      <c r="CB71">
        <f ca="1">IFERROR(IF(0=LEN(ReferenceData!$CB$71),"",ReferenceData!$CB$71),"")</f>
        <v>24.465776980000001</v>
      </c>
      <c r="CC71">
        <f ca="1">IFERROR(IF(0=LEN(ReferenceData!$CC$71),"",ReferenceData!$CC$71),"")</f>
        <v>23.43044939</v>
      </c>
      <c r="CD71">
        <f ca="1">IFERROR(IF(0=LEN(ReferenceData!$CD$71),"",ReferenceData!$CD$71),"")</f>
        <v>23.122056610000001</v>
      </c>
      <c r="CE71">
        <f ca="1">IFERROR(IF(0=LEN(ReferenceData!$CE$71),"",ReferenceData!$CE$71),"")</f>
        <v>24.584205140000002</v>
      </c>
      <c r="CF71">
        <f ca="1">IFERROR(IF(0=LEN(ReferenceData!$CF$71),"",ReferenceData!$CF$71),"")</f>
        <v>21.73113021</v>
      </c>
      <c r="CG71">
        <f ca="1">IFERROR(IF(0=LEN(ReferenceData!$CG$71),"",ReferenceData!$CG$71),"")</f>
        <v>26.10047011</v>
      </c>
      <c r="CH71">
        <f ca="1">IFERROR(IF(0=LEN(ReferenceData!$CH$71),"",ReferenceData!$CH$71),"")</f>
        <v>26.373505430000002</v>
      </c>
      <c r="CI71">
        <f ca="1">IFERROR(IF(0=LEN(ReferenceData!$CI$71),"",ReferenceData!$CI$71),"")</f>
        <v>25.597061239999999</v>
      </c>
      <c r="CJ71">
        <f ca="1">IFERROR(IF(0=LEN(ReferenceData!$CJ$71),"",ReferenceData!$CJ$71),"")</f>
        <v>26.539031439999999</v>
      </c>
      <c r="CK71">
        <f ca="1">IFERROR(IF(0=LEN(ReferenceData!$CK$71),"",ReferenceData!$CK$71),"")</f>
        <v>25.64194951</v>
      </c>
    </row>
    <row r="72" spans="1:89">
      <c r="A72" t="str">
        <f>IFERROR(IF(0=LEN(ReferenceData!$A$72),"",ReferenceData!$A$72),"")</f>
        <v xml:space="preserve">    埃塞克斯房地产信托公司</v>
      </c>
      <c r="B72" t="str">
        <f>IFERROR(IF(0=LEN(ReferenceData!$B$72),"",ReferenceData!$B$72),"")</f>
        <v>ESS US Equity</v>
      </c>
      <c r="C72" t="str">
        <f>IFERROR(IF(0=LEN(ReferenceData!$C$72),"",ReferenceData!$C$72),"")</f>
        <v>F0893</v>
      </c>
      <c r="D72" t="str">
        <f>IFERROR(IF(0=LEN(ReferenceData!$D$72),"",ReferenceData!$D$72),"")</f>
        <v>PRICE_TO_AFFOPS</v>
      </c>
      <c r="E72" t="str">
        <f>IFERROR(IF(0=LEN(ReferenceData!$E$72),"",ReferenceData!$E$72),"")</f>
        <v>动态</v>
      </c>
      <c r="F72">
        <f ca="1">IFERROR(IF(0=LEN(ReferenceData!$F$72),"",ReferenceData!$F$72),"")</f>
        <v>19.993895680000001</v>
      </c>
      <c r="G72">
        <f ca="1">IFERROR(IF(0=LEN(ReferenceData!$G$72),"",ReferenceData!$G$72),"")</f>
        <v>18.799553079999999</v>
      </c>
      <c r="H72">
        <f ca="1">IFERROR(IF(0=LEN(ReferenceData!$H$72),"",ReferenceData!$H$72),"")</f>
        <v>19.568064499999998</v>
      </c>
      <c r="I72">
        <f ca="1">IFERROR(IF(0=LEN(ReferenceData!$I$72),"",ReferenceData!$I$72),"")</f>
        <v>20.27274328</v>
      </c>
      <c r="J72">
        <f ca="1">IFERROR(IF(0=LEN(ReferenceData!$J$72),"",ReferenceData!$J$72),"")</f>
        <v>21.101843729999999</v>
      </c>
      <c r="K72">
        <f ca="1">IFERROR(IF(0=LEN(ReferenceData!$K$72),"",ReferenceData!$K$72),"")</f>
        <v>22.420975949999999</v>
      </c>
      <c r="L72">
        <f ca="1">IFERROR(IF(0=LEN(ReferenceData!$L$72),"",ReferenceData!$L$72),"")</f>
        <v>21.703313340000001</v>
      </c>
      <c r="M72">
        <f ca="1">IFERROR(IF(0=LEN(ReferenceData!$M$72),"",ReferenceData!$M$72),"")</f>
        <v>23.076703550000001</v>
      </c>
      <c r="N72">
        <f ca="1">IFERROR(IF(0=LEN(ReferenceData!$N$72),"",ReferenceData!$N$72),"")</f>
        <v>22.706219950000001</v>
      </c>
      <c r="O72">
        <f ca="1">IFERROR(IF(0=LEN(ReferenceData!$O$72),"",ReferenceData!$O$72),"")</f>
        <v>22.32185406</v>
      </c>
      <c r="P72">
        <f ca="1">IFERROR(IF(0=LEN(ReferenceData!$P$72),"",ReferenceData!$P$72),"")</f>
        <v>22.745938120000002</v>
      </c>
      <c r="Q72">
        <f ca="1">IFERROR(IF(0=LEN(ReferenceData!$Q$72),"",ReferenceData!$Q$72),"")</f>
        <v>21.643700339999999</v>
      </c>
      <c r="R72">
        <f ca="1">IFERROR(IF(0=LEN(ReferenceData!$R$72),"",ReferenceData!$R$72),"")</f>
        <v>20.498081320000001</v>
      </c>
      <c r="S72">
        <f ca="1">IFERROR(IF(0=LEN(ReferenceData!$S$72),"",ReferenceData!$S$72),"")</f>
        <v>21.269133849999999</v>
      </c>
      <c r="T72">
        <f ca="1">IFERROR(IF(0=LEN(ReferenceData!$T$72),"",ReferenceData!$T$72),"")</f>
        <v>20.326658389999999</v>
      </c>
      <c r="U72">
        <f ca="1">IFERROR(IF(0=LEN(ReferenceData!$U$72),"",ReferenceData!$U$72),"")</f>
        <v>21.069764039999999</v>
      </c>
      <c r="V72">
        <f ca="1">IFERROR(IF(0=LEN(ReferenceData!$V$72),"",ReferenceData!$V$72),"")</f>
        <v>19.890474730000001</v>
      </c>
      <c r="W72">
        <f ca="1">IFERROR(IF(0=LEN(ReferenceData!$W$72),"",ReferenceData!$W$72),"")</f>
        <v>19.72189577</v>
      </c>
      <c r="X72">
        <f ca="1">IFERROR(IF(0=LEN(ReferenceData!$X$72),"",ReferenceData!$X$72),"")</f>
        <v>20.515045950000001</v>
      </c>
      <c r="Y72">
        <f ca="1">IFERROR(IF(0=LEN(ReferenceData!$Y$72),"",ReferenceData!$Y$72),"")</f>
        <v>21.538358049999999</v>
      </c>
      <c r="Z72">
        <f ca="1">IFERROR(IF(0=LEN(ReferenceData!$Z$72),"",ReferenceData!$Z$72),"")</f>
        <v>22.181379039999999</v>
      </c>
      <c r="AA72">
        <f ca="1">IFERROR(IF(0=LEN(ReferenceData!$AA$72),"",ReferenceData!$AA$72),"")</f>
        <v>21.632250490000001</v>
      </c>
      <c r="AB72">
        <f ca="1">IFERROR(IF(0=LEN(ReferenceData!$AB$72),"",ReferenceData!$AB$72),"")</f>
        <v>22.272267249999999</v>
      </c>
      <c r="AC72">
        <f ca="1">IFERROR(IF(0=LEN(ReferenceData!$AC$72),"",ReferenceData!$AC$72),"")</f>
        <v>21.607716029999999</v>
      </c>
      <c r="AD72">
        <f ca="1">IFERROR(IF(0=LEN(ReferenceData!$AD$72),"",ReferenceData!$AD$72),"")</f>
        <v>22.922115999999999</v>
      </c>
      <c r="AE72">
        <f ca="1">IFERROR(IF(0=LEN(ReferenceData!$AE$72),"",ReferenceData!$AE$72),"")</f>
        <v>21.322519509999999</v>
      </c>
      <c r="AF72">
        <f ca="1">IFERROR(IF(0=LEN(ReferenceData!$AF$72),"",ReferenceData!$AF$72),"")</f>
        <v>21.712739540000001</v>
      </c>
      <c r="AG72">
        <f ca="1">IFERROR(IF(0=LEN(ReferenceData!$AG$72),"",ReferenceData!$AG$72),"")</f>
        <v>24.392318400000001</v>
      </c>
      <c r="AH72">
        <f ca="1">IFERROR(IF(0=LEN(ReferenceData!$AH$72),"",ReferenceData!$AH$72),"")</f>
        <v>24.488227510000002</v>
      </c>
      <c r="AI72">
        <f ca="1">IFERROR(IF(0=LEN(ReferenceData!$AI$72),"",ReferenceData!$AI$72),"")</f>
        <v>23.390029349999999</v>
      </c>
      <c r="AJ72">
        <f ca="1">IFERROR(IF(0=LEN(ReferenceData!$AJ$72),"",ReferenceData!$AJ$72),"")</f>
        <v>23.706225530000001</v>
      </c>
      <c r="AK72">
        <f ca="1">IFERROR(IF(0=LEN(ReferenceData!$AK$72),"",ReferenceData!$AK$72),"")</f>
        <v>23.60127524</v>
      </c>
      <c r="AL72">
        <f ca="1">IFERROR(IF(0=LEN(ReferenceData!$AL$72),"",ReferenceData!$AL$72),"")</f>
        <v>24.73284323</v>
      </c>
      <c r="AM72">
        <f ca="1">IFERROR(IF(0=LEN(ReferenceData!$AM$72),"",ReferenceData!$AM$72),"")</f>
        <v>23.36814364</v>
      </c>
      <c r="AN72">
        <f ca="1">IFERROR(IF(0=LEN(ReferenceData!$AN$72),"",ReferenceData!$AN$72),"")</f>
        <v>25.362605479999999</v>
      </c>
      <c r="AO72">
        <f ca="1">IFERROR(IF(0=LEN(ReferenceData!$AO$72),"",ReferenceData!$AO$72),"")</f>
        <v>25.286273860000001</v>
      </c>
      <c r="AP72">
        <f ca="1">IFERROR(IF(0=LEN(ReferenceData!$AP$72),"",ReferenceData!$AP$72),"")</f>
        <v>26.191999819999999</v>
      </c>
      <c r="AQ72">
        <f ca="1">IFERROR(IF(0=LEN(ReferenceData!$AQ$72),"",ReferenceData!$AQ$72),"")</f>
        <v>26.157935349999999</v>
      </c>
      <c r="AR72">
        <f ca="1">IFERROR(IF(0=LEN(ReferenceData!$AR$72),"",ReferenceData!$AR$72),"")</f>
        <v>26.583650070000001</v>
      </c>
      <c r="AS72">
        <f ca="1">IFERROR(IF(0=LEN(ReferenceData!$AS$72),"",ReferenceData!$AS$72),"")</f>
        <v>24.296315440000001</v>
      </c>
      <c r="AT72">
        <f ca="1">IFERROR(IF(0=LEN(ReferenceData!$AT$72),"",ReferenceData!$AT$72),"")</f>
        <v>24.662582100000002</v>
      </c>
      <c r="AU72">
        <f ca="1">IFERROR(IF(0=LEN(ReferenceData!$AU$72),"",ReferenceData!$AU$72),"")</f>
        <v>24.583383059999999</v>
      </c>
      <c r="AV72">
        <f ca="1">IFERROR(IF(0=LEN(ReferenceData!$AV$72),"",ReferenceData!$AV$72),"")</f>
        <v>21.779736920000001</v>
      </c>
      <c r="AW72">
        <f ca="1">IFERROR(IF(0=LEN(ReferenceData!$AW$72),"",ReferenceData!$AW$72),"")</f>
        <v>24.31993997</v>
      </c>
      <c r="AX72">
        <f ca="1">IFERROR(IF(0=LEN(ReferenceData!$AX$72),"",ReferenceData!$AX$72),"")</f>
        <v>23.832158280000002</v>
      </c>
      <c r="AY72">
        <f ca="1">IFERROR(IF(0=LEN(ReferenceData!$AY$72),"",ReferenceData!$AY$72),"")</f>
        <v>23.246317390000002</v>
      </c>
      <c r="AZ72">
        <f ca="1">IFERROR(IF(0=LEN(ReferenceData!$AZ$72),"",ReferenceData!$AZ$72),"")</f>
        <v>23.363564490000002</v>
      </c>
      <c r="BA72">
        <f ca="1">IFERROR(IF(0=LEN(ReferenceData!$BA$72),"",ReferenceData!$BA$72),"")</f>
        <v>22.369425199999998</v>
      </c>
      <c r="BB72">
        <f ca="1">IFERROR(IF(0=LEN(ReferenceData!$BB$72),"",ReferenceData!$BB$72),"")</f>
        <v>21.954985310000001</v>
      </c>
      <c r="BC72">
        <f ca="1">IFERROR(IF(0=LEN(ReferenceData!$BC$72),"",ReferenceData!$BC$72),"")</f>
        <v>22.015839540000002</v>
      </c>
      <c r="BD72">
        <f ca="1">IFERROR(IF(0=LEN(ReferenceData!$BD$72),"",ReferenceData!$BD$72),"")</f>
        <v>20.846926809999999</v>
      </c>
      <c r="BE72">
        <f ca="1">IFERROR(IF(0=LEN(ReferenceData!$BE$72),"",ReferenceData!$BE$72),"")</f>
        <v>18.89084085</v>
      </c>
      <c r="BF72">
        <f ca="1">IFERROR(IF(0=LEN(ReferenceData!$BF$72),"",ReferenceData!$BF$72),"")</f>
        <v>20.345805609999999</v>
      </c>
      <c r="BG72">
        <f ca="1">IFERROR(IF(0=LEN(ReferenceData!$BG$72),"",ReferenceData!$BG$72),"")</f>
        <v>21.577463300000002</v>
      </c>
      <c r="BH72">
        <f ca="1">IFERROR(IF(0=LEN(ReferenceData!$BH$72),"",ReferenceData!$BH$72),"")</f>
        <v>19.794977200000002</v>
      </c>
      <c r="BI72">
        <f ca="1">IFERROR(IF(0=LEN(ReferenceData!$BI$72),"",ReferenceData!$BI$72),"")</f>
        <v>19.741983789999999</v>
      </c>
      <c r="BJ72">
        <f ca="1">IFERROR(IF(0=LEN(ReferenceData!$BJ$72),"",ReferenceData!$BJ$72),"")</f>
        <v>22.218858180000002</v>
      </c>
      <c r="BK72">
        <f ca="1">IFERROR(IF(0=LEN(ReferenceData!$BK$72),"",ReferenceData!$BK$72),"")</f>
        <v>21.892373620000001</v>
      </c>
      <c r="BL72">
        <f ca="1">IFERROR(IF(0=LEN(ReferenceData!$BL$72),"",ReferenceData!$BL$72),"")</f>
        <v>22.125340550000001</v>
      </c>
      <c r="BM72">
        <f ca="1">IFERROR(IF(0=LEN(ReferenceData!$BM$72),"",ReferenceData!$BM$72),"")</f>
        <v>22.112668530000001</v>
      </c>
      <c r="BN72">
        <f ca="1">IFERROR(IF(0=LEN(ReferenceData!$BN$72),"",ReferenceData!$BN$72),"")</f>
        <v>21.201691360000002</v>
      </c>
      <c r="BO72">
        <f ca="1">IFERROR(IF(0=LEN(ReferenceData!$BO$72),"",ReferenceData!$BO$72),"")</f>
        <v>21.6929345</v>
      </c>
      <c r="BP72">
        <f ca="1">IFERROR(IF(0=LEN(ReferenceData!$BP$72),"",ReferenceData!$BP$72),"")</f>
        <v>22.390358190000001</v>
      </c>
      <c r="BQ72">
        <f ca="1">IFERROR(IF(0=LEN(ReferenceData!$BQ$72),"",ReferenceData!$BQ$72),"")</f>
        <v>21.352230649999999</v>
      </c>
      <c r="BR72">
        <f ca="1">IFERROR(IF(0=LEN(ReferenceData!$BR$72),"",ReferenceData!$BR$72),"")</f>
        <v>21.396578980000001</v>
      </c>
      <c r="BS72">
        <f ca="1">IFERROR(IF(0=LEN(ReferenceData!$BS$72),"",ReferenceData!$BS$72),"")</f>
        <v>22.844948729999999</v>
      </c>
      <c r="BT72">
        <f ca="1">IFERROR(IF(0=LEN(ReferenceData!$BT$72),"",ReferenceData!$BT$72),"")</f>
        <v>22.576901329999998</v>
      </c>
      <c r="BU72">
        <f ca="1">IFERROR(IF(0=LEN(ReferenceData!$BU$72),"",ReferenceData!$BU$72),"")</f>
        <v>24.22376521</v>
      </c>
      <c r="BV72">
        <f ca="1">IFERROR(IF(0=LEN(ReferenceData!$BV$72),"",ReferenceData!$BV$72),"")</f>
        <v>25.081271839999999</v>
      </c>
      <c r="BW72">
        <f ca="1">IFERROR(IF(0=LEN(ReferenceData!$BW$72),"",ReferenceData!$BW$72),"")</f>
        <v>24.532977639999999</v>
      </c>
      <c r="BX72">
        <f ca="1">IFERROR(IF(0=LEN(ReferenceData!$BX$72),"",ReferenceData!$BX$72),"")</f>
        <v>25.283607759999999</v>
      </c>
      <c r="BY72">
        <f ca="1">IFERROR(IF(0=LEN(ReferenceData!$BY$72),"",ReferenceData!$BY$72),"")</f>
        <v>26.5456036</v>
      </c>
      <c r="BZ72">
        <f ca="1">IFERROR(IF(0=LEN(ReferenceData!$BZ$72),"",ReferenceData!$BZ$72),"")</f>
        <v>25.460051920000002</v>
      </c>
      <c r="CA72">
        <f ca="1">IFERROR(IF(0=LEN(ReferenceData!$CA$72),"",ReferenceData!$CA$72),"")</f>
        <v>24.873534710000001</v>
      </c>
      <c r="CB72">
        <f ca="1">IFERROR(IF(0=LEN(ReferenceData!$CB$72),"",ReferenceData!$CB$72),"")</f>
        <v>25.58603471</v>
      </c>
      <c r="CC72">
        <f ca="1">IFERROR(IF(0=LEN(ReferenceData!$CC$72),"",ReferenceData!$CC$72),"")</f>
        <v>24.965928730000002</v>
      </c>
      <c r="CD72">
        <f ca="1">IFERROR(IF(0=LEN(ReferenceData!$CD$72),"",ReferenceData!$CD$72),"")</f>
        <v>24.616844759999999</v>
      </c>
      <c r="CE72">
        <f ca="1">IFERROR(IF(0=LEN(ReferenceData!$CE$72),"",ReferenceData!$CE$72),"")</f>
        <v>26.453148349999999</v>
      </c>
      <c r="CF72">
        <f ca="1">IFERROR(IF(0=LEN(ReferenceData!$CF$72),"",ReferenceData!$CF$72),"")</f>
        <v>22.243176850000001</v>
      </c>
      <c r="CG72">
        <f ca="1">IFERROR(IF(0=LEN(ReferenceData!$CG$72),"",ReferenceData!$CG$72),"")</f>
        <v>27.398995299999999</v>
      </c>
      <c r="CH72">
        <f ca="1">IFERROR(IF(0=LEN(ReferenceData!$CH$72),"",ReferenceData!$CH$72),"")</f>
        <v>26.790128729999999</v>
      </c>
      <c r="CI72">
        <f ca="1">IFERROR(IF(0=LEN(ReferenceData!$CI$72),"",ReferenceData!$CI$72),"")</f>
        <v>25.822431720000001</v>
      </c>
      <c r="CJ72">
        <f ca="1">IFERROR(IF(0=LEN(ReferenceData!$CJ$72),"",ReferenceData!$CJ$72),"")</f>
        <v>27.193714979999999</v>
      </c>
      <c r="CK72">
        <f ca="1">IFERROR(IF(0=LEN(ReferenceData!$CK$72),"",ReferenceData!$CK$72),"")</f>
        <v>26.772796339999999</v>
      </c>
    </row>
    <row r="73" spans="1:89">
      <c r="A73" t="str">
        <f>IFERROR(IF(0=LEN(ReferenceData!$A$73),"",ReferenceData!$A$73),"")</f>
        <v xml:space="preserve">    Mid-America Apartment Communities股份有限公司</v>
      </c>
      <c r="B73" t="str">
        <f>IFERROR(IF(0=LEN(ReferenceData!$B$73),"",ReferenceData!$B$73),"")</f>
        <v>MAA US Equity</v>
      </c>
      <c r="C73" t="str">
        <f>IFERROR(IF(0=LEN(ReferenceData!$C$73),"",ReferenceData!$C$73),"")</f>
        <v>F0893</v>
      </c>
      <c r="D73" t="str">
        <f>IFERROR(IF(0=LEN(ReferenceData!$D$73),"",ReferenceData!$D$73),"")</f>
        <v>PRICE_TO_AFFOPS</v>
      </c>
      <c r="E73" t="str">
        <f>IFERROR(IF(0=LEN(ReferenceData!$E$73),"",ReferenceData!$E$73),"")</f>
        <v>动态</v>
      </c>
      <c r="F73">
        <f ca="1">IFERROR(IF(0=LEN(ReferenceData!$F$73),"",ReferenceData!$F$73),"")</f>
        <v>15.103155709999999</v>
      </c>
      <c r="G73">
        <f ca="1">IFERROR(IF(0=LEN(ReferenceData!$G$73),"",ReferenceData!$G$73),"")</f>
        <v>14.5080907</v>
      </c>
      <c r="H73">
        <f ca="1">IFERROR(IF(0=LEN(ReferenceData!$H$73),"",ReferenceData!$H$73),"")</f>
        <v>16.122542639999999</v>
      </c>
      <c r="I73">
        <f ca="1">IFERROR(IF(0=LEN(ReferenceData!$I$73),"",ReferenceData!$I$73),"")</f>
        <v>16.999925430000001</v>
      </c>
      <c r="J73">
        <f ca="1">IFERROR(IF(0=LEN(ReferenceData!$J$73),"",ReferenceData!$J$73),"")</f>
        <v>18.428188899999999</v>
      </c>
      <c r="K73">
        <f ca="1">IFERROR(IF(0=LEN(ReferenceData!$K$73),"",ReferenceData!$K$73),"")</f>
        <v>18.411998570000002</v>
      </c>
      <c r="L73">
        <f ca="1">IFERROR(IF(0=LEN(ReferenceData!$L$73),"",ReferenceData!$L$73),"")</f>
        <v>19.226911650000002</v>
      </c>
      <c r="M73">
        <f ca="1">IFERROR(IF(0=LEN(ReferenceData!$M$73),"",ReferenceData!$M$73),"")</f>
        <v>19.177653159999998</v>
      </c>
      <c r="N73">
        <f ca="1">IFERROR(IF(0=LEN(ReferenceData!$N$73),"",ReferenceData!$N$73),"")</f>
        <v>18.64984437</v>
      </c>
      <c r="O73">
        <f ca="1">IFERROR(IF(0=LEN(ReferenceData!$O$73),"",ReferenceData!$O$73),"")</f>
        <v>18.983102479999999</v>
      </c>
      <c r="P73">
        <f ca="1">IFERROR(IF(0=LEN(ReferenceData!$P$73),"",ReferenceData!$P$73),"")</f>
        <v>18.178840900000001</v>
      </c>
      <c r="Q73">
        <f ca="1">IFERROR(IF(0=LEN(ReferenceData!$Q$73),"",ReferenceData!$Q$73),"")</f>
        <v>17.692003199999998</v>
      </c>
      <c r="R73">
        <f ca="1">IFERROR(IF(0=LEN(ReferenceData!$R$73),"",ReferenceData!$R$73),"")</f>
        <v>18.14317514</v>
      </c>
      <c r="S73">
        <f ca="1">IFERROR(IF(0=LEN(ReferenceData!$S$73),"",ReferenceData!$S$73),"")</f>
        <v>18.383423789999998</v>
      </c>
      <c r="T73">
        <f ca="1">IFERROR(IF(0=LEN(ReferenceData!$T$73),"",ReferenceData!$T$73),"")</f>
        <v>16.991201100000001</v>
      </c>
      <c r="U73">
        <f ca="1">IFERROR(IF(0=LEN(ReferenceData!$U$73),"",ReferenceData!$U$73),"")</f>
        <v>17.52267943</v>
      </c>
      <c r="V73">
        <f ca="1">IFERROR(IF(0=LEN(ReferenceData!$V$73),"",ReferenceData!$V$73),"")</f>
        <v>15.49386807</v>
      </c>
      <c r="W73">
        <f ca="1">IFERROR(IF(0=LEN(ReferenceData!$W$73),"",ReferenceData!$W$73),"")</f>
        <v>15.68325072</v>
      </c>
      <c r="X73">
        <f ca="1">IFERROR(IF(0=LEN(ReferenceData!$X$73),"",ReferenceData!$X$73),"")</f>
        <v>15.892924369999999</v>
      </c>
      <c r="Y73">
        <f ca="1">IFERROR(IF(0=LEN(ReferenceData!$Y$73),"",ReferenceData!$Y$73),"")</f>
        <v>16.184498189999999</v>
      </c>
      <c r="Z73">
        <f ca="1">IFERROR(IF(0=LEN(ReferenceData!$Z$73),"",ReferenceData!$Z$73),"")</f>
        <v>18.255989979999999</v>
      </c>
      <c r="AA73">
        <f ca="1">IFERROR(IF(0=LEN(ReferenceData!$AA$73),"",ReferenceData!$AA$73),"")</f>
        <v>18.321423630000002</v>
      </c>
      <c r="AB73">
        <f ca="1">IFERROR(IF(0=LEN(ReferenceData!$AB$73),"",ReferenceData!$AB$73),"")</f>
        <v>18.301129700000001</v>
      </c>
      <c r="AC73">
        <f ca="1">IFERROR(IF(0=LEN(ReferenceData!$AC$73),"",ReferenceData!$AC$73),"")</f>
        <v>17.007487359999999</v>
      </c>
      <c r="AD73">
        <f ca="1">IFERROR(IF(0=LEN(ReferenceData!$AD$73),"",ReferenceData!$AD$73),"")</f>
        <v>18.162525160000001</v>
      </c>
      <c r="AE73">
        <f ca="1">IFERROR(IF(0=LEN(ReferenceData!$AE$73),"",ReferenceData!$AE$73),"")</f>
        <v>16.314410479999999</v>
      </c>
      <c r="AF73">
        <f ca="1">IFERROR(IF(0=LEN(ReferenceData!$AF$73),"",ReferenceData!$AF$73),"")</f>
        <v>17.018212040000002</v>
      </c>
      <c r="AG73">
        <f ca="1">IFERROR(IF(0=LEN(ReferenceData!$AG$73),"",ReferenceData!$AG$73),"")</f>
        <v>16.472221659999999</v>
      </c>
      <c r="AH73">
        <f ca="1">IFERROR(IF(0=LEN(ReferenceData!$AH$73),"",ReferenceData!$AH$73),"")</f>
        <v>16.46509575</v>
      </c>
      <c r="AI73">
        <f ca="1">IFERROR(IF(0=LEN(ReferenceData!$AI$73),"",ReferenceData!$AI$73),"")</f>
        <v>15.83854457</v>
      </c>
      <c r="AJ73">
        <f ca="1">IFERROR(IF(0=LEN(ReferenceData!$AJ$73),"",ReferenceData!$AJ$73),"")</f>
        <v>15.221289390000001</v>
      </c>
      <c r="AK73">
        <f ca="1">IFERROR(IF(0=LEN(ReferenceData!$AK$73),"",ReferenceData!$AK$73),"")</f>
        <v>14.894477999999999</v>
      </c>
      <c r="AL73">
        <f ca="1">IFERROR(IF(0=LEN(ReferenceData!$AL$73),"",ReferenceData!$AL$73),"")</f>
        <v>15.226140259999999</v>
      </c>
      <c r="AM73">
        <f ca="1">IFERROR(IF(0=LEN(ReferenceData!$AM$73),"",ReferenceData!$AM$73),"")</f>
        <v>13.79904496</v>
      </c>
      <c r="AN73">
        <f ca="1">IFERROR(IF(0=LEN(ReferenceData!$AN$73),"",ReferenceData!$AN$73),"")</f>
        <v>14.970912909999999</v>
      </c>
      <c r="AO73">
        <f ca="1">IFERROR(IF(0=LEN(ReferenceData!$AO$73),"",ReferenceData!$AO$73),"")</f>
        <v>14.622068499999999</v>
      </c>
      <c r="AP73">
        <f ca="1">IFERROR(IF(0=LEN(ReferenceData!$AP$73),"",ReferenceData!$AP$73),"")</f>
        <v>15.143375320000001</v>
      </c>
      <c r="AQ73">
        <f ca="1">IFERROR(IF(0=LEN(ReferenceData!$AQ$73),"",ReferenceData!$AQ$73),"")</f>
        <v>14.535772250000001</v>
      </c>
      <c r="AR73">
        <f ca="1">IFERROR(IF(0=LEN(ReferenceData!$AR$73),"",ReferenceData!$AR$73),"")</f>
        <v>15.90972064</v>
      </c>
      <c r="AS73">
        <f ca="1">IFERROR(IF(0=LEN(ReferenceData!$AS$73),"",ReferenceData!$AS$73),"")</f>
        <v>14.979046110000001</v>
      </c>
      <c r="AT73">
        <f ca="1">IFERROR(IF(0=LEN(ReferenceData!$AT$73),"",ReferenceData!$AT$73),"")</f>
        <v>15.127849360000001</v>
      </c>
      <c r="AU73">
        <f ca="1">IFERROR(IF(0=LEN(ReferenceData!$AU$73),"",ReferenceData!$AU$73),"")</f>
        <v>14.51172734</v>
      </c>
      <c r="AV73">
        <f ca="1">IFERROR(IF(0=LEN(ReferenceData!$AV$73),"",ReferenceData!$AV$73),"")</f>
        <v>13.48280357</v>
      </c>
      <c r="AW73">
        <f ca="1">IFERROR(IF(0=LEN(ReferenceData!$AW$73),"",ReferenceData!$AW$73),"")</f>
        <v>14.95037919</v>
      </c>
      <c r="AX73">
        <f ca="1">IFERROR(IF(0=LEN(ReferenceData!$AX$73),"",ReferenceData!$AX$73),"")</f>
        <v>14.45423828</v>
      </c>
      <c r="AY73">
        <f ca="1">IFERROR(IF(0=LEN(ReferenceData!$AY$73),"",ReferenceData!$AY$73),"")</f>
        <v>15.10128871</v>
      </c>
      <c r="AZ73">
        <f ca="1">IFERROR(IF(0=LEN(ReferenceData!$AZ$73),"",ReferenceData!$AZ$73),"")</f>
        <v>14.669123020000001</v>
      </c>
      <c r="BA73">
        <f ca="1">IFERROR(IF(0=LEN(ReferenceData!$BA$73),"",ReferenceData!$BA$73),"")</f>
        <v>14.12169203</v>
      </c>
      <c r="BB73">
        <f ca="1">IFERROR(IF(0=LEN(ReferenceData!$BB$73),"",ReferenceData!$BB$73),"")</f>
        <v>13.841893969999999</v>
      </c>
      <c r="BC73">
        <f ca="1">IFERROR(IF(0=LEN(ReferenceData!$BC$73),"",ReferenceData!$BC$73),"")</f>
        <v>13.595019730000001</v>
      </c>
      <c r="BD73">
        <f ca="1">IFERROR(IF(0=LEN(ReferenceData!$BD$73),"",ReferenceData!$BD$73),"")</f>
        <v>12.97194816</v>
      </c>
      <c r="BE73">
        <f ca="1">IFERROR(IF(0=LEN(ReferenceData!$BE$73),"",ReferenceData!$BE$73),"")</f>
        <v>12.208183010000001</v>
      </c>
      <c r="BF73">
        <f ca="1">IFERROR(IF(0=LEN(ReferenceData!$BF$73),"",ReferenceData!$BF$73),"")</f>
        <v>12.07878799</v>
      </c>
      <c r="BG73">
        <f ca="1">IFERROR(IF(0=LEN(ReferenceData!$BG$73),"",ReferenceData!$BG$73),"")</f>
        <v>13.3139363</v>
      </c>
      <c r="BH73">
        <f ca="1">IFERROR(IF(0=LEN(ReferenceData!$BH$73),"",ReferenceData!$BH$73),"")</f>
        <v>12.53194306</v>
      </c>
      <c r="BI73">
        <f ca="1">IFERROR(IF(0=LEN(ReferenceData!$BI$73),"",ReferenceData!$BI$73),"")</f>
        <v>12.63368607</v>
      </c>
      <c r="BJ73">
        <f ca="1">IFERROR(IF(0=LEN(ReferenceData!$BJ$73),"",ReferenceData!$BJ$73),"")</f>
        <v>13.84050429</v>
      </c>
      <c r="BK73">
        <f ca="1">IFERROR(IF(0=LEN(ReferenceData!$BK$73),"",ReferenceData!$BK$73),"")</f>
        <v>13.885580689999999</v>
      </c>
      <c r="BL73">
        <f ca="1">IFERROR(IF(0=LEN(ReferenceData!$BL$73),"",ReferenceData!$BL$73),"")</f>
        <v>14.374214419999999</v>
      </c>
      <c r="BM73">
        <f ca="1">IFERROR(IF(0=LEN(ReferenceData!$BM$73),"",ReferenceData!$BM$73),"")</f>
        <v>14.534938309999999</v>
      </c>
      <c r="BN73">
        <f ca="1">IFERROR(IF(0=LEN(ReferenceData!$BN$73),"",ReferenceData!$BN$73),"")</f>
        <v>14.604726319999999</v>
      </c>
      <c r="BO73">
        <f ca="1">IFERROR(IF(0=LEN(ReferenceData!$BO$73),"",ReferenceData!$BO$73),"")</f>
        <v>15.105663610000001</v>
      </c>
      <c r="BP73">
        <f ca="1">IFERROR(IF(0=LEN(ReferenceData!$BP$73),"",ReferenceData!$BP$73),"")</f>
        <v>14.22029422</v>
      </c>
      <c r="BQ73">
        <f ca="1">IFERROR(IF(0=LEN(ReferenceData!$BQ$73),"",ReferenceData!$BQ$73),"")</f>
        <v>14.08542222</v>
      </c>
      <c r="BR73">
        <f ca="1">IFERROR(IF(0=LEN(ReferenceData!$BR$73),"",ReferenceData!$BR$73),"")</f>
        <v>13.979782699999999</v>
      </c>
      <c r="BS73">
        <f ca="1">IFERROR(IF(0=LEN(ReferenceData!$BS$73),"",ReferenceData!$BS$73),"")</f>
        <v>14.51591365</v>
      </c>
      <c r="BT73">
        <f ca="1">IFERROR(IF(0=LEN(ReferenceData!$BT$73),"",ReferenceData!$BT$73),"")</f>
        <v>14.650507190000001</v>
      </c>
      <c r="BU73">
        <f ca="1">IFERROR(IF(0=LEN(ReferenceData!$BU$73),"",ReferenceData!$BU$73),"")</f>
        <v>15.75470331</v>
      </c>
      <c r="BV73">
        <f ca="1">IFERROR(IF(0=LEN(ReferenceData!$BV$73),"",ReferenceData!$BV$73),"")</f>
        <v>16.039678089999999</v>
      </c>
      <c r="BW73">
        <f ca="1">IFERROR(IF(0=LEN(ReferenceData!$BW$73),"",ReferenceData!$BW$73),"")</f>
        <v>15.810308149999999</v>
      </c>
      <c r="BX73">
        <f ca="1">IFERROR(IF(0=LEN(ReferenceData!$BX$73),"",ReferenceData!$BX$73),"")</f>
        <v>16.357782879999998</v>
      </c>
      <c r="BY73">
        <f ca="1">IFERROR(IF(0=LEN(ReferenceData!$BY$73),"",ReferenceData!$BY$73),"")</f>
        <v>16.522841379999999</v>
      </c>
      <c r="BZ73">
        <f ca="1">IFERROR(IF(0=LEN(ReferenceData!$BZ$73),"",ReferenceData!$BZ$73),"")</f>
        <v>16.270398969999999</v>
      </c>
      <c r="CA73">
        <f ca="1">IFERROR(IF(0=LEN(ReferenceData!$CA$73),"",ReferenceData!$CA$73),"")</f>
        <v>15.67619307</v>
      </c>
      <c r="CB73">
        <f ca="1">IFERROR(IF(0=LEN(ReferenceData!$CB$73),"",ReferenceData!$CB$73),"")</f>
        <v>16.065772989999999</v>
      </c>
      <c r="CC73">
        <f ca="1">IFERROR(IF(0=LEN(ReferenceData!$CC$73),"",ReferenceData!$CC$73),"")</f>
        <v>15.721434609999999</v>
      </c>
      <c r="CD73">
        <f ca="1">IFERROR(IF(0=LEN(ReferenceData!$CD$73),"",ReferenceData!$CD$73),"")</f>
        <v>14.885741169999999</v>
      </c>
      <c r="CE73">
        <f ca="1">IFERROR(IF(0=LEN(ReferenceData!$CE$73),"",ReferenceData!$CE$73),"")</f>
        <v>16.20499388</v>
      </c>
      <c r="CF73">
        <f ca="1">IFERROR(IF(0=LEN(ReferenceData!$CF$73),"",ReferenceData!$CF$73),"")</f>
        <v>15.63885788</v>
      </c>
      <c r="CG73">
        <f ca="1">IFERROR(IF(0=LEN(ReferenceData!$CG$73),"",ReferenceData!$CG$73),"")</f>
        <v>19.32668799</v>
      </c>
      <c r="CH73">
        <f ca="1">IFERROR(IF(0=LEN(ReferenceData!$CH$73),"",ReferenceData!$CH$73),"")</f>
        <v>19.140126510000002</v>
      </c>
      <c r="CI73">
        <f ca="1">IFERROR(IF(0=LEN(ReferenceData!$CI$73),"",ReferenceData!$CI$73),"")</f>
        <v>18.242468370000001</v>
      </c>
      <c r="CJ73">
        <f ca="1">IFERROR(IF(0=LEN(ReferenceData!$CJ$73),"",ReferenceData!$CJ$73),"")</f>
        <v>18.949367049999999</v>
      </c>
      <c r="CK73">
        <f ca="1">IFERROR(IF(0=LEN(ReferenceData!$CK$73),"",ReferenceData!$CK$73),"")</f>
        <v>18.479433799999999</v>
      </c>
    </row>
    <row r="74" spans="1:89">
      <c r="A74" t="str">
        <f>IFERROR(IF(0=LEN(ReferenceData!$A$74),"",ReferenceData!$A$74),"")</f>
        <v xml:space="preserve">    UDR 公司</v>
      </c>
      <c r="B74" t="str">
        <f>IFERROR(IF(0=LEN(ReferenceData!$B$74),"",ReferenceData!$B$74),"")</f>
        <v>UDR US Equity</v>
      </c>
      <c r="C74" t="str">
        <f>IFERROR(IF(0=LEN(ReferenceData!$C$74),"",ReferenceData!$C$74),"")</f>
        <v>F0893</v>
      </c>
      <c r="D74" t="str">
        <f>IFERROR(IF(0=LEN(ReferenceData!$D$74),"",ReferenceData!$D$74),"")</f>
        <v>PRICE_TO_AFFOPS</v>
      </c>
      <c r="E74" t="str">
        <f>IFERROR(IF(0=LEN(ReferenceData!$E$74),"",ReferenceData!$E$74),"")</f>
        <v>动态</v>
      </c>
      <c r="F74">
        <f ca="1">IFERROR(IF(0=LEN(ReferenceData!$F$74),"",ReferenceData!$F$74),"")</f>
        <v>18.892660419999999</v>
      </c>
      <c r="G74">
        <f ca="1">IFERROR(IF(0=LEN(ReferenceData!$G$74),"",ReferenceData!$G$74),"")</f>
        <v>17.98333079</v>
      </c>
      <c r="H74">
        <f ca="1">IFERROR(IF(0=LEN(ReferenceData!$H$74),"",ReferenceData!$H$74),"")</f>
        <v>19.539889160000001</v>
      </c>
      <c r="I74">
        <f ca="1">IFERROR(IF(0=LEN(ReferenceData!$I$74),"",ReferenceData!$I$74),"")</f>
        <v>20.60433974</v>
      </c>
      <c r="J74">
        <f ca="1">IFERROR(IF(0=LEN(ReferenceData!$J$74),"",ReferenceData!$J$74),"")</f>
        <v>21.250298019999999</v>
      </c>
      <c r="K74">
        <f ca="1">IFERROR(IF(0=LEN(ReferenceData!$K$74),"",ReferenceData!$K$74),"")</f>
        <v>20.958531910000001</v>
      </c>
      <c r="L74">
        <f ca="1">IFERROR(IF(0=LEN(ReferenceData!$L$74),"",ReferenceData!$L$74),"")</f>
        <v>20.54789813</v>
      </c>
      <c r="M74">
        <f ca="1">IFERROR(IF(0=LEN(ReferenceData!$M$74),"",ReferenceData!$M$74),"")</f>
        <v>21.17976681</v>
      </c>
      <c r="N74">
        <f ca="1">IFERROR(IF(0=LEN(ReferenceData!$N$74),"",ReferenceData!$N$74),"")</f>
        <v>21.327075860000001</v>
      </c>
      <c r="O74">
        <f ca="1">IFERROR(IF(0=LEN(ReferenceData!$O$74),"",ReferenceData!$O$74),"")</f>
        <v>21.261605169999999</v>
      </c>
      <c r="P74">
        <f ca="1">IFERROR(IF(0=LEN(ReferenceData!$P$74),"",ReferenceData!$P$74),"")</f>
        <v>21.348347610000001</v>
      </c>
      <c r="Q74">
        <f ca="1">IFERROR(IF(0=LEN(ReferenceData!$Q$74),"",ReferenceData!$Q$74),"")</f>
        <v>20.646135709999999</v>
      </c>
      <c r="R74">
        <f ca="1">IFERROR(IF(0=LEN(ReferenceData!$R$74),"",ReferenceData!$R$74),"")</f>
        <v>20.048979129999999</v>
      </c>
      <c r="S74">
        <f ca="1">IFERROR(IF(0=LEN(ReferenceData!$S$74),"",ReferenceData!$S$74),"")</f>
        <v>20.4321178</v>
      </c>
      <c r="T74">
        <f ca="1">IFERROR(IF(0=LEN(ReferenceData!$T$74),"",ReferenceData!$T$74),"")</f>
        <v>19.56445252</v>
      </c>
      <c r="U74">
        <f ca="1">IFERROR(IF(0=LEN(ReferenceData!$U$74),"",ReferenceData!$U$74),"")</f>
        <v>20.42092212</v>
      </c>
      <c r="V74">
        <f ca="1">IFERROR(IF(0=LEN(ReferenceData!$V$74),"",ReferenceData!$V$74),"")</f>
        <v>19.426474750000001</v>
      </c>
      <c r="W74">
        <f ca="1">IFERROR(IF(0=LEN(ReferenceData!$W$74),"",ReferenceData!$W$74),"")</f>
        <v>19.957221570000002</v>
      </c>
      <c r="X74">
        <f ca="1">IFERROR(IF(0=LEN(ReferenceData!$X$74),"",ReferenceData!$X$74),"")</f>
        <v>20.539330979999999</v>
      </c>
      <c r="Y74">
        <f ca="1">IFERROR(IF(0=LEN(ReferenceData!$Y$74),"",ReferenceData!$Y$74),"")</f>
        <v>20.996427449999999</v>
      </c>
      <c r="Z74">
        <f ca="1">IFERROR(IF(0=LEN(ReferenceData!$Z$74),"",ReferenceData!$Z$74),"")</f>
        <v>21.605776500000001</v>
      </c>
      <c r="AA74">
        <f ca="1">IFERROR(IF(0=LEN(ReferenceData!$AA$74),"",ReferenceData!$AA$74),"")</f>
        <v>21.425873450000001</v>
      </c>
      <c r="AB74">
        <f ca="1">IFERROR(IF(0=LEN(ReferenceData!$AB$74),"",ReferenceData!$AB$74),"")</f>
        <v>21.230541049999999</v>
      </c>
      <c r="AC74">
        <f ca="1">IFERROR(IF(0=LEN(ReferenceData!$AC$74),"",ReferenceData!$AC$74),"")</f>
        <v>20.576477749999999</v>
      </c>
      <c r="AD74">
        <f ca="1">IFERROR(IF(0=LEN(ReferenceData!$AD$74),"",ReferenceData!$AD$74),"")</f>
        <v>22.703656580000001</v>
      </c>
      <c r="AE74">
        <f ca="1">IFERROR(IF(0=LEN(ReferenceData!$AE$74),"",ReferenceData!$AE$74),"")</f>
        <v>20.586523540000002</v>
      </c>
      <c r="AF74">
        <f ca="1">IFERROR(IF(0=LEN(ReferenceData!$AF$74),"",ReferenceData!$AF$74),"")</f>
        <v>21.342102319999999</v>
      </c>
      <c r="AG74">
        <f ca="1">IFERROR(IF(0=LEN(ReferenceData!$AG$74),"",ReferenceData!$AG$74),"")</f>
        <v>22.529440409999999</v>
      </c>
      <c r="AH74">
        <f ca="1">IFERROR(IF(0=LEN(ReferenceData!$AH$74),"",ReferenceData!$AH$74),"")</f>
        <v>22.59980453</v>
      </c>
      <c r="AI74">
        <f ca="1">IFERROR(IF(0=LEN(ReferenceData!$AI$74),"",ReferenceData!$AI$74),"")</f>
        <v>21.099682040000001</v>
      </c>
      <c r="AJ74">
        <f ca="1">IFERROR(IF(0=LEN(ReferenceData!$AJ$74),"",ReferenceData!$AJ$74),"")</f>
        <v>21.11192793</v>
      </c>
      <c r="AK74" t="str">
        <f ca="1">IFERROR(IF(0=LEN(ReferenceData!$AK$74),"",ReferenceData!$AK$74),"")</f>
        <v/>
      </c>
      <c r="AL74" t="str">
        <f ca="1">IFERROR(IF(0=LEN(ReferenceData!$AL$74),"",ReferenceData!$AL$74),"")</f>
        <v/>
      </c>
      <c r="AM74" t="str">
        <f ca="1">IFERROR(IF(0=LEN(ReferenceData!$AM$74),"",ReferenceData!$AM$74),"")</f>
        <v/>
      </c>
      <c r="AN74" t="str">
        <f ca="1">IFERROR(IF(0=LEN(ReferenceData!$AN$74),"",ReferenceData!$AN$74),"")</f>
        <v/>
      </c>
      <c r="AO74" t="str">
        <f ca="1">IFERROR(IF(0=LEN(ReferenceData!$AO$74),"",ReferenceData!$AO$74),"")</f>
        <v/>
      </c>
      <c r="AP74" t="str">
        <f ca="1">IFERROR(IF(0=LEN(ReferenceData!$AP$74),"",ReferenceData!$AP$74),"")</f>
        <v/>
      </c>
      <c r="AQ74" t="str">
        <f ca="1">IFERROR(IF(0=LEN(ReferenceData!$AQ$74),"",ReferenceData!$AQ$74),"")</f>
        <v/>
      </c>
      <c r="AR74" t="str">
        <f ca="1">IFERROR(IF(0=LEN(ReferenceData!$AR$74),"",ReferenceData!$AR$74),"")</f>
        <v/>
      </c>
      <c r="AS74" t="str">
        <f ca="1">IFERROR(IF(0=LEN(ReferenceData!$AS$74),"",ReferenceData!$AS$74),"")</f>
        <v/>
      </c>
      <c r="AT74" t="str">
        <f ca="1">IFERROR(IF(0=LEN(ReferenceData!$AT$74),"",ReferenceData!$AT$74),"")</f>
        <v/>
      </c>
      <c r="AU74" t="str">
        <f ca="1">IFERROR(IF(0=LEN(ReferenceData!$AU$74),"",ReferenceData!$AU$74),"")</f>
        <v/>
      </c>
      <c r="AV74" t="str">
        <f ca="1">IFERROR(IF(0=LEN(ReferenceData!$AV$74),"",ReferenceData!$AV$74),"")</f>
        <v/>
      </c>
      <c r="AW74" t="str">
        <f ca="1">IFERROR(IF(0=LEN(ReferenceData!$AW$74),"",ReferenceData!$AW$74),"")</f>
        <v/>
      </c>
      <c r="AX74" t="str">
        <f ca="1">IFERROR(IF(0=LEN(ReferenceData!$AX$74),"",ReferenceData!$AX$74),"")</f>
        <v/>
      </c>
      <c r="AY74">
        <f ca="1">IFERROR(IF(0=LEN(ReferenceData!$AY$74),"",ReferenceData!$AY$74),"")</f>
        <v>19.97461599</v>
      </c>
      <c r="AZ74">
        <f ca="1">IFERROR(IF(0=LEN(ReferenceData!$AZ$74),"",ReferenceData!$AZ$74),"")</f>
        <v>19.193485760000002</v>
      </c>
      <c r="BA74">
        <f ca="1">IFERROR(IF(0=LEN(ReferenceData!$BA$74),"",ReferenceData!$BA$74),"")</f>
        <v>18.035739159999999</v>
      </c>
      <c r="BB74">
        <f ca="1">IFERROR(IF(0=LEN(ReferenceData!$BB$74),"",ReferenceData!$BB$74),"")</f>
        <v>18.014816029999999</v>
      </c>
      <c r="BC74">
        <f ca="1">IFERROR(IF(0=LEN(ReferenceData!$BC$74),"",ReferenceData!$BC$74),"")</f>
        <v>18.243093139999999</v>
      </c>
      <c r="BD74">
        <f ca="1">IFERROR(IF(0=LEN(ReferenceData!$BD$74),"",ReferenceData!$BD$74),"")</f>
        <v>17.204063819999998</v>
      </c>
      <c r="BE74">
        <f ca="1">IFERROR(IF(0=LEN(ReferenceData!$BE$74),"",ReferenceData!$BE$74),"")</f>
        <v>16.504309370000001</v>
      </c>
      <c r="BF74">
        <f ca="1">IFERROR(IF(0=LEN(ReferenceData!$BF$74),"",ReferenceData!$BF$74),"")</f>
        <v>16.354061229999999</v>
      </c>
      <c r="BG74">
        <f ca="1">IFERROR(IF(0=LEN(ReferenceData!$BG$74),"",ReferenceData!$BG$74),"")</f>
        <v>17.436366960000001</v>
      </c>
      <c r="BH74">
        <f ca="1">IFERROR(IF(0=LEN(ReferenceData!$BH$74),"",ReferenceData!$BH$74),"")</f>
        <v>16.65626348</v>
      </c>
      <c r="BI74">
        <f ca="1">IFERROR(IF(0=LEN(ReferenceData!$BI$74),"",ReferenceData!$BI$74),"")</f>
        <v>15.91902307</v>
      </c>
      <c r="BJ74">
        <f ca="1">IFERROR(IF(0=LEN(ReferenceData!$BJ$74),"",ReferenceData!$BJ$74),"")</f>
        <v>17.645521810000002</v>
      </c>
      <c r="BK74">
        <f ca="1">IFERROR(IF(0=LEN(ReferenceData!$BK$74),"",ReferenceData!$BK$74),"")</f>
        <v>17.962633820000001</v>
      </c>
      <c r="BL74">
        <f ca="1">IFERROR(IF(0=LEN(ReferenceData!$BL$74),"",ReferenceData!$BL$74),"")</f>
        <v>17.295839239999999</v>
      </c>
      <c r="BM74">
        <f ca="1">IFERROR(IF(0=LEN(ReferenceData!$BM$74),"",ReferenceData!$BM$74),"")</f>
        <v>17.444880120000001</v>
      </c>
      <c r="BN74">
        <f ca="1">IFERROR(IF(0=LEN(ReferenceData!$BN$74),"",ReferenceData!$BN$74),"")</f>
        <v>17.16808992</v>
      </c>
      <c r="BO74">
        <f ca="1">IFERROR(IF(0=LEN(ReferenceData!$BO$74),"",ReferenceData!$BO$74),"")</f>
        <v>16.68453118</v>
      </c>
      <c r="BP74">
        <f ca="1">IFERROR(IF(0=LEN(ReferenceData!$BP$74),"",ReferenceData!$BP$74),"")</f>
        <v>16.70550922</v>
      </c>
      <c r="BQ74">
        <f ca="1">IFERROR(IF(0=LEN(ReferenceData!$BQ$74),"",ReferenceData!$BQ$74),"")</f>
        <v>16.62858975</v>
      </c>
      <c r="BR74">
        <f ca="1">IFERROR(IF(0=LEN(ReferenceData!$BR$74),"",ReferenceData!$BR$74),"")</f>
        <v>16.250343059999999</v>
      </c>
      <c r="BS74">
        <f ca="1">IFERROR(IF(0=LEN(ReferenceData!$BS$74),"",ReferenceData!$BS$74),"")</f>
        <v>17.14019235</v>
      </c>
      <c r="BT74">
        <f ca="1">IFERROR(IF(0=LEN(ReferenceData!$BT$74),"",ReferenceData!$BT$74),"")</f>
        <v>17.52861863</v>
      </c>
      <c r="BU74">
        <f ca="1">IFERROR(IF(0=LEN(ReferenceData!$BU$74),"",ReferenceData!$BU$74),"")</f>
        <v>17.96990435</v>
      </c>
      <c r="BV74">
        <f ca="1">IFERROR(IF(0=LEN(ReferenceData!$BV$74),"",ReferenceData!$BV$74),"")</f>
        <v>18.937788309999998</v>
      </c>
      <c r="BW74">
        <f ca="1">IFERROR(IF(0=LEN(ReferenceData!$BW$74),"",ReferenceData!$BW$74),"")</f>
        <v>18.389795190000001</v>
      </c>
      <c r="BX74">
        <f ca="1">IFERROR(IF(0=LEN(ReferenceData!$BX$74),"",ReferenceData!$BX$74),"")</f>
        <v>18.579319300000002</v>
      </c>
      <c r="BY74">
        <f ca="1">IFERROR(IF(0=LEN(ReferenceData!$BY$74),"",ReferenceData!$BY$74),"")</f>
        <v>18.887779040000002</v>
      </c>
      <c r="BZ74">
        <f ca="1">IFERROR(IF(0=LEN(ReferenceData!$BZ$74),"",ReferenceData!$BZ$74),"")</f>
        <v>19.16037137</v>
      </c>
      <c r="CA74">
        <f ca="1">IFERROR(IF(0=LEN(ReferenceData!$CA$74),"",ReferenceData!$CA$74),"")</f>
        <v>18.594604669999999</v>
      </c>
      <c r="CB74">
        <f ca="1">IFERROR(IF(0=LEN(ReferenceData!$CB$74),"",ReferenceData!$CB$74),"")</f>
        <v>19.337794299999999</v>
      </c>
      <c r="CC74">
        <f ca="1">IFERROR(IF(0=LEN(ReferenceData!$CC$74),"",ReferenceData!$CC$74),"")</f>
        <v>18.654059839999999</v>
      </c>
      <c r="CD74">
        <f ca="1">IFERROR(IF(0=LEN(ReferenceData!$CD$74),"",ReferenceData!$CD$74),"")</f>
        <v>18.328974469999999</v>
      </c>
      <c r="CE74">
        <f ca="1">IFERROR(IF(0=LEN(ReferenceData!$CE$74),"",ReferenceData!$CE$74),"")</f>
        <v>19.444312069999999</v>
      </c>
      <c r="CF74">
        <f ca="1">IFERROR(IF(0=LEN(ReferenceData!$CF$74),"",ReferenceData!$CF$74),"")</f>
        <v>17.268233819999999</v>
      </c>
      <c r="CG74">
        <f ca="1">IFERROR(IF(0=LEN(ReferenceData!$CG$74),"",ReferenceData!$CG$74),"")</f>
        <v>21.817283270000001</v>
      </c>
      <c r="CH74">
        <f ca="1">IFERROR(IF(0=LEN(ReferenceData!$CH$74),"",ReferenceData!$CH$74),"")</f>
        <v>21.49055495</v>
      </c>
      <c r="CI74">
        <f ca="1">IFERROR(IF(0=LEN(ReferenceData!$CI$74),"",ReferenceData!$CI$74),"")</f>
        <v>20.052950360000001</v>
      </c>
      <c r="CJ74">
        <f ca="1">IFERROR(IF(0=LEN(ReferenceData!$CJ$74),"",ReferenceData!$CJ$74),"")</f>
        <v>22.192191730000001</v>
      </c>
      <c r="CK74">
        <f ca="1">IFERROR(IF(0=LEN(ReferenceData!$CK$74),"",ReferenceData!$CK$74),"")</f>
        <v>22.04742302</v>
      </c>
    </row>
    <row r="75" spans="1:89">
      <c r="A75" t="str">
        <f>IFERROR(IF(0=LEN(ReferenceData!$A$75),"",ReferenceData!$A$75),"")</f>
        <v>P/FAD TTM</v>
      </c>
      <c r="B75" t="str">
        <f>IFERROR(IF(0=LEN(ReferenceData!$B$75),"",ReferenceData!$B$75),"")</f>
        <v>BRFREITV Index</v>
      </c>
      <c r="C75" t="str">
        <f>IFERROR(IF(0=LEN(ReferenceData!$C$75),"",ReferenceData!$C$75),"")</f>
        <v/>
      </c>
      <c r="D75" t="str">
        <f>IFERROR(IF(0=LEN(ReferenceData!$D$75),"",ReferenceData!$D$75),"")</f>
        <v/>
      </c>
      <c r="E75" t="str">
        <f>IFERROR(IF(0=LEN(ReferenceData!$E$75),"",ReferenceData!$E$75),"")</f>
        <v>Median</v>
      </c>
      <c r="F75">
        <f ca="1">IFERROR(IF(0=LEN(ReferenceData!$F$75),"",ReferenceData!$F$75),"")</f>
        <v>20.385625659999999</v>
      </c>
      <c r="G75">
        <f ca="1">IFERROR(IF(0=LEN(ReferenceData!$G$75),"",ReferenceData!$G$75),"")</f>
        <v>19.32556434</v>
      </c>
      <c r="H75">
        <f ca="1">IFERROR(IF(0=LEN(ReferenceData!$H$75),"",ReferenceData!$H$75),"")</f>
        <v>21.154765359999999</v>
      </c>
      <c r="I75">
        <f ca="1">IFERROR(IF(0=LEN(ReferenceData!$I$75),"",ReferenceData!$I$75),"")</f>
        <v>21.89643543</v>
      </c>
      <c r="J75">
        <f ca="1">IFERROR(IF(0=LEN(ReferenceData!$J$75),"",ReferenceData!$J$75),"")</f>
        <v>23.197565839999999</v>
      </c>
      <c r="K75">
        <f ca="1">IFERROR(IF(0=LEN(ReferenceData!$K$75),"",ReferenceData!$K$75),"")</f>
        <v>23.303709080000001</v>
      </c>
      <c r="L75">
        <f ca="1">IFERROR(IF(0=LEN(ReferenceData!$L$75),"",ReferenceData!$L$75),"")</f>
        <v>22.557791479999999</v>
      </c>
      <c r="M75">
        <f ca="1">IFERROR(IF(0=LEN(ReferenceData!$M$75),"",ReferenceData!$M$75),"")</f>
        <v>23.347515300000001</v>
      </c>
      <c r="N75">
        <f ca="1">IFERROR(IF(0=LEN(ReferenceData!$N$75),"",ReferenceData!$N$75),"")</f>
        <v>23.33214821</v>
      </c>
      <c r="O75">
        <f ca="1">IFERROR(IF(0=LEN(ReferenceData!$O$75),"",ReferenceData!$O$75),"")</f>
        <v>23.152699810000001</v>
      </c>
      <c r="P75">
        <f ca="1">IFERROR(IF(0=LEN(ReferenceData!$P$75),"",ReferenceData!$P$75),"")</f>
        <v>23.027293449999998</v>
      </c>
      <c r="Q75">
        <f ca="1">IFERROR(IF(0=LEN(ReferenceData!$Q$75),"",ReferenceData!$Q$75),"")</f>
        <v>22.20690914</v>
      </c>
      <c r="R75">
        <f ca="1">IFERROR(IF(0=LEN(ReferenceData!$R$75),"",ReferenceData!$R$75),"")</f>
        <v>21.978849579999999</v>
      </c>
      <c r="S75">
        <f ca="1">IFERROR(IF(0=LEN(ReferenceData!$S$75),"",ReferenceData!$S$75),"")</f>
        <v>22.438170599999999</v>
      </c>
      <c r="T75">
        <f ca="1">IFERROR(IF(0=LEN(ReferenceData!$T$75),"",ReferenceData!$T$75),"")</f>
        <v>21.485316780000002</v>
      </c>
      <c r="U75">
        <f ca="1">IFERROR(IF(0=LEN(ReferenceData!$U$75),"",ReferenceData!$U$75),"")</f>
        <v>22.42587571</v>
      </c>
      <c r="V75">
        <f ca="1">IFERROR(IF(0=LEN(ReferenceData!$V$75),"",ReferenceData!$V$75),"")</f>
        <v>21.214695259999999</v>
      </c>
      <c r="W75">
        <f ca="1">IFERROR(IF(0=LEN(ReferenceData!$W$75),"",ReferenceData!$W$75),"")</f>
        <v>21.47400399</v>
      </c>
      <c r="X75">
        <f ca="1">IFERROR(IF(0=LEN(ReferenceData!$X$75),"",ReferenceData!$X$75),"")</f>
        <v>21.761095789999999</v>
      </c>
      <c r="Y75">
        <f ca="1">IFERROR(IF(0=LEN(ReferenceData!$Y$75),"",ReferenceData!$Y$75),"")</f>
        <v>22.491048450000001</v>
      </c>
      <c r="Z75">
        <f ca="1">IFERROR(IF(0=LEN(ReferenceData!$Z$75),"",ReferenceData!$Z$75),"")</f>
        <v>23.460263139999999</v>
      </c>
      <c r="AA75">
        <f ca="1">IFERROR(IF(0=LEN(ReferenceData!$AA$75),"",ReferenceData!$AA$75),"")</f>
        <v>22.53655036</v>
      </c>
      <c r="AB75">
        <f ca="1">IFERROR(IF(0=LEN(ReferenceData!$AB$75),"",ReferenceData!$AB$75),"")</f>
        <v>22.272267249999999</v>
      </c>
      <c r="AC75">
        <f ca="1">IFERROR(IF(0=LEN(ReferenceData!$AC$75),"",ReferenceData!$AC$75),"")</f>
        <v>21.607716029999999</v>
      </c>
      <c r="AD75">
        <f ca="1">IFERROR(IF(0=LEN(ReferenceData!$AD$75),"",ReferenceData!$AD$75),"")</f>
        <v>23.768183799999999</v>
      </c>
      <c r="AE75">
        <f ca="1">IFERROR(IF(0=LEN(ReferenceData!$AE$75),"",ReferenceData!$AE$75),"")</f>
        <v>21.839080330000002</v>
      </c>
      <c r="AF75">
        <f ca="1">IFERROR(IF(0=LEN(ReferenceData!$AF$75),"",ReferenceData!$AF$75),"")</f>
        <v>22.78121544</v>
      </c>
      <c r="AG75">
        <f ca="1">IFERROR(IF(0=LEN(ReferenceData!$AG$75),"",ReferenceData!$AG$75),"")</f>
        <v>24.392318400000001</v>
      </c>
      <c r="AH75">
        <f ca="1">IFERROR(IF(0=LEN(ReferenceData!$AH$75),"",ReferenceData!$AH$75),"")</f>
        <v>24.93602357</v>
      </c>
      <c r="AI75">
        <f ca="1">IFERROR(IF(0=LEN(ReferenceData!$AI$75),"",ReferenceData!$AI$75),"")</f>
        <v>23.48480391</v>
      </c>
      <c r="AJ75">
        <f ca="1">IFERROR(IF(0=LEN(ReferenceData!$AJ$75),"",ReferenceData!$AJ$75),"")</f>
        <v>23.49843409</v>
      </c>
      <c r="AK75">
        <f ca="1">IFERROR(IF(0=LEN(ReferenceData!$AK$75),"",ReferenceData!$AK$75),"")</f>
        <v>22.045604019999999</v>
      </c>
      <c r="AL75">
        <f ca="1">IFERROR(IF(0=LEN(ReferenceData!$AL$75),"",ReferenceData!$AL$75),"")</f>
        <v>23.505066599999999</v>
      </c>
      <c r="AM75">
        <f ca="1">IFERROR(IF(0=LEN(ReferenceData!$AM$75),"",ReferenceData!$AM$75),"")</f>
        <v>22.125640385000001</v>
      </c>
      <c r="AN75">
        <f ca="1">IFERROR(IF(0=LEN(ReferenceData!$AN$75),"",ReferenceData!$AN$75),"")</f>
        <v>23.56718326</v>
      </c>
      <c r="AO75">
        <f ca="1">IFERROR(IF(0=LEN(ReferenceData!$AO$75),"",ReferenceData!$AO$75),"")</f>
        <v>23.408492955</v>
      </c>
      <c r="AP75">
        <f ca="1">IFERROR(IF(0=LEN(ReferenceData!$AP$75),"",ReferenceData!$AP$75),"")</f>
        <v>24.580058999999999</v>
      </c>
      <c r="AQ75">
        <f ca="1">IFERROR(IF(0=LEN(ReferenceData!$AQ$75),"",ReferenceData!$AQ$75),"")</f>
        <v>24.137101585</v>
      </c>
      <c r="AR75">
        <f ca="1">IFERROR(IF(0=LEN(ReferenceData!$AR$75),"",ReferenceData!$AR$75),"")</f>
        <v>25.1421919</v>
      </c>
      <c r="AS75">
        <f ca="1">IFERROR(IF(0=LEN(ReferenceData!$AS$75),"",ReferenceData!$AS$75),"")</f>
        <v>23.470968124999999</v>
      </c>
      <c r="AT75">
        <f ca="1">IFERROR(IF(0=LEN(ReferenceData!$AT$75),"",ReferenceData!$AT$75),"")</f>
        <v>23.693249129999998</v>
      </c>
      <c r="AU75">
        <f ca="1">IFERROR(IF(0=LEN(ReferenceData!$AU$75),"",ReferenceData!$AU$75),"")</f>
        <v>22.87082801</v>
      </c>
      <c r="AV75">
        <f ca="1">IFERROR(IF(0=LEN(ReferenceData!$AV$75),"",ReferenceData!$AV$75),"")</f>
        <v>20.465090249999999</v>
      </c>
      <c r="AW75">
        <f ca="1">IFERROR(IF(0=LEN(ReferenceData!$AW$75),"",ReferenceData!$AW$75),"")</f>
        <v>22.738566435000003</v>
      </c>
      <c r="AX75">
        <f ca="1">IFERROR(IF(0=LEN(ReferenceData!$AX$75),"",ReferenceData!$AX$75),"")</f>
        <v>22.230609505</v>
      </c>
      <c r="AY75">
        <f ca="1">IFERROR(IF(0=LEN(ReferenceData!$AY$75),"",ReferenceData!$AY$75),"")</f>
        <v>22.54917206</v>
      </c>
      <c r="AZ75">
        <f ca="1">IFERROR(IF(0=LEN(ReferenceData!$AZ$75),"",ReferenceData!$AZ$75),"")</f>
        <v>21.667360859999999</v>
      </c>
      <c r="BA75">
        <f ca="1">IFERROR(IF(0=LEN(ReferenceData!$BA$75),"",ReferenceData!$BA$75),"")</f>
        <v>20.360390689999999</v>
      </c>
      <c r="BB75">
        <f ca="1">IFERROR(IF(0=LEN(ReferenceData!$BB$75),"",ReferenceData!$BB$75),"")</f>
        <v>20.336770749999999</v>
      </c>
      <c r="BC75">
        <f ca="1">IFERROR(IF(0=LEN(ReferenceData!$BC$75),"",ReferenceData!$BC$75),"")</f>
        <v>20.641189740000002</v>
      </c>
      <c r="BD75">
        <f ca="1">IFERROR(IF(0=LEN(ReferenceData!$BD$75),"",ReferenceData!$BD$75),"")</f>
        <v>19.46557761</v>
      </c>
      <c r="BE75">
        <f ca="1">IFERROR(IF(0=LEN(ReferenceData!$BE$75),"",ReferenceData!$BE$75),"")</f>
        <v>18.673838839999998</v>
      </c>
      <c r="BF75">
        <f ca="1">IFERROR(IF(0=LEN(ReferenceData!$BF$75),"",ReferenceData!$BF$75),"")</f>
        <v>18.353699370000001</v>
      </c>
      <c r="BG75">
        <f ca="1">IFERROR(IF(0=LEN(ReferenceData!$BG$75),"",ReferenceData!$BG$75),"")</f>
        <v>19.88139469</v>
      </c>
      <c r="BH75">
        <f ca="1">IFERROR(IF(0=LEN(ReferenceData!$BH$75),"",ReferenceData!$BH$75),"")</f>
        <v>18.943027220000001</v>
      </c>
      <c r="BI75">
        <f ca="1">IFERROR(IF(0=LEN(ReferenceData!$BI$75),"",ReferenceData!$BI$75),"")</f>
        <v>18.94393985</v>
      </c>
      <c r="BJ75">
        <f ca="1">IFERROR(IF(0=LEN(ReferenceData!$BJ$75),"",ReferenceData!$BJ$75),"")</f>
        <v>20.690912650000001</v>
      </c>
      <c r="BK75">
        <f ca="1">IFERROR(IF(0=LEN(ReferenceData!$BK$75),"",ReferenceData!$BK$75),"")</f>
        <v>20.758299780000002</v>
      </c>
      <c r="BL75">
        <f ca="1">IFERROR(IF(0=LEN(ReferenceData!$BL$75),"",ReferenceData!$BL$75),"")</f>
        <v>21.480654999999999</v>
      </c>
      <c r="BM75">
        <f ca="1">IFERROR(IF(0=LEN(ReferenceData!$BM$75),"",ReferenceData!$BM$75),"")</f>
        <v>22.011384159999999</v>
      </c>
      <c r="BN75">
        <f ca="1">IFERROR(IF(0=LEN(ReferenceData!$BN$75),"",ReferenceData!$BN$75),"")</f>
        <v>21.52183655</v>
      </c>
      <c r="BO75">
        <f ca="1">IFERROR(IF(0=LEN(ReferenceData!$BO$75),"",ReferenceData!$BO$75),"")</f>
        <v>22.154135239999999</v>
      </c>
      <c r="BP75">
        <f ca="1">IFERROR(IF(0=LEN(ReferenceData!$BP$75),"",ReferenceData!$BP$75),"")</f>
        <v>21.356449529999999</v>
      </c>
      <c r="BQ75">
        <f ca="1">IFERROR(IF(0=LEN(ReferenceData!$BQ$75),"",ReferenceData!$BQ$75),"")</f>
        <v>21.849972820000001</v>
      </c>
      <c r="BR75">
        <f ca="1">IFERROR(IF(0=LEN(ReferenceData!$BR$75),"",ReferenceData!$BR$75),"")</f>
        <v>21.61252825</v>
      </c>
      <c r="BS75">
        <f ca="1">IFERROR(IF(0=LEN(ReferenceData!$BS$75),"",ReferenceData!$BS$75),"")</f>
        <v>22.990756520000001</v>
      </c>
      <c r="BT75">
        <f ca="1">IFERROR(IF(0=LEN(ReferenceData!$BT$75),"",ReferenceData!$BT$75),"")</f>
        <v>22.405648559999999</v>
      </c>
      <c r="BU75">
        <f ca="1">IFERROR(IF(0=LEN(ReferenceData!$BU$75),"",ReferenceData!$BU$75),"")</f>
        <v>24.640323970000001</v>
      </c>
      <c r="BV75">
        <f ca="1">IFERROR(IF(0=LEN(ReferenceData!$BV$75),"",ReferenceData!$BV$75),"")</f>
        <v>25.524323509999999</v>
      </c>
      <c r="BW75">
        <f ca="1">IFERROR(IF(0=LEN(ReferenceData!$BW$75),"",ReferenceData!$BW$75),"")</f>
        <v>25.152113180000001</v>
      </c>
      <c r="BX75">
        <f ca="1">IFERROR(IF(0=LEN(ReferenceData!$BX$75),"",ReferenceData!$BX$75),"")</f>
        <v>26.43729725</v>
      </c>
      <c r="BY75">
        <f ca="1">IFERROR(IF(0=LEN(ReferenceData!$BY$75),"",ReferenceData!$BY$75),"")</f>
        <v>27.36808164</v>
      </c>
      <c r="BZ75">
        <f ca="1">IFERROR(IF(0=LEN(ReferenceData!$BZ$75),"",ReferenceData!$BZ$75),"")</f>
        <v>27.09498451</v>
      </c>
      <c r="CA75">
        <f ca="1">IFERROR(IF(0=LEN(ReferenceData!$CA$75),"",ReferenceData!$CA$75),"")</f>
        <v>26.312502609999999</v>
      </c>
      <c r="CB75">
        <f ca="1">IFERROR(IF(0=LEN(ReferenceData!$CB$75),"",ReferenceData!$CB$75),"")</f>
        <v>27.373490619999998</v>
      </c>
      <c r="CC75">
        <f ca="1">IFERROR(IF(0=LEN(ReferenceData!$CC$75),"",ReferenceData!$CC$75),"")</f>
        <v>26.252284190000001</v>
      </c>
      <c r="CD75">
        <f ca="1">IFERROR(IF(0=LEN(ReferenceData!$CD$75),"",ReferenceData!$CD$75),"")</f>
        <v>24.920019109999998</v>
      </c>
      <c r="CE75">
        <f ca="1">IFERROR(IF(0=LEN(ReferenceData!$CE$75),"",ReferenceData!$CE$75),"")</f>
        <v>26.700604599999998</v>
      </c>
      <c r="CF75">
        <f ca="1">IFERROR(IF(0=LEN(ReferenceData!$CF$75),"",ReferenceData!$CF$75),"")</f>
        <v>23.940712349999998</v>
      </c>
      <c r="CG75">
        <f ca="1">IFERROR(IF(0=LEN(ReferenceData!$CG$75),"",ReferenceData!$CG$75),"")</f>
        <v>28.39114318</v>
      </c>
      <c r="CH75">
        <f ca="1">IFERROR(IF(0=LEN(ReferenceData!$CH$75),"",ReferenceData!$CH$75),"")</f>
        <v>28.616063090000001</v>
      </c>
      <c r="CI75">
        <f ca="1">IFERROR(IF(0=LEN(ReferenceData!$CI$75),"",ReferenceData!$CI$75),"")</f>
        <v>27.279860200000002</v>
      </c>
      <c r="CJ75">
        <f ca="1">IFERROR(IF(0=LEN(ReferenceData!$CJ$75),"",ReferenceData!$CJ$75),"")</f>
        <v>26.87393264</v>
      </c>
      <c r="CK75">
        <f ca="1">IFERROR(IF(0=LEN(ReferenceData!$CK$75),"",ReferenceData!$CK$75),"")</f>
        <v>26.234276189999999</v>
      </c>
    </row>
    <row r="76" spans="1:89">
      <c r="A76" t="str">
        <f>IFERROR(IF(0=LEN(ReferenceData!$A$76),"",ReferenceData!$A$76),"")</f>
        <v xml:space="preserve">    公寓投资与管理</v>
      </c>
      <c r="B76" t="str">
        <f>IFERROR(IF(0=LEN(ReferenceData!$B$76),"",ReferenceData!$B$76),"")</f>
        <v>AIV US Equity</v>
      </c>
      <c r="C76" t="str">
        <f>IFERROR(IF(0=LEN(ReferenceData!$C$76),"",ReferenceData!$C$76),"")</f>
        <v>F0891</v>
      </c>
      <c r="D76" t="str">
        <f>IFERROR(IF(0=LEN(ReferenceData!$D$76),"",ReferenceData!$D$76),"")</f>
        <v>PRICE_TO_FAD_PS</v>
      </c>
      <c r="E76" t="str">
        <f>IFERROR(IF(0=LEN(ReferenceData!$E$76),"",ReferenceData!$E$76),"")</f>
        <v>动态</v>
      </c>
      <c r="F76">
        <f ca="1">IFERROR(IF(0=LEN(ReferenceData!$F$76),"",ReferenceData!$F$76),"")</f>
        <v>18.91643461</v>
      </c>
      <c r="G76">
        <f ca="1">IFERROR(IF(0=LEN(ReferenceData!$G$76),"",ReferenceData!$G$76),"")</f>
        <v>18.25990951</v>
      </c>
      <c r="H76">
        <f ca="1">IFERROR(IF(0=LEN(ReferenceData!$H$76),"",ReferenceData!$H$76),"")</f>
        <v>19.761888620000001</v>
      </c>
      <c r="I76">
        <f ca="1">IFERROR(IF(0=LEN(ReferenceData!$I$76),"",ReferenceData!$I$76),"")</f>
        <v>20.645127899999999</v>
      </c>
      <c r="J76">
        <f ca="1">IFERROR(IF(0=LEN(ReferenceData!$J$76),"",ReferenceData!$J$76),"")</f>
        <v>21.388354490000001</v>
      </c>
      <c r="K76">
        <f ca="1">IFERROR(IF(0=LEN(ReferenceData!$K$76),"",ReferenceData!$K$76),"")</f>
        <v>21.334992759999999</v>
      </c>
      <c r="L76">
        <f ca="1">IFERROR(IF(0=LEN(ReferenceData!$L$76),"",ReferenceData!$L$76),"")</f>
        <v>21.276779950000002</v>
      </c>
      <c r="M76">
        <f ca="1">IFERROR(IF(0=LEN(ReferenceData!$M$76),"",ReferenceData!$M$76),"")</f>
        <v>22.887883769999998</v>
      </c>
      <c r="N76">
        <f ca="1">IFERROR(IF(0=LEN(ReferenceData!$N$76),"",ReferenceData!$N$76),"")</f>
        <v>22.99896549</v>
      </c>
      <c r="O76">
        <f ca="1">IFERROR(IF(0=LEN(ReferenceData!$O$76),"",ReferenceData!$O$76),"")</f>
        <v>21.69627985</v>
      </c>
      <c r="P76">
        <f ca="1">IFERROR(IF(0=LEN(ReferenceData!$P$76),"",ReferenceData!$P$76),"")</f>
        <v>21.790593059999999</v>
      </c>
      <c r="Q76">
        <f ca="1">IFERROR(IF(0=LEN(ReferenceData!$Q$76),"",ReferenceData!$Q$76),"")</f>
        <v>22.20690914</v>
      </c>
      <c r="R76">
        <f ca="1">IFERROR(IF(0=LEN(ReferenceData!$R$76),"",ReferenceData!$R$76),"")</f>
        <v>22.516607690000001</v>
      </c>
      <c r="S76">
        <f ca="1">IFERROR(IF(0=LEN(ReferenceData!$S$76),"",ReferenceData!$S$76),"")</f>
        <v>23.69370065</v>
      </c>
      <c r="T76">
        <f ca="1">IFERROR(IF(0=LEN(ReferenceData!$T$76),"",ReferenceData!$T$76),"")</f>
        <v>22.441035629999998</v>
      </c>
      <c r="U76">
        <f ca="1">IFERROR(IF(0=LEN(ReferenceData!$U$76),"",ReferenceData!$U$76),"")</f>
        <v>23.14375016</v>
      </c>
      <c r="V76">
        <f ca="1">IFERROR(IF(0=LEN(ReferenceData!$V$76),"",ReferenceData!$V$76),"")</f>
        <v>21.748119169999999</v>
      </c>
      <c r="W76">
        <f ca="1">IFERROR(IF(0=LEN(ReferenceData!$W$76),"",ReferenceData!$W$76),"")</f>
        <v>22.765786500000001</v>
      </c>
      <c r="X76">
        <f ca="1">IFERROR(IF(0=LEN(ReferenceData!$X$76),"",ReferenceData!$X$76),"")</f>
        <v>23.716298120000001</v>
      </c>
      <c r="Y76">
        <f ca="1">IFERROR(IF(0=LEN(ReferenceData!$Y$76),"",ReferenceData!$Y$76),"")</f>
        <v>23.057095690000001</v>
      </c>
      <c r="Z76">
        <f ca="1">IFERROR(IF(0=LEN(ReferenceData!$Z$76),"",ReferenceData!$Z$76),"")</f>
        <v>23.460263139999999</v>
      </c>
      <c r="AA76">
        <f ca="1">IFERROR(IF(0=LEN(ReferenceData!$AA$76),"",ReferenceData!$AA$76),"")</f>
        <v>22.53655036</v>
      </c>
      <c r="AB76">
        <f ca="1">IFERROR(IF(0=LEN(ReferenceData!$AB$76),"",ReferenceData!$AB$76),"")</f>
        <v>22.159541990000001</v>
      </c>
      <c r="AC76">
        <f ca="1">IFERROR(IF(0=LEN(ReferenceData!$AC$76),"",ReferenceData!$AC$76),"")</f>
        <v>20.813862889999999</v>
      </c>
      <c r="AD76">
        <f ca="1">IFERROR(IF(0=LEN(ReferenceData!$AD$76),"",ReferenceData!$AD$76),"")</f>
        <v>21.728301200000001</v>
      </c>
      <c r="AE76">
        <f ca="1">IFERROR(IF(0=LEN(ReferenceData!$AE$76),"",ReferenceData!$AE$76),"")</f>
        <v>19.489279610000001</v>
      </c>
      <c r="AF76">
        <f ca="1">IFERROR(IF(0=LEN(ReferenceData!$AF$76),"",ReferenceData!$AF$76),"")</f>
        <v>20.84144487</v>
      </c>
      <c r="AG76">
        <f ca="1">IFERROR(IF(0=LEN(ReferenceData!$AG$76),"",ReferenceData!$AG$76),"")</f>
        <v>21.309911580000001</v>
      </c>
      <c r="AH76">
        <f ca="1">IFERROR(IF(0=LEN(ReferenceData!$AH$76),"",ReferenceData!$AH$76),"")</f>
        <v>20.818768429999999</v>
      </c>
      <c r="AI76">
        <f ca="1">IFERROR(IF(0=LEN(ReferenceData!$AI$76),"",ReferenceData!$AI$76),"")</f>
        <v>21.408751890000001</v>
      </c>
      <c r="AJ76">
        <f ca="1">IFERROR(IF(0=LEN(ReferenceData!$AJ$76),"",ReferenceData!$AJ$76),"")</f>
        <v>20.223322150000001</v>
      </c>
      <c r="AK76">
        <f ca="1">IFERROR(IF(0=LEN(ReferenceData!$AK$76),"",ReferenceData!$AK$76),"")</f>
        <v>20.639335280000001</v>
      </c>
      <c r="AL76">
        <f ca="1">IFERROR(IF(0=LEN(ReferenceData!$AL$76),"",ReferenceData!$AL$76),"")</f>
        <v>22.38648967</v>
      </c>
      <c r="AM76">
        <f ca="1">IFERROR(IF(0=LEN(ReferenceData!$AM$76),"",ReferenceData!$AM$76),"")</f>
        <v>21.15488903</v>
      </c>
      <c r="AN76">
        <f ca="1">IFERROR(IF(0=LEN(ReferenceData!$AN$76),"",ReferenceData!$AN$76),"")</f>
        <v>22.087386760000001</v>
      </c>
      <c r="AO76">
        <f ca="1">IFERROR(IF(0=LEN(ReferenceData!$AO$76),"",ReferenceData!$AO$76),"")</f>
        <v>21.970922810000001</v>
      </c>
      <c r="AP76">
        <f ca="1">IFERROR(IF(0=LEN(ReferenceData!$AP$76),"",ReferenceData!$AP$76),"")</f>
        <v>22.920103950000001</v>
      </c>
      <c r="AQ76">
        <f ca="1">IFERROR(IF(0=LEN(ReferenceData!$AQ$76),"",ReferenceData!$AQ$76),"")</f>
        <v>22.38346383</v>
      </c>
      <c r="AR76">
        <f ca="1">IFERROR(IF(0=LEN(ReferenceData!$AR$76),"",ReferenceData!$AR$76),"")</f>
        <v>23.678473149999999</v>
      </c>
      <c r="AS76">
        <f ca="1">IFERROR(IF(0=LEN(ReferenceData!$AS$76),"",ReferenceData!$AS$76),"")</f>
        <v>22.068622120000001</v>
      </c>
      <c r="AT76">
        <f ca="1">IFERROR(IF(0=LEN(ReferenceData!$AT$76),"",ReferenceData!$AT$76),"")</f>
        <v>22.121820230000001</v>
      </c>
      <c r="AU76">
        <f ca="1">IFERROR(IF(0=LEN(ReferenceData!$AU$76),"",ReferenceData!$AU$76),"")</f>
        <v>21.254763650000001</v>
      </c>
      <c r="AV76">
        <f ca="1">IFERROR(IF(0=LEN(ReferenceData!$AV$76),"",ReferenceData!$AV$76),"")</f>
        <v>18.897082409999999</v>
      </c>
      <c r="AW76">
        <f ca="1">IFERROR(IF(0=LEN(ReferenceData!$AW$76),"",ReferenceData!$AW$76),"")</f>
        <v>20.875104</v>
      </c>
      <c r="AX76">
        <f ca="1">IFERROR(IF(0=LEN(ReferenceData!$AX$76),"",ReferenceData!$AX$76),"")</f>
        <v>20.820281730000001</v>
      </c>
      <c r="AY76">
        <f ca="1">IFERROR(IF(0=LEN(ReferenceData!$AY$76),"",ReferenceData!$AY$76),"")</f>
        <v>19.656831230000002</v>
      </c>
      <c r="AZ76">
        <f ca="1">IFERROR(IF(0=LEN(ReferenceData!$AZ$76),"",ReferenceData!$AZ$76),"")</f>
        <v>20.0256592</v>
      </c>
      <c r="BA76">
        <f ca="1">IFERROR(IF(0=LEN(ReferenceData!$BA$76),"",ReferenceData!$BA$76),"")</f>
        <v>19.612168780000001</v>
      </c>
      <c r="BB76">
        <f ca="1">IFERROR(IF(0=LEN(ReferenceData!$BB$76),"",ReferenceData!$BB$76),"")</f>
        <v>19.22412392</v>
      </c>
      <c r="BC76">
        <f ca="1">IFERROR(IF(0=LEN(ReferenceData!$BC$76),"",ReferenceData!$BC$76),"")</f>
        <v>19.59791074</v>
      </c>
      <c r="BD76">
        <f ca="1">IFERROR(IF(0=LEN(ReferenceData!$BD$76),"",ReferenceData!$BD$76),"")</f>
        <v>18.339028549999998</v>
      </c>
      <c r="BE76">
        <f ca="1">IFERROR(IF(0=LEN(ReferenceData!$BE$76),"",ReferenceData!$BE$76),"")</f>
        <v>16.98835287</v>
      </c>
      <c r="BF76">
        <f ca="1">IFERROR(IF(0=LEN(ReferenceData!$BF$76),"",ReferenceData!$BF$76),"")</f>
        <v>17.02431687</v>
      </c>
      <c r="BG76">
        <f ca="1">IFERROR(IF(0=LEN(ReferenceData!$BG$76),"",ReferenceData!$BG$76),"")</f>
        <v>18.970146799999998</v>
      </c>
      <c r="BH76">
        <f ca="1">IFERROR(IF(0=LEN(ReferenceData!$BH$76),"",ReferenceData!$BH$76),"")</f>
        <v>18.943027220000001</v>
      </c>
      <c r="BI76">
        <f ca="1">IFERROR(IF(0=LEN(ReferenceData!$BI$76),"",ReferenceData!$BI$76),"")</f>
        <v>18.94393985</v>
      </c>
      <c r="BJ76">
        <f ca="1">IFERROR(IF(0=LEN(ReferenceData!$BJ$76),"",ReferenceData!$BJ$76),"")</f>
        <v>20.21696159</v>
      </c>
      <c r="BK76">
        <f ca="1">IFERROR(IF(0=LEN(ReferenceData!$BK$76),"",ReferenceData!$BK$76),"")</f>
        <v>20.671120699999999</v>
      </c>
      <c r="BL76">
        <f ca="1">IFERROR(IF(0=LEN(ReferenceData!$BL$76),"",ReferenceData!$BL$76),"")</f>
        <v>21.24105591</v>
      </c>
      <c r="BM76">
        <f ca="1">IFERROR(IF(0=LEN(ReferenceData!$BM$76),"",ReferenceData!$BM$76),"")</f>
        <v>21.837714779999999</v>
      </c>
      <c r="BN76">
        <f ca="1">IFERROR(IF(0=LEN(ReferenceData!$BN$76),"",ReferenceData!$BN$76),"")</f>
        <v>21.52183655</v>
      </c>
      <c r="BO76">
        <f ca="1">IFERROR(IF(0=LEN(ReferenceData!$BO$76),"",ReferenceData!$BO$76),"")</f>
        <v>22.154135239999999</v>
      </c>
      <c r="BP76">
        <f ca="1">IFERROR(IF(0=LEN(ReferenceData!$BP$76),"",ReferenceData!$BP$76),"")</f>
        <v>20.403943590000001</v>
      </c>
      <c r="BQ76">
        <f ca="1">IFERROR(IF(0=LEN(ReferenceData!$BQ$76),"",ReferenceData!$BQ$76),"")</f>
        <v>20.23939566</v>
      </c>
      <c r="BR76">
        <f ca="1">IFERROR(IF(0=LEN(ReferenceData!$BR$76),"",ReferenceData!$BR$76),"")</f>
        <v>21.61252825</v>
      </c>
      <c r="BS76">
        <f ca="1">IFERROR(IF(0=LEN(ReferenceData!$BS$76),"",ReferenceData!$BS$76),"")</f>
        <v>23.00910966</v>
      </c>
      <c r="BT76">
        <f ca="1">IFERROR(IF(0=LEN(ReferenceData!$BT$76),"",ReferenceData!$BT$76),"")</f>
        <v>22.405648559999999</v>
      </c>
      <c r="BU76">
        <f ca="1">IFERROR(IF(0=LEN(ReferenceData!$BU$76),"",ReferenceData!$BU$76),"")</f>
        <v>24.640323970000001</v>
      </c>
      <c r="BV76">
        <f ca="1">IFERROR(IF(0=LEN(ReferenceData!$BV$76),"",ReferenceData!$BV$76),"")</f>
        <v>25.524323509999999</v>
      </c>
      <c r="BW76">
        <f ca="1">IFERROR(IF(0=LEN(ReferenceData!$BW$76),"",ReferenceData!$BW$76),"")</f>
        <v>25.152113180000001</v>
      </c>
      <c r="BX76">
        <f ca="1">IFERROR(IF(0=LEN(ReferenceData!$BX$76),"",ReferenceData!$BX$76),"")</f>
        <v>31.049167629999999</v>
      </c>
      <c r="BY76">
        <f ca="1">IFERROR(IF(0=LEN(ReferenceData!$BY$76),"",ReferenceData!$BY$76),"")</f>
        <v>31.140927269999999</v>
      </c>
      <c r="BZ76">
        <f ca="1">IFERROR(IF(0=LEN(ReferenceData!$BZ$76),"",ReferenceData!$BZ$76),"")</f>
        <v>30.29215061</v>
      </c>
      <c r="CA76">
        <f ca="1">IFERROR(IF(0=LEN(ReferenceData!$CA$76),"",ReferenceData!$CA$76),"")</f>
        <v>28.463847189999999</v>
      </c>
      <c r="CB76">
        <f ca="1">IFERROR(IF(0=LEN(ReferenceData!$CB$76),"",ReferenceData!$CB$76),"")</f>
        <v>28.142998670000001</v>
      </c>
      <c r="CC76">
        <f ca="1">IFERROR(IF(0=LEN(ReferenceData!$CC$76),"",ReferenceData!$CC$76),"")</f>
        <v>26.252284190000001</v>
      </c>
      <c r="CD76">
        <f ca="1">IFERROR(IF(0=LEN(ReferenceData!$CD$76),"",ReferenceData!$CD$76),"")</f>
        <v>23.572726719999999</v>
      </c>
      <c r="CE76">
        <f ca="1">IFERROR(IF(0=LEN(ReferenceData!$CE$76),"",ReferenceData!$CE$76),"")</f>
        <v>26.700604599999998</v>
      </c>
      <c r="CF76">
        <f ca="1">IFERROR(IF(0=LEN(ReferenceData!$CF$76),"",ReferenceData!$CF$76),"")</f>
        <v>23.940712349999998</v>
      </c>
      <c r="CG76">
        <f ca="1">IFERROR(IF(0=LEN(ReferenceData!$CG$76),"",ReferenceData!$CG$76),"")</f>
        <v>28.39114318</v>
      </c>
      <c r="CH76">
        <f ca="1">IFERROR(IF(0=LEN(ReferenceData!$CH$76),"",ReferenceData!$CH$76),"")</f>
        <v>29.171178350000002</v>
      </c>
      <c r="CI76">
        <f ca="1">IFERROR(IF(0=LEN(ReferenceData!$CI$76),"",ReferenceData!$CI$76),"")</f>
        <v>27.279860200000002</v>
      </c>
      <c r="CJ76">
        <f ca="1">IFERROR(IF(0=LEN(ReferenceData!$CJ$76),"",ReferenceData!$CJ$76),"")</f>
        <v>24.953430040000001</v>
      </c>
      <c r="CK76">
        <f ca="1">IFERROR(IF(0=LEN(ReferenceData!$CK$76),"",ReferenceData!$CK$76),"")</f>
        <v>25.168143430000001</v>
      </c>
    </row>
    <row r="77" spans="1:89">
      <c r="A77" t="str">
        <f>IFERROR(IF(0=LEN(ReferenceData!$A$77),"",ReferenceData!$A$77),"")</f>
        <v xml:space="preserve">    AvalonBay社区股份有限公司</v>
      </c>
      <c r="B77" t="str">
        <f>IFERROR(IF(0=LEN(ReferenceData!$B$77),"",ReferenceData!$B$77),"")</f>
        <v>AVB US Equity</v>
      </c>
      <c r="C77" t="str">
        <f>IFERROR(IF(0=LEN(ReferenceData!$C$77),"",ReferenceData!$C$77),"")</f>
        <v>F0891</v>
      </c>
      <c r="D77" t="str">
        <f>IFERROR(IF(0=LEN(ReferenceData!$D$77),"",ReferenceData!$D$77),"")</f>
        <v>PRICE_TO_FAD_PS</v>
      </c>
      <c r="E77" t="str">
        <f>IFERROR(IF(0=LEN(ReferenceData!$E$77),"",ReferenceData!$E$77),"")</f>
        <v>动态</v>
      </c>
      <c r="F77">
        <f ca="1">IFERROR(IF(0=LEN(ReferenceData!$F$77),"",ReferenceData!$F$77),"")</f>
        <v>19.51528527</v>
      </c>
      <c r="G77">
        <f ca="1">IFERROR(IF(0=LEN(ReferenceData!$G$77),"",ReferenceData!$G$77),"")</f>
        <v>18.848426450000002</v>
      </c>
      <c r="H77">
        <f ca="1">IFERROR(IF(0=LEN(ReferenceData!$H$77),"",ReferenceData!$H$77),"")</f>
        <v>20.585642010000001</v>
      </c>
      <c r="I77">
        <f ca="1">IFERROR(IF(0=LEN(ReferenceData!$I$77),"",ReferenceData!$I$77),"")</f>
        <v>21.553312160000001</v>
      </c>
      <c r="J77">
        <f ca="1">IFERROR(IF(0=LEN(ReferenceData!$J$77),"",ReferenceData!$J$77),"")</f>
        <v>22.235134219999999</v>
      </c>
      <c r="K77">
        <f ca="1">IFERROR(IF(0=LEN(ReferenceData!$K$77),"",ReferenceData!$K$77),"")</f>
        <v>22.235134219999999</v>
      </c>
      <c r="L77">
        <f ca="1">IFERROR(IF(0=LEN(ReferenceData!$L$77),"",ReferenceData!$L$77),"")</f>
        <v>21.8783028</v>
      </c>
      <c r="M77">
        <f ca="1">IFERROR(IF(0=LEN(ReferenceData!$M$77),"",ReferenceData!$M$77),"")</f>
        <v>23.347515300000001</v>
      </c>
      <c r="N77">
        <f ca="1">IFERROR(IF(0=LEN(ReferenceData!$N$77),"",ReferenceData!$N$77),"")</f>
        <v>23.92209326</v>
      </c>
      <c r="O77">
        <f ca="1">IFERROR(IF(0=LEN(ReferenceData!$O$77),"",ReferenceData!$O$77),"")</f>
        <v>23.899707100000001</v>
      </c>
      <c r="P77">
        <f ca="1">IFERROR(IF(0=LEN(ReferenceData!$P$77),"",ReferenceData!$P$77),"")</f>
        <v>23.96003211</v>
      </c>
      <c r="Q77">
        <f ca="1">IFERROR(IF(0=LEN(ReferenceData!$Q$77),"",ReferenceData!$Q$77),"")</f>
        <v>23.78462923</v>
      </c>
      <c r="R77">
        <f ca="1">IFERROR(IF(0=LEN(ReferenceData!$R$77),"",ReferenceData!$R$77),"")</f>
        <v>23.002833580000001</v>
      </c>
      <c r="S77">
        <f ca="1">IFERROR(IF(0=LEN(ReferenceData!$S$77),"",ReferenceData!$S$77),"")</f>
        <v>23.3886064</v>
      </c>
      <c r="T77">
        <f ca="1">IFERROR(IF(0=LEN(ReferenceData!$T$77),"",ReferenceData!$T$77),"")</f>
        <v>22.056150689999999</v>
      </c>
      <c r="U77">
        <f ca="1">IFERROR(IF(0=LEN(ReferenceData!$U$77),"",ReferenceData!$U$77),"")</f>
        <v>22.544845049999999</v>
      </c>
      <c r="V77">
        <f ca="1">IFERROR(IF(0=LEN(ReferenceData!$V$77),"",ReferenceData!$V$77),"")</f>
        <v>21.307920110000001</v>
      </c>
      <c r="W77">
        <f ca="1">IFERROR(IF(0=LEN(ReferenceData!$W$77),"",ReferenceData!$W$77),"")</f>
        <v>22.17453806</v>
      </c>
      <c r="X77">
        <f ca="1">IFERROR(IF(0=LEN(ReferenceData!$X$77),"",ReferenceData!$X$77),"")</f>
        <v>23.037269819999999</v>
      </c>
      <c r="Y77">
        <f ca="1">IFERROR(IF(0=LEN(ReferenceData!$Y$77),"",ReferenceData!$Y$77),"")</f>
        <v>23.09402231</v>
      </c>
      <c r="Z77">
        <f ca="1">IFERROR(IF(0=LEN(ReferenceData!$Z$77),"",ReferenceData!$Z$77),"")</f>
        <v>24.49805864</v>
      </c>
      <c r="AA77">
        <f ca="1">IFERROR(IF(0=LEN(ReferenceData!$AA$77),"",ReferenceData!$AA$77),"")</f>
        <v>23.803957969999999</v>
      </c>
      <c r="AB77">
        <f ca="1">IFERROR(IF(0=LEN(ReferenceData!$AB$77),"",ReferenceData!$AB$77),"")</f>
        <v>24.229800269999998</v>
      </c>
      <c r="AC77">
        <f ca="1">IFERROR(IF(0=LEN(ReferenceData!$AC$77),"",ReferenceData!$AC$77),"")</f>
        <v>23.81357788</v>
      </c>
      <c r="AD77">
        <f ca="1">IFERROR(IF(0=LEN(ReferenceData!$AD$77),"",ReferenceData!$AD$77),"")</f>
        <v>25.61990222</v>
      </c>
      <c r="AE77">
        <f ca="1">IFERROR(IF(0=LEN(ReferenceData!$AE$77),"",ReferenceData!$AE$77),"")</f>
        <v>23.801863560000001</v>
      </c>
      <c r="AF77">
        <f ca="1">IFERROR(IF(0=LEN(ReferenceData!$AF$77),"",ReferenceData!$AF$77),"")</f>
        <v>23.781062590000001</v>
      </c>
      <c r="AG77">
        <f ca="1">IFERROR(IF(0=LEN(ReferenceData!$AG$77),"",ReferenceData!$AG$77),"")</f>
        <v>25.53389151</v>
      </c>
      <c r="AH77">
        <f ca="1">IFERROR(IF(0=LEN(ReferenceData!$AH$77),"",ReferenceData!$AH$77),"")</f>
        <v>26.152266189999999</v>
      </c>
      <c r="AI77">
        <f ca="1">IFERROR(IF(0=LEN(ReferenceData!$AI$77),"",ReferenceData!$AI$77),"")</f>
        <v>25.15100224</v>
      </c>
      <c r="AJ77">
        <f ca="1">IFERROR(IF(0=LEN(ReferenceData!$AJ$77),"",ReferenceData!$AJ$77),"")</f>
        <v>25.149563650000001</v>
      </c>
      <c r="AK77">
        <f ca="1">IFERROR(IF(0=LEN(ReferenceData!$AK$77),"",ReferenceData!$AK$77),"")</f>
        <v>24.410054779999999</v>
      </c>
      <c r="AL77">
        <f ca="1">IFERROR(IF(0=LEN(ReferenceData!$AL$77),"",ReferenceData!$AL$77),"")</f>
        <v>25.486664489999999</v>
      </c>
      <c r="AM77">
        <f ca="1">IFERROR(IF(0=LEN(ReferenceData!$AM$77),"",ReferenceData!$AM$77),"")</f>
        <v>23.642526700000001</v>
      </c>
      <c r="AN77">
        <f ca="1">IFERROR(IF(0=LEN(ReferenceData!$AN$77),"",ReferenceData!$AN$77),"")</f>
        <v>25.172626900000001</v>
      </c>
      <c r="AO77">
        <f ca="1">IFERROR(IF(0=LEN(ReferenceData!$AO$77),"",ReferenceData!$AO$77),"")</f>
        <v>24.846063099999999</v>
      </c>
      <c r="AP77">
        <f ca="1">IFERROR(IF(0=LEN(ReferenceData!$AP$77),"",ReferenceData!$AP$77),"")</f>
        <v>26.344325749999999</v>
      </c>
      <c r="AQ77">
        <f ca="1">IFERROR(IF(0=LEN(ReferenceData!$AQ$77),"",ReferenceData!$AQ$77),"")</f>
        <v>25.89073934</v>
      </c>
      <c r="AR77">
        <f ca="1">IFERROR(IF(0=LEN(ReferenceData!$AR$77),"",ReferenceData!$AR$77),"")</f>
        <v>26.605910649999998</v>
      </c>
      <c r="AS77">
        <f ca="1">IFERROR(IF(0=LEN(ReferenceData!$AS$77),"",ReferenceData!$AS$77),"")</f>
        <v>25.12942795</v>
      </c>
      <c r="AT77">
        <f ca="1">IFERROR(IF(0=LEN(ReferenceData!$AT$77),"",ReferenceData!$AT$77),"")</f>
        <v>25.264678029999999</v>
      </c>
      <c r="AU77">
        <f ca="1">IFERROR(IF(0=LEN(ReferenceData!$AU$77),"",ReferenceData!$AU$77),"")</f>
        <v>24.48689237</v>
      </c>
      <c r="AV77">
        <f ca="1">IFERROR(IF(0=LEN(ReferenceData!$AV$77),"",ReferenceData!$AV$77),"")</f>
        <v>22.15039282</v>
      </c>
      <c r="AW77">
        <f ca="1">IFERROR(IF(0=LEN(ReferenceData!$AW$77),"",ReferenceData!$AW$77),"")</f>
        <v>24.602028870000002</v>
      </c>
      <c r="AX77">
        <f ca="1">IFERROR(IF(0=LEN(ReferenceData!$AX$77),"",ReferenceData!$AX$77),"")</f>
        <v>23.640937279999999</v>
      </c>
      <c r="AY77">
        <f ca="1">IFERROR(IF(0=LEN(ReferenceData!$AY$77),"",ReferenceData!$AY$77),"")</f>
        <v>22.70060016</v>
      </c>
      <c r="AZ77">
        <f ca="1">IFERROR(IF(0=LEN(ReferenceData!$AZ$77),"",ReferenceData!$AZ$77),"")</f>
        <v>22.957668139999999</v>
      </c>
      <c r="BA77">
        <f ca="1">IFERROR(IF(0=LEN(ReferenceData!$BA$77),"",ReferenceData!$BA$77),"")</f>
        <v>22.101449410000001</v>
      </c>
      <c r="BB77">
        <f ca="1">IFERROR(IF(0=LEN(ReferenceData!$BB$77),"",ReferenceData!$BB$77),"")</f>
        <v>21.25494205</v>
      </c>
      <c r="BC77">
        <f ca="1">IFERROR(IF(0=LEN(ReferenceData!$BC$77),"",ReferenceData!$BC$77),"")</f>
        <v>21.817853929999998</v>
      </c>
      <c r="BD77">
        <f ca="1">IFERROR(IF(0=LEN(ReferenceData!$BD$77),"",ReferenceData!$BD$77),"")</f>
        <v>20.892494070000001</v>
      </c>
      <c r="BE77">
        <f ca="1">IFERROR(IF(0=LEN(ReferenceData!$BE$77),"",ReferenceData!$BE$77),"")</f>
        <v>20.00096821</v>
      </c>
      <c r="BF77">
        <f ca="1">IFERROR(IF(0=LEN(ReferenceData!$BF$77),"",ReferenceData!$BF$77),"")</f>
        <v>21.132878739999999</v>
      </c>
      <c r="BG77">
        <f ca="1">IFERROR(IF(0=LEN(ReferenceData!$BG$77),"",ReferenceData!$BG$77),"")</f>
        <v>22.28969708</v>
      </c>
      <c r="BH77">
        <f ca="1">IFERROR(IF(0=LEN(ReferenceData!$BH$77),"",ReferenceData!$BH$77),"")</f>
        <v>22.653319490000001</v>
      </c>
      <c r="BI77">
        <f ca="1">IFERROR(IF(0=LEN(ReferenceData!$BI$77),"",ReferenceData!$BI$77),"")</f>
        <v>22.862859310000001</v>
      </c>
      <c r="BJ77">
        <f ca="1">IFERROR(IF(0=LEN(ReferenceData!$BJ$77),"",ReferenceData!$BJ$77),"")</f>
        <v>24.973844870000001</v>
      </c>
      <c r="BK77">
        <f ca="1">IFERROR(IF(0=LEN(ReferenceData!$BK$77),"",ReferenceData!$BK$77),"")</f>
        <v>24.894498380000002</v>
      </c>
      <c r="BL77">
        <f ca="1">IFERROR(IF(0=LEN(ReferenceData!$BL$77),"",ReferenceData!$BL$77),"")</f>
        <v>25.795995829999999</v>
      </c>
      <c r="BM77">
        <f ca="1">IFERROR(IF(0=LEN(ReferenceData!$BM$77),"",ReferenceData!$BM$77),"")</f>
        <v>25.869887569999999</v>
      </c>
      <c r="BN77">
        <f ca="1">IFERROR(IF(0=LEN(ReferenceData!$BN$77),"",ReferenceData!$BN$77),"")</f>
        <v>24.63122864</v>
      </c>
      <c r="BO77">
        <f ca="1">IFERROR(IF(0=LEN(ReferenceData!$BO$77),"",ReferenceData!$BO$77),"")</f>
        <v>24.697427399999999</v>
      </c>
      <c r="BP77">
        <f ca="1">IFERROR(IF(0=LEN(ReferenceData!$BP$77),"",ReferenceData!$BP$77),"")</f>
        <v>25.67875592</v>
      </c>
      <c r="BQ77">
        <f ca="1">IFERROR(IF(0=LEN(ReferenceData!$BQ$77),"",ReferenceData!$BQ$77),"")</f>
        <v>26.826277180000002</v>
      </c>
      <c r="BR77">
        <f ca="1">IFERROR(IF(0=LEN(ReferenceData!$BR$77),"",ReferenceData!$BR$77),"")</f>
        <v>26.103738100000001</v>
      </c>
      <c r="BS77">
        <f ca="1">IFERROR(IF(0=LEN(ReferenceData!$BS$77),"",ReferenceData!$BS$77),"")</f>
        <v>26.85046466</v>
      </c>
      <c r="BT77">
        <f ca="1">IFERROR(IF(0=LEN(ReferenceData!$BT$77),"",ReferenceData!$BT$77),"")</f>
        <v>26.935635059999999</v>
      </c>
      <c r="BU77">
        <f ca="1">IFERROR(IF(0=LEN(ReferenceData!$BU$77),"",ReferenceData!$BU$77),"")</f>
        <v>29.574096770000001</v>
      </c>
      <c r="BV77">
        <f ca="1">IFERROR(IF(0=LEN(ReferenceData!$BV$77),"",ReferenceData!$BV$77),"")</f>
        <v>30.738085739999999</v>
      </c>
      <c r="BW77">
        <f ca="1">IFERROR(IF(0=LEN(ReferenceData!$BW$77),"",ReferenceData!$BW$77),"")</f>
        <v>29.565737779999999</v>
      </c>
      <c r="BX77">
        <f ca="1">IFERROR(IF(0=LEN(ReferenceData!$BX$77),"",ReferenceData!$BX$77),"")</f>
        <v>30.473179510000001</v>
      </c>
      <c r="BY77">
        <f ca="1">IFERROR(IF(0=LEN(ReferenceData!$BY$77),"",ReferenceData!$BY$77),"")</f>
        <v>31.705189990000001</v>
      </c>
      <c r="BZ77">
        <f ca="1">IFERROR(IF(0=LEN(ReferenceData!$BZ$77),"",ReferenceData!$BZ$77),"")</f>
        <v>30.822067430000001</v>
      </c>
      <c r="CA77">
        <f ca="1">IFERROR(IF(0=LEN(ReferenceData!$CA$77),"",ReferenceData!$CA$77),"")</f>
        <v>29.551541010000001</v>
      </c>
      <c r="CB77">
        <f ca="1">IFERROR(IF(0=LEN(ReferenceData!$CB$77),"",ReferenceData!$CB$77),"")</f>
        <v>30.996414690000002</v>
      </c>
      <c r="CC77">
        <f ca="1">IFERROR(IF(0=LEN(ReferenceData!$CC$77),"",ReferenceData!$CC$77),"")</f>
        <v>29.763486199999999</v>
      </c>
      <c r="CD77">
        <f ca="1">IFERROR(IF(0=LEN(ReferenceData!$CD$77),"",ReferenceData!$CD$77),"")</f>
        <v>30.209422799999999</v>
      </c>
      <c r="CE77">
        <f ca="1">IFERROR(IF(0=LEN(ReferenceData!$CE$77),"",ReferenceData!$CE$77),"")</f>
        <v>32.348399950000001</v>
      </c>
      <c r="CF77">
        <f ca="1">IFERROR(IF(0=LEN(ReferenceData!$CF$77),"",ReferenceData!$CF$77),"")</f>
        <v>27.59619279</v>
      </c>
      <c r="CG77">
        <f ca="1">IFERROR(IF(0=LEN(ReferenceData!$CG$77),"",ReferenceData!$CG$77),"")</f>
        <v>34.513447890000002</v>
      </c>
      <c r="CH77">
        <f ca="1">IFERROR(IF(0=LEN(ReferenceData!$CH$77),"",ReferenceData!$CH$77),"")</f>
        <v>33.959228430000003</v>
      </c>
      <c r="CI77">
        <f ca="1">IFERROR(IF(0=LEN(ReferenceData!$CI$77),"",ReferenceData!$CI$77),"")</f>
        <v>32.493963260000001</v>
      </c>
      <c r="CJ77">
        <f ca="1">IFERROR(IF(0=LEN(ReferenceData!$CJ$77),"",ReferenceData!$CJ$77),"")</f>
        <v>34.507917190000001</v>
      </c>
      <c r="CK77">
        <f ca="1">IFERROR(IF(0=LEN(ReferenceData!$CK$77),"",ReferenceData!$CK$77),"")</f>
        <v>32.83270005</v>
      </c>
    </row>
    <row r="78" spans="1:89">
      <c r="A78" t="str">
        <f>IFERROR(IF(0=LEN(ReferenceData!$A$78),"",ReferenceData!$A$78),"")</f>
        <v xml:space="preserve">    Camden 房地产信托公司</v>
      </c>
      <c r="B78" t="str">
        <f>IFERROR(IF(0=LEN(ReferenceData!$B$78),"",ReferenceData!$B$78),"")</f>
        <v>CPT US Equity</v>
      </c>
      <c r="C78" t="str">
        <f>IFERROR(IF(0=LEN(ReferenceData!$C$78),"",ReferenceData!$C$78),"")</f>
        <v>F0891</v>
      </c>
      <c r="D78" t="str">
        <f>IFERROR(IF(0=LEN(ReferenceData!$D$78),"",ReferenceData!$D$78),"")</f>
        <v>PRICE_TO_FAD_PS</v>
      </c>
      <c r="E78" t="str">
        <f>IFERROR(IF(0=LEN(ReferenceData!$E$78),"",ReferenceData!$E$78),"")</f>
        <v>动态</v>
      </c>
      <c r="F78">
        <f ca="1">IFERROR(IF(0=LEN(ReferenceData!$F$78),"",ReferenceData!$F$78),"")</f>
        <v>21.545972639999999</v>
      </c>
      <c r="G78">
        <f ca="1">IFERROR(IF(0=LEN(ReferenceData!$G$78),"",ReferenceData!$G$78),"")</f>
        <v>20.75945218</v>
      </c>
      <c r="H78">
        <f ca="1">IFERROR(IF(0=LEN(ReferenceData!$H$78),"",ReferenceData!$H$78),"")</f>
        <v>22.543447260000001</v>
      </c>
      <c r="I78">
        <f ca="1">IFERROR(IF(0=LEN(ReferenceData!$I$78),"",ReferenceData!$I$78),"")</f>
        <v>23.975852060000001</v>
      </c>
      <c r="J78">
        <f ca="1">IFERROR(IF(0=LEN(ReferenceData!$J$78),"",ReferenceData!$J$78),"")</f>
        <v>23.687666490000002</v>
      </c>
      <c r="K78">
        <f ca="1">IFERROR(IF(0=LEN(ReferenceData!$K$78),"",ReferenceData!$K$78),"")</f>
        <v>23.67728627</v>
      </c>
      <c r="L78">
        <f ca="1">IFERROR(IF(0=LEN(ReferenceData!$L$78),"",ReferenceData!$L$78),"")</f>
        <v>23.731782429999999</v>
      </c>
      <c r="M78">
        <f ca="1">IFERROR(IF(0=LEN(ReferenceData!$M$78),"",ReferenceData!$M$78),"")</f>
        <v>23.19315181</v>
      </c>
      <c r="N78">
        <f ca="1">IFERROR(IF(0=LEN(ReferenceData!$N$78),"",ReferenceData!$N$78),"")</f>
        <v>23.250175649999999</v>
      </c>
      <c r="O78">
        <f ca="1">IFERROR(IF(0=LEN(ReferenceData!$O$78),"",ReferenceData!$O$78),"")</f>
        <v>22.164130660000001</v>
      </c>
      <c r="P78">
        <f ca="1">IFERROR(IF(0=LEN(ReferenceData!$P$78),"",ReferenceData!$P$78),"")</f>
        <v>21.493076439999999</v>
      </c>
      <c r="Q78">
        <f ca="1">IFERROR(IF(0=LEN(ReferenceData!$Q$78),"",ReferenceData!$Q$78),"")</f>
        <v>21.240247069999999</v>
      </c>
      <c r="R78">
        <f ca="1">IFERROR(IF(0=LEN(ReferenceData!$R$78),"",ReferenceData!$R$78),"")</f>
        <v>20.75780735</v>
      </c>
      <c r="S78">
        <f ca="1">IFERROR(IF(0=LEN(ReferenceData!$S$78),"",ReferenceData!$S$78),"")</f>
        <v>21.206544489999999</v>
      </c>
      <c r="T78">
        <f ca="1">IFERROR(IF(0=LEN(ReferenceData!$T$78),"",ReferenceData!$T$78),"")</f>
        <v>20.935982549999999</v>
      </c>
      <c r="U78">
        <f ca="1">IFERROR(IF(0=LEN(ReferenceData!$U$78),"",ReferenceData!$U$78),"")</f>
        <v>21.061242700000001</v>
      </c>
      <c r="V78">
        <f ca="1">IFERROR(IF(0=LEN(ReferenceData!$V$78),"",ReferenceData!$V$78),"")</f>
        <v>19.58443518</v>
      </c>
      <c r="W78">
        <f ca="1">IFERROR(IF(0=LEN(ReferenceData!$W$78),"",ReferenceData!$W$78),"")</f>
        <v>20.2637073</v>
      </c>
      <c r="X78">
        <f ca="1">IFERROR(IF(0=LEN(ReferenceData!$X$78),"",ReferenceData!$X$78),"")</f>
        <v>20.835987830000001</v>
      </c>
      <c r="Y78">
        <f ca="1">IFERROR(IF(0=LEN(ReferenceData!$Y$78),"",ReferenceData!$Y$78),"")</f>
        <v>21.744312470000001</v>
      </c>
      <c r="Z78">
        <f ca="1">IFERROR(IF(0=LEN(ReferenceData!$Z$78),"",ReferenceData!$Z$78),"")</f>
        <v>22.195202850000001</v>
      </c>
      <c r="AA78">
        <f ca="1">IFERROR(IF(0=LEN(ReferenceData!$AA$78),"",ReferenceData!$AA$78),"")</f>
        <v>21.905344750000001</v>
      </c>
      <c r="AB78">
        <f ca="1">IFERROR(IF(0=LEN(ReferenceData!$AB$78),"",ReferenceData!$AB$78),"")</f>
        <v>21.456523499999999</v>
      </c>
      <c r="AC78">
        <f ca="1">IFERROR(IF(0=LEN(ReferenceData!$AC$78),"",ReferenceData!$AC$78),"")</f>
        <v>20.328425559999999</v>
      </c>
      <c r="AD78">
        <f ca="1">IFERROR(IF(0=LEN(ReferenceData!$AD$78),"",ReferenceData!$AD$78),"")</f>
        <v>21.174499019999999</v>
      </c>
      <c r="AE78">
        <f ca="1">IFERROR(IF(0=LEN(ReferenceData!$AE$78),"",ReferenceData!$AE$78),"")</f>
        <v>19.314578690000001</v>
      </c>
      <c r="AF78">
        <f ca="1">IFERROR(IF(0=LEN(ReferenceData!$AF$78),"",ReferenceData!$AF$78),"")</f>
        <v>19.71771948</v>
      </c>
      <c r="AG78">
        <f ca="1">IFERROR(IF(0=LEN(ReferenceData!$AG$78),"",ReferenceData!$AG$78),"")</f>
        <v>19.83659433</v>
      </c>
      <c r="AH78">
        <f ca="1">IFERROR(IF(0=LEN(ReferenceData!$AH$78),"",ReferenceData!$AH$78),"")</f>
        <v>19.623858779999999</v>
      </c>
      <c r="AI78">
        <f ca="1">IFERROR(IF(0=LEN(ReferenceData!$AI$78),"",ReferenceData!$AI$78),"")</f>
        <v>18.958425500000001</v>
      </c>
      <c r="AJ78">
        <f ca="1">IFERROR(IF(0=LEN(ReferenceData!$AJ$78),"",ReferenceData!$AJ$78),"")</f>
        <v>18.986687140000001</v>
      </c>
      <c r="AK78">
        <f ca="1">IFERROR(IF(0=LEN(ReferenceData!$AK$78),"",ReferenceData!$AK$78),"")</f>
        <v>18.28963371</v>
      </c>
      <c r="AL78">
        <f ca="1">IFERROR(IF(0=LEN(ReferenceData!$AL$78),"",ReferenceData!$AL$78),"")</f>
        <v>20.219402089999999</v>
      </c>
      <c r="AM78">
        <f ca="1">IFERROR(IF(0=LEN(ReferenceData!$AM$78),"",ReferenceData!$AM$78),"")</f>
        <v>18.860946720000001</v>
      </c>
      <c r="AN78">
        <f ca="1">IFERROR(IF(0=LEN(ReferenceData!$AN$78),"",ReferenceData!$AN$78),"")</f>
        <v>18.79768675</v>
      </c>
      <c r="AO78">
        <f ca="1">IFERROR(IF(0=LEN(ReferenceData!$AO$78),"",ReferenceData!$AO$78),"")</f>
        <v>18.822757020000001</v>
      </c>
      <c r="AP78">
        <f ca="1">IFERROR(IF(0=LEN(ReferenceData!$AP$78),"",ReferenceData!$AP$78),"")</f>
        <v>19.58740019</v>
      </c>
      <c r="AQ78">
        <f ca="1">IFERROR(IF(0=LEN(ReferenceData!$AQ$78),"",ReferenceData!$AQ$78),"")</f>
        <v>18.325824669999999</v>
      </c>
      <c r="AR78">
        <f ca="1">IFERROR(IF(0=LEN(ReferenceData!$AR$78),"",ReferenceData!$AR$78),"")</f>
        <v>19.398334810000001</v>
      </c>
      <c r="AS78">
        <f ca="1">IFERROR(IF(0=LEN(ReferenceData!$AS$78),"",ReferenceData!$AS$78),"")</f>
        <v>18.590175760000001</v>
      </c>
      <c r="AT78">
        <f ca="1">IFERROR(IF(0=LEN(ReferenceData!$AT$78),"",ReferenceData!$AT$78),"")</f>
        <v>19.423672029999999</v>
      </c>
      <c r="AU78">
        <f ca="1">IFERROR(IF(0=LEN(ReferenceData!$AU$78),"",ReferenceData!$AU$78),"")</f>
        <v>19.42113895</v>
      </c>
      <c r="AV78">
        <f ca="1">IFERROR(IF(0=LEN(ReferenceData!$AV$78),"",ReferenceData!$AV$78),"")</f>
        <v>17.359210279999999</v>
      </c>
      <c r="AW78">
        <f ca="1">IFERROR(IF(0=LEN(ReferenceData!$AW$78),"",ReferenceData!$AW$78),"")</f>
        <v>19.095174239999999</v>
      </c>
      <c r="AX78">
        <f ca="1">IFERROR(IF(0=LEN(ReferenceData!$AX$78),"",ReferenceData!$AX$78),"")</f>
        <v>18.46241058</v>
      </c>
      <c r="AY78">
        <f ca="1">IFERROR(IF(0=LEN(ReferenceData!$AY$78),"",ReferenceData!$AY$78),"")</f>
        <v>18.153683149999999</v>
      </c>
      <c r="AZ78">
        <f ca="1">IFERROR(IF(0=LEN(ReferenceData!$AZ$78),"",ReferenceData!$AZ$78),"")</f>
        <v>18.040954419999998</v>
      </c>
      <c r="BA78">
        <f ca="1">IFERROR(IF(0=LEN(ReferenceData!$BA$78),"",ReferenceData!$BA$78),"")</f>
        <v>17.591471640000002</v>
      </c>
      <c r="BB78">
        <f ca="1">IFERROR(IF(0=LEN(ReferenceData!$BB$78),"",ReferenceData!$BB$78),"")</f>
        <v>17.296097249999999</v>
      </c>
      <c r="BC78">
        <f ca="1">IFERROR(IF(0=LEN(ReferenceData!$BC$78),"",ReferenceData!$BC$78),"")</f>
        <v>17.536233360000001</v>
      </c>
      <c r="BD78">
        <f ca="1">IFERROR(IF(0=LEN(ReferenceData!$BD$78),"",ReferenceData!$BD$78),"")</f>
        <v>16.25322259</v>
      </c>
      <c r="BE78">
        <f ca="1">IFERROR(IF(0=LEN(ReferenceData!$BE$78),"",ReferenceData!$BE$78),"")</f>
        <v>14.954437090000001</v>
      </c>
      <c r="BF78">
        <f ca="1">IFERROR(IF(0=LEN(ReferenceData!$BF$78),"",ReferenceData!$BF$78),"")</f>
        <v>15.70994417</v>
      </c>
      <c r="BG78">
        <f ca="1">IFERROR(IF(0=LEN(ReferenceData!$BG$78),"",ReferenceData!$BG$78),"")</f>
        <v>17.413301369999999</v>
      </c>
      <c r="BH78">
        <f ca="1">IFERROR(IF(0=LEN(ReferenceData!$BH$78),"",ReferenceData!$BH$78),"")</f>
        <v>16.664692160000001</v>
      </c>
      <c r="BI78">
        <f ca="1">IFERROR(IF(0=LEN(ReferenceData!$BI$78),"",ReferenceData!$BI$78),"")</f>
        <v>17.360536110000002</v>
      </c>
      <c r="BJ78">
        <f ca="1">IFERROR(IF(0=LEN(ReferenceData!$BJ$78),"",ReferenceData!$BJ$78),"")</f>
        <v>19.818938620000001</v>
      </c>
      <c r="BK78">
        <f ca="1">IFERROR(IF(0=LEN(ReferenceData!$BK$78),"",ReferenceData!$BK$78),"")</f>
        <v>19.425594220000001</v>
      </c>
      <c r="BL78">
        <f ca="1">IFERROR(IF(0=LEN(ReferenceData!$BL$78),"",ReferenceData!$BL$78),"")</f>
        <v>20.2457016</v>
      </c>
      <c r="BM78">
        <f ca="1">IFERROR(IF(0=LEN(ReferenceData!$BM$78),"",ReferenceData!$BM$78),"")</f>
        <v>21.14908381</v>
      </c>
      <c r="BN78">
        <f ca="1">IFERROR(IF(0=LEN(ReferenceData!$BN$78),"",ReferenceData!$BN$78),"")</f>
        <v>20.079058280000002</v>
      </c>
      <c r="BO78">
        <f ca="1">IFERROR(IF(0=LEN(ReferenceData!$BO$78),"",ReferenceData!$BO$78),"")</f>
        <v>21.116389649999999</v>
      </c>
      <c r="BP78">
        <f ca="1">IFERROR(IF(0=LEN(ReferenceData!$BP$78),"",ReferenceData!$BP$78),"")</f>
        <v>21.19274338</v>
      </c>
      <c r="BQ78">
        <f ca="1">IFERROR(IF(0=LEN(ReferenceData!$BQ$78),"",ReferenceData!$BQ$78),"")</f>
        <v>20.832353739999999</v>
      </c>
      <c r="BR78">
        <f ca="1">IFERROR(IF(0=LEN(ReferenceData!$BR$78),"",ReferenceData!$BR$78),"")</f>
        <v>20.957449709999999</v>
      </c>
      <c r="BS78">
        <f ca="1">IFERROR(IF(0=LEN(ReferenceData!$BS$78),"",ReferenceData!$BS$78),"")</f>
        <v>20.935120619999999</v>
      </c>
      <c r="BT78">
        <f ca="1">IFERROR(IF(0=LEN(ReferenceData!$BT$78),"",ReferenceData!$BT$78),"")</f>
        <v>20.571475370000002</v>
      </c>
      <c r="BU78">
        <f ca="1">IFERROR(IF(0=LEN(ReferenceData!$BU$78),"",ReferenceData!$BU$78),"")</f>
        <v>23.39376597</v>
      </c>
      <c r="BV78">
        <f ca="1">IFERROR(IF(0=LEN(ReferenceData!$BV$78),"",ReferenceData!$BV$78),"")</f>
        <v>24.027213759999999</v>
      </c>
      <c r="BW78">
        <f ca="1">IFERROR(IF(0=LEN(ReferenceData!$BW$78),"",ReferenceData!$BW$78),"")</f>
        <v>22.80075102</v>
      </c>
      <c r="BX78">
        <f ca="1">IFERROR(IF(0=LEN(ReferenceData!$BX$78),"",ReferenceData!$BX$78),"")</f>
        <v>26.332729350000001</v>
      </c>
      <c r="BY78">
        <f ca="1">IFERROR(IF(0=LEN(ReferenceData!$BY$78),"",ReferenceData!$BY$78),"")</f>
        <v>27.36808164</v>
      </c>
      <c r="BZ78">
        <f ca="1">IFERROR(IF(0=LEN(ReferenceData!$BZ$78),"",ReferenceData!$BZ$78),"")</f>
        <v>26.591567430000001</v>
      </c>
      <c r="CA78">
        <f ca="1">IFERROR(IF(0=LEN(ReferenceData!$CA$78),"",ReferenceData!$CA$78),"")</f>
        <v>26.312502609999999</v>
      </c>
      <c r="CB78">
        <f ca="1">IFERROR(IF(0=LEN(ReferenceData!$CB$78),"",ReferenceData!$CB$78),"")</f>
        <v>27.373490619999998</v>
      </c>
      <c r="CC78">
        <f ca="1">IFERROR(IF(0=LEN(ReferenceData!$CC$78),"",ReferenceData!$CC$78),"")</f>
        <v>26.414357460000002</v>
      </c>
      <c r="CD78">
        <f ca="1">IFERROR(IF(0=LEN(ReferenceData!$CD$78),"",ReferenceData!$CD$78),"")</f>
        <v>25.535070359999999</v>
      </c>
      <c r="CE78">
        <f ca="1">IFERROR(IF(0=LEN(ReferenceData!$CE$78),"",ReferenceData!$CE$78),"")</f>
        <v>26.822218370000002</v>
      </c>
      <c r="CF78">
        <f ca="1">IFERROR(IF(0=LEN(ReferenceData!$CF$78),"",ReferenceData!$CF$78),"")</f>
        <v>24.442542670000002</v>
      </c>
      <c r="CG78">
        <f ca="1">IFERROR(IF(0=LEN(ReferenceData!$CG$78),"",ReferenceData!$CG$78),"")</f>
        <v>31.178927980000001</v>
      </c>
      <c r="CH78">
        <f ca="1">IFERROR(IF(0=LEN(ReferenceData!$CH$78),"",ReferenceData!$CH$78),"")</f>
        <v>31.295580659999999</v>
      </c>
      <c r="CI78">
        <f ca="1">IFERROR(IF(0=LEN(ReferenceData!$CI$78),"",ReferenceData!$CI$78),"")</f>
        <v>29.685773690000001</v>
      </c>
      <c r="CJ78">
        <f ca="1">IFERROR(IF(0=LEN(ReferenceData!$CJ$78),"",ReferenceData!$CJ$78),"")</f>
        <v>26.87393264</v>
      </c>
      <c r="CK78">
        <f ca="1">IFERROR(IF(0=LEN(ReferenceData!$CK$78),"",ReferenceData!$CK$78),"")</f>
        <v>26.234276189999999</v>
      </c>
    </row>
    <row r="79" spans="1:89">
      <c r="A79" t="str">
        <f>IFERROR(IF(0=LEN(ReferenceData!$A$79),"",ReferenceData!$A$79),"")</f>
        <v xml:space="preserve">    公寓物业权益信托</v>
      </c>
      <c r="B79" t="str">
        <f>IFERROR(IF(0=LEN(ReferenceData!$B$79),"",ReferenceData!$B$79),"")</f>
        <v>EQR US Equity</v>
      </c>
      <c r="C79" t="str">
        <f>IFERROR(IF(0=LEN(ReferenceData!$C$79),"",ReferenceData!$C$79),"")</f>
        <v>F0891</v>
      </c>
      <c r="D79" t="str">
        <f>IFERROR(IF(0=LEN(ReferenceData!$D$79),"",ReferenceData!$D$79),"")</f>
        <v>PRICE_TO_FAD_PS</v>
      </c>
      <c r="E79" t="str">
        <f>IFERROR(IF(0=LEN(ReferenceData!$E$79),"",ReferenceData!$E$79),"")</f>
        <v>动态</v>
      </c>
      <c r="F79">
        <f ca="1">IFERROR(IF(0=LEN(ReferenceData!$F$79),"",ReferenceData!$F$79),"")</f>
        <v>20.385625659999999</v>
      </c>
      <c r="G79">
        <f ca="1">IFERROR(IF(0=LEN(ReferenceData!$G$79),"",ReferenceData!$G$79),"")</f>
        <v>19.307457490000001</v>
      </c>
      <c r="H79">
        <f ca="1">IFERROR(IF(0=LEN(ReferenceData!$H$79),"",ReferenceData!$H$79),"")</f>
        <v>21.154765359999999</v>
      </c>
      <c r="I79">
        <f ca="1">IFERROR(IF(0=LEN(ReferenceData!$I$79),"",ReferenceData!$I$79),"")</f>
        <v>21.89643543</v>
      </c>
      <c r="J79">
        <f ca="1">IFERROR(IF(0=LEN(ReferenceData!$J$79),"",ReferenceData!$J$79),"")</f>
        <v>23.267174480000001</v>
      </c>
      <c r="K79">
        <f ca="1">IFERROR(IF(0=LEN(ReferenceData!$K$79),"",ReferenceData!$K$79),"")</f>
        <v>23.420385450000001</v>
      </c>
      <c r="L79">
        <f ca="1">IFERROR(IF(0=LEN(ReferenceData!$L$79),"",ReferenceData!$L$79),"")</f>
        <v>22.957270479999998</v>
      </c>
      <c r="M79">
        <f ca="1">IFERROR(IF(0=LEN(ReferenceData!$M$79),"",ReferenceData!$M$79),"")</f>
        <v>23.616949600000002</v>
      </c>
      <c r="N79">
        <f ca="1">IFERROR(IF(0=LEN(ReferenceData!$N$79),"",ReferenceData!$N$79),"")</f>
        <v>23.937000600000001</v>
      </c>
      <c r="O79">
        <f ca="1">IFERROR(IF(0=LEN(ReferenceData!$O$79),"",ReferenceData!$O$79),"")</f>
        <v>23.152699810000001</v>
      </c>
      <c r="P79">
        <f ca="1">IFERROR(IF(0=LEN(ReferenceData!$P$79),"",ReferenceData!$P$79),"")</f>
        <v>22.02672265</v>
      </c>
      <c r="Q79">
        <f ca="1">IFERROR(IF(0=LEN(ReferenceData!$Q$79),"",ReferenceData!$Q$79),"")</f>
        <v>21.854136560000001</v>
      </c>
      <c r="R79">
        <f ca="1">IFERROR(IF(0=LEN(ReferenceData!$R$79),"",ReferenceData!$R$79),"")</f>
        <v>21.05550289</v>
      </c>
      <c r="S79">
        <f ca="1">IFERROR(IF(0=LEN(ReferenceData!$S$79),"",ReferenceData!$S$79),"")</f>
        <v>21.25327558</v>
      </c>
      <c r="T79">
        <f ca="1">IFERROR(IF(0=LEN(ReferenceData!$T$79),"",ReferenceData!$T$79),"")</f>
        <v>20.478223509999999</v>
      </c>
      <c r="U79">
        <f ca="1">IFERROR(IF(0=LEN(ReferenceData!$U$79),"",ReferenceData!$U$79),"")</f>
        <v>21.687978690000001</v>
      </c>
      <c r="V79">
        <f ca="1">IFERROR(IF(0=LEN(ReferenceData!$V$79),"",ReferenceData!$V$79),"")</f>
        <v>19.410094019999999</v>
      </c>
      <c r="W79">
        <f ca="1">IFERROR(IF(0=LEN(ReferenceData!$W$79),"",ReferenceData!$W$79),"")</f>
        <v>19.972892949999999</v>
      </c>
      <c r="X79">
        <f ca="1">IFERROR(IF(0=LEN(ReferenceData!$X$79),"",ReferenceData!$X$79),"")</f>
        <v>20.807387909999999</v>
      </c>
      <c r="Y79">
        <f ca="1">IFERROR(IF(0=LEN(ReferenceData!$Y$79),"",ReferenceData!$Y$79),"")</f>
        <v>20.302132480000001</v>
      </c>
      <c r="Z79">
        <f ca="1">IFERROR(IF(0=LEN(ReferenceData!$Z$79),"",ReferenceData!$Z$79),"")</f>
        <v>21.278587739999999</v>
      </c>
      <c r="AA79">
        <f ca="1">IFERROR(IF(0=LEN(ReferenceData!$AA$79),"",ReferenceData!$AA$79),"")</f>
        <v>21.557127869999999</v>
      </c>
      <c r="AB79">
        <f ca="1">IFERROR(IF(0=LEN(ReferenceData!$AB$79),"",ReferenceData!$AB$79),"")</f>
        <v>21.924510210000001</v>
      </c>
      <c r="AC79">
        <f ca="1">IFERROR(IF(0=LEN(ReferenceData!$AC$79),"",ReferenceData!$AC$79),"")</f>
        <v>21.563378270000001</v>
      </c>
      <c r="AD79">
        <f ca="1">IFERROR(IF(0=LEN(ReferenceData!$AD$79),"",ReferenceData!$AD$79),"")</f>
        <v>23.768183799999999</v>
      </c>
      <c r="AE79">
        <f ca="1">IFERROR(IF(0=LEN(ReferenceData!$AE$79),"",ReferenceData!$AE$79),"")</f>
        <v>23.47305029</v>
      </c>
      <c r="AF79">
        <f ca="1">IFERROR(IF(0=LEN(ReferenceData!$AF$79),"",ReferenceData!$AF$79),"")</f>
        <v>24.29235396</v>
      </c>
      <c r="AG79">
        <f ca="1">IFERROR(IF(0=LEN(ReferenceData!$AG$79),"",ReferenceData!$AG$79),"")</f>
        <v>25.71037956</v>
      </c>
      <c r="AH79">
        <f ca="1">IFERROR(IF(0=LEN(ReferenceData!$AH$79),"",ReferenceData!$AH$79),"")</f>
        <v>25.703941740000001</v>
      </c>
      <c r="AI79">
        <f ca="1">IFERROR(IF(0=LEN(ReferenceData!$AI$79),"",ReferenceData!$AI$79),"")</f>
        <v>24.898882180000001</v>
      </c>
      <c r="AJ79">
        <f ca="1">IFERROR(IF(0=LEN(ReferenceData!$AJ$79),"",ReferenceData!$AJ$79),"")</f>
        <v>24.190429770000001</v>
      </c>
      <c r="AK79">
        <f ca="1">IFERROR(IF(0=LEN(ReferenceData!$AK$79),"",ReferenceData!$AK$79),"")</f>
        <v>23.451872760000001</v>
      </c>
      <c r="AL79">
        <f ca="1">IFERROR(IF(0=LEN(ReferenceData!$AL$79),"",ReferenceData!$AL$79),"")</f>
        <v>24.623643529999999</v>
      </c>
      <c r="AM79">
        <f ca="1">IFERROR(IF(0=LEN(ReferenceData!$AM$79),"",ReferenceData!$AM$79),"")</f>
        <v>23.096391740000001</v>
      </c>
      <c r="AN79">
        <f ca="1">IFERROR(IF(0=LEN(ReferenceData!$AN$79),"",ReferenceData!$AN$79),"")</f>
        <v>25.046979759999999</v>
      </c>
      <c r="AO79">
        <f ca="1">IFERROR(IF(0=LEN(ReferenceData!$AO$79),"",ReferenceData!$AO$79),"")</f>
        <v>24.891952700000001</v>
      </c>
      <c r="AP79">
        <f ca="1">IFERROR(IF(0=LEN(ReferenceData!$AP$79),"",ReferenceData!$AP$79),"")</f>
        <v>26.240014049999999</v>
      </c>
      <c r="AQ79">
        <f ca="1">IFERROR(IF(0=LEN(ReferenceData!$AQ$79),"",ReferenceData!$AQ$79),"")</f>
        <v>26.67025873</v>
      </c>
      <c r="AR79">
        <f ca="1">IFERROR(IF(0=LEN(ReferenceData!$AR$79),"",ReferenceData!$AR$79),"")</f>
        <v>26.87107335</v>
      </c>
      <c r="AS79">
        <f ca="1">IFERROR(IF(0=LEN(ReferenceData!$AS$79),"",ReferenceData!$AS$79),"")</f>
        <v>24.873314130000001</v>
      </c>
      <c r="AT79">
        <f ca="1">IFERROR(IF(0=LEN(ReferenceData!$AT$79),"",ReferenceData!$AT$79),"")</f>
        <v>25.346292120000001</v>
      </c>
      <c r="AU79">
        <f ca="1">IFERROR(IF(0=LEN(ReferenceData!$AU$79),"",ReferenceData!$AU$79),"")</f>
        <v>24.888312809999999</v>
      </c>
      <c r="AV79">
        <f ca="1">IFERROR(IF(0=LEN(ReferenceData!$AV$79),"",ReferenceData!$AV$79),"")</f>
        <v>22.033098089999999</v>
      </c>
      <c r="AW79">
        <f ca="1">IFERROR(IF(0=LEN(ReferenceData!$AW$79),"",ReferenceData!$AW$79),"")</f>
        <v>24.630031710000001</v>
      </c>
      <c r="AX79">
        <f ca="1">IFERROR(IF(0=LEN(ReferenceData!$AX$79),"",ReferenceData!$AX$79),"")</f>
        <v>23.955642390000001</v>
      </c>
      <c r="AY79">
        <f ca="1">IFERROR(IF(0=LEN(ReferenceData!$AY$79),"",ReferenceData!$AY$79),"")</f>
        <v>23.344245489999999</v>
      </c>
      <c r="AZ79">
        <f ca="1">IFERROR(IF(0=LEN(ReferenceData!$AZ$79),"",ReferenceData!$AZ$79),"")</f>
        <v>23.567441519999999</v>
      </c>
      <c r="BA79">
        <f ca="1">IFERROR(IF(0=LEN(ReferenceData!$BA$79),"",ReferenceData!$BA$79),"")</f>
        <v>22.66745508</v>
      </c>
      <c r="BB79">
        <f ca="1">IFERROR(IF(0=LEN(ReferenceData!$BB$79),"",ReferenceData!$BB$79),"")</f>
        <v>22.114497310000001</v>
      </c>
      <c r="BC79">
        <f ca="1">IFERROR(IF(0=LEN(ReferenceData!$BC$79),"",ReferenceData!$BC$79),"")</f>
        <v>22.91045956</v>
      </c>
      <c r="BD79">
        <f ca="1">IFERROR(IF(0=LEN(ReferenceData!$BD$79),"",ReferenceData!$BD$79),"")</f>
        <v>21.699696429999999</v>
      </c>
      <c r="BE79">
        <f ca="1">IFERROR(IF(0=LEN(ReferenceData!$BE$79),"",ReferenceData!$BE$79),"")</f>
        <v>20.324363559999998</v>
      </c>
      <c r="BF79">
        <f ca="1">IFERROR(IF(0=LEN(ReferenceData!$BF$79),"",ReferenceData!$BF$79),"")</f>
        <v>20.437746860000001</v>
      </c>
      <c r="BG79">
        <f ca="1">IFERROR(IF(0=LEN(ReferenceData!$BG$79),"",ReferenceData!$BG$79),"")</f>
        <v>20.762910860000002</v>
      </c>
      <c r="BH79">
        <f ca="1">IFERROR(IF(0=LEN(ReferenceData!$BH$79),"",ReferenceData!$BH$79),"")</f>
        <v>21.242726019999999</v>
      </c>
      <c r="BI79">
        <f ca="1">IFERROR(IF(0=LEN(ReferenceData!$BI$79),"",ReferenceData!$BI$79),"")</f>
        <v>20.691972589999999</v>
      </c>
      <c r="BJ79">
        <f ca="1">IFERROR(IF(0=LEN(ReferenceData!$BJ$79),"",ReferenceData!$BJ$79),"")</f>
        <v>22.330901229999998</v>
      </c>
      <c r="BK79">
        <f ca="1">IFERROR(IF(0=LEN(ReferenceData!$BK$79),"",ReferenceData!$BK$79),"")</f>
        <v>23.15235938</v>
      </c>
      <c r="BL79">
        <f ca="1">IFERROR(IF(0=LEN(ReferenceData!$BL$79),"",ReferenceData!$BL$79),"")</f>
        <v>21.480654999999999</v>
      </c>
      <c r="BM79">
        <f ca="1">IFERROR(IF(0=LEN(ReferenceData!$BM$79),"",ReferenceData!$BM$79),"")</f>
        <v>22.054232169999999</v>
      </c>
      <c r="BN79">
        <f ca="1">IFERROR(IF(0=LEN(ReferenceData!$BN$79),"",ReferenceData!$BN$79),"")</f>
        <v>20.91467488</v>
      </c>
      <c r="BO79">
        <f ca="1">IFERROR(IF(0=LEN(ReferenceData!$BO$79),"",ReferenceData!$BO$79),"")</f>
        <v>21.221501750000002</v>
      </c>
      <c r="BP79">
        <f ca="1">IFERROR(IF(0=LEN(ReferenceData!$BP$79),"",ReferenceData!$BP$79),"")</f>
        <v>21.356449529999999</v>
      </c>
      <c r="BQ79">
        <f ca="1">IFERROR(IF(0=LEN(ReferenceData!$BQ$79),"",ReferenceData!$BQ$79),"")</f>
        <v>21.849972820000001</v>
      </c>
      <c r="BR79">
        <f ca="1">IFERROR(IF(0=LEN(ReferenceData!$BR$79),"",ReferenceData!$BR$79),"")</f>
        <v>22.22987101</v>
      </c>
      <c r="BS79">
        <f ca="1">IFERROR(IF(0=LEN(ReferenceData!$BS$79),"",ReferenceData!$BS$79),"")</f>
        <v>22.990756520000001</v>
      </c>
      <c r="BT79">
        <f ca="1">IFERROR(IF(0=LEN(ReferenceData!$BT$79),"",ReferenceData!$BT$79),"")</f>
        <v>23.038812450000002</v>
      </c>
      <c r="BU79">
        <f ca="1">IFERROR(IF(0=LEN(ReferenceData!$BU$79),"",ReferenceData!$BU$79),"")</f>
        <v>25.296467870000001</v>
      </c>
      <c r="BV79">
        <f ca="1">IFERROR(IF(0=LEN(ReferenceData!$BV$79),"",ReferenceData!$BV$79),"")</f>
        <v>26.515221539999999</v>
      </c>
      <c r="BW79">
        <f ca="1">IFERROR(IF(0=LEN(ReferenceData!$BW$79),"",ReferenceData!$BW$79),"")</f>
        <v>26.11734663</v>
      </c>
      <c r="BX79">
        <f ca="1">IFERROR(IF(0=LEN(ReferenceData!$BX$79),"",ReferenceData!$BX$79),"")</f>
        <v>26.43729725</v>
      </c>
      <c r="BY79">
        <f ca="1">IFERROR(IF(0=LEN(ReferenceData!$BY$79),"",ReferenceData!$BY$79),"")</f>
        <v>26.584411500000002</v>
      </c>
      <c r="BZ79">
        <f ca="1">IFERROR(IF(0=LEN(ReferenceData!$BZ$79),"",ReferenceData!$BZ$79),"")</f>
        <v>27.09498451</v>
      </c>
      <c r="CA79">
        <f ca="1">IFERROR(IF(0=LEN(ReferenceData!$CA$79),"",ReferenceData!$CA$79),"")</f>
        <v>25.110485969999999</v>
      </c>
      <c r="CB79">
        <f ca="1">IFERROR(IF(0=LEN(ReferenceData!$CB$79),"",ReferenceData!$CB$79),"")</f>
        <v>26.284574429999999</v>
      </c>
      <c r="CC79">
        <f ca="1">IFERROR(IF(0=LEN(ReferenceData!$CC$79),"",ReferenceData!$CC$79),"")</f>
        <v>25.172280099999998</v>
      </c>
      <c r="CD79">
        <f ca="1">IFERROR(IF(0=LEN(ReferenceData!$CD$79),"",ReferenceData!$CD$79),"")</f>
        <v>24.920019109999998</v>
      </c>
      <c r="CE79">
        <f ca="1">IFERROR(IF(0=LEN(ReferenceData!$CE$79),"",ReferenceData!$CE$79),"")</f>
        <v>26.49586377</v>
      </c>
      <c r="CF79">
        <f ca="1">IFERROR(IF(0=LEN(ReferenceData!$CF$79),"",ReferenceData!$CF$79),"")</f>
        <v>23.420934800000001</v>
      </c>
      <c r="CG79">
        <f ca="1">IFERROR(IF(0=LEN(ReferenceData!$CG$79),"",ReferenceData!$CG$79),"")</f>
        <v>28.319811390000002</v>
      </c>
      <c r="CH79">
        <f ca="1">IFERROR(IF(0=LEN(ReferenceData!$CH$79),"",ReferenceData!$CH$79),"")</f>
        <v>28.616063090000001</v>
      </c>
      <c r="CI79">
        <f ca="1">IFERROR(IF(0=LEN(ReferenceData!$CI$79),"",ReferenceData!$CI$79),"")</f>
        <v>27.77359731</v>
      </c>
      <c r="CJ79">
        <f ca="1">IFERROR(IF(0=LEN(ReferenceData!$CJ$79),"",ReferenceData!$CJ$79),"")</f>
        <v>31.332157949999999</v>
      </c>
      <c r="CK79">
        <f ca="1">IFERROR(IF(0=LEN(ReferenceData!$CK$79),"",ReferenceData!$CK$79),"")</f>
        <v>30.27305703</v>
      </c>
    </row>
    <row r="80" spans="1:89">
      <c r="A80" t="str">
        <f>IFERROR(IF(0=LEN(ReferenceData!$A$80),"",ReferenceData!$A$80),"")</f>
        <v xml:space="preserve">    埃塞克斯房地产信托公司</v>
      </c>
      <c r="B80" t="str">
        <f>IFERROR(IF(0=LEN(ReferenceData!$B$80),"",ReferenceData!$B$80),"")</f>
        <v>ESS US Equity</v>
      </c>
      <c r="C80" t="str">
        <f>IFERROR(IF(0=LEN(ReferenceData!$C$80),"",ReferenceData!$C$80),"")</f>
        <v>F0891</v>
      </c>
      <c r="D80" t="str">
        <f>IFERROR(IF(0=LEN(ReferenceData!$D$80),"",ReferenceData!$D$80),"")</f>
        <v>PRICE_TO_FAD_PS</v>
      </c>
      <c r="E80" t="str">
        <f>IFERROR(IF(0=LEN(ReferenceData!$E$80),"",ReferenceData!$E$80),"")</f>
        <v>动态</v>
      </c>
      <c r="F80">
        <f ca="1">IFERROR(IF(0=LEN(ReferenceData!$F$80),"",ReferenceData!$F$80),"")</f>
        <v>20.767237139999999</v>
      </c>
      <c r="G80">
        <f ca="1">IFERROR(IF(0=LEN(ReferenceData!$G$80),"",ReferenceData!$G$80),"")</f>
        <v>19.526698719999999</v>
      </c>
      <c r="H80">
        <f ca="1">IFERROR(IF(0=LEN(ReferenceData!$H$80),"",ReferenceData!$H$80),"")</f>
        <v>20.324935289999999</v>
      </c>
      <c r="I80">
        <f ca="1">IFERROR(IF(0=LEN(ReferenceData!$I$80),"",ReferenceData!$I$80),"")</f>
        <v>21.056870249999999</v>
      </c>
      <c r="J80">
        <f ca="1">IFERROR(IF(0=LEN(ReferenceData!$J$80),"",ReferenceData!$J$80),"")</f>
        <v>21.932641490000002</v>
      </c>
      <c r="K80">
        <f ca="1">IFERROR(IF(0=LEN(ReferenceData!$K$80),"",ReferenceData!$K$80),"")</f>
        <v>23.303709080000001</v>
      </c>
      <c r="L80">
        <f ca="1">IFERROR(IF(0=LEN(ReferenceData!$L$80),"",ReferenceData!$L$80),"")</f>
        <v>22.557791479999999</v>
      </c>
      <c r="M80">
        <f ca="1">IFERROR(IF(0=LEN(ReferenceData!$M$80),"",ReferenceData!$M$80),"")</f>
        <v>23.35637809</v>
      </c>
      <c r="N80">
        <f ca="1">IFERROR(IF(0=LEN(ReferenceData!$N$80),"",ReferenceData!$N$80),"")</f>
        <v>22.981404470000001</v>
      </c>
      <c r="O80">
        <f ca="1">IFERROR(IF(0=LEN(ReferenceData!$O$80),"",ReferenceData!$O$80),"")</f>
        <v>22.592380309999999</v>
      </c>
      <c r="P80">
        <f ca="1">IFERROR(IF(0=LEN(ReferenceData!$P$80),"",ReferenceData!$P$80),"")</f>
        <v>23.027293449999998</v>
      </c>
      <c r="Q80">
        <f ca="1">IFERROR(IF(0=LEN(ReferenceData!$Q$80),"",ReferenceData!$Q$80),"")</f>
        <v>21.911421570000002</v>
      </c>
      <c r="R80">
        <f ca="1">IFERROR(IF(0=LEN(ReferenceData!$R$80),"",ReferenceData!$R$80),"")</f>
        <v>20.751631840000002</v>
      </c>
      <c r="S80">
        <f ca="1">IFERROR(IF(0=LEN(ReferenceData!$S$80),"",ReferenceData!$S$80),"")</f>
        <v>21.269133849999999</v>
      </c>
      <c r="T80">
        <f ca="1">IFERROR(IF(0=LEN(ReferenceData!$T$80),"",ReferenceData!$T$80),"")</f>
        <v>20.326658389999999</v>
      </c>
      <c r="U80">
        <f ca="1">IFERROR(IF(0=LEN(ReferenceData!$U$80),"",ReferenceData!$U$80),"")</f>
        <v>21.069764039999999</v>
      </c>
      <c r="V80">
        <f ca="1">IFERROR(IF(0=LEN(ReferenceData!$V$80),"",ReferenceData!$V$80),"")</f>
        <v>19.890474730000001</v>
      </c>
      <c r="W80">
        <f ca="1">IFERROR(IF(0=LEN(ReferenceData!$W$80),"",ReferenceData!$W$80),"")</f>
        <v>19.72189577</v>
      </c>
      <c r="X80">
        <f ca="1">IFERROR(IF(0=LEN(ReferenceData!$X$80),"",ReferenceData!$X$80),"")</f>
        <v>20.515045950000001</v>
      </c>
      <c r="Y80">
        <f ca="1">IFERROR(IF(0=LEN(ReferenceData!$Y$80),"",ReferenceData!$Y$80),"")</f>
        <v>21.538358049999999</v>
      </c>
      <c r="Z80">
        <f ca="1">IFERROR(IF(0=LEN(ReferenceData!$Z$80),"",ReferenceData!$Z$80),"")</f>
        <v>22.181379039999999</v>
      </c>
      <c r="AA80">
        <f ca="1">IFERROR(IF(0=LEN(ReferenceData!$AA$80),"",ReferenceData!$AA$80),"")</f>
        <v>21.632250490000001</v>
      </c>
      <c r="AB80">
        <f ca="1">IFERROR(IF(0=LEN(ReferenceData!$AB$80),"",ReferenceData!$AB$80),"")</f>
        <v>22.272267249999999</v>
      </c>
      <c r="AC80">
        <f ca="1">IFERROR(IF(0=LEN(ReferenceData!$AC$80),"",ReferenceData!$AC$80),"")</f>
        <v>21.607716029999999</v>
      </c>
      <c r="AD80">
        <f ca="1">IFERROR(IF(0=LEN(ReferenceData!$AD$80),"",ReferenceData!$AD$80),"")</f>
        <v>22.922115999999999</v>
      </c>
      <c r="AE80">
        <f ca="1">IFERROR(IF(0=LEN(ReferenceData!$AE$80),"",ReferenceData!$AE$80),"")</f>
        <v>21.322519509999999</v>
      </c>
      <c r="AF80">
        <f ca="1">IFERROR(IF(0=LEN(ReferenceData!$AF$80),"",ReferenceData!$AF$80),"")</f>
        <v>21.712739540000001</v>
      </c>
      <c r="AG80">
        <f ca="1">IFERROR(IF(0=LEN(ReferenceData!$AG$80),"",ReferenceData!$AG$80),"")</f>
        <v>24.392318400000001</v>
      </c>
      <c r="AH80">
        <f ca="1">IFERROR(IF(0=LEN(ReferenceData!$AH$80),"",ReferenceData!$AH$80),"")</f>
        <v>24.93602357</v>
      </c>
      <c r="AI80">
        <f ca="1">IFERROR(IF(0=LEN(ReferenceData!$AI$80),"",ReferenceData!$AI$80),"")</f>
        <v>23.81774356</v>
      </c>
      <c r="AJ80">
        <f ca="1">IFERROR(IF(0=LEN(ReferenceData!$AJ$80),"",ReferenceData!$AJ$80),"")</f>
        <v>24.139721770000001</v>
      </c>
      <c r="AK80">
        <f ca="1">IFERROR(IF(0=LEN(ReferenceData!$AK$80),"",ReferenceData!$AK$80),"")</f>
        <v>24.642384409999998</v>
      </c>
      <c r="AL80">
        <f ca="1">IFERROR(IF(0=LEN(ReferenceData!$AL$80),"",ReferenceData!$AL$80),"")</f>
        <v>25.82386859</v>
      </c>
      <c r="AM80">
        <f ca="1">IFERROR(IF(0=LEN(ReferenceData!$AM$80),"",ReferenceData!$AM$80),"")</f>
        <v>24.39896881</v>
      </c>
      <c r="AN80">
        <f ca="1">IFERROR(IF(0=LEN(ReferenceData!$AN$80),"",ReferenceData!$AN$80),"")</f>
        <v>26.742592999999999</v>
      </c>
      <c r="AO80">
        <f ca="1">IFERROR(IF(0=LEN(ReferenceData!$AO$80),"",ReferenceData!$AO$80),"")</f>
        <v>26.662108150000002</v>
      </c>
      <c r="AP80">
        <f ca="1">IFERROR(IF(0=LEN(ReferenceData!$AP$80),"",ReferenceData!$AP$80),"")</f>
        <v>27.617114950000001</v>
      </c>
      <c r="AQ80">
        <f ca="1">IFERROR(IF(0=LEN(ReferenceData!$AQ$80),"",ReferenceData!$AQ$80),"")</f>
        <v>27.629663699999998</v>
      </c>
      <c r="AR80">
        <f ca="1">IFERROR(IF(0=LEN(ReferenceData!$AR$80),"",ReferenceData!$AR$80),"")</f>
        <v>28.079330479999999</v>
      </c>
      <c r="AS80">
        <f ca="1">IFERROR(IF(0=LEN(ReferenceData!$AS$80),"",ReferenceData!$AS$80),"")</f>
        <v>25.663303150000001</v>
      </c>
      <c r="AT80">
        <f ca="1">IFERROR(IF(0=LEN(ReferenceData!$AT$80),"",ReferenceData!$AT$80),"")</f>
        <v>25.971767660000001</v>
      </c>
      <c r="AU80">
        <f ca="1">IFERROR(IF(0=LEN(ReferenceData!$AU$80),"",ReferenceData!$AU$80),"")</f>
        <v>25.888364429999999</v>
      </c>
      <c r="AV80">
        <f ca="1">IFERROR(IF(0=LEN(ReferenceData!$AV$80),"",ReferenceData!$AV$80),"")</f>
        <v>22.935889880000001</v>
      </c>
      <c r="AW80">
        <f ca="1">IFERROR(IF(0=LEN(ReferenceData!$AW$80),"",ReferenceData!$AW$80),"")</f>
        <v>25.742832159999999</v>
      </c>
      <c r="AX80">
        <f ca="1">IFERROR(IF(0=LEN(ReferenceData!$AX$80),"",ReferenceData!$AX$80),"")</f>
        <v>25.226511720000001</v>
      </c>
      <c r="AY80">
        <f ca="1">IFERROR(IF(0=LEN(ReferenceData!$AY$80),"",ReferenceData!$AY$80),"")</f>
        <v>24.606394909999999</v>
      </c>
      <c r="AZ80">
        <f ca="1">IFERROR(IF(0=LEN(ReferenceData!$AZ$80),"",ReferenceData!$AZ$80),"")</f>
        <v>25.25960491</v>
      </c>
      <c r="BA80">
        <f ca="1">IFERROR(IF(0=LEN(ReferenceData!$BA$80),"",ReferenceData!$BA$80),"")</f>
        <v>24.184787499999999</v>
      </c>
      <c r="BB80">
        <f ca="1">IFERROR(IF(0=LEN(ReferenceData!$BB$80),"",ReferenceData!$BB$80),"")</f>
        <v>23.73671427</v>
      </c>
      <c r="BC80">
        <f ca="1">IFERROR(IF(0=LEN(ReferenceData!$BC$80),"",ReferenceData!$BC$80),"")</f>
        <v>24.193875930000001</v>
      </c>
      <c r="BD80">
        <f ca="1">IFERROR(IF(0=LEN(ReferenceData!$BD$80),"",ReferenceData!$BD$80),"")</f>
        <v>22.909322159999999</v>
      </c>
      <c r="BE80">
        <f ca="1">IFERROR(IF(0=LEN(ReferenceData!$BE$80),"",ReferenceData!$BE$80),"")</f>
        <v>20.759719789999998</v>
      </c>
      <c r="BF80">
        <f ca="1">IFERROR(IF(0=LEN(ReferenceData!$BF$80),"",ReferenceData!$BF$80),"")</f>
        <v>23.275638709999999</v>
      </c>
      <c r="BG80">
        <f ca="1">IFERROR(IF(0=LEN(ReferenceData!$BG$80),"",ReferenceData!$BG$80),"")</f>
        <v>24.684657349999998</v>
      </c>
      <c r="BH80">
        <f ca="1">IFERROR(IF(0=LEN(ReferenceData!$BH$80),"",ReferenceData!$BH$80),"")</f>
        <v>22.645489999999999</v>
      </c>
      <c r="BI80">
        <f ca="1">IFERROR(IF(0=LEN(ReferenceData!$BI$80),"",ReferenceData!$BI$80),"")</f>
        <v>21.103366099999999</v>
      </c>
      <c r="BJ80">
        <f ca="1">IFERROR(IF(0=LEN(ReferenceData!$BJ$80),"",ReferenceData!$BJ$80),"")</f>
        <v>23.75104262</v>
      </c>
      <c r="BK80">
        <f ca="1">IFERROR(IF(0=LEN(ReferenceData!$BK$80),"",ReferenceData!$BK$80),"")</f>
        <v>23.402044100000001</v>
      </c>
      <c r="BL80">
        <f ca="1">IFERROR(IF(0=LEN(ReferenceData!$BL$80),"",ReferenceData!$BL$80),"")</f>
        <v>23.501478389999999</v>
      </c>
      <c r="BM80">
        <f ca="1">IFERROR(IF(0=LEN(ReferenceData!$BM$80),"",ReferenceData!$BM$80),"")</f>
        <v>23.488018199999999</v>
      </c>
      <c r="BN80">
        <f ca="1">IFERROR(IF(0=LEN(ReferenceData!$BN$80),"",ReferenceData!$BN$80),"")</f>
        <v>22.52038065</v>
      </c>
      <c r="BO80">
        <f ca="1">IFERROR(IF(0=LEN(ReferenceData!$BO$80),"",ReferenceData!$BO$80),"")</f>
        <v>22.844920309999999</v>
      </c>
      <c r="BP80">
        <f ca="1">IFERROR(IF(0=LEN(ReferenceData!$BP$80),"",ReferenceData!$BP$80),"")</f>
        <v>23.57938012</v>
      </c>
      <c r="BQ80">
        <f ca="1">IFERROR(IF(0=LEN(ReferenceData!$BQ$80),"",ReferenceData!$BQ$80),"")</f>
        <v>22.48612365</v>
      </c>
      <c r="BR80">
        <f ca="1">IFERROR(IF(0=LEN(ReferenceData!$BR$80),"",ReferenceData!$BR$80),"")</f>
        <v>22.420808690000001</v>
      </c>
      <c r="BS80">
        <f ca="1">IFERROR(IF(0=LEN(ReferenceData!$BS$80),"",ReferenceData!$BS$80),"")</f>
        <v>23.938510239999999</v>
      </c>
      <c r="BT80">
        <f ca="1">IFERROR(IF(0=LEN(ReferenceData!$BT$80),"",ReferenceData!$BT$80),"")</f>
        <v>23.657631720000001</v>
      </c>
      <c r="BU80">
        <f ca="1">IFERROR(IF(0=LEN(ReferenceData!$BU$80),"",ReferenceData!$BU$80),"")</f>
        <v>27.29441697</v>
      </c>
      <c r="BV80">
        <f ca="1">IFERROR(IF(0=LEN(ReferenceData!$BV$80),"",ReferenceData!$BV$80),"")</f>
        <v>28.260622810000001</v>
      </c>
      <c r="BW80">
        <f ca="1">IFERROR(IF(0=LEN(ReferenceData!$BW$80),"",ReferenceData!$BW$80),"")</f>
        <v>27.642825760000001</v>
      </c>
      <c r="BX80">
        <f ca="1">IFERROR(IF(0=LEN(ReferenceData!$BX$80),"",ReferenceData!$BX$80),"")</f>
        <v>28.58225264</v>
      </c>
      <c r="BY80">
        <f ca="1">IFERROR(IF(0=LEN(ReferenceData!$BY$80),"",ReferenceData!$BY$80),"")</f>
        <v>30.008895720000002</v>
      </c>
      <c r="BZ80">
        <f ca="1">IFERROR(IF(0=LEN(ReferenceData!$BZ$80),"",ReferenceData!$BZ$80),"")</f>
        <v>28.781716719999999</v>
      </c>
      <c r="CA80">
        <f ca="1">IFERROR(IF(0=LEN(ReferenceData!$CA$80),"",ReferenceData!$CA$80),"")</f>
        <v>28.642765229999998</v>
      </c>
      <c r="CB80">
        <f ca="1">IFERROR(IF(0=LEN(ReferenceData!$CB$80),"",ReferenceData!$CB$80),"")</f>
        <v>29.46323447</v>
      </c>
      <c r="CC80">
        <f ca="1">IFERROR(IF(0=LEN(ReferenceData!$CC$80),"",ReferenceData!$CC$80),"")</f>
        <v>28.749160249999999</v>
      </c>
      <c r="CD80">
        <f ca="1">IFERROR(IF(0=LEN(ReferenceData!$CD$80),"",ReferenceData!$CD$80),"")</f>
        <v>26.596417819999999</v>
      </c>
      <c r="CE80">
        <f ca="1">IFERROR(IF(0=LEN(ReferenceData!$CE$80),"",ReferenceData!$CE$80),"")</f>
        <v>28.580388469999999</v>
      </c>
      <c r="CF80">
        <f ca="1">IFERROR(IF(0=LEN(ReferenceData!$CF$80),"",ReferenceData!$CF$80),"")</f>
        <v>24.031870489999999</v>
      </c>
      <c r="CG80">
        <f ca="1">IFERROR(IF(0=LEN(ReferenceData!$CG$80),"",ReferenceData!$CG$80),"")</f>
        <v>28.63311749</v>
      </c>
      <c r="CH80">
        <f ca="1">IFERROR(IF(0=LEN(ReferenceData!$CH$80),"",ReferenceData!$CH$80),"")</f>
        <v>27.996825990000001</v>
      </c>
      <c r="CI80">
        <f ca="1">IFERROR(IF(0=LEN(ReferenceData!$CI$80),"",ReferenceData!$CI$80),"")</f>
        <v>26.985541380000001</v>
      </c>
      <c r="CJ80">
        <f ca="1">IFERROR(IF(0=LEN(ReferenceData!$CJ$80),"",ReferenceData!$CJ$80),"")</f>
        <v>27.66835021</v>
      </c>
      <c r="CK80">
        <f ca="1">IFERROR(IF(0=LEN(ReferenceData!$CK$80),"",ReferenceData!$CK$80),"")</f>
        <v>27.240084920000001</v>
      </c>
    </row>
    <row r="81" spans="1:89">
      <c r="A81" t="str">
        <f>IFERROR(IF(0=LEN(ReferenceData!$A$81),"",ReferenceData!$A$81),"")</f>
        <v xml:space="preserve">    Mid-America Apartment Communities股份有限公司</v>
      </c>
      <c r="B81" t="str">
        <f>IFERROR(IF(0=LEN(ReferenceData!$B$81),"",ReferenceData!$B$81),"")</f>
        <v>MAA US Equity</v>
      </c>
      <c r="C81" t="str">
        <f>IFERROR(IF(0=LEN(ReferenceData!$C$81),"",ReferenceData!$C$81),"")</f>
        <v>F0891</v>
      </c>
      <c r="D81" t="str">
        <f>IFERROR(IF(0=LEN(ReferenceData!$D$81),"",ReferenceData!$D$81),"")</f>
        <v>PRICE_TO_FAD_PS</v>
      </c>
      <c r="E81" t="str">
        <f>IFERROR(IF(0=LEN(ReferenceData!$E$81),"",ReferenceData!$E$81),"")</f>
        <v>动态</v>
      </c>
      <c r="F81">
        <f ca="1">IFERROR(IF(0=LEN(ReferenceData!$F$81),"",ReferenceData!$F$81),"")</f>
        <v>20.14749784</v>
      </c>
      <c r="G81">
        <f ca="1">IFERROR(IF(0=LEN(ReferenceData!$G$81),"",ReferenceData!$G$81),"")</f>
        <v>19.32556434</v>
      </c>
      <c r="H81">
        <f ca="1">IFERROR(IF(0=LEN(ReferenceData!$H$81),"",ReferenceData!$H$81),"")</f>
        <v>21.476101969999998</v>
      </c>
      <c r="I81">
        <f ca="1">IFERROR(IF(0=LEN(ReferenceData!$I$81),"",ReferenceData!$I$81),"")</f>
        <v>22.644823460000001</v>
      </c>
      <c r="J81">
        <f ca="1">IFERROR(IF(0=LEN(ReferenceData!$J$81),"",ReferenceData!$J$81),"")</f>
        <v>24.246390519999999</v>
      </c>
      <c r="K81">
        <f ca="1">IFERROR(IF(0=LEN(ReferenceData!$K$81),"",ReferenceData!$K$81),"")</f>
        <v>24.225088530000001</v>
      </c>
      <c r="L81">
        <f ca="1">IFERROR(IF(0=LEN(ReferenceData!$L$81),"",ReferenceData!$L$81),"")</f>
        <v>25.297288349999999</v>
      </c>
      <c r="M81">
        <f ca="1">IFERROR(IF(0=LEN(ReferenceData!$M$81),"",ReferenceData!$M$81),"")</f>
        <v>25.372914770000001</v>
      </c>
      <c r="N81">
        <f ca="1">IFERROR(IF(0=LEN(ReferenceData!$N$81),"",ReferenceData!$N$81),"")</f>
        <v>24.674599529999998</v>
      </c>
      <c r="O81">
        <f ca="1">IFERROR(IF(0=LEN(ReferenceData!$O$81),"",ReferenceData!$O$81),"")</f>
        <v>25.115515299999998</v>
      </c>
      <c r="P81">
        <f ca="1">IFERROR(IF(0=LEN(ReferenceData!$P$81),"",ReferenceData!$P$81),"")</f>
        <v>24.453677819999999</v>
      </c>
      <c r="Q81">
        <f ca="1">IFERROR(IF(0=LEN(ReferenceData!$Q$81),"",ReferenceData!$Q$81),"")</f>
        <v>23.798797100000002</v>
      </c>
      <c r="R81">
        <f ca="1">IFERROR(IF(0=LEN(ReferenceData!$R$81),"",ReferenceData!$R$81),"")</f>
        <v>24.40570121</v>
      </c>
      <c r="S81">
        <f ca="1">IFERROR(IF(0=LEN(ReferenceData!$S$81),"",ReferenceData!$S$81),"")</f>
        <v>25.29066585</v>
      </c>
      <c r="T81">
        <f ca="1">IFERROR(IF(0=LEN(ReferenceData!$T$81),"",ReferenceData!$T$81),"")</f>
        <v>23.375340430000001</v>
      </c>
      <c r="U81">
        <f ca="1">IFERROR(IF(0=LEN(ReferenceData!$U$81),"",ReferenceData!$U$81),"")</f>
        <v>24.106512219999999</v>
      </c>
      <c r="V81">
        <f ca="1">IFERROR(IF(0=LEN(ReferenceData!$V$81),"",ReferenceData!$V$81),"")</f>
        <v>21.214695259999999</v>
      </c>
      <c r="W81">
        <f ca="1">IFERROR(IF(0=LEN(ReferenceData!$W$81),"",ReferenceData!$W$81),"")</f>
        <v>21.47400399</v>
      </c>
      <c r="X81">
        <f ca="1">IFERROR(IF(0=LEN(ReferenceData!$X$81),"",ReferenceData!$X$81),"")</f>
        <v>21.761095789999999</v>
      </c>
      <c r="Y81">
        <f ca="1">IFERROR(IF(0=LEN(ReferenceData!$Y$81),"",ReferenceData!$Y$81),"")</f>
        <v>22.491048450000001</v>
      </c>
      <c r="Z81">
        <f ca="1">IFERROR(IF(0=LEN(ReferenceData!$Z$81),"",ReferenceData!$Z$81),"")</f>
        <v>25.369730359999998</v>
      </c>
      <c r="AA81">
        <f ca="1">IFERROR(IF(0=LEN(ReferenceData!$AA$81),"",ReferenceData!$AA$81),"")</f>
        <v>25.460661290000001</v>
      </c>
      <c r="AB81">
        <f ca="1">IFERROR(IF(0=LEN(ReferenceData!$AB$81),"",ReferenceData!$AB$81),"")</f>
        <v>24.33297271</v>
      </c>
      <c r="AC81">
        <f ca="1">IFERROR(IF(0=LEN(ReferenceData!$AC$81),"",ReferenceData!$AC$81),"")</f>
        <v>22.612960659999999</v>
      </c>
      <c r="AD81">
        <f ca="1">IFERROR(IF(0=LEN(ReferenceData!$AD$81),"",ReferenceData!$AD$81),"")</f>
        <v>24.148685709999999</v>
      </c>
      <c r="AE81">
        <f ca="1">IFERROR(IF(0=LEN(ReferenceData!$AE$81),"",ReferenceData!$AE$81),"")</f>
        <v>21.839080330000002</v>
      </c>
      <c r="AF81">
        <f ca="1">IFERROR(IF(0=LEN(ReferenceData!$AF$81),"",ReferenceData!$AF$81),"")</f>
        <v>22.78121544</v>
      </c>
      <c r="AG81">
        <f ca="1">IFERROR(IF(0=LEN(ReferenceData!$AG$81),"",ReferenceData!$AG$81),"")</f>
        <v>22.050332279999999</v>
      </c>
      <c r="AH81">
        <f ca="1">IFERROR(IF(0=LEN(ReferenceData!$AH$81),"",ReferenceData!$AH$81),"")</f>
        <v>21.202948200000002</v>
      </c>
      <c r="AI81">
        <f ca="1">IFERROR(IF(0=LEN(ReferenceData!$AI$81),"",ReferenceData!$AI$81),"")</f>
        <v>20.396106110000002</v>
      </c>
      <c r="AJ81">
        <f ca="1">IFERROR(IF(0=LEN(ReferenceData!$AJ$81),"",ReferenceData!$AJ$81),"")</f>
        <v>19.60123497</v>
      </c>
      <c r="AK81">
        <f ca="1">IFERROR(IF(0=LEN(ReferenceData!$AK$81),"",ReferenceData!$AK$81),"")</f>
        <v>18.250358859999999</v>
      </c>
      <c r="AL81">
        <f ca="1">IFERROR(IF(0=LEN(ReferenceData!$AL$81),"",ReferenceData!$AL$81),"")</f>
        <v>18.656748069999999</v>
      </c>
      <c r="AM81">
        <f ca="1">IFERROR(IF(0=LEN(ReferenceData!$AM$81),"",ReferenceData!$AM$81),"")</f>
        <v>16.908113360000002</v>
      </c>
      <c r="AN81">
        <f ca="1">IFERROR(IF(0=LEN(ReferenceData!$AN$81),"",ReferenceData!$AN$81),"")</f>
        <v>18.36142473</v>
      </c>
      <c r="AO81">
        <f ca="1">IFERROR(IF(0=LEN(ReferenceData!$AO$81),"",ReferenceData!$AO$81),"")</f>
        <v>17.933576370000001</v>
      </c>
      <c r="AP81">
        <f ca="1">IFERROR(IF(0=LEN(ReferenceData!$AP$81),"",ReferenceData!$AP$81),"")</f>
        <v>18.572945260000001</v>
      </c>
      <c r="AQ81">
        <f ca="1">IFERROR(IF(0=LEN(ReferenceData!$AQ$81),"",ReferenceData!$AQ$81),"")</f>
        <v>16.936283620000001</v>
      </c>
      <c r="AR81">
        <f ca="1">IFERROR(IF(0=LEN(ReferenceData!$AR$81),"",ReferenceData!$AR$81),"")</f>
        <v>18.537132840000002</v>
      </c>
      <c r="AS81">
        <f ca="1">IFERROR(IF(0=LEN(ReferenceData!$AS$81),"",ReferenceData!$AS$81),"")</f>
        <v>17.452761979999998</v>
      </c>
      <c r="AT81">
        <f ca="1">IFERROR(IF(0=LEN(ReferenceData!$AT$81),"",ReferenceData!$AT$81),"")</f>
        <v>18.075170870000001</v>
      </c>
      <c r="AU81">
        <f ca="1">IFERROR(IF(0=LEN(ReferenceData!$AU$81),"",ReferenceData!$AU$81),"")</f>
        <v>17.339011320000001</v>
      </c>
      <c r="AV81">
        <f ca="1">IFERROR(IF(0=LEN(ReferenceData!$AV$81),"",ReferenceData!$AV$81),"")</f>
        <v>16.10962486</v>
      </c>
      <c r="AW81">
        <f ca="1">IFERROR(IF(0=LEN(ReferenceData!$AW$81),"",ReferenceData!$AW$81),"")</f>
        <v>17.57622692</v>
      </c>
      <c r="AX81">
        <f ca="1">IFERROR(IF(0=LEN(ReferenceData!$AX$81),"",ReferenceData!$AX$81),"")</f>
        <v>16.992945049999999</v>
      </c>
      <c r="AY81">
        <f ca="1">IFERROR(IF(0=LEN(ReferenceData!$AY$81),"",ReferenceData!$AY$81),"")</f>
        <v>17.753641819999999</v>
      </c>
      <c r="AZ81">
        <f ca="1">IFERROR(IF(0=LEN(ReferenceData!$AZ$81),"",ReferenceData!$AZ$81),"")</f>
        <v>17.11142049</v>
      </c>
      <c r="BA81">
        <f ca="1">IFERROR(IF(0=LEN(ReferenceData!$BA$81),"",ReferenceData!$BA$81),"")</f>
        <v>16.472846400000002</v>
      </c>
      <c r="BB81">
        <f ca="1">IFERROR(IF(0=LEN(ReferenceData!$BB$81),"",ReferenceData!$BB$81),"")</f>
        <v>16.146464089999998</v>
      </c>
      <c r="BC81">
        <f ca="1">IFERROR(IF(0=LEN(ReferenceData!$BC$81),"",ReferenceData!$BC$81),"")</f>
        <v>16.025277880000001</v>
      </c>
      <c r="BD81">
        <f ca="1">IFERROR(IF(0=LEN(ReferenceData!$BD$81),"",ReferenceData!$BD$81),"")</f>
        <v>15.290825460000001</v>
      </c>
      <c r="BE81">
        <f ca="1">IFERROR(IF(0=LEN(ReferenceData!$BE$81),"",ReferenceData!$BE$81),"")</f>
        <v>14.39052895</v>
      </c>
      <c r="BF81">
        <f ca="1">IFERROR(IF(0=LEN(ReferenceData!$BF$81),"",ReferenceData!$BF$81),"")</f>
        <v>18.036976150000001</v>
      </c>
      <c r="BG81">
        <f ca="1">IFERROR(IF(0=LEN(ReferenceData!$BG$81),"",ReferenceData!$BG$81),"")</f>
        <v>19.88139469</v>
      </c>
      <c r="BH81">
        <f ca="1">IFERROR(IF(0=LEN(ReferenceData!$BH$81),"",ReferenceData!$BH$81),"")</f>
        <v>18.713662169999999</v>
      </c>
      <c r="BI81">
        <f ca="1">IFERROR(IF(0=LEN(ReferenceData!$BI$81),"",ReferenceData!$BI$81),"")</f>
        <v>18.88677534</v>
      </c>
      <c r="BJ81">
        <f ca="1">IFERROR(IF(0=LEN(ReferenceData!$BJ$81),"",ReferenceData!$BJ$81),"")</f>
        <v>20.690912650000001</v>
      </c>
      <c r="BK81">
        <f ca="1">IFERROR(IF(0=LEN(ReferenceData!$BK$81),"",ReferenceData!$BK$81),"")</f>
        <v>20.758299780000002</v>
      </c>
      <c r="BL81">
        <f ca="1">IFERROR(IF(0=LEN(ReferenceData!$BL$81),"",ReferenceData!$BL$81),"")</f>
        <v>21.767987510000001</v>
      </c>
      <c r="BM81">
        <f ca="1">IFERROR(IF(0=LEN(ReferenceData!$BM$81),"",ReferenceData!$BM$81),"")</f>
        <v>22.011384159999999</v>
      </c>
      <c r="BN81">
        <f ca="1">IFERROR(IF(0=LEN(ReferenceData!$BN$81),"",ReferenceData!$BN$81),"")</f>
        <v>22.11706955</v>
      </c>
      <c r="BO81">
        <f ca="1">IFERROR(IF(0=LEN(ReferenceData!$BO$81),"",ReferenceData!$BO$81),"")</f>
        <v>23.65112001</v>
      </c>
      <c r="BP81">
        <f ca="1">IFERROR(IF(0=LEN(ReferenceData!$BP$81),"",ReferenceData!$BP$81),"")</f>
        <v>22.264886449999999</v>
      </c>
      <c r="BQ81">
        <f ca="1">IFERROR(IF(0=LEN(ReferenceData!$BQ$81),"",ReferenceData!$BQ$81),"")</f>
        <v>22.05371573</v>
      </c>
      <c r="BR81">
        <f ca="1">IFERROR(IF(0=LEN(ReferenceData!$BR$81),"",ReferenceData!$BR$81),"")</f>
        <v>16.316158810000001</v>
      </c>
      <c r="BS81">
        <f ca="1">IFERROR(IF(0=LEN(ReferenceData!$BS$81),"",ReferenceData!$BS$81),"")</f>
        <v>16.941890829999998</v>
      </c>
      <c r="BT81">
        <f ca="1">IFERROR(IF(0=LEN(ReferenceData!$BT$81),"",ReferenceData!$BT$81),"")</f>
        <v>17.09897836</v>
      </c>
      <c r="BU81">
        <f ca="1">IFERROR(IF(0=LEN(ReferenceData!$BU$81),"",ReferenceData!$BU$81),"")</f>
        <v>18.711806129999999</v>
      </c>
      <c r="BV81">
        <f ca="1">IFERROR(IF(0=LEN(ReferenceData!$BV$81),"",ReferenceData!$BV$81),"")</f>
        <v>19.05026968</v>
      </c>
      <c r="BW81">
        <f ca="1">IFERROR(IF(0=LEN(ReferenceData!$BW$81),"",ReferenceData!$BW$81),"")</f>
        <v>18.777847789999999</v>
      </c>
      <c r="BX81">
        <f ca="1">IFERROR(IF(0=LEN(ReferenceData!$BX$81),"",ReferenceData!$BX$81),"")</f>
        <v>19.750458640000002</v>
      </c>
      <c r="BY81">
        <f ca="1">IFERROR(IF(0=LEN(ReferenceData!$BY$81),"",ReferenceData!$BY$81),"")</f>
        <v>19.949750999999999</v>
      </c>
      <c r="BZ81">
        <f ca="1">IFERROR(IF(0=LEN(ReferenceData!$BZ$81),"",ReferenceData!$BZ$81),"")</f>
        <v>19.64495093</v>
      </c>
      <c r="CA81">
        <f ca="1">IFERROR(IF(0=LEN(ReferenceData!$CA$81),"",ReferenceData!$CA$81),"")</f>
        <v>18.891082090000001</v>
      </c>
      <c r="CB81">
        <f ca="1">IFERROR(IF(0=LEN(ReferenceData!$CB$81),"",ReferenceData!$CB$81),"")</f>
        <v>19.36055743</v>
      </c>
      <c r="CC81">
        <f ca="1">IFERROR(IF(0=LEN(ReferenceData!$CC$81),"",ReferenceData!$CC$81),"")</f>
        <v>18.945601809999999</v>
      </c>
      <c r="CD81">
        <f ca="1">IFERROR(IF(0=LEN(ReferenceData!$CD$81),"",ReferenceData!$CD$81),"")</f>
        <v>17.96218958</v>
      </c>
      <c r="CE81">
        <f ca="1">IFERROR(IF(0=LEN(ReferenceData!$CE$81),"",ReferenceData!$CE$81),"")</f>
        <v>19.554093330000001</v>
      </c>
      <c r="CF81">
        <f ca="1">IFERROR(IF(0=LEN(ReferenceData!$CF$81),"",ReferenceData!$CF$81),"")</f>
        <v>18.870953530000001</v>
      </c>
      <c r="CG81">
        <f ca="1">IFERROR(IF(0=LEN(ReferenceData!$CG$81),"",ReferenceData!$CG$81),"")</f>
        <v>22.773131840000001</v>
      </c>
      <c r="CH81">
        <f ca="1">IFERROR(IF(0=LEN(ReferenceData!$CH$81),"",ReferenceData!$CH$81),"")</f>
        <v>22.55330167</v>
      </c>
      <c r="CI81">
        <f ca="1">IFERROR(IF(0=LEN(ReferenceData!$CI$81),"",ReferenceData!$CI$81),"")</f>
        <v>21.495568070000001</v>
      </c>
      <c r="CJ81">
        <f ca="1">IFERROR(IF(0=LEN(ReferenceData!$CJ$81),"",ReferenceData!$CJ$81),"")</f>
        <v>22.258073589999999</v>
      </c>
      <c r="CK81">
        <f ca="1">IFERROR(IF(0=LEN(ReferenceData!$CK$81),"",ReferenceData!$CK$81),"")</f>
        <v>21.70608635</v>
      </c>
    </row>
    <row r="82" spans="1:89">
      <c r="A82" t="str">
        <f>IFERROR(IF(0=LEN(ReferenceData!$A$82),"",ReferenceData!$A$82),"")</f>
        <v xml:space="preserve">    UDR 公司</v>
      </c>
      <c r="B82" t="str">
        <f>IFERROR(IF(0=LEN(ReferenceData!$B$82),"",ReferenceData!$B$82),"")</f>
        <v>UDR US Equity</v>
      </c>
      <c r="C82" t="str">
        <f>IFERROR(IF(0=LEN(ReferenceData!$C$82),"",ReferenceData!$C$82),"")</f>
        <v>F0891</v>
      </c>
      <c r="D82" t="str">
        <f>IFERROR(IF(0=LEN(ReferenceData!$D$82),"",ReferenceData!$D$82),"")</f>
        <v>PRICE_TO_FAD_PS</v>
      </c>
      <c r="E82" t="str">
        <f>IFERROR(IF(0=LEN(ReferenceData!$E$82),"",ReferenceData!$E$82),"")</f>
        <v>动态</v>
      </c>
      <c r="F82">
        <f ca="1">IFERROR(IF(0=LEN(ReferenceData!$F$82),"",ReferenceData!$F$82),"")</f>
        <v>20.654213210000002</v>
      </c>
      <c r="G82">
        <f ca="1">IFERROR(IF(0=LEN(ReferenceData!$G$82),"",ReferenceData!$G$82),"")</f>
        <v>19.61012852</v>
      </c>
      <c r="H82">
        <f ca="1">IFERROR(IF(0=LEN(ReferenceData!$H$82),"",ReferenceData!$H$82),"")</f>
        <v>21.30749539</v>
      </c>
      <c r="I82">
        <f ca="1">IFERROR(IF(0=LEN(ReferenceData!$I$82),"",ReferenceData!$I$82),"")</f>
        <v>22.468237680000001</v>
      </c>
      <c r="J82">
        <f ca="1">IFERROR(IF(0=LEN(ReferenceData!$J$82),"",ReferenceData!$J$82),"")</f>
        <v>23.197565839999999</v>
      </c>
      <c r="K82">
        <f ca="1">IFERROR(IF(0=LEN(ReferenceData!$K$82),"",ReferenceData!$K$82),"")</f>
        <v>22.87906379</v>
      </c>
      <c r="L82">
        <f ca="1">IFERROR(IF(0=LEN(ReferenceData!$L$82),"",ReferenceData!$L$82),"")</f>
        <v>22.430801649999999</v>
      </c>
      <c r="M82">
        <f ca="1">IFERROR(IF(0=LEN(ReferenceData!$M$82),"",ReferenceData!$M$82),"")</f>
        <v>23.170989859999999</v>
      </c>
      <c r="N82">
        <f ca="1">IFERROR(IF(0=LEN(ReferenceData!$N$82),"",ReferenceData!$N$82),"")</f>
        <v>23.33214821</v>
      </c>
      <c r="O82">
        <f ca="1">IFERROR(IF(0=LEN(ReferenceData!$O$82),"",ReferenceData!$O$82),"")</f>
        <v>23.26052228</v>
      </c>
      <c r="P82">
        <f ca="1">IFERROR(IF(0=LEN(ReferenceData!$P$82),"",ReferenceData!$P$82),"")</f>
        <v>23.403292400000002</v>
      </c>
      <c r="Q82">
        <f ca="1">IFERROR(IF(0=LEN(ReferenceData!$Q$82),"",ReferenceData!$Q$82),"")</f>
        <v>22.633487129999999</v>
      </c>
      <c r="R82">
        <f ca="1">IFERROR(IF(0=LEN(ReferenceData!$R$82),"",ReferenceData!$R$82),"")</f>
        <v>21.978849579999999</v>
      </c>
      <c r="S82">
        <f ca="1">IFERROR(IF(0=LEN(ReferenceData!$S$82),"",ReferenceData!$S$82),"")</f>
        <v>22.438170599999999</v>
      </c>
      <c r="T82">
        <f ca="1">IFERROR(IF(0=LEN(ReferenceData!$T$82),"",ReferenceData!$T$82),"")</f>
        <v>21.485316780000002</v>
      </c>
      <c r="U82">
        <f ca="1">IFERROR(IF(0=LEN(ReferenceData!$U$82),"",ReferenceData!$U$82),"")</f>
        <v>22.42587571</v>
      </c>
      <c r="V82">
        <f ca="1">IFERROR(IF(0=LEN(ReferenceData!$V$82),"",ReferenceData!$V$82),"")</f>
        <v>21.31817612</v>
      </c>
      <c r="W82">
        <f ca="1">IFERROR(IF(0=LEN(ReferenceData!$W$82),"",ReferenceData!$W$82),"")</f>
        <v>21.900605729999999</v>
      </c>
      <c r="X82">
        <f ca="1">IFERROR(IF(0=LEN(ReferenceData!$X$82),"",ReferenceData!$X$82),"")</f>
        <v>22.539399490000001</v>
      </c>
      <c r="Y82">
        <f ca="1">IFERROR(IF(0=LEN(ReferenceData!$Y$82),"",ReferenceData!$Y$82),"")</f>
        <v>23.158041799999999</v>
      </c>
      <c r="Z82">
        <f ca="1">IFERROR(IF(0=LEN(ReferenceData!$Z$82),"",ReferenceData!$Z$82),"")</f>
        <v>23.830124269999999</v>
      </c>
      <c r="AA82">
        <f ca="1">IFERROR(IF(0=LEN(ReferenceData!$AA$82),"",ReferenceData!$AA$82),"")</f>
        <v>23.631699919999999</v>
      </c>
      <c r="AB82">
        <f ca="1">IFERROR(IF(0=LEN(ReferenceData!$AB$82),"",ReferenceData!$AB$82),"")</f>
        <v>23.449495299999999</v>
      </c>
      <c r="AC82">
        <f ca="1">IFERROR(IF(0=LEN(ReferenceData!$AC$82),"",ReferenceData!$AC$82),"")</f>
        <v>22.727071219999999</v>
      </c>
      <c r="AD82">
        <f ca="1">IFERROR(IF(0=LEN(ReferenceData!$AD$82),"",ReferenceData!$AD$82),"")</f>
        <v>25.076576580000001</v>
      </c>
      <c r="AE82">
        <f ca="1">IFERROR(IF(0=LEN(ReferenceData!$AE$82),"",ReferenceData!$AE$82),"")</f>
        <v>22.8248347</v>
      </c>
      <c r="AF82">
        <f ca="1">IFERROR(IF(0=LEN(ReferenceData!$AF$82),"",ReferenceData!$AF$82),"")</f>
        <v>23.662565310000002</v>
      </c>
      <c r="AG82">
        <f ca="1">IFERROR(IF(0=LEN(ReferenceData!$AG$82),"",ReferenceData!$AG$82),"")</f>
        <v>24.978999120000001</v>
      </c>
      <c r="AH82">
        <f ca="1">IFERROR(IF(0=LEN(ReferenceData!$AH$82),"",ReferenceData!$AH$82),"")</f>
        <v>25.15450122</v>
      </c>
      <c r="AI82">
        <f ca="1">IFERROR(IF(0=LEN(ReferenceData!$AI$82),"",ReferenceData!$AI$82),"")</f>
        <v>23.48480391</v>
      </c>
      <c r="AJ82">
        <f ca="1">IFERROR(IF(0=LEN(ReferenceData!$AJ$82),"",ReferenceData!$AJ$82),"")</f>
        <v>23.49843409</v>
      </c>
      <c r="AK82" t="str">
        <f ca="1">IFERROR(IF(0=LEN(ReferenceData!$AK$82),"",ReferenceData!$AK$82),"")</f>
        <v/>
      </c>
      <c r="AL82" t="str">
        <f ca="1">IFERROR(IF(0=LEN(ReferenceData!$AL$82),"",ReferenceData!$AL$82),"")</f>
        <v/>
      </c>
      <c r="AM82" t="str">
        <f ca="1">IFERROR(IF(0=LEN(ReferenceData!$AM$82),"",ReferenceData!$AM$82),"")</f>
        <v/>
      </c>
      <c r="AN82" t="str">
        <f ca="1">IFERROR(IF(0=LEN(ReferenceData!$AN$82),"",ReferenceData!$AN$82),"")</f>
        <v/>
      </c>
      <c r="AO82" t="str">
        <f ca="1">IFERROR(IF(0=LEN(ReferenceData!$AO$82),"",ReferenceData!$AO$82),"")</f>
        <v/>
      </c>
      <c r="AP82" t="str">
        <f ca="1">IFERROR(IF(0=LEN(ReferenceData!$AP$82),"",ReferenceData!$AP$82),"")</f>
        <v/>
      </c>
      <c r="AQ82" t="str">
        <f ca="1">IFERROR(IF(0=LEN(ReferenceData!$AQ$82),"",ReferenceData!$AQ$82),"")</f>
        <v/>
      </c>
      <c r="AR82" t="str">
        <f ca="1">IFERROR(IF(0=LEN(ReferenceData!$AR$82),"",ReferenceData!$AR$82),"")</f>
        <v/>
      </c>
      <c r="AS82" t="str">
        <f ca="1">IFERROR(IF(0=LEN(ReferenceData!$AS$82),"",ReferenceData!$AS$82),"")</f>
        <v/>
      </c>
      <c r="AT82" t="str">
        <f ca="1">IFERROR(IF(0=LEN(ReferenceData!$AT$82),"",ReferenceData!$AT$82),"")</f>
        <v/>
      </c>
      <c r="AU82" t="str">
        <f ca="1">IFERROR(IF(0=LEN(ReferenceData!$AU$82),"",ReferenceData!$AU$82),"")</f>
        <v/>
      </c>
      <c r="AV82" t="str">
        <f ca="1">IFERROR(IF(0=LEN(ReferenceData!$AV$82),"",ReferenceData!$AV$82),"")</f>
        <v/>
      </c>
      <c r="AW82" t="str">
        <f ca="1">IFERROR(IF(0=LEN(ReferenceData!$AW$82),"",ReferenceData!$AW$82),"")</f>
        <v/>
      </c>
      <c r="AX82" t="str">
        <f ca="1">IFERROR(IF(0=LEN(ReferenceData!$AX$82),"",ReferenceData!$AX$82),"")</f>
        <v/>
      </c>
      <c r="AY82">
        <f ca="1">IFERROR(IF(0=LEN(ReferenceData!$AY$82),"",ReferenceData!$AY$82),"")</f>
        <v>22.54917206</v>
      </c>
      <c r="AZ82">
        <f ca="1">IFERROR(IF(0=LEN(ReferenceData!$AZ$82),"",ReferenceData!$AZ$82),"")</f>
        <v>21.667360859999999</v>
      </c>
      <c r="BA82">
        <f ca="1">IFERROR(IF(0=LEN(ReferenceData!$BA$82),"",ReferenceData!$BA$82),"")</f>
        <v>20.360390689999999</v>
      </c>
      <c r="BB82">
        <f ca="1">IFERROR(IF(0=LEN(ReferenceData!$BB$82),"",ReferenceData!$BB$82),"")</f>
        <v>20.336770749999999</v>
      </c>
      <c r="BC82">
        <f ca="1">IFERROR(IF(0=LEN(ReferenceData!$BC$82),"",ReferenceData!$BC$82),"")</f>
        <v>20.641189740000002</v>
      </c>
      <c r="BD82">
        <f ca="1">IFERROR(IF(0=LEN(ReferenceData!$BD$82),"",ReferenceData!$BD$82),"")</f>
        <v>19.46557761</v>
      </c>
      <c r="BE82">
        <f ca="1">IFERROR(IF(0=LEN(ReferenceData!$BE$82),"",ReferenceData!$BE$82),"")</f>
        <v>18.673838839999998</v>
      </c>
      <c r="BF82">
        <f ca="1">IFERROR(IF(0=LEN(ReferenceData!$BF$82),"",ReferenceData!$BF$82),"")</f>
        <v>18.353699370000001</v>
      </c>
      <c r="BG82">
        <f ca="1">IFERROR(IF(0=LEN(ReferenceData!$BG$82),"",ReferenceData!$BG$82),"")</f>
        <v>19.568340419999998</v>
      </c>
      <c r="BH82">
        <f ca="1">IFERROR(IF(0=LEN(ReferenceData!$BH$82),"",ReferenceData!$BH$82),"")</f>
        <v>18.692852389999999</v>
      </c>
      <c r="BI82">
        <f ca="1">IFERROR(IF(0=LEN(ReferenceData!$BI$82),"",ReferenceData!$BI$82),"")</f>
        <v>17.956359129999999</v>
      </c>
      <c r="BJ82">
        <f ca="1">IFERROR(IF(0=LEN(ReferenceData!$BJ$82),"",ReferenceData!$BJ$82),"")</f>
        <v>19.903817289999999</v>
      </c>
      <c r="BK82">
        <f ca="1">IFERROR(IF(0=LEN(ReferenceData!$BK$82),"",ReferenceData!$BK$82),"")</f>
        <v>20.26151368</v>
      </c>
      <c r="BL82">
        <f ca="1">IFERROR(IF(0=LEN(ReferenceData!$BL$82),"",ReferenceData!$BL$82),"")</f>
        <v>19.615048959999999</v>
      </c>
      <c r="BM82">
        <f ca="1">IFERROR(IF(0=LEN(ReferenceData!$BM$82),"",ReferenceData!$BM$82),"")</f>
        <v>19.784074830000002</v>
      </c>
      <c r="BN82">
        <f ca="1">IFERROR(IF(0=LEN(ReferenceData!$BN$82),"",ReferenceData!$BN$82),"")</f>
        <v>19.470169649999999</v>
      </c>
      <c r="BO82">
        <f ca="1">IFERROR(IF(0=LEN(ReferenceData!$BO$82),"",ReferenceData!$BO$82),"")</f>
        <v>19.02400828</v>
      </c>
      <c r="BP82">
        <f ca="1">IFERROR(IF(0=LEN(ReferenceData!$BP$82),"",ReferenceData!$BP$82),"")</f>
        <v>19.047927820000002</v>
      </c>
      <c r="BQ82">
        <f ca="1">IFERROR(IF(0=LEN(ReferenceData!$BQ$82),"",ReferenceData!$BQ$82),"")</f>
        <v>18.960222829999999</v>
      </c>
      <c r="BR82">
        <f ca="1">IFERROR(IF(0=LEN(ReferenceData!$BR$82),"",ReferenceData!$BR$82),"")</f>
        <v>18.943508749999999</v>
      </c>
      <c r="BS82">
        <f ca="1">IFERROR(IF(0=LEN(ReferenceData!$BS$82),"",ReferenceData!$BS$82),"")</f>
        <v>19.98083257</v>
      </c>
      <c r="BT82">
        <f ca="1">IFERROR(IF(0=LEN(ReferenceData!$BT$82),"",ReferenceData!$BT$82),"")</f>
        <v>20.43363265</v>
      </c>
      <c r="BU82">
        <f ca="1">IFERROR(IF(0=LEN(ReferenceData!$BU$82),"",ReferenceData!$BU$82),"")</f>
        <v>20.11552902</v>
      </c>
      <c r="BV82">
        <f ca="1">IFERROR(IF(0=LEN(ReferenceData!$BV$82),"",ReferenceData!$BV$82),"")</f>
        <v>21.198979300000001</v>
      </c>
      <c r="BW82">
        <f ca="1">IFERROR(IF(0=LEN(ReferenceData!$BW$82),"",ReferenceData!$BW$82),"")</f>
        <v>20.585555240000001</v>
      </c>
      <c r="BX82">
        <f ca="1">IFERROR(IF(0=LEN(ReferenceData!$BX$82),"",ReferenceData!$BX$82),"")</f>
        <v>19.983359530000001</v>
      </c>
      <c r="BY82">
        <f ca="1">IFERROR(IF(0=LEN(ReferenceData!$BY$82),"",ReferenceData!$BY$82),"")</f>
        <v>20.315129590000002</v>
      </c>
      <c r="BZ82">
        <f ca="1">IFERROR(IF(0=LEN(ReferenceData!$BZ$82),"",ReferenceData!$BZ$82),"")</f>
        <v>20.608321740000001</v>
      </c>
      <c r="CA82">
        <f ca="1">IFERROR(IF(0=LEN(ReferenceData!$CA$82),"",ReferenceData!$CA$82),"")</f>
        <v>19.508416619999998</v>
      </c>
      <c r="CB82">
        <f ca="1">IFERROR(IF(0=LEN(ReferenceData!$CB$82),"",ReferenceData!$CB$82),"")</f>
        <v>20.288129519999998</v>
      </c>
      <c r="CC82">
        <f ca="1">IFERROR(IF(0=LEN(ReferenceData!$CC$82),"",ReferenceData!$CC$82),"")</f>
        <v>19.570793649999999</v>
      </c>
      <c r="CD82">
        <f ca="1">IFERROR(IF(0=LEN(ReferenceData!$CD$82),"",ReferenceData!$CD$82),"")</f>
        <v>18.328974469999999</v>
      </c>
      <c r="CE82">
        <f ca="1">IFERROR(IF(0=LEN(ReferenceData!$CE$82),"",ReferenceData!$CE$82),"")</f>
        <v>19.444312069999999</v>
      </c>
      <c r="CF82">
        <f ca="1">IFERROR(IF(0=LEN(ReferenceData!$CF$82),"",ReferenceData!$CF$82),"")</f>
        <v>17.268233819999999</v>
      </c>
      <c r="CG82">
        <f ca="1">IFERROR(IF(0=LEN(ReferenceData!$CG$82),"",ReferenceData!$CG$82),"")</f>
        <v>21.817283270000001</v>
      </c>
      <c r="CH82">
        <f ca="1">IFERROR(IF(0=LEN(ReferenceData!$CH$82),"",ReferenceData!$CH$82),"")</f>
        <v>21.49055495</v>
      </c>
      <c r="CI82">
        <f ca="1">IFERROR(IF(0=LEN(ReferenceData!$CI$82),"",ReferenceData!$CI$82),"")</f>
        <v>20.052950360000001</v>
      </c>
      <c r="CJ82">
        <f ca="1">IFERROR(IF(0=LEN(ReferenceData!$CJ$82),"",ReferenceData!$CJ$82),"")</f>
        <v>22.192191730000001</v>
      </c>
      <c r="CK82">
        <f ca="1">IFERROR(IF(0=LEN(ReferenceData!$CK$82),"",ReferenceData!$CK$82),"")</f>
        <v>22.04742302</v>
      </c>
    </row>
    <row r="83" spans="1:89">
      <c r="A83" t="str">
        <f>IFERROR(IF(0=LEN(ReferenceData!$A$83),"",ReferenceData!$A$83),"")</f>
        <v>价格/未来12个月FAD</v>
      </c>
      <c r="B83" t="str">
        <f>IFERROR(IF(0=LEN(ReferenceData!$B$83),"",ReferenceData!$B$83),"")</f>
        <v>BRFREITV Index</v>
      </c>
      <c r="C83" t="str">
        <f>IFERROR(IF(0=LEN(ReferenceData!$C$83),"",ReferenceData!$C$83),"")</f>
        <v/>
      </c>
      <c r="D83" t="str">
        <f>IFERROR(IF(0=LEN(ReferenceData!$D$83),"",ReferenceData!$D$83),"")</f>
        <v/>
      </c>
      <c r="E83" t="str">
        <f>IFERROR(IF(0=LEN(ReferenceData!$E$83),"",ReferenceData!$E$83),"")</f>
        <v>Median</v>
      </c>
      <c r="F83">
        <f ca="1">IFERROR(IF(0=LEN(ReferenceData!$F$83),"",ReferenceData!$F$83),"")</f>
        <v>19.512486169999999</v>
      </c>
      <c r="G83">
        <f ca="1">IFERROR(IF(0=LEN(ReferenceData!$G$83),"",ReferenceData!$G$83),"")</f>
        <v>18.63668389</v>
      </c>
      <c r="H83">
        <f ca="1">IFERROR(IF(0=LEN(ReferenceData!$H$83),"",ReferenceData!$H$83),"")</f>
        <v>20.139904250000001</v>
      </c>
      <c r="I83">
        <f ca="1">IFERROR(IF(0=LEN(ReferenceData!$I$83),"",ReferenceData!$I$83),"")</f>
        <v>21.4</v>
      </c>
      <c r="J83">
        <f ca="1">IFERROR(IF(0=LEN(ReferenceData!$J$83),"",ReferenceData!$J$83),"")</f>
        <v>21.948108040000001</v>
      </c>
      <c r="K83">
        <f ca="1">IFERROR(IF(0=LEN(ReferenceData!$K$83),"",ReferenceData!$K$83),"")</f>
        <v>21.718547999999998</v>
      </c>
      <c r="L83">
        <f ca="1">IFERROR(IF(0=LEN(ReferenceData!$L$83),"",ReferenceData!$L$83),"")</f>
        <v>21.97253589</v>
      </c>
      <c r="M83">
        <f ca="1">IFERROR(IF(0=LEN(ReferenceData!$M$83),"",ReferenceData!$M$83),"")</f>
        <v>22.262814285000001</v>
      </c>
      <c r="N83">
        <f ca="1">IFERROR(IF(0=LEN(ReferenceData!$N$83),"",ReferenceData!$N$83),"")</f>
        <v>22.595449954999999</v>
      </c>
      <c r="O83">
        <f ca="1">IFERROR(IF(0=LEN(ReferenceData!$O$83),"",ReferenceData!$O$83),"")</f>
        <v>22.272780454999999</v>
      </c>
      <c r="P83">
        <f ca="1">IFERROR(IF(0=LEN(ReferenceData!$P$83),"",ReferenceData!$P$83),"")</f>
        <v>22.244535974999998</v>
      </c>
      <c r="Q83">
        <f ca="1">IFERROR(IF(0=LEN(ReferenceData!$Q$83),"",ReferenceData!$Q$83),"")</f>
        <v>22.211353604999999</v>
      </c>
      <c r="R83">
        <f ca="1">IFERROR(IF(0=LEN(ReferenceData!$R$83),"",ReferenceData!$R$83),"")</f>
        <v>21.460482795000001</v>
      </c>
      <c r="S83">
        <f ca="1">IFERROR(IF(0=LEN(ReferenceData!$S$83),"",ReferenceData!$S$83),"")</f>
        <v>22.146920115</v>
      </c>
      <c r="T83">
        <f ca="1">IFERROR(IF(0=LEN(ReferenceData!$T$83),"",ReferenceData!$T$83),"")</f>
        <v>20.874148760000001</v>
      </c>
      <c r="U83">
        <f ca="1">IFERROR(IF(0=LEN(ReferenceData!$U$83),"",ReferenceData!$U$83),"")</f>
        <v>21.433929105000001</v>
      </c>
      <c r="V83">
        <f ca="1">IFERROR(IF(0=LEN(ReferenceData!$V$83),"",ReferenceData!$V$83),"")</f>
        <v>20.040069844999998</v>
      </c>
      <c r="W83">
        <f ca="1">IFERROR(IF(0=LEN(ReferenceData!$W$83),"",ReferenceData!$W$83),"")</f>
        <v>20.913843610000001</v>
      </c>
      <c r="X83">
        <f ca="1">IFERROR(IF(0=LEN(ReferenceData!$X$83),"",ReferenceData!$X$83),"")</f>
        <v>21.640757465</v>
      </c>
      <c r="Y83">
        <f ca="1">IFERROR(IF(0=LEN(ReferenceData!$Y$83),"",ReferenceData!$Y$83),"")</f>
        <v>21.582092055</v>
      </c>
      <c r="Z83">
        <f ca="1">IFERROR(IF(0=LEN(ReferenceData!$Z$83),"",ReferenceData!$Z$83),"")</f>
        <v>22.593672919999999</v>
      </c>
      <c r="AA83">
        <f ca="1">IFERROR(IF(0=LEN(ReferenceData!$AA$83),"",ReferenceData!$AA$83),"")</f>
        <v>22.194054399999999</v>
      </c>
      <c r="AB83">
        <f ca="1">IFERROR(IF(0=LEN(ReferenceData!$AB$83),"",ReferenceData!$AB$83),"")</f>
        <v>21.828900489999999</v>
      </c>
      <c r="AC83">
        <f ca="1">IFERROR(IF(0=LEN(ReferenceData!$AC$83),"",ReferenceData!$AC$83),"")</f>
        <v>20.718098900000001</v>
      </c>
      <c r="AD83">
        <f ca="1">IFERROR(IF(0=LEN(ReferenceData!$AD$83),"",ReferenceData!$AD$83),"")</f>
        <v>21.616809250000003</v>
      </c>
      <c r="AE83">
        <f ca="1">IFERROR(IF(0=LEN(ReferenceData!$AE$83),"",ReferenceData!$AE$83),"")</f>
        <v>19.608249154999999</v>
      </c>
      <c r="AF83">
        <f ca="1">IFERROR(IF(0=LEN(ReferenceData!$AF$83),"",ReferenceData!$AF$83),"")</f>
        <v>20.082532385</v>
      </c>
      <c r="AG83">
        <f ca="1">IFERROR(IF(0=LEN(ReferenceData!$AG$83),"",ReferenceData!$AG$83),"")</f>
        <v>21.879306755000002</v>
      </c>
      <c r="AH83">
        <f ca="1">IFERROR(IF(0=LEN(ReferenceData!$AH$83),"",ReferenceData!$AH$83),"")</f>
        <v>22.757947550000001</v>
      </c>
      <c r="AI83">
        <f ca="1">IFERROR(IF(0=LEN(ReferenceData!$AI$83),"",ReferenceData!$AI$83),"")</f>
        <v>21.53480815</v>
      </c>
      <c r="AJ83">
        <f ca="1">IFERROR(IF(0=LEN(ReferenceData!$AJ$83),"",ReferenceData!$AJ$83),"")</f>
        <v>21.777754479999999</v>
      </c>
      <c r="AK83">
        <f ca="1">IFERROR(IF(0=LEN(ReferenceData!$AK$83),"",ReferenceData!$AK$83),"")</f>
        <v>20.512208260000001</v>
      </c>
      <c r="AL83">
        <f ca="1">IFERROR(IF(0=LEN(ReferenceData!$AL$83),"",ReferenceData!$AL$83),"")</f>
        <v>21.776431219999999</v>
      </c>
      <c r="AM83">
        <f ca="1">IFERROR(IF(0=LEN(ReferenceData!$AM$83),"",ReferenceData!$AM$83),"")</f>
        <v>20.934011129999998</v>
      </c>
      <c r="AN83">
        <f ca="1">IFERROR(IF(0=LEN(ReferenceData!$AN$83),"",ReferenceData!$AN$83),"")</f>
        <v>21.53920652</v>
      </c>
      <c r="AO83">
        <f ca="1">IFERROR(IF(0=LEN(ReferenceData!$AO$83),"",ReferenceData!$AO$83),"")</f>
        <v>21.955007309999999</v>
      </c>
      <c r="AP83">
        <f ca="1">IFERROR(IF(0=LEN(ReferenceData!$AP$83),"",ReferenceData!$AP$83),"")</f>
        <v>23.180662030000001</v>
      </c>
      <c r="AQ83">
        <f ca="1">IFERROR(IF(0=LEN(ReferenceData!$AQ$83),"",ReferenceData!$AQ$83),"")</f>
        <v>21.891241520000001</v>
      </c>
      <c r="AR83">
        <f ca="1">IFERROR(IF(0=LEN(ReferenceData!$AR$83),"",ReferenceData!$AR$83),"")</f>
        <v>22.4837895</v>
      </c>
      <c r="AS83">
        <f ca="1">IFERROR(IF(0=LEN(ReferenceData!$AS$83),"",ReferenceData!$AS$83),"")</f>
        <v>20.712365590000001</v>
      </c>
      <c r="AT83">
        <f ca="1">IFERROR(IF(0=LEN(ReferenceData!$AT$83),"",ReferenceData!$AT$83),"")</f>
        <v>21.02160349</v>
      </c>
      <c r="AU83">
        <f ca="1">IFERROR(IF(0=LEN(ReferenceData!$AU$83),"",ReferenceData!$AU$83),"")</f>
        <v>21.10121393</v>
      </c>
      <c r="AV83">
        <f ca="1">IFERROR(IF(0=LEN(ReferenceData!$AV$83),"",ReferenceData!$AV$83),"")</f>
        <v>19.221260340000001</v>
      </c>
      <c r="AW83">
        <f ca="1">IFERROR(IF(0=LEN(ReferenceData!$AW$83),"",ReferenceData!$AW$83),"")</f>
        <v>21.465077640000001</v>
      </c>
      <c r="AX83">
        <f ca="1">IFERROR(IF(0=LEN(ReferenceData!$AX$83),"",ReferenceData!$AX$83),"")</f>
        <v>21.017604769999998</v>
      </c>
      <c r="AY83">
        <f ca="1">IFERROR(IF(0=LEN(ReferenceData!$AY$83),"",ReferenceData!$AY$83),"")</f>
        <v>21.05805123</v>
      </c>
      <c r="AZ83">
        <f ca="1">IFERROR(IF(0=LEN(ReferenceData!$AZ$83),"",ReferenceData!$AZ$83),"")</f>
        <v>20.326989770000001</v>
      </c>
      <c r="BA83">
        <f ca="1">IFERROR(IF(0=LEN(ReferenceData!$BA$83),"",ReferenceData!$BA$83),"")</f>
        <v>19.137084720000001</v>
      </c>
      <c r="BB83">
        <f ca="1">IFERROR(IF(0=LEN(ReferenceData!$BB$83),"",ReferenceData!$BB$83),"")</f>
        <v>19.0976702</v>
      </c>
      <c r="BC83">
        <f ca="1">IFERROR(IF(0=LEN(ReferenceData!$BC$83),"",ReferenceData!$BC$83),"")</f>
        <v>19.293315960000001</v>
      </c>
      <c r="BD83">
        <f ca="1">IFERROR(IF(0=LEN(ReferenceData!$BD$83),"",ReferenceData!$BD$83),"")</f>
        <v>18.319608680000002</v>
      </c>
      <c r="BE83">
        <f ca="1">IFERROR(IF(0=LEN(ReferenceData!$BE$83),"",ReferenceData!$BE$83),"")</f>
        <v>17.743161090000001</v>
      </c>
      <c r="BF83">
        <f ca="1">IFERROR(IF(0=LEN(ReferenceData!$BF$83),"",ReferenceData!$BF$83),"")</f>
        <v>17.818814740000001</v>
      </c>
      <c r="BG83">
        <f ca="1">IFERROR(IF(0=LEN(ReferenceData!$BG$83),"",ReferenceData!$BG$83),"")</f>
        <v>18.87435863</v>
      </c>
      <c r="BH83">
        <f ca="1">IFERROR(IF(0=LEN(ReferenceData!$BH$83),"",ReferenceData!$BH$83),"")</f>
        <v>18.32914032</v>
      </c>
      <c r="BI83">
        <f ca="1">IFERROR(IF(0=LEN(ReferenceData!$BI$83),"",ReferenceData!$BI$83),"")</f>
        <v>17.594883070000002</v>
      </c>
      <c r="BJ83">
        <f ca="1">IFERROR(IF(0=LEN(ReferenceData!$BJ$83),"",ReferenceData!$BJ$83),"")</f>
        <v>19.675217480000001</v>
      </c>
      <c r="BK83">
        <f ca="1">IFERROR(IF(0=LEN(ReferenceData!$BK$83),"",ReferenceData!$BK$83),"")</f>
        <v>20.41864224</v>
      </c>
      <c r="BL83">
        <f ca="1">IFERROR(IF(0=LEN(ReferenceData!$BL$83),"",ReferenceData!$BL$83),"")</f>
        <v>19.72787353</v>
      </c>
      <c r="BM83">
        <f ca="1">IFERROR(IF(0=LEN(ReferenceData!$BM$83),"",ReferenceData!$BM$83),"")</f>
        <v>20.56010805</v>
      </c>
      <c r="BN83">
        <f ca="1">IFERROR(IF(0=LEN(ReferenceData!$BN$83),"",ReferenceData!$BN$83),"")</f>
        <v>20.211205329999999</v>
      </c>
      <c r="BO83">
        <f ca="1">IFERROR(IF(0=LEN(ReferenceData!$BO$83),"",ReferenceData!$BO$83),"")</f>
        <v>20.330779490000001</v>
      </c>
      <c r="BP83">
        <f ca="1">IFERROR(IF(0=LEN(ReferenceData!$BP$83),"",ReferenceData!$BP$83),"")</f>
        <v>20.014467870000001</v>
      </c>
      <c r="BQ83">
        <f ca="1">IFERROR(IF(0=LEN(ReferenceData!$BQ$83),"",ReferenceData!$BQ$83),"")</f>
        <v>19.765285420000001</v>
      </c>
      <c r="BR83">
        <f ca="1">IFERROR(IF(0=LEN(ReferenceData!$BR$83),"",ReferenceData!$BR$83),"")</f>
        <v>19.286159640000001</v>
      </c>
      <c r="BS83">
        <f ca="1">IFERROR(IF(0=LEN(ReferenceData!$BS$83),"",ReferenceData!$BS$83),"")</f>
        <v>20.445189880000001</v>
      </c>
      <c r="BT83">
        <f ca="1">IFERROR(IF(0=LEN(ReferenceData!$BT$83),"",ReferenceData!$BT$83),"")</f>
        <v>20.21235351</v>
      </c>
      <c r="BU83">
        <f ca="1">IFERROR(IF(0=LEN(ReferenceData!$BU$83),"",ReferenceData!$BU$83),"")</f>
        <v>21.91544734</v>
      </c>
      <c r="BV83">
        <f ca="1">IFERROR(IF(0=LEN(ReferenceData!$BV$83),"",ReferenceData!$BV$83),"")</f>
        <v>22.81785648</v>
      </c>
      <c r="BW83">
        <f ca="1">IFERROR(IF(0=LEN(ReferenceData!$BW$83),"",ReferenceData!$BW$83),"")</f>
        <v>21.86619774</v>
      </c>
      <c r="BX83">
        <f ca="1">IFERROR(IF(0=LEN(ReferenceData!$BX$83),"",ReferenceData!$BX$83),"")</f>
        <v>21.216651630000001</v>
      </c>
      <c r="BY83">
        <f ca="1">IFERROR(IF(0=LEN(ReferenceData!$BY$83),"",ReferenceData!$BY$83),"")</f>
        <v>22.147129329999999</v>
      </c>
      <c r="BZ83">
        <f ca="1">IFERROR(IF(0=LEN(ReferenceData!$BZ$83),"",ReferenceData!$BZ$83),"")</f>
        <v>22.197726889999998</v>
      </c>
      <c r="CA83">
        <f ca="1">IFERROR(IF(0=LEN(ReferenceData!$CA$83),"",ReferenceData!$CA$83),"")</f>
        <v>21.022464880000001</v>
      </c>
      <c r="CB83">
        <f ca="1">IFERROR(IF(0=LEN(ReferenceData!$CB$83),"",ReferenceData!$CB$83),"")</f>
        <v>22.109848580000001</v>
      </c>
      <c r="CC83">
        <f ca="1">IFERROR(IF(0=LEN(ReferenceData!$CC$83),"",ReferenceData!$CC$83),"")</f>
        <v>20.998650470000001</v>
      </c>
      <c r="CD83">
        <f ca="1">IFERROR(IF(0=LEN(ReferenceData!$CD$83),"",ReferenceData!$CD$83),"")</f>
        <v>19.97678084</v>
      </c>
      <c r="CE83">
        <f ca="1">IFERROR(IF(0=LEN(ReferenceData!$CE$83),"",ReferenceData!$CE$83),"")</f>
        <v>21.275655159999999</v>
      </c>
      <c r="CF83">
        <f ca="1">IFERROR(IF(0=LEN(ReferenceData!$CF$83),"",ReferenceData!$CF$83),"")</f>
        <v>19.763948500000001</v>
      </c>
      <c r="CG83">
        <f ca="1">IFERROR(IF(0=LEN(ReferenceData!$CG$83),"",ReferenceData!$CG$83),"")</f>
        <v>24.165500040000001</v>
      </c>
      <c r="CH83">
        <f ca="1">IFERROR(IF(0=LEN(ReferenceData!$CH$83),"",ReferenceData!$CH$83),"")</f>
        <v>25.416037459999998</v>
      </c>
      <c r="CI83">
        <f ca="1">IFERROR(IF(0=LEN(ReferenceData!$CI$83),"",ReferenceData!$CI$83),"")</f>
        <v>24.381167869999999</v>
      </c>
      <c r="CJ83">
        <f ca="1">IFERROR(IF(0=LEN(ReferenceData!$CJ$83),"",ReferenceData!$CJ$83),"")</f>
        <v>25.083753269999999</v>
      </c>
      <c r="CK83">
        <f ca="1">IFERROR(IF(0=LEN(ReferenceData!$CK$83),"",ReferenceData!$CK$83),"")</f>
        <v>25.277124860000001</v>
      </c>
    </row>
    <row r="84" spans="1:89">
      <c r="A84" t="str">
        <f>IFERROR(IF(0=LEN(ReferenceData!$A$84),"",ReferenceData!$A$84),"")</f>
        <v xml:space="preserve">    Apartment Investment &amp; Managem</v>
      </c>
      <c r="B84" t="str">
        <f>IFERROR(IF(0=LEN(ReferenceData!$B$84),"",ReferenceData!$B$84),"")</f>
        <v>AIV US Equity</v>
      </c>
      <c r="C84" t="str">
        <f>IFERROR(IF(0=LEN(ReferenceData!$C$84),"",ReferenceData!$C$84),"")</f>
        <v/>
      </c>
      <c r="D84" t="str">
        <f>IFERROR(IF(0=LEN(ReferenceData!$D$84),"",ReferenceData!$D$84),"")</f>
        <v/>
      </c>
      <c r="E84" t="str">
        <f>IFERROR(IF(0=LEN(ReferenceData!$E$84),"",ReferenceData!$E$84),"")</f>
        <v>Expression</v>
      </c>
      <c r="F84">
        <f ca="1">IFERROR(IF(0=LEN(ReferenceData!$F$84),"",ReferenceData!$F$84),"")</f>
        <v>18.53307302</v>
      </c>
      <c r="G84">
        <f ca="1">IFERROR(IF(0=LEN(ReferenceData!$G$84),"",ReferenceData!$G$84),"")</f>
        <v>17.914163080000002</v>
      </c>
      <c r="H84">
        <f ca="1">IFERROR(IF(0=LEN(ReferenceData!$H$84),"",ReferenceData!$H$84),"")</f>
        <v>18.669153510000001</v>
      </c>
      <c r="I84">
        <f ca="1">IFERROR(IF(0=LEN(ReferenceData!$I$84),"",ReferenceData!$I$84),"")</f>
        <v>19.5308311</v>
      </c>
      <c r="J84">
        <f ca="1">IFERROR(IF(0=LEN(ReferenceData!$J$84),"",ReferenceData!$J$84),"")</f>
        <v>19.752362980000001</v>
      </c>
      <c r="K84">
        <f ca="1">IFERROR(IF(0=LEN(ReferenceData!$K$84),"",ReferenceData!$K$84),"")</f>
        <v>19.78905177</v>
      </c>
      <c r="L84">
        <f ca="1">IFERROR(IF(0=LEN(ReferenceData!$L$84),"",ReferenceData!$L$84),"")</f>
        <v>19.837177749999999</v>
      </c>
      <c r="M84">
        <f ca="1">IFERROR(IF(0=LEN(ReferenceData!$M$84),"",ReferenceData!$M$84),"")</f>
        <v>20.559147119999999</v>
      </c>
      <c r="N84">
        <f ca="1">IFERROR(IF(0=LEN(ReferenceData!$N$84),"",ReferenceData!$N$84),"")</f>
        <v>20.324604690000001</v>
      </c>
      <c r="O84">
        <f ca="1">IFERROR(IF(0=LEN(ReferenceData!$O$84),"",ReferenceData!$O$84),"")</f>
        <v>19.7381718</v>
      </c>
      <c r="P84">
        <f ca="1">IFERROR(IF(0=LEN(ReferenceData!$P$84),"",ReferenceData!$P$84),"")</f>
        <v>19.818694959999998</v>
      </c>
      <c r="Q84">
        <f ca="1">IFERROR(IF(0=LEN(ReferenceData!$Q$84),"",ReferenceData!$Q$84),"")</f>
        <v>20.135980010000001</v>
      </c>
      <c r="R84">
        <f ca="1">IFERROR(IF(0=LEN(ReferenceData!$R$84),"",ReferenceData!$R$84),"")</f>
        <v>21.19221121</v>
      </c>
      <c r="S84">
        <f ca="1">IFERROR(IF(0=LEN(ReferenceData!$S$84),"",ReferenceData!$S$84),"")</f>
        <v>22.459512060000002</v>
      </c>
      <c r="T84">
        <f ca="1">IFERROR(IF(0=LEN(ReferenceData!$T$84),"",ReferenceData!$T$84),"")</f>
        <v>20.682547530000001</v>
      </c>
      <c r="U84">
        <f ca="1">IFERROR(IF(0=LEN(ReferenceData!$U$84),"",ReferenceData!$U$84),"")</f>
        <v>21.348050730000001</v>
      </c>
      <c r="V84">
        <f ca="1">IFERROR(IF(0=LEN(ReferenceData!$V$84),"",ReferenceData!$V$84),"")</f>
        <v>19.812585179999999</v>
      </c>
      <c r="W84">
        <f ca="1">IFERROR(IF(0=LEN(ReferenceData!$W$84),"",ReferenceData!$W$84),"")</f>
        <v>20.86465952</v>
      </c>
      <c r="X84">
        <f ca="1">IFERROR(IF(0=LEN(ReferenceData!$X$84),"",ReferenceData!$X$84),"")</f>
        <v>21.75313907</v>
      </c>
      <c r="Y84">
        <f ca="1">IFERROR(IF(0=LEN(ReferenceData!$Y$84),"",ReferenceData!$Y$84),"")</f>
        <v>21.55534351</v>
      </c>
      <c r="Z84">
        <f ca="1">IFERROR(IF(0=LEN(ReferenceData!$Z$84),"",ReferenceData!$Z$84),"")</f>
        <v>22.16202431</v>
      </c>
      <c r="AA84">
        <f ca="1">IFERROR(IF(0=LEN(ReferenceData!$AA$84),"",ReferenceData!$AA$84),"")</f>
        <v>21.419757400000002</v>
      </c>
      <c r="AB84">
        <f ca="1">IFERROR(IF(0=LEN(ReferenceData!$AB$84),"",ReferenceData!$AB$84),"")</f>
        <v>20.80103239</v>
      </c>
      <c r="AC84">
        <f ca="1">IFERROR(IF(0=LEN(ReferenceData!$AC$84),"",ReferenceData!$AC$84),"")</f>
        <v>19.688483560000002</v>
      </c>
      <c r="AD84">
        <f ca="1">IFERROR(IF(0=LEN(ReferenceData!$AD$84),"",ReferenceData!$AD$84),"")</f>
        <v>20.378667010000001</v>
      </c>
      <c r="AE84">
        <f ca="1">IFERROR(IF(0=LEN(ReferenceData!$AE$84),"",ReferenceData!$AE$84),"")</f>
        <v>17.678133389999999</v>
      </c>
      <c r="AF84">
        <f ca="1">IFERROR(IF(0=LEN(ReferenceData!$AF$84),"",ReferenceData!$AF$84),"")</f>
        <v>19.052522669999998</v>
      </c>
      <c r="AG84">
        <f ca="1">IFERROR(IF(0=LEN(ReferenceData!$AG$84),"",ReferenceData!$AG$84),"")</f>
        <v>19.52682927</v>
      </c>
      <c r="AH84">
        <f ca="1">IFERROR(IF(0=LEN(ReferenceData!$AH$84),"",ReferenceData!$AH$84),"")</f>
        <v>18.728183829999999</v>
      </c>
      <c r="AI84">
        <f ca="1">IFERROR(IF(0=LEN(ReferenceData!$AI$84),"",ReferenceData!$AI$84),"")</f>
        <v>18.938982070000002</v>
      </c>
      <c r="AJ84">
        <f ca="1">IFERROR(IF(0=LEN(ReferenceData!$AJ$84),"",ReferenceData!$AJ$84),"")</f>
        <v>18.252448820000001</v>
      </c>
      <c r="AK84">
        <f ca="1">IFERROR(IF(0=LEN(ReferenceData!$AK$84),"",ReferenceData!$AK$84),"")</f>
        <v>18.197530329999999</v>
      </c>
      <c r="AL84">
        <f ca="1">IFERROR(IF(0=LEN(ReferenceData!$AL$84),"",ReferenceData!$AL$84),"")</f>
        <v>20.05146268</v>
      </c>
      <c r="AM84">
        <f ca="1">IFERROR(IF(0=LEN(ReferenceData!$AM$84),"",ReferenceData!$AM$84),"")</f>
        <v>19.01730044</v>
      </c>
      <c r="AN84">
        <f ca="1">IFERROR(IF(0=LEN(ReferenceData!$AN$84),"",ReferenceData!$AN$84),"")</f>
        <v>19.683364050000002</v>
      </c>
      <c r="AO84">
        <f ca="1">IFERROR(IF(0=LEN(ReferenceData!$AO$84),"",ReferenceData!$AO$84),"")</f>
        <v>19.835897769999999</v>
      </c>
      <c r="AP84">
        <f ca="1">IFERROR(IF(0=LEN(ReferenceData!$AP$84),"",ReferenceData!$AP$84),"")</f>
        <v>20.757325980000001</v>
      </c>
      <c r="AQ84">
        <f ca="1">IFERROR(IF(0=LEN(ReferenceData!$AQ$84),"",ReferenceData!$AQ$84),"")</f>
        <v>20.114859689999999</v>
      </c>
      <c r="AR84">
        <f ca="1">IFERROR(IF(0=LEN(ReferenceData!$AR$84),"",ReferenceData!$AR$84),"")</f>
        <v>21.880516790000001</v>
      </c>
      <c r="AS84">
        <f ca="1">IFERROR(IF(0=LEN(ReferenceData!$AS$84),"",ReferenceData!$AS$84),"")</f>
        <v>20.23420479</v>
      </c>
      <c r="AT84">
        <f ca="1">IFERROR(IF(0=LEN(ReferenceData!$AT$84),"",ReferenceData!$AT$84),"")</f>
        <v>20.35711573</v>
      </c>
      <c r="AU84">
        <f ca="1">IFERROR(IF(0=LEN(ReferenceData!$AU$84),"",ReferenceData!$AU$84),"")</f>
        <v>19.234417520000001</v>
      </c>
      <c r="AV84">
        <f ca="1">IFERROR(IF(0=LEN(ReferenceData!$AV$84),"",ReferenceData!$AV$84),"")</f>
        <v>17.317167019999999</v>
      </c>
      <c r="AW84">
        <f ca="1">IFERROR(IF(0=LEN(ReferenceData!$AW$84),"",ReferenceData!$AW$84),"")</f>
        <v>18.568336299999999</v>
      </c>
      <c r="AX84">
        <f ca="1">IFERROR(IF(0=LEN(ReferenceData!$AX$84),"",ReferenceData!$AX$84),"")</f>
        <v>20.165869879999999</v>
      </c>
      <c r="AY84">
        <f ca="1">IFERROR(IF(0=LEN(ReferenceData!$AY$84),"",ReferenceData!$AY$84),"")</f>
        <v>19.443800070000002</v>
      </c>
      <c r="AZ84">
        <f ca="1">IFERROR(IF(0=LEN(ReferenceData!$AZ$84),"",ReferenceData!$AZ$84),"")</f>
        <v>18.63399995</v>
      </c>
      <c r="BA84">
        <f ca="1">IFERROR(IF(0=LEN(ReferenceData!$BA$84),"",ReferenceData!$BA$84),"")</f>
        <v>18.445846209999999</v>
      </c>
      <c r="BB84">
        <f ca="1">IFERROR(IF(0=LEN(ReferenceData!$BB$84),"",ReferenceData!$BB$84),"")</f>
        <v>17.41725507</v>
      </c>
      <c r="BC84">
        <f ca="1">IFERROR(IF(0=LEN(ReferenceData!$BC$84),"",ReferenceData!$BC$84),"")</f>
        <v>17.200590890000001</v>
      </c>
      <c r="BD84">
        <f ca="1">IFERROR(IF(0=LEN(ReferenceData!$BD$84),"",ReferenceData!$BD$84),"")</f>
        <v>15.550188690000001</v>
      </c>
      <c r="BE84">
        <f ca="1">IFERROR(IF(0=LEN(ReferenceData!$BE$84),"",ReferenceData!$BE$84),"")</f>
        <v>15.331360950000001</v>
      </c>
      <c r="BF84">
        <f ca="1">IFERROR(IF(0=LEN(ReferenceData!$BF$84),"",ReferenceData!$BF$84),"")</f>
        <v>14.144948830000001</v>
      </c>
      <c r="BG84">
        <f ca="1">IFERROR(IF(0=LEN(ReferenceData!$BG$84),"",ReferenceData!$BG$84),"")</f>
        <v>16.225764290000001</v>
      </c>
      <c r="BH84">
        <f ca="1">IFERROR(IF(0=LEN(ReferenceData!$BH$84),"",ReferenceData!$BH$84),"")</f>
        <v>16.170703360000001</v>
      </c>
      <c r="BI84">
        <f ca="1">IFERROR(IF(0=LEN(ReferenceData!$BI$84),"",ReferenceData!$BI$84),"")</f>
        <v>16.048052049999999</v>
      </c>
      <c r="BJ84">
        <f ca="1">IFERROR(IF(0=LEN(ReferenceData!$BJ$84),"",ReferenceData!$BJ$84),"")</f>
        <v>17.03358248</v>
      </c>
      <c r="BK84">
        <f ca="1">IFERROR(IF(0=LEN(ReferenceData!$BK$84),"",ReferenceData!$BK$84),"")</f>
        <v>17.541841439999999</v>
      </c>
      <c r="BL84">
        <f ca="1">IFERROR(IF(0=LEN(ReferenceData!$BL$84),"",ReferenceData!$BL$84),"")</f>
        <v>17.828882790000002</v>
      </c>
      <c r="BM84">
        <f ca="1">IFERROR(IF(0=LEN(ReferenceData!$BM$84),"",ReferenceData!$BM$84),"")</f>
        <v>18.005545779999999</v>
      </c>
      <c r="BN84">
        <f ca="1">IFERROR(IF(0=LEN(ReferenceData!$BN$84),"",ReferenceData!$BN$84),"")</f>
        <v>17.870454939999998</v>
      </c>
      <c r="BO84">
        <f ca="1">IFERROR(IF(0=LEN(ReferenceData!$BO$84),"",ReferenceData!$BO$84),"")</f>
        <v>18.013963560000001</v>
      </c>
      <c r="BP84">
        <f ca="1">IFERROR(IF(0=LEN(ReferenceData!$BP$84),"",ReferenceData!$BP$84),"")</f>
        <v>16.277626619999999</v>
      </c>
      <c r="BQ84">
        <f ca="1">IFERROR(IF(0=LEN(ReferenceData!$BQ$84),"",ReferenceData!$BQ$84),"")</f>
        <v>16.350453170000002</v>
      </c>
      <c r="BR84">
        <f ca="1">IFERROR(IF(0=LEN(ReferenceData!$BR$84),"",ReferenceData!$BR$84),"")</f>
        <v>15.34517775</v>
      </c>
      <c r="BS84">
        <f ca="1">IFERROR(IF(0=LEN(ReferenceData!$BS$84),"",ReferenceData!$BS$84),"")</f>
        <v>17.071657470000002</v>
      </c>
      <c r="BT84">
        <f ca="1">IFERROR(IF(0=LEN(ReferenceData!$BT$84),"",ReferenceData!$BT$84),"")</f>
        <v>17.103095010000001</v>
      </c>
      <c r="BU84">
        <f ca="1">IFERROR(IF(0=LEN(ReferenceData!$BU$84),"",ReferenceData!$BU$84),"")</f>
        <v>17.691523440000001</v>
      </c>
      <c r="BV84">
        <f ca="1">IFERROR(IF(0=LEN(ReferenceData!$BV$84),"",ReferenceData!$BV$84),"")</f>
        <v>18.89262884</v>
      </c>
      <c r="BW84">
        <f ca="1">IFERROR(IF(0=LEN(ReferenceData!$BW$84),"",ReferenceData!$BW$84),"")</f>
        <v>19.384514759999998</v>
      </c>
      <c r="BX84">
        <f ca="1">IFERROR(IF(0=LEN(ReferenceData!$BX$84),"",ReferenceData!$BX$84),"")</f>
        <v>19.65271254</v>
      </c>
      <c r="BY84">
        <f ca="1">IFERROR(IF(0=LEN(ReferenceData!$BY$84),"",ReferenceData!$BY$84),"")</f>
        <v>21.23089122</v>
      </c>
      <c r="BZ84">
        <f ca="1">IFERROR(IF(0=LEN(ReferenceData!$BZ$84),"",ReferenceData!$BZ$84),"")</f>
        <v>20.962363790000001</v>
      </c>
      <c r="CA84">
        <f ca="1">IFERROR(IF(0=LEN(ReferenceData!$CA$84),"",ReferenceData!$CA$84),"")</f>
        <v>20.087563660000001</v>
      </c>
      <c r="CB84">
        <f ca="1">IFERROR(IF(0=LEN(ReferenceData!$CB$84),"",ReferenceData!$CB$84),"")</f>
        <v>19.701477690000001</v>
      </c>
      <c r="CC84">
        <f ca="1">IFERROR(IF(0=LEN(ReferenceData!$CC$84),"",ReferenceData!$CC$84),"")</f>
        <v>18.505654280000002</v>
      </c>
      <c r="CD84">
        <f ca="1">IFERROR(IF(0=LEN(ReferenceData!$CD$84),"",ReferenceData!$CD$84),"")</f>
        <v>17.852795589999999</v>
      </c>
      <c r="CE84">
        <f ca="1">IFERROR(IF(0=LEN(ReferenceData!$CE$84),"",ReferenceData!$CE$84),"")</f>
        <v>19.549156979999999</v>
      </c>
      <c r="CF84">
        <f ca="1">IFERROR(IF(0=LEN(ReferenceData!$CF$84),"",ReferenceData!$CF$84),"")</f>
        <v>17.674790250000001</v>
      </c>
      <c r="CG84">
        <f ca="1">IFERROR(IF(0=LEN(ReferenceData!$CG$84),"",ReferenceData!$CG$84),"")</f>
        <v>20.90963606</v>
      </c>
      <c r="CH84">
        <f ca="1">IFERROR(IF(0=LEN(ReferenceData!$CH$84),"",ReferenceData!$CH$84),"")</f>
        <v>22.81508002</v>
      </c>
      <c r="CI84">
        <f ca="1">IFERROR(IF(0=LEN(ReferenceData!$CI$84),"",ReferenceData!$CI$84),"")</f>
        <v>20.831497420000002</v>
      </c>
      <c r="CJ84">
        <f ca="1">IFERROR(IF(0=LEN(ReferenceData!$CJ$84),"",ReferenceData!$CJ$84),"")</f>
        <v>25.083753269999999</v>
      </c>
      <c r="CK84">
        <f ca="1">IFERROR(IF(0=LEN(ReferenceData!$CK$84),"",ReferenceData!$CK$84),"")</f>
        <v>25.277124860000001</v>
      </c>
    </row>
    <row r="85" spans="1:89">
      <c r="A85" t="str">
        <f>IFERROR(IF(0=LEN(ReferenceData!$A$85),"",ReferenceData!$A$85),"")</f>
        <v xml:space="preserve">    AvalonBay Communities Inc</v>
      </c>
      <c r="B85" t="str">
        <f>IFERROR(IF(0=LEN(ReferenceData!$B$85),"",ReferenceData!$B$85),"")</f>
        <v>AVB US Equity</v>
      </c>
      <c r="C85" t="str">
        <f>IFERROR(IF(0=LEN(ReferenceData!$C$85),"",ReferenceData!$C$85),"")</f>
        <v/>
      </c>
      <c r="D85" t="str">
        <f>IFERROR(IF(0=LEN(ReferenceData!$D$85),"",ReferenceData!$D$85),"")</f>
        <v/>
      </c>
      <c r="E85" t="str">
        <f>IFERROR(IF(0=LEN(ReferenceData!$E$85),"",ReferenceData!$E$85),"")</f>
        <v>Expression</v>
      </c>
      <c r="F85">
        <f ca="1">IFERROR(IF(0=LEN(ReferenceData!$F$85),"",ReferenceData!$F$85),"")</f>
        <v>18.908025810000002</v>
      </c>
      <c r="G85">
        <f ca="1">IFERROR(IF(0=LEN(ReferenceData!$G$85),"",ReferenceData!$G$85),"")</f>
        <v>18.280139089999999</v>
      </c>
      <c r="H85">
        <f ca="1">IFERROR(IF(0=LEN(ReferenceData!$H$85),"",ReferenceData!$H$85),"")</f>
        <v>19.846668180000002</v>
      </c>
      <c r="I85">
        <f ca="1">IFERROR(IF(0=LEN(ReferenceData!$I$85),"",ReferenceData!$I$85),"")</f>
        <v>20.905788609999998</v>
      </c>
      <c r="J85">
        <f ca="1">IFERROR(IF(0=LEN(ReferenceData!$J$85),"",ReferenceData!$J$85),"")</f>
        <v>21.348241590000001</v>
      </c>
      <c r="K85">
        <f ca="1">IFERROR(IF(0=LEN(ReferenceData!$K$85),"",ReferenceData!$K$85),"")</f>
        <v>21.411589719999998</v>
      </c>
      <c r="L85">
        <f ca="1">IFERROR(IF(0=LEN(ReferenceData!$L$85),"",ReferenceData!$L$85),"")</f>
        <v>21.166142709999999</v>
      </c>
      <c r="M85">
        <f ca="1">IFERROR(IF(0=LEN(ReferenceData!$M$85),"",ReferenceData!$M$85),"")</f>
        <v>22.267514540000001</v>
      </c>
      <c r="N85">
        <f ca="1">IFERROR(IF(0=LEN(ReferenceData!$N$85),"",ReferenceData!$N$85),"")</f>
        <v>22.847245470000001</v>
      </c>
      <c r="O85">
        <f ca="1">IFERROR(IF(0=LEN(ReferenceData!$O$85),"",ReferenceData!$O$85),"")</f>
        <v>22.934717750000001</v>
      </c>
      <c r="P85">
        <f ca="1">IFERROR(IF(0=LEN(ReferenceData!$P$85),"",ReferenceData!$P$85),"")</f>
        <v>22.932215419999999</v>
      </c>
      <c r="Q85">
        <f ca="1">IFERROR(IF(0=LEN(ReferenceData!$Q$85),"",ReferenceData!$Q$85),"")</f>
        <v>23.019385809999999</v>
      </c>
      <c r="R85">
        <f ca="1">IFERROR(IF(0=LEN(ReferenceData!$R$85),"",ReferenceData!$R$85),"")</f>
        <v>22.21482803</v>
      </c>
      <c r="S85">
        <f ca="1">IFERROR(IF(0=LEN(ReferenceData!$S$85),"",ReferenceData!$S$85),"")</f>
        <v>22.380864639999999</v>
      </c>
      <c r="T85">
        <f ca="1">IFERROR(IF(0=LEN(ReferenceData!$T$85),"",ReferenceData!$T$85),"")</f>
        <v>21.19967325</v>
      </c>
      <c r="U85">
        <f ca="1">IFERROR(IF(0=LEN(ReferenceData!$U$85),"",ReferenceData!$U$85),"")</f>
        <v>21.728198209999999</v>
      </c>
      <c r="V85">
        <f ca="1">IFERROR(IF(0=LEN(ReferenceData!$V$85),"",ReferenceData!$V$85),"")</f>
        <v>20.150358990000001</v>
      </c>
      <c r="W85">
        <f ca="1">IFERROR(IF(0=LEN(ReferenceData!$W$85),"",ReferenceData!$W$85),"")</f>
        <v>21.110106999999999</v>
      </c>
      <c r="X85">
        <f ca="1">IFERROR(IF(0=LEN(ReferenceData!$X$85),"",ReferenceData!$X$85),"")</f>
        <v>21.79278231</v>
      </c>
      <c r="Y85">
        <f ca="1">IFERROR(IF(0=LEN(ReferenceData!$Y$85),"",ReferenceData!$Y$85),"")</f>
        <v>21.608840600000001</v>
      </c>
      <c r="Z85">
        <f ca="1">IFERROR(IF(0=LEN(ReferenceData!$Z$85),"",ReferenceData!$Z$85),"")</f>
        <v>22.86178576</v>
      </c>
      <c r="AA85">
        <f ca="1">IFERROR(IF(0=LEN(ReferenceData!$AA$85),"",ReferenceData!$AA$85),"")</f>
        <v>22.231114609999999</v>
      </c>
      <c r="AB85">
        <f ca="1">IFERROR(IF(0=LEN(ReferenceData!$AB$85),"",ReferenceData!$AB$85),"")</f>
        <v>22.378987939999998</v>
      </c>
      <c r="AC85">
        <f ca="1">IFERROR(IF(0=LEN(ReferenceData!$AC$85),"",ReferenceData!$AC$85),"")</f>
        <v>22.27761418</v>
      </c>
      <c r="AD85">
        <f ca="1">IFERROR(IF(0=LEN(ReferenceData!$AD$85),"",ReferenceData!$AD$85),"")</f>
        <v>23.803042959999999</v>
      </c>
      <c r="AE85">
        <f ca="1">IFERROR(IF(0=LEN(ReferenceData!$AE$85),"",ReferenceData!$AE$85),"")</f>
        <v>21.78220134</v>
      </c>
      <c r="AF85">
        <f ca="1">IFERROR(IF(0=LEN(ReferenceData!$AF$85),"",ReferenceData!$AF$85),"")</f>
        <v>21.917161839999999</v>
      </c>
      <c r="AG85">
        <f ca="1">IFERROR(IF(0=LEN(ReferenceData!$AG$85),"",ReferenceData!$AG$85),"")</f>
        <v>23.900571129999999</v>
      </c>
      <c r="AH85">
        <f ca="1">IFERROR(IF(0=LEN(ReferenceData!$AH$85),"",ReferenceData!$AH$85),"")</f>
        <v>23.878304839999998</v>
      </c>
      <c r="AI85">
        <f ca="1">IFERROR(IF(0=LEN(ReferenceData!$AI$85),"",ReferenceData!$AI$85),"")</f>
        <v>23.116628769999998</v>
      </c>
      <c r="AJ85">
        <f ca="1">IFERROR(IF(0=LEN(ReferenceData!$AJ$85),"",ReferenceData!$AJ$85),"")</f>
        <v>23.450656370000001</v>
      </c>
      <c r="AK85">
        <f ca="1">IFERROR(IF(0=LEN(ReferenceData!$AK$85),"",ReferenceData!$AK$85),"")</f>
        <v>22.272367060000001</v>
      </c>
      <c r="AL85">
        <f ca="1">IFERROR(IF(0=LEN(ReferenceData!$AL$85),"",ReferenceData!$AL$85),"")</f>
        <v>23.5634744</v>
      </c>
      <c r="AM85">
        <f ca="1">IFERROR(IF(0=LEN(ReferenceData!$AM$85),"",ReferenceData!$AM$85),"")</f>
        <v>21.975949480000001</v>
      </c>
      <c r="AN85">
        <f ca="1">IFERROR(IF(0=LEN(ReferenceData!$AN$85),"",ReferenceData!$AN$85),"")</f>
        <v>23.012373610000001</v>
      </c>
      <c r="AO85">
        <f ca="1">IFERROR(IF(0=LEN(ReferenceData!$AO$85),"",ReferenceData!$AO$85),"")</f>
        <v>22.841433139999999</v>
      </c>
      <c r="AP85">
        <f ca="1">IFERROR(IF(0=LEN(ReferenceData!$AP$85),"",ReferenceData!$AP$85),"")</f>
        <v>24.61565672</v>
      </c>
      <c r="AQ85">
        <f ca="1">IFERROR(IF(0=LEN(ReferenceData!$AQ$85),"",ReferenceData!$AQ$85),"")</f>
        <v>24.102005569999999</v>
      </c>
      <c r="AR85">
        <f ca="1">IFERROR(IF(0=LEN(ReferenceData!$AR$85),"",ReferenceData!$AR$85),"")</f>
        <v>24.886762279999999</v>
      </c>
      <c r="AS85">
        <f ca="1">IFERROR(IF(0=LEN(ReferenceData!$AS$85),"",ReferenceData!$AS$85),"")</f>
        <v>23.556805069999999</v>
      </c>
      <c r="AT85">
        <f ca="1">IFERROR(IF(0=LEN(ReferenceData!$AT$85),"",ReferenceData!$AT$85),"")</f>
        <v>23.386564830000001</v>
      </c>
      <c r="AU85">
        <f ca="1">IFERROR(IF(0=LEN(ReferenceData!$AU$85),"",ReferenceData!$AU$85),"")</f>
        <v>22.950138379999999</v>
      </c>
      <c r="AV85">
        <f ca="1">IFERROR(IF(0=LEN(ReferenceData!$AV$85),"",ReferenceData!$AV$85),"")</f>
        <v>21.123867050000001</v>
      </c>
      <c r="AW85">
        <f ca="1">IFERROR(IF(0=LEN(ReferenceData!$AW$85),"",ReferenceData!$AW$85),"")</f>
        <v>23.071998409999999</v>
      </c>
      <c r="AX85">
        <f ca="1">IFERROR(IF(0=LEN(ReferenceData!$AX$85),"",ReferenceData!$AX$85),"")</f>
        <v>22.485392010000002</v>
      </c>
      <c r="AY85">
        <f ca="1">IFERROR(IF(0=LEN(ReferenceData!$AY$85),"",ReferenceData!$AY$85),"")</f>
        <v>21.772661200000002</v>
      </c>
      <c r="AZ85">
        <f ca="1">IFERROR(IF(0=LEN(ReferenceData!$AZ$85),"",ReferenceData!$AZ$85),"")</f>
        <v>21.960133930000001</v>
      </c>
      <c r="BA85">
        <f ca="1">IFERROR(IF(0=LEN(ReferenceData!$BA$85),"",ReferenceData!$BA$85),"")</f>
        <v>21.296097159999999</v>
      </c>
      <c r="BB85">
        <f ca="1">IFERROR(IF(0=LEN(ReferenceData!$BB$85),"",ReferenceData!$BB$85),"")</f>
        <v>20.449604770000001</v>
      </c>
      <c r="BC85">
        <f ca="1">IFERROR(IF(0=LEN(ReferenceData!$BC$85),"",ReferenceData!$BC$85),"")</f>
        <v>20.234958989999999</v>
      </c>
      <c r="BD85">
        <f ca="1">IFERROR(IF(0=LEN(ReferenceData!$BD$85),"",ReferenceData!$BD$85),"")</f>
        <v>19.370701589999999</v>
      </c>
      <c r="BE85">
        <f ca="1">IFERROR(IF(0=LEN(ReferenceData!$BE$85),"",ReferenceData!$BE$85),"")</f>
        <v>18.54297365</v>
      </c>
      <c r="BF85">
        <f ca="1">IFERROR(IF(0=LEN(ReferenceData!$BF$85),"",ReferenceData!$BF$85),"")</f>
        <v>19.113973189999999</v>
      </c>
      <c r="BG85">
        <f ca="1">IFERROR(IF(0=LEN(ReferenceData!$BG$85),"",ReferenceData!$BG$85),"")</f>
        <v>20.228595259999999</v>
      </c>
      <c r="BH85">
        <f ca="1">IFERROR(IF(0=LEN(ReferenceData!$BH$85),"",ReferenceData!$BH$85),"")</f>
        <v>20.6546193</v>
      </c>
      <c r="BI85">
        <f ca="1">IFERROR(IF(0=LEN(ReferenceData!$BI$85),"",ReferenceData!$BI$85),"")</f>
        <v>20.28491215</v>
      </c>
      <c r="BJ85">
        <f ca="1">IFERROR(IF(0=LEN(ReferenceData!$BJ$85),"",ReferenceData!$BJ$85),"")</f>
        <v>22.64342495</v>
      </c>
      <c r="BK85">
        <f ca="1">IFERROR(IF(0=LEN(ReferenceData!$BK$85),"",ReferenceData!$BK$85),"")</f>
        <v>23.17349218</v>
      </c>
      <c r="BL85">
        <f ca="1">IFERROR(IF(0=LEN(ReferenceData!$BL$85),"",ReferenceData!$BL$85),"")</f>
        <v>23.048980910000001</v>
      </c>
      <c r="BM85">
        <f ca="1">IFERROR(IF(0=LEN(ReferenceData!$BM$85),"",ReferenceData!$BM$85),"")</f>
        <v>23.894879769999999</v>
      </c>
      <c r="BN85">
        <f ca="1">IFERROR(IF(0=LEN(ReferenceData!$BN$85),"",ReferenceData!$BN$85),"")</f>
        <v>23.006375930000001</v>
      </c>
      <c r="BO85">
        <f ca="1">IFERROR(IF(0=LEN(ReferenceData!$BO$85),"",ReferenceData!$BO$85),"")</f>
        <v>22.73432583</v>
      </c>
      <c r="BP85">
        <f ca="1">IFERROR(IF(0=LEN(ReferenceData!$BP$85),"",ReferenceData!$BP$85),"")</f>
        <v>22.86281396</v>
      </c>
      <c r="BQ85">
        <f ca="1">IFERROR(IF(0=LEN(ReferenceData!$BQ$85),"",ReferenceData!$BQ$85),"")</f>
        <v>23.321293430000001</v>
      </c>
      <c r="BR85">
        <f ca="1">IFERROR(IF(0=LEN(ReferenceData!$BR$85),"",ReferenceData!$BR$85),"")</f>
        <v>22.62106751</v>
      </c>
      <c r="BS85">
        <f ca="1">IFERROR(IF(0=LEN(ReferenceData!$BS$85),"",ReferenceData!$BS$85),"")</f>
        <v>23.459521420000002</v>
      </c>
      <c r="BT85">
        <f ca="1">IFERROR(IF(0=LEN(ReferenceData!$BT$85),"",ReferenceData!$BT$85),"")</f>
        <v>23.909488899999999</v>
      </c>
      <c r="BU85">
        <f ca="1">IFERROR(IF(0=LEN(ReferenceData!$BU$85),"",ReferenceData!$BU$85),"")</f>
        <v>25.08908469</v>
      </c>
      <c r="BV85">
        <f ca="1">IFERROR(IF(0=LEN(ReferenceData!$BV$85),"",ReferenceData!$BV$85),"")</f>
        <v>26.643003319999998</v>
      </c>
      <c r="BW85">
        <f ca="1">IFERROR(IF(0=LEN(ReferenceData!$BW$85),"",ReferenceData!$BW$85),"")</f>
        <v>25.922404650000001</v>
      </c>
      <c r="BX85">
        <f ca="1">IFERROR(IF(0=LEN(ReferenceData!$BX$85),"",ReferenceData!$BX$85),"")</f>
        <v>25.860071749999999</v>
      </c>
      <c r="BY85">
        <f ca="1">IFERROR(IF(0=LEN(ReferenceData!$BY$85),"",ReferenceData!$BY$85),"")</f>
        <v>26.857459299999999</v>
      </c>
      <c r="BZ85">
        <f ca="1">IFERROR(IF(0=LEN(ReferenceData!$BZ$85),"",ReferenceData!$BZ$85),"")</f>
        <v>26.894885989999999</v>
      </c>
      <c r="CA85">
        <f ca="1">IFERROR(IF(0=LEN(ReferenceData!$CA$85),"",ReferenceData!$CA$85),"")</f>
        <v>24.94988665</v>
      </c>
      <c r="CB85">
        <f ca="1">IFERROR(IF(0=LEN(ReferenceData!$CB$85),"",ReferenceData!$CB$85),"")</f>
        <v>26.172499500000001</v>
      </c>
      <c r="CC85">
        <f ca="1">IFERROR(IF(0=LEN(ReferenceData!$CC$85),"",ReferenceData!$CC$85),"")</f>
        <v>25.03354418</v>
      </c>
      <c r="CD85">
        <f ca="1">IFERROR(IF(0=LEN(ReferenceData!$CD$85),"",ReferenceData!$CD$85),"")</f>
        <v>24.087124970000001</v>
      </c>
      <c r="CE85">
        <f ca="1">IFERROR(IF(0=LEN(ReferenceData!$CE$85),"",ReferenceData!$CE$85),"")</f>
        <v>25.840412600000001</v>
      </c>
      <c r="CF85">
        <f ca="1">IFERROR(IF(0=LEN(ReferenceData!$CF$85),"",ReferenceData!$CF$85),"")</f>
        <v>22.653689539999998</v>
      </c>
      <c r="CG85">
        <f ca="1">IFERROR(IF(0=LEN(ReferenceData!$CG$85),"",ReferenceData!$CG$85),"")</f>
        <v>27.48987674</v>
      </c>
      <c r="CH85">
        <f ca="1">IFERROR(IF(0=LEN(ReferenceData!$CH$85),"",ReferenceData!$CH$85),"")</f>
        <v>27.76735102</v>
      </c>
      <c r="CI85">
        <f ca="1">IFERROR(IF(0=LEN(ReferenceData!$CI$85),"",ReferenceData!$CI$85),"")</f>
        <v>26.691323570000002</v>
      </c>
      <c r="CJ85">
        <f ca="1">IFERROR(IF(0=LEN(ReferenceData!$CJ$85),"",ReferenceData!$CJ$85),"")</f>
        <v>28.397468960000001</v>
      </c>
      <c r="CK85">
        <f ca="1">IFERROR(IF(0=LEN(ReferenceData!$CK$85),"",ReferenceData!$CK$85),"")</f>
        <v>27.54268398</v>
      </c>
    </row>
    <row r="86" spans="1:89">
      <c r="A86" t="str">
        <f>IFERROR(IF(0=LEN(ReferenceData!$A$86),"",ReferenceData!$A$86),"")</f>
        <v xml:space="preserve">    Camden Property Trust</v>
      </c>
      <c r="B86" t="str">
        <f>IFERROR(IF(0=LEN(ReferenceData!$B$86),"",ReferenceData!$B$86),"")</f>
        <v>CPT US Equity</v>
      </c>
      <c r="C86" t="str">
        <f>IFERROR(IF(0=LEN(ReferenceData!$C$86),"",ReferenceData!$C$86),"")</f>
        <v/>
      </c>
      <c r="D86" t="str">
        <f>IFERROR(IF(0=LEN(ReferenceData!$D$86),"",ReferenceData!$D$86),"")</f>
        <v/>
      </c>
      <c r="E86" t="str">
        <f>IFERROR(IF(0=LEN(ReferenceData!$E$86),"",ReferenceData!$E$86),"")</f>
        <v>Expression</v>
      </c>
      <c r="F86">
        <f ca="1">IFERROR(IF(0=LEN(ReferenceData!$F$86),"",ReferenceData!$F$86),"")</f>
        <v>20.040657849999999</v>
      </c>
      <c r="G86">
        <f ca="1">IFERROR(IF(0=LEN(ReferenceData!$G$86),"",ReferenceData!$G$86),"")</f>
        <v>19.370162319999999</v>
      </c>
      <c r="H86">
        <f ca="1">IFERROR(IF(0=LEN(ReferenceData!$H$86),"",ReferenceData!$H$86),"")</f>
        <v>20.805106670000001</v>
      </c>
      <c r="I86">
        <f ca="1">IFERROR(IF(0=LEN(ReferenceData!$I$86),"",ReferenceData!$I$86),"")</f>
        <v>22.409931839999999</v>
      </c>
      <c r="J86">
        <f ca="1">IFERROR(IF(0=LEN(ReferenceData!$J$86),"",ReferenceData!$J$86),"")</f>
        <v>22.278031200000001</v>
      </c>
      <c r="K86">
        <f ca="1">IFERROR(IF(0=LEN(ReferenceData!$K$86),"",ReferenceData!$K$86),"")</f>
        <v>22.62256077</v>
      </c>
      <c r="L86">
        <f ca="1">IFERROR(IF(0=LEN(ReferenceData!$L$86),"",ReferenceData!$L$86),"")</f>
        <v>22.546844180000001</v>
      </c>
      <c r="M86">
        <f ca="1">IFERROR(IF(0=LEN(ReferenceData!$M$86),"",ReferenceData!$M$86),"")</f>
        <v>22.258114030000002</v>
      </c>
      <c r="N86">
        <f ca="1">IFERROR(IF(0=LEN(ReferenceData!$N$86),"",ReferenceData!$N$86),"")</f>
        <v>22.339473330000001</v>
      </c>
      <c r="O86">
        <f ca="1">IFERROR(IF(0=LEN(ReferenceData!$O$86),"",ReferenceData!$O$86),"")</f>
        <v>21.482225849999999</v>
      </c>
      <c r="P86">
        <f ca="1">IFERROR(IF(0=LEN(ReferenceData!$P$86),"",ReferenceData!$P$86),"")</f>
        <v>21.037799100000001</v>
      </c>
      <c r="Q86">
        <f ca="1">IFERROR(IF(0=LEN(ReferenceData!$Q$86),"",ReferenceData!$Q$86),"")</f>
        <v>20.543093209999999</v>
      </c>
      <c r="R86">
        <f ca="1">IFERROR(IF(0=LEN(ReferenceData!$R$86),"",ReferenceData!$R$86),"")</f>
        <v>20.757175100000001</v>
      </c>
      <c r="S86">
        <f ca="1">IFERROR(IF(0=LEN(ReferenceData!$S$86),"",ReferenceData!$S$86),"")</f>
        <v>21.912975589999999</v>
      </c>
      <c r="T86">
        <f ca="1">IFERROR(IF(0=LEN(ReferenceData!$T$86),"",ReferenceData!$T$86),"")</f>
        <v>21.06574999</v>
      </c>
      <c r="U86">
        <f ca="1">IFERROR(IF(0=LEN(ReferenceData!$U$86),"",ReferenceData!$U$86),"")</f>
        <v>21.235160390000001</v>
      </c>
      <c r="V86">
        <f ca="1">IFERROR(IF(0=LEN(ReferenceData!$V$86),"",ReferenceData!$V$86),"")</f>
        <v>19.994772040000001</v>
      </c>
      <c r="W86">
        <f ca="1">IFERROR(IF(0=LEN(ReferenceData!$W$86),"",ReferenceData!$W$86),"")</f>
        <v>20.963027700000001</v>
      </c>
      <c r="X86">
        <f ca="1">IFERROR(IF(0=LEN(ReferenceData!$X$86),"",ReferenceData!$X$86),"")</f>
        <v>21.528375860000001</v>
      </c>
      <c r="Y86">
        <f ca="1">IFERROR(IF(0=LEN(ReferenceData!$Y$86),"",ReferenceData!$Y$86),"")</f>
        <v>22.57846189</v>
      </c>
      <c r="Z86">
        <f ca="1">IFERROR(IF(0=LEN(ReferenceData!$Z$86),"",ReferenceData!$Z$86),"")</f>
        <v>23.121378329999999</v>
      </c>
      <c r="AA86">
        <f ca="1">IFERROR(IF(0=LEN(ReferenceData!$AA$86),"",ReferenceData!$AA$86),"")</f>
        <v>22.747374480000001</v>
      </c>
      <c r="AB86">
        <f ca="1">IFERROR(IF(0=LEN(ReferenceData!$AB$86),"",ReferenceData!$AB$86),"")</f>
        <v>21.738775489999998</v>
      </c>
      <c r="AC86">
        <f ca="1">IFERROR(IF(0=LEN(ReferenceData!$AC$86),"",ReferenceData!$AC$86),"")</f>
        <v>19.462213219999999</v>
      </c>
      <c r="AD86">
        <f ca="1">IFERROR(IF(0=LEN(ReferenceData!$AD$86),"",ReferenceData!$AD$86),"")</f>
        <v>20.18828474</v>
      </c>
      <c r="AE86">
        <f ca="1">IFERROR(IF(0=LEN(ReferenceData!$AE$86),"",ReferenceData!$AE$86),"")</f>
        <v>18.01038501</v>
      </c>
      <c r="AF86">
        <f ca="1">IFERROR(IF(0=LEN(ReferenceData!$AF$86),"",ReferenceData!$AF$86),"")</f>
        <v>18.592664450000001</v>
      </c>
      <c r="AG86">
        <f ca="1">IFERROR(IF(0=LEN(ReferenceData!$AG$86),"",ReferenceData!$AG$86),"")</f>
        <v>18.99529819</v>
      </c>
      <c r="AH86">
        <f ca="1">IFERROR(IF(0=LEN(ReferenceData!$AH$86),"",ReferenceData!$AH$86),"")</f>
        <v>18.91884662</v>
      </c>
      <c r="AI86">
        <f ca="1">IFERROR(IF(0=LEN(ReferenceData!$AI$86),"",ReferenceData!$AI$86),"")</f>
        <v>18.04468842</v>
      </c>
      <c r="AJ86">
        <f ca="1">IFERROR(IF(0=LEN(ReferenceData!$AJ$86),"",ReferenceData!$AJ$86),"")</f>
        <v>18.195812549999999</v>
      </c>
      <c r="AK86">
        <f ca="1">IFERROR(IF(0=LEN(ReferenceData!$AK$86),"",ReferenceData!$AK$86),"")</f>
        <v>17.83186946</v>
      </c>
      <c r="AL86">
        <f ca="1">IFERROR(IF(0=LEN(ReferenceData!$AL$86),"",ReferenceData!$AL$86),"")</f>
        <v>19.723426190000001</v>
      </c>
      <c r="AM86">
        <f ca="1">IFERROR(IF(0=LEN(ReferenceData!$AM$86),"",ReferenceData!$AM$86),"")</f>
        <v>18.52710974</v>
      </c>
      <c r="AN86">
        <f ca="1">IFERROR(IF(0=LEN(ReferenceData!$AN$86),"",ReferenceData!$AN$86),"")</f>
        <v>18.833153280000001</v>
      </c>
      <c r="AO86">
        <f ca="1">IFERROR(IF(0=LEN(ReferenceData!$AO$86),"",ReferenceData!$AO$86),"")</f>
        <v>19.228045699999999</v>
      </c>
      <c r="AP86">
        <f ca="1">IFERROR(IF(0=LEN(ReferenceData!$AP$86),"",ReferenceData!$AP$86),"")</f>
        <v>20.24982473</v>
      </c>
      <c r="AQ86">
        <f ca="1">IFERROR(IF(0=LEN(ReferenceData!$AQ$86),"",ReferenceData!$AQ$86),"")</f>
        <v>18.820101910000002</v>
      </c>
      <c r="AR86">
        <f ca="1">IFERROR(IF(0=LEN(ReferenceData!$AR$86),"",ReferenceData!$AR$86),"")</f>
        <v>19.94287615</v>
      </c>
      <c r="AS86">
        <f ca="1">IFERROR(IF(0=LEN(ReferenceData!$AS$86),"",ReferenceData!$AS$86),"")</f>
        <v>18.769700050000001</v>
      </c>
      <c r="AT86">
        <f ca="1">IFERROR(IF(0=LEN(ReferenceData!$AT$86),"",ReferenceData!$AT$86),"")</f>
        <v>19.623338360000002</v>
      </c>
      <c r="AU86">
        <f ca="1">IFERROR(IF(0=LEN(ReferenceData!$AU$86),"",ReferenceData!$AU$86),"")</f>
        <v>20.05591695</v>
      </c>
      <c r="AV86">
        <f ca="1">IFERROR(IF(0=LEN(ReferenceData!$AV$86),"",ReferenceData!$AV$86),"")</f>
        <v>18.014049010000001</v>
      </c>
      <c r="AW86">
        <f ca="1">IFERROR(IF(0=LEN(ReferenceData!$AW$86),"",ReferenceData!$AW$86),"")</f>
        <v>19.850569029999999</v>
      </c>
      <c r="AX86">
        <f ca="1">IFERROR(IF(0=LEN(ReferenceData!$AX$86),"",ReferenceData!$AX$86),"")</f>
        <v>19.31211918</v>
      </c>
      <c r="AY86">
        <f ca="1">IFERROR(IF(0=LEN(ReferenceData!$AY$86),"",ReferenceData!$AY$86),"")</f>
        <v>19.384977200000002</v>
      </c>
      <c r="AZ86">
        <f ca="1">IFERROR(IF(0=LEN(ReferenceData!$AZ$86),"",ReferenceData!$AZ$86),"")</f>
        <v>19.310682320000002</v>
      </c>
      <c r="BA86">
        <f ca="1">IFERROR(IF(0=LEN(ReferenceData!$BA$86),"",ReferenceData!$BA$86),"")</f>
        <v>18.751591380000001</v>
      </c>
      <c r="BB86">
        <f ca="1">IFERROR(IF(0=LEN(ReferenceData!$BB$86),"",ReferenceData!$BB$86),"")</f>
        <v>18.19988687</v>
      </c>
      <c r="BC86">
        <f ca="1">IFERROR(IF(0=LEN(ReferenceData!$BC$86),"",ReferenceData!$BC$86),"")</f>
        <v>18.28838786</v>
      </c>
      <c r="BD86">
        <f ca="1">IFERROR(IF(0=LEN(ReferenceData!$BD$86),"",ReferenceData!$BD$86),"")</f>
        <v>16.896642669999999</v>
      </c>
      <c r="BE86">
        <f ca="1">IFERROR(IF(0=LEN(ReferenceData!$BE$86),"",ReferenceData!$BE$86),"")</f>
        <v>15.27800161</v>
      </c>
      <c r="BF86">
        <f ca="1">IFERROR(IF(0=LEN(ReferenceData!$BF$86),"",ReferenceData!$BF$86),"")</f>
        <v>15.55162767</v>
      </c>
      <c r="BG86">
        <f ca="1">IFERROR(IF(0=LEN(ReferenceData!$BG$86),"",ReferenceData!$BG$86),"")</f>
        <v>17.26423694</v>
      </c>
      <c r="BH86">
        <f ca="1">IFERROR(IF(0=LEN(ReferenceData!$BH$86),"",ReferenceData!$BH$86),"")</f>
        <v>16.58551623</v>
      </c>
      <c r="BI86">
        <f ca="1">IFERROR(IF(0=LEN(ReferenceData!$BI$86),"",ReferenceData!$BI$86),"")</f>
        <v>16.784813209999999</v>
      </c>
      <c r="BJ86">
        <f ca="1">IFERROR(IF(0=LEN(ReferenceData!$BJ$86),"",ReferenceData!$BJ$86),"")</f>
        <v>19.303719699999998</v>
      </c>
      <c r="BK86">
        <f ca="1">IFERROR(IF(0=LEN(ReferenceData!$BK$86),"",ReferenceData!$BK$86),"")</f>
        <v>19.18047176</v>
      </c>
      <c r="BL86">
        <f ca="1">IFERROR(IF(0=LEN(ReferenceData!$BL$86),"",ReferenceData!$BL$86),"")</f>
        <v>19.330783619999998</v>
      </c>
      <c r="BM86">
        <f ca="1">IFERROR(IF(0=LEN(ReferenceData!$BM$86),"",ReferenceData!$BM$86),"")</f>
        <v>20.56010805</v>
      </c>
      <c r="BN86">
        <f ca="1">IFERROR(IF(0=LEN(ReferenceData!$BN$86),"",ReferenceData!$BN$86),"")</f>
        <v>20.211205329999999</v>
      </c>
      <c r="BO86">
        <f ca="1">IFERROR(IF(0=LEN(ReferenceData!$BO$86),"",ReferenceData!$BO$86),"")</f>
        <v>20.330779490000001</v>
      </c>
      <c r="BP86">
        <f ca="1">IFERROR(IF(0=LEN(ReferenceData!$BP$86),"",ReferenceData!$BP$86),"")</f>
        <v>20.014467870000001</v>
      </c>
      <c r="BQ86">
        <f ca="1">IFERROR(IF(0=LEN(ReferenceData!$BQ$86),"",ReferenceData!$BQ$86),"")</f>
        <v>19.765285420000001</v>
      </c>
      <c r="BR86">
        <f ca="1">IFERROR(IF(0=LEN(ReferenceData!$BR$86),"",ReferenceData!$BR$86),"")</f>
        <v>19.286159640000001</v>
      </c>
      <c r="BS86">
        <f ca="1">IFERROR(IF(0=LEN(ReferenceData!$BS$86),"",ReferenceData!$BS$86),"")</f>
        <v>20.445189880000001</v>
      </c>
      <c r="BT86">
        <f ca="1">IFERROR(IF(0=LEN(ReferenceData!$BT$86),"",ReferenceData!$BT$86),"")</f>
        <v>20.21235351</v>
      </c>
      <c r="BU86">
        <f ca="1">IFERROR(IF(0=LEN(ReferenceData!$BU$86),"",ReferenceData!$BU$86),"")</f>
        <v>21.91544734</v>
      </c>
      <c r="BV86">
        <f ca="1">IFERROR(IF(0=LEN(ReferenceData!$BV$86),"",ReferenceData!$BV$86),"")</f>
        <v>22.81785648</v>
      </c>
      <c r="BW86">
        <f ca="1">IFERROR(IF(0=LEN(ReferenceData!$BW$86),"",ReferenceData!$BW$86),"")</f>
        <v>21.86619774</v>
      </c>
      <c r="BX86">
        <f ca="1">IFERROR(IF(0=LEN(ReferenceData!$BX$86),"",ReferenceData!$BX$86),"")</f>
        <v>21.216651630000001</v>
      </c>
      <c r="BY86">
        <f ca="1">IFERROR(IF(0=LEN(ReferenceData!$BY$86),"",ReferenceData!$BY$86),"")</f>
        <v>22.147129329999999</v>
      </c>
      <c r="BZ86">
        <f ca="1">IFERROR(IF(0=LEN(ReferenceData!$BZ$86),"",ReferenceData!$BZ$86),"")</f>
        <v>22.197726889999998</v>
      </c>
      <c r="CA86">
        <f ca="1">IFERROR(IF(0=LEN(ReferenceData!$CA$86),"",ReferenceData!$CA$86),"")</f>
        <v>21.022464880000001</v>
      </c>
      <c r="CB86">
        <f ca="1">IFERROR(IF(0=LEN(ReferenceData!$CB$86),"",ReferenceData!$CB$86),"")</f>
        <v>22.109848580000001</v>
      </c>
      <c r="CC86">
        <f ca="1">IFERROR(IF(0=LEN(ReferenceData!$CC$86),"",ReferenceData!$CC$86),"")</f>
        <v>20.998650470000001</v>
      </c>
      <c r="CD86">
        <f ca="1">IFERROR(IF(0=LEN(ReferenceData!$CD$86),"",ReferenceData!$CD$86),"")</f>
        <v>19.97678084</v>
      </c>
      <c r="CE86">
        <f ca="1">IFERROR(IF(0=LEN(ReferenceData!$CE$86),"",ReferenceData!$CE$86),"")</f>
        <v>21.275655159999999</v>
      </c>
      <c r="CF86">
        <f ca="1">IFERROR(IF(0=LEN(ReferenceData!$CF$86),"",ReferenceData!$CF$86),"")</f>
        <v>19.763948500000001</v>
      </c>
      <c r="CG86">
        <f ca="1">IFERROR(IF(0=LEN(ReferenceData!$CG$86),"",ReferenceData!$CG$86),"")</f>
        <v>24.165500040000001</v>
      </c>
      <c r="CH86">
        <f ca="1">IFERROR(IF(0=LEN(ReferenceData!$CH$86),"",ReferenceData!$CH$86),"")</f>
        <v>25.416037459999998</v>
      </c>
      <c r="CI86">
        <f ca="1">IFERROR(IF(0=LEN(ReferenceData!$CI$86),"",ReferenceData!$CI$86),"")</f>
        <v>24.381167869999999</v>
      </c>
      <c r="CJ86">
        <f ca="1">IFERROR(IF(0=LEN(ReferenceData!$CJ$86),"",ReferenceData!$CJ$86),"")</f>
        <v>24.78576584</v>
      </c>
      <c r="CK86">
        <f ca="1">IFERROR(IF(0=LEN(ReferenceData!$CK$86),"",ReferenceData!$CK$86),"")</f>
        <v>25.197888760000001</v>
      </c>
    </row>
    <row r="87" spans="1:89">
      <c r="A87" t="str">
        <f>IFERROR(IF(0=LEN(ReferenceData!$A$87),"",ReferenceData!$A$87),"")</f>
        <v xml:space="preserve">    Equity Residential</v>
      </c>
      <c r="B87" t="str">
        <f>IFERROR(IF(0=LEN(ReferenceData!$B$87),"",ReferenceData!$B$87),"")</f>
        <v>EQR US Equity</v>
      </c>
      <c r="C87" t="str">
        <f>IFERROR(IF(0=LEN(ReferenceData!$C$87),"",ReferenceData!$C$87),"")</f>
        <v/>
      </c>
      <c r="D87" t="str">
        <f>IFERROR(IF(0=LEN(ReferenceData!$D$87),"",ReferenceData!$D$87),"")</f>
        <v/>
      </c>
      <c r="E87" t="str">
        <f>IFERROR(IF(0=LEN(ReferenceData!$E$87),"",ReferenceData!$E$87),"")</f>
        <v>Expression</v>
      </c>
      <c r="F87">
        <f ca="1">IFERROR(IF(0=LEN(ReferenceData!$F$87),"",ReferenceData!$F$87),"")</f>
        <v>20.910605929999999</v>
      </c>
      <c r="G87">
        <f ca="1">IFERROR(IF(0=LEN(ReferenceData!$G$87),"",ReferenceData!$G$87),"")</f>
        <v>19.692471050000002</v>
      </c>
      <c r="H87">
        <f ca="1">IFERROR(IF(0=LEN(ReferenceData!$H$87),"",ReferenceData!$H$87),"")</f>
        <v>21.50715555</v>
      </c>
      <c r="I87">
        <f ca="1">IFERROR(IF(0=LEN(ReferenceData!$I$87),"",ReferenceData!$I$87),"")</f>
        <v>22.27383863</v>
      </c>
      <c r="J87">
        <f ca="1">IFERROR(IF(0=LEN(ReferenceData!$J$87),"",ReferenceData!$J$87),"")</f>
        <v>23.57185995</v>
      </c>
      <c r="K87">
        <f ca="1">IFERROR(IF(0=LEN(ReferenceData!$K$87),"",ReferenceData!$K$87),"")</f>
        <v>23.626777010000001</v>
      </c>
      <c r="L87">
        <f ca="1">IFERROR(IF(0=LEN(ReferenceData!$L$87),"",ReferenceData!$L$87),"")</f>
        <v>23.098887619999999</v>
      </c>
      <c r="M87">
        <f ca="1">IFERROR(IF(0=LEN(ReferenceData!$M$87),"",ReferenceData!$M$87),"")</f>
        <v>23.578363379999999</v>
      </c>
      <c r="N87">
        <f ca="1">IFERROR(IF(0=LEN(ReferenceData!$N$87),"",ReferenceData!$N$87),"")</f>
        <v>24.229426969999999</v>
      </c>
      <c r="O87">
        <f ca="1">IFERROR(IF(0=LEN(ReferenceData!$O$87),"",ReferenceData!$O$87),"")</f>
        <v>23.397902970000001</v>
      </c>
      <c r="P87">
        <f ca="1">IFERROR(IF(0=LEN(ReferenceData!$P$87),"",ReferenceData!$P$87),"")</f>
        <v>23.250854539999999</v>
      </c>
      <c r="Q87">
        <f ca="1">IFERROR(IF(0=LEN(ReferenceData!$Q$87),"",ReferenceData!$Q$87),"")</f>
        <v>23.016862759999999</v>
      </c>
      <c r="R87">
        <f ca="1">IFERROR(IF(0=LEN(ReferenceData!$R$87),"",ReferenceData!$R$87),"")</f>
        <v>22.468177300000001</v>
      </c>
      <c r="S87">
        <f ca="1">IFERROR(IF(0=LEN(ReferenceData!$S$87),"",ReferenceData!$S$87),"")</f>
        <v>22.695246770000001</v>
      </c>
      <c r="T87">
        <f ca="1">IFERROR(IF(0=LEN(ReferenceData!$T$87),"",ReferenceData!$T$87),"")</f>
        <v>21.456007419999999</v>
      </c>
      <c r="U87">
        <f ca="1">IFERROR(IF(0=LEN(ReferenceData!$U$87),"",ReferenceData!$U$87),"")</f>
        <v>22.774239210000001</v>
      </c>
      <c r="V87">
        <f ca="1">IFERROR(IF(0=LEN(ReferenceData!$V$87),"",ReferenceData!$V$87),"")</f>
        <v>21.38894483</v>
      </c>
      <c r="W87">
        <f ca="1">IFERROR(IF(0=LEN(ReferenceData!$W$87),"",ReferenceData!$W$87),"")</f>
        <v>22.034157759999999</v>
      </c>
      <c r="X87">
        <f ca="1">IFERROR(IF(0=LEN(ReferenceData!$X$87),"",ReferenceData!$X$87),"")</f>
        <v>22.995531719999999</v>
      </c>
      <c r="Y87">
        <f ca="1">IFERROR(IF(0=LEN(ReferenceData!$Y$87),"",ReferenceData!$Y$87),"")</f>
        <v>23.110081940000001</v>
      </c>
      <c r="Z87">
        <f ca="1">IFERROR(IF(0=LEN(ReferenceData!$Z$87),"",ReferenceData!$Z$87),"")</f>
        <v>24.066932900000001</v>
      </c>
      <c r="AA87">
        <f ca="1">IFERROR(IF(0=LEN(ReferenceData!$AA$87),"",ReferenceData!$AA$87),"")</f>
        <v>23.861528310000001</v>
      </c>
      <c r="AB87">
        <f ca="1">IFERROR(IF(0=LEN(ReferenceData!$AB$87),"",ReferenceData!$AB$87),"")</f>
        <v>23.878576349999999</v>
      </c>
      <c r="AC87">
        <f ca="1">IFERROR(IF(0=LEN(ReferenceData!$AC$87),"",ReferenceData!$AC$87),"")</f>
        <v>23.618703150000002</v>
      </c>
      <c r="AD87">
        <f ca="1">IFERROR(IF(0=LEN(ReferenceData!$AD$87),"",ReferenceData!$AD$87),"")</f>
        <v>25.786934550000002</v>
      </c>
      <c r="AE87">
        <f ca="1">IFERROR(IF(0=LEN(ReferenceData!$AE$87),"",ReferenceData!$AE$87),"")</f>
        <v>25.550507270000001</v>
      </c>
      <c r="AF87">
        <f ca="1">IFERROR(IF(0=LEN(ReferenceData!$AF$87),"",ReferenceData!$AF$87),"")</f>
        <v>25.302213590000001</v>
      </c>
      <c r="AG87">
        <f ca="1">IFERROR(IF(0=LEN(ReferenceData!$AG$87),"",ReferenceData!$AG$87),"")</f>
        <v>26.971900829999999</v>
      </c>
      <c r="AH87">
        <f ca="1">IFERROR(IF(0=LEN(ReferenceData!$AH$87),"",ReferenceData!$AH$87),"")</f>
        <v>25.947639859999999</v>
      </c>
      <c r="AI87">
        <f ca="1">IFERROR(IF(0=LEN(ReferenceData!$AI$87),"",ReferenceData!$AI$87),"")</f>
        <v>24.840107069999998</v>
      </c>
      <c r="AJ87">
        <f ca="1">IFERROR(IF(0=LEN(ReferenceData!$AJ$87),"",ReferenceData!$AJ$87),"")</f>
        <v>22.793371350000001</v>
      </c>
      <c r="AK87">
        <f ca="1">IFERROR(IF(0=LEN(ReferenceData!$AK$87),"",ReferenceData!$AK$87),"")</f>
        <v>22.189874320000001</v>
      </c>
      <c r="AL87">
        <f ca="1">IFERROR(IF(0=LEN(ReferenceData!$AL$87),"",ReferenceData!$AL$87),"")</f>
        <v>23.752335630000001</v>
      </c>
      <c r="AM87">
        <f ca="1">IFERROR(IF(0=LEN(ReferenceData!$AM$87),"",ReferenceData!$AM$87),"")</f>
        <v>22.766553120000001</v>
      </c>
      <c r="AN87">
        <f ca="1">IFERROR(IF(0=LEN(ReferenceData!$AN$87),"",ReferenceData!$AN$87),"")</f>
        <v>24.133725259999999</v>
      </c>
      <c r="AO87">
        <f ca="1">IFERROR(IF(0=LEN(ReferenceData!$AO$87),"",ReferenceData!$AO$87),"")</f>
        <v>24.503022569999999</v>
      </c>
      <c r="AP87">
        <f ca="1">IFERROR(IF(0=LEN(ReferenceData!$AP$87),"",ReferenceData!$AP$87),"")</f>
        <v>27.321167590000002</v>
      </c>
      <c r="AQ87">
        <f ca="1">IFERROR(IF(0=LEN(ReferenceData!$AQ$87),"",ReferenceData!$AQ$87),"")</f>
        <v>26.51245411</v>
      </c>
      <c r="AR87">
        <f ca="1">IFERROR(IF(0=LEN(ReferenceData!$AR$87),"",ReferenceData!$AR$87),"")</f>
        <v>26.732432840000001</v>
      </c>
      <c r="AS87">
        <f ca="1">IFERROR(IF(0=LEN(ReferenceData!$AS$87),"",ReferenceData!$AS$87),"")</f>
        <v>24.585900070000001</v>
      </c>
      <c r="AT87">
        <f ca="1">IFERROR(IF(0=LEN(ReferenceData!$AT$87),"",ReferenceData!$AT$87),"")</f>
        <v>24.641979930000002</v>
      </c>
      <c r="AU87">
        <f ca="1">IFERROR(IF(0=LEN(ReferenceData!$AU$87),"",ReferenceData!$AU$87),"")</f>
        <v>24.23554047</v>
      </c>
      <c r="AV87">
        <f ca="1">IFERROR(IF(0=LEN(ReferenceData!$AV$87),"",ReferenceData!$AV$87),"")</f>
        <v>21.456019860000001</v>
      </c>
      <c r="AW87">
        <f ca="1">IFERROR(IF(0=LEN(ReferenceData!$AW$87),"",ReferenceData!$AW$87),"")</f>
        <v>22.598674129999999</v>
      </c>
      <c r="AX87">
        <f ca="1">IFERROR(IF(0=LEN(ReferenceData!$AX$87),"",ReferenceData!$AX$87),"")</f>
        <v>22.065998669999999</v>
      </c>
      <c r="AY87">
        <f ca="1">IFERROR(IF(0=LEN(ReferenceData!$AY$87),"",ReferenceData!$AY$87),"")</f>
        <v>21.730424769999999</v>
      </c>
      <c r="AZ87">
        <f ca="1">IFERROR(IF(0=LEN(ReferenceData!$AZ$87),"",ReferenceData!$AZ$87),"")</f>
        <v>21.626161360000001</v>
      </c>
      <c r="BA87">
        <f ca="1">IFERROR(IF(0=LEN(ReferenceData!$BA$87),"",ReferenceData!$BA$87),"")</f>
        <v>20.79477752</v>
      </c>
      <c r="BB87">
        <f ca="1">IFERROR(IF(0=LEN(ReferenceData!$BB$87),"",ReferenceData!$BB$87),"")</f>
        <v>20.278613249999999</v>
      </c>
      <c r="BC87">
        <f ca="1">IFERROR(IF(0=LEN(ReferenceData!$BC$87),"",ReferenceData!$BC$87),"")</f>
        <v>20.589753649999999</v>
      </c>
      <c r="BD87">
        <f ca="1">IFERROR(IF(0=LEN(ReferenceData!$BD$87),"",ReferenceData!$BD$87),"")</f>
        <v>19.46488781</v>
      </c>
      <c r="BE87">
        <f ca="1">IFERROR(IF(0=LEN(ReferenceData!$BE$87),"",ReferenceData!$BE$87),"")</f>
        <v>18.104712039999999</v>
      </c>
      <c r="BF87">
        <f ca="1">IFERROR(IF(0=LEN(ReferenceData!$BF$87),"",ReferenceData!$BF$87),"")</f>
        <v>18.24280774</v>
      </c>
      <c r="BG87">
        <f ca="1">IFERROR(IF(0=LEN(ReferenceData!$BG$87),"",ReferenceData!$BG$87),"")</f>
        <v>18.87435863</v>
      </c>
      <c r="BH87">
        <f ca="1">IFERROR(IF(0=LEN(ReferenceData!$BH$87),"",ReferenceData!$BH$87),"")</f>
        <v>19.582720269999999</v>
      </c>
      <c r="BI87">
        <f ca="1">IFERROR(IF(0=LEN(ReferenceData!$BI$87),"",ReferenceData!$BI$87),"")</f>
        <v>19.177294440000001</v>
      </c>
      <c r="BJ87">
        <f ca="1">IFERROR(IF(0=LEN(ReferenceData!$BJ$87),"",ReferenceData!$BJ$87),"")</f>
        <v>20.917438870000002</v>
      </c>
      <c r="BK87">
        <f ca="1">IFERROR(IF(0=LEN(ReferenceData!$BK$87),"",ReferenceData!$BK$87),"")</f>
        <v>21.98537893</v>
      </c>
      <c r="BL87">
        <f ca="1">IFERROR(IF(0=LEN(ReferenceData!$BL$87),"",ReferenceData!$BL$87),"")</f>
        <v>21.679317090000001</v>
      </c>
      <c r="BM87">
        <f ca="1">IFERROR(IF(0=LEN(ReferenceData!$BM$87),"",ReferenceData!$BM$87),"")</f>
        <v>22.586895940000002</v>
      </c>
      <c r="BN87">
        <f ca="1">IFERROR(IF(0=LEN(ReferenceData!$BN$87),"",ReferenceData!$BN$87),"")</f>
        <v>21.16486724</v>
      </c>
      <c r="BO87">
        <f ca="1">IFERROR(IF(0=LEN(ReferenceData!$BO$87),"",ReferenceData!$BO$87),"")</f>
        <v>21.396852129999999</v>
      </c>
      <c r="BP87">
        <f ca="1">IFERROR(IF(0=LEN(ReferenceData!$BP$87),"",ReferenceData!$BP$87),"")</f>
        <v>20.409855239999999</v>
      </c>
      <c r="BQ87">
        <f ca="1">IFERROR(IF(0=LEN(ReferenceData!$BQ$87),"",ReferenceData!$BQ$87),"")</f>
        <v>20.82690187</v>
      </c>
      <c r="BR87">
        <f ca="1">IFERROR(IF(0=LEN(ReferenceData!$BR$87),"",ReferenceData!$BR$87),"")</f>
        <v>20.396120509999999</v>
      </c>
      <c r="BS87">
        <f ca="1">IFERROR(IF(0=LEN(ReferenceData!$BS$87),"",ReferenceData!$BS$87),"")</f>
        <v>21.718726409999999</v>
      </c>
      <c r="BT87">
        <f ca="1">IFERROR(IF(0=LEN(ReferenceData!$BT$87),"",ReferenceData!$BT$87),"")</f>
        <v>21.94699988</v>
      </c>
      <c r="BU87">
        <f ca="1">IFERROR(IF(0=LEN(ReferenceData!$BU$87),"",ReferenceData!$BU$87),"")</f>
        <v>22.963291049999999</v>
      </c>
      <c r="BV87">
        <f ca="1">IFERROR(IF(0=LEN(ReferenceData!$BV$87),"",ReferenceData!$BV$87),"")</f>
        <v>24.29454303</v>
      </c>
      <c r="BW87">
        <f ca="1">IFERROR(IF(0=LEN(ReferenceData!$BW$87),"",ReferenceData!$BW$87),"")</f>
        <v>24.211946940000001</v>
      </c>
      <c r="BX87">
        <f ca="1">IFERROR(IF(0=LEN(ReferenceData!$BX$87),"",ReferenceData!$BX$87),"")</f>
        <v>23.833336710000001</v>
      </c>
      <c r="BY87">
        <f ca="1">IFERROR(IF(0=LEN(ReferenceData!$BY$87),"",ReferenceData!$BY$87),"")</f>
        <v>23.987650110000001</v>
      </c>
      <c r="BZ87">
        <f ca="1">IFERROR(IF(0=LEN(ReferenceData!$BZ$87),"",ReferenceData!$BZ$87),"")</f>
        <v>24.989873549999999</v>
      </c>
      <c r="CA87">
        <f ca="1">IFERROR(IF(0=LEN(ReferenceData!$CA$87),"",ReferenceData!$CA$87),"")</f>
        <v>22.670983809999999</v>
      </c>
      <c r="CB87">
        <f ca="1">IFERROR(IF(0=LEN(ReferenceData!$CB$87),"",ReferenceData!$CB$87),"")</f>
        <v>23.561902920000001</v>
      </c>
      <c r="CC87">
        <f ca="1">IFERROR(IF(0=LEN(ReferenceData!$CC$87),"",ReferenceData!$CC$87),"")</f>
        <v>22.89441991</v>
      </c>
      <c r="CD87">
        <f ca="1">IFERROR(IF(0=LEN(ReferenceData!$CD$87),"",ReferenceData!$CD$87),"")</f>
        <v>21.879721400000001</v>
      </c>
      <c r="CE87">
        <f ca="1">IFERROR(IF(0=LEN(ReferenceData!$CE$87),"",ReferenceData!$CE$87),"")</f>
        <v>23.550016490000001</v>
      </c>
      <c r="CF87">
        <f ca="1">IFERROR(IF(0=LEN(ReferenceData!$CF$87),"",ReferenceData!$CF$87),"")</f>
        <v>21.051136360000001</v>
      </c>
      <c r="CG87">
        <f ca="1">IFERROR(IF(0=LEN(ReferenceData!$CG$87),"",ReferenceData!$CG$87),"")</f>
        <v>25.076010889999999</v>
      </c>
      <c r="CH87">
        <f ca="1">IFERROR(IF(0=LEN(ReferenceData!$CH$87),"",ReferenceData!$CH$87),"")</f>
        <v>25.911557009999999</v>
      </c>
      <c r="CI87">
        <f ca="1">IFERROR(IF(0=LEN(ReferenceData!$CI$87),"",ReferenceData!$CI$87),"")</f>
        <v>25.05868954</v>
      </c>
      <c r="CJ87">
        <f ca="1">IFERROR(IF(0=LEN(ReferenceData!$CJ$87),"",ReferenceData!$CJ$87),"")</f>
        <v>25.966662889999998</v>
      </c>
      <c r="CK87">
        <f ca="1">IFERROR(IF(0=LEN(ReferenceData!$CK$87),"",ReferenceData!$CK$87),"")</f>
        <v>25.67127108</v>
      </c>
    </row>
    <row r="88" spans="1:89">
      <c r="A88" t="str">
        <f>IFERROR(IF(0=LEN(ReferenceData!$A$88),"",ReferenceData!$A$88),"")</f>
        <v xml:space="preserve">    Essex Property Trust Inc</v>
      </c>
      <c r="B88" t="str">
        <f>IFERROR(IF(0=LEN(ReferenceData!$B$88),"",ReferenceData!$B$88),"")</f>
        <v>ESS US Equity</v>
      </c>
      <c r="C88" t="str">
        <f>IFERROR(IF(0=LEN(ReferenceData!$C$88),"",ReferenceData!$C$88),"")</f>
        <v/>
      </c>
      <c r="D88" t="str">
        <f>IFERROR(IF(0=LEN(ReferenceData!$D$88),"",ReferenceData!$D$88),"")</f>
        <v/>
      </c>
      <c r="E88" t="str">
        <f>IFERROR(IF(0=LEN(ReferenceData!$E$88),"",ReferenceData!$E$88),"")</f>
        <v>Expression</v>
      </c>
      <c r="F88">
        <f ca="1">IFERROR(IF(0=LEN(ReferenceData!$F$88),"",ReferenceData!$F$88),"")</f>
        <v>20.783467250000001</v>
      </c>
      <c r="G88">
        <f ca="1">IFERROR(IF(0=LEN(ReferenceData!$G$88),"",ReferenceData!$G$88),"")</f>
        <v>19.643089549999999</v>
      </c>
      <c r="H88">
        <f ca="1">IFERROR(IF(0=LEN(ReferenceData!$H$88),"",ReferenceData!$H$88),"")</f>
        <v>20.48791993</v>
      </c>
      <c r="I88">
        <f ca="1">IFERROR(IF(0=LEN(ReferenceData!$I$88),"",ReferenceData!$I$88),"")</f>
        <v>21.453204159999999</v>
      </c>
      <c r="J88">
        <f ca="1">IFERROR(IF(0=LEN(ReferenceData!$J$88),"",ReferenceData!$J$88),"")</f>
        <v>21.992754210000001</v>
      </c>
      <c r="K88">
        <f ca="1">IFERROR(IF(0=LEN(ReferenceData!$K$88),"",ReferenceData!$K$88),"")</f>
        <v>23.283846619999998</v>
      </c>
      <c r="L88">
        <f ca="1">IFERROR(IF(0=LEN(ReferenceData!$L$88),"",ReferenceData!$L$88),"")</f>
        <v>22.634263690000001</v>
      </c>
      <c r="M88">
        <f ca="1">IFERROR(IF(0=LEN(ReferenceData!$M$88),"",ReferenceData!$M$88),"")</f>
        <v>23.833590510000001</v>
      </c>
      <c r="N88">
        <f ca="1">IFERROR(IF(0=LEN(ReferenceData!$N$88),"",ReferenceData!$N$88),"")</f>
        <v>23.604621420000001</v>
      </c>
      <c r="O88">
        <f ca="1">IFERROR(IF(0=LEN(ReferenceData!$O$88),"",ReferenceData!$O$88),"")</f>
        <v>23.44252586</v>
      </c>
      <c r="P88">
        <f ca="1">IFERROR(IF(0=LEN(ReferenceData!$P$88),"",ReferenceData!$P$88),"")</f>
        <v>23.539787799999999</v>
      </c>
      <c r="Q88">
        <f ca="1">IFERROR(IF(0=LEN(ReferenceData!$Q$88),"",ReferenceData!$Q$88),"")</f>
        <v>22.490499700000001</v>
      </c>
      <c r="R88">
        <f ca="1">IFERROR(IF(0=LEN(ReferenceData!$R$88),"",ReferenceData!$R$88),"")</f>
        <v>21.356885900000002</v>
      </c>
      <c r="S88">
        <f ca="1">IFERROR(IF(0=LEN(ReferenceData!$S$88),"",ReferenceData!$S$88),"")</f>
        <v>21.753607720000002</v>
      </c>
      <c r="T88">
        <f ca="1">IFERROR(IF(0=LEN(ReferenceData!$T$88),"",ReferenceData!$T$88),"")</f>
        <v>20.681012939999999</v>
      </c>
      <c r="U88">
        <f ca="1">IFERROR(IF(0=LEN(ReferenceData!$U$88),"",ReferenceData!$U$88),"")</f>
        <v>21.519807480000001</v>
      </c>
      <c r="V88">
        <f ca="1">IFERROR(IF(0=LEN(ReferenceData!$V$88),"",ReferenceData!$V$88),"")</f>
        <v>20.068428959999999</v>
      </c>
      <c r="W88">
        <f ca="1">IFERROR(IF(0=LEN(ReferenceData!$W$88),"",ReferenceData!$W$88),"")</f>
        <v>19.997319239999999</v>
      </c>
      <c r="X88">
        <f ca="1">IFERROR(IF(0=LEN(ReferenceData!$X$88),"",ReferenceData!$X$88),"")</f>
        <v>20.955562350000001</v>
      </c>
      <c r="Y88">
        <f ca="1">IFERROR(IF(0=LEN(ReferenceData!$Y$88),"",ReferenceData!$Y$88),"")</f>
        <v>21.492792250000001</v>
      </c>
      <c r="Z88">
        <f ca="1">IFERROR(IF(0=LEN(ReferenceData!$Z$88),"",ReferenceData!$Z$88),"")</f>
        <v>22.325560079999999</v>
      </c>
      <c r="AA88">
        <f ca="1">IFERROR(IF(0=LEN(ReferenceData!$AA$88),"",ReferenceData!$AA$88),"")</f>
        <v>21.937185530000001</v>
      </c>
      <c r="AB88">
        <f ca="1">IFERROR(IF(0=LEN(ReferenceData!$AB$88),"",ReferenceData!$AB$88),"")</f>
        <v>21.919025489999999</v>
      </c>
      <c r="AC88">
        <f ca="1">IFERROR(IF(0=LEN(ReferenceData!$AC$88),"",ReferenceData!$AC$88),"")</f>
        <v>21.35665783</v>
      </c>
      <c r="AD88">
        <f ca="1">IFERROR(IF(0=LEN(ReferenceData!$AD$88),"",ReferenceData!$AD$88),"")</f>
        <v>22.854951490000001</v>
      </c>
      <c r="AE88">
        <f ca="1">IFERROR(IF(0=LEN(ReferenceData!$AE$88),"",ReferenceData!$AE$88),"")</f>
        <v>20.474870639999999</v>
      </c>
      <c r="AF88">
        <f ca="1">IFERROR(IF(0=LEN(ReferenceData!$AF$88),"",ReferenceData!$AF$88),"")</f>
        <v>21.112542099999999</v>
      </c>
      <c r="AG88">
        <f ca="1">IFERROR(IF(0=LEN(ReferenceData!$AG$88),"",ReferenceData!$AG$88),"")</f>
        <v>23.729804739999999</v>
      </c>
      <c r="AH88">
        <f ca="1">IFERROR(IF(0=LEN(ReferenceData!$AH$88),"",ReferenceData!$AH$88),"")</f>
        <v>23.068944250000001</v>
      </c>
      <c r="AI88">
        <f ca="1">IFERROR(IF(0=LEN(ReferenceData!$AI$88),"",ReferenceData!$AI$88),"")</f>
        <v>22.539948750000001</v>
      </c>
      <c r="AJ88">
        <f ca="1">IFERROR(IF(0=LEN(ReferenceData!$AJ$88),"",ReferenceData!$AJ$88),"")</f>
        <v>23.32878912</v>
      </c>
      <c r="AK88">
        <f ca="1">IFERROR(IF(0=LEN(ReferenceData!$AK$88),"",ReferenceData!$AK$88),"")</f>
        <v>22.95888485</v>
      </c>
      <c r="AL88">
        <f ca="1">IFERROR(IF(0=LEN(ReferenceData!$AL$88),"",ReferenceData!$AL$88),"")</f>
        <v>24.748909869999999</v>
      </c>
      <c r="AM88">
        <f ca="1">IFERROR(IF(0=LEN(ReferenceData!$AM$88),"",ReferenceData!$AM$88),"")</f>
        <v>23.607486049999999</v>
      </c>
      <c r="AN88">
        <f ca="1">IFERROR(IF(0=LEN(ReferenceData!$AN$88),"",ReferenceData!$AN$88),"")</f>
        <v>25.050332470000001</v>
      </c>
      <c r="AO88">
        <f ca="1">IFERROR(IF(0=LEN(ReferenceData!$AO$88),"",ReferenceData!$AO$88),"")</f>
        <v>25.288853509999999</v>
      </c>
      <c r="AP88">
        <f ca="1">IFERROR(IF(0=LEN(ReferenceData!$AP$88),"",ReferenceData!$AP$88),"")</f>
        <v>26.64215141</v>
      </c>
      <c r="AQ88">
        <f ca="1">IFERROR(IF(0=LEN(ReferenceData!$AQ$88),"",ReferenceData!$AQ$88),"")</f>
        <v>26.201918630000002</v>
      </c>
      <c r="AR88">
        <f ca="1">IFERROR(IF(0=LEN(ReferenceData!$AR$88),"",ReferenceData!$AR$88),"")</f>
        <v>26.97601873</v>
      </c>
      <c r="AS88">
        <f ca="1">IFERROR(IF(0=LEN(ReferenceData!$AS$88),"",ReferenceData!$AS$88),"")</f>
        <v>24.733628639999999</v>
      </c>
      <c r="AT88">
        <f ca="1">IFERROR(IF(0=LEN(ReferenceData!$AT$88),"",ReferenceData!$AT$88),"")</f>
        <v>24.687412909999999</v>
      </c>
      <c r="AU88">
        <f ca="1">IFERROR(IF(0=LEN(ReferenceData!$AU$88),"",ReferenceData!$AU$88),"")</f>
        <v>24.989756880000002</v>
      </c>
      <c r="AV88">
        <f ca="1">IFERROR(IF(0=LEN(ReferenceData!$AV$88),"",ReferenceData!$AV$88),"")</f>
        <v>22.272197779999999</v>
      </c>
      <c r="AW88">
        <f ca="1">IFERROR(IF(0=LEN(ReferenceData!$AW$88),"",ReferenceData!$AW$88),"")</f>
        <v>24.149390919999998</v>
      </c>
      <c r="AX88">
        <f ca="1">IFERROR(IF(0=LEN(ReferenceData!$AX$88),"",ReferenceData!$AX$88),"")</f>
        <v>24.324515760000001</v>
      </c>
      <c r="AY88">
        <f ca="1">IFERROR(IF(0=LEN(ReferenceData!$AY$88),"",ReferenceData!$AY$88),"")</f>
        <v>23.86625604</v>
      </c>
      <c r="AZ88">
        <f ca="1">IFERROR(IF(0=LEN(ReferenceData!$AZ$88),"",ReferenceData!$AZ$88),"")</f>
        <v>23.84541278</v>
      </c>
      <c r="BA88">
        <f ca="1">IFERROR(IF(0=LEN(ReferenceData!$BA$88),"",ReferenceData!$BA$88),"")</f>
        <v>22.576463669999999</v>
      </c>
      <c r="BB88">
        <f ca="1">IFERROR(IF(0=LEN(ReferenceData!$BB$88),"",ReferenceData!$BB$88),"")</f>
        <v>22.125779300000001</v>
      </c>
      <c r="BC88">
        <f ca="1">IFERROR(IF(0=LEN(ReferenceData!$BC$88),"",ReferenceData!$BC$88),"")</f>
        <v>21.993423409999998</v>
      </c>
      <c r="BD88">
        <f ca="1">IFERROR(IF(0=LEN(ReferenceData!$BD$88),"",ReferenceData!$BD$88),"")</f>
        <v>21.091317530000001</v>
      </c>
      <c r="BE88">
        <f ca="1">IFERROR(IF(0=LEN(ReferenceData!$BE$88),"",ReferenceData!$BE$88),"")</f>
        <v>19.374915619999999</v>
      </c>
      <c r="BF88">
        <f ca="1">IFERROR(IF(0=LEN(ReferenceData!$BF$88),"",ReferenceData!$BF$88),"")</f>
        <v>20.320969860000002</v>
      </c>
      <c r="BG88">
        <f ca="1">IFERROR(IF(0=LEN(ReferenceData!$BG$88),"",ReferenceData!$BG$88),"")</f>
        <v>21.7023279</v>
      </c>
      <c r="BH88">
        <f ca="1">IFERROR(IF(0=LEN(ReferenceData!$BH$88),"",ReferenceData!$BH$88),"")</f>
        <v>20.091279979999999</v>
      </c>
      <c r="BI88">
        <f ca="1">IFERROR(IF(0=LEN(ReferenceData!$BI$88),"",ReferenceData!$BI$88),"")</f>
        <v>19.63196134</v>
      </c>
      <c r="BJ88">
        <f ca="1">IFERROR(IF(0=LEN(ReferenceData!$BJ$88),"",ReferenceData!$BJ$88),"")</f>
        <v>22.25001155</v>
      </c>
      <c r="BK88">
        <f ca="1">IFERROR(IF(0=LEN(ReferenceData!$BK$88),"",ReferenceData!$BK$88),"")</f>
        <v>22.046923379999999</v>
      </c>
      <c r="BL88">
        <f ca="1">IFERROR(IF(0=LEN(ReferenceData!$BL$88),"",ReferenceData!$BL$88),"")</f>
        <v>21.946786379999999</v>
      </c>
      <c r="BM88">
        <f ca="1">IFERROR(IF(0=LEN(ReferenceData!$BM$88),"",ReferenceData!$BM$88),"")</f>
        <v>22.215551820000002</v>
      </c>
      <c r="BN88">
        <f ca="1">IFERROR(IF(0=LEN(ReferenceData!$BN$88),"",ReferenceData!$BN$88),"")</f>
        <v>21.476498580000001</v>
      </c>
      <c r="BO88">
        <f ca="1">IFERROR(IF(0=LEN(ReferenceData!$BO$88),"",ReferenceData!$BO$88),"")</f>
        <v>21.456028969999998</v>
      </c>
      <c r="BP88">
        <f ca="1">IFERROR(IF(0=LEN(ReferenceData!$BP$88),"",ReferenceData!$BP$88),"")</f>
        <v>22.450952600000001</v>
      </c>
      <c r="BQ88">
        <f ca="1">IFERROR(IF(0=LEN(ReferenceData!$BQ$88),"",ReferenceData!$BQ$88),"")</f>
        <v>21.652148239999999</v>
      </c>
      <c r="BR88">
        <f ca="1">IFERROR(IF(0=LEN(ReferenceData!$BR$88),"",ReferenceData!$BR$88),"")</f>
        <v>20.863774209999999</v>
      </c>
      <c r="BS88">
        <f ca="1">IFERROR(IF(0=LEN(ReferenceData!$BS$88),"",ReferenceData!$BS$88),"")</f>
        <v>22.617468349999999</v>
      </c>
      <c r="BT88">
        <f ca="1">IFERROR(IF(0=LEN(ReferenceData!$BT$88),"",ReferenceData!$BT$88),"")</f>
        <v>22.567895889999999</v>
      </c>
      <c r="BU88">
        <f ca="1">IFERROR(IF(0=LEN(ReferenceData!$BU$88),"",ReferenceData!$BU$88),"")</f>
        <v>24.99826058</v>
      </c>
      <c r="BV88">
        <f ca="1">IFERROR(IF(0=LEN(ReferenceData!$BV$88),"",ReferenceData!$BV$88),"")</f>
        <v>24.342632139999999</v>
      </c>
      <c r="BW88">
        <f ca="1">IFERROR(IF(0=LEN(ReferenceData!$BW$88),"",ReferenceData!$BW$88),"")</f>
        <v>23.813693740000001</v>
      </c>
      <c r="BX88">
        <f ca="1">IFERROR(IF(0=LEN(ReferenceData!$BX$88),"",ReferenceData!$BX$88),"")</f>
        <v>23.46583854</v>
      </c>
      <c r="BY88">
        <f ca="1">IFERROR(IF(0=LEN(ReferenceData!$BY$88),"",ReferenceData!$BY$88),"")</f>
        <v>26.54990557</v>
      </c>
      <c r="BZ88">
        <f ca="1">IFERROR(IF(0=LEN(ReferenceData!$BZ$88),"",ReferenceData!$BZ$88),"")</f>
        <v>25.92935189</v>
      </c>
      <c r="CA88">
        <f ca="1">IFERROR(IF(0=LEN(ReferenceData!$CA$88),"",ReferenceData!$CA$88),"")</f>
        <v>22.801025989999999</v>
      </c>
      <c r="CB88">
        <f ca="1">IFERROR(IF(0=LEN(ReferenceData!$CB$88),"",ReferenceData!$CB$88),"")</f>
        <v>23.924784469999999</v>
      </c>
      <c r="CC88">
        <f ca="1">IFERROR(IF(0=LEN(ReferenceData!$CC$88),"",ReferenceData!$CC$88),"")</f>
        <v>24.047578300000001</v>
      </c>
      <c r="CD88">
        <f ca="1">IFERROR(IF(0=LEN(ReferenceData!$CD$88),"",ReferenceData!$CD$88),"")</f>
        <v>23.00271583</v>
      </c>
      <c r="CE88">
        <f ca="1">IFERROR(IF(0=LEN(ReferenceData!$CE$88),"",ReferenceData!$CE$88),"")</f>
        <v>24.630359139999999</v>
      </c>
      <c r="CF88">
        <f ca="1">IFERROR(IF(0=LEN(ReferenceData!$CF$88),"",ReferenceData!$CF$88),"")</f>
        <v>21.175744210000001</v>
      </c>
      <c r="CG88">
        <f ca="1">IFERROR(IF(0=LEN(ReferenceData!$CG$88),"",ReferenceData!$CG$88),"")</f>
        <v>25.68576796</v>
      </c>
      <c r="CH88">
        <f ca="1">IFERROR(IF(0=LEN(ReferenceData!$CH$88),"",ReferenceData!$CH$88),"")</f>
        <v>26.290325660000001</v>
      </c>
      <c r="CI88">
        <f ca="1">IFERROR(IF(0=LEN(ReferenceData!$CI$88),"",ReferenceData!$CI$88),"")</f>
        <v>25.734196879999999</v>
      </c>
      <c r="CJ88">
        <f ca="1">IFERROR(IF(0=LEN(ReferenceData!$CJ$88),"",ReferenceData!$CJ$88),"")</f>
        <v>26.594737250000001</v>
      </c>
      <c r="CK88">
        <f ca="1">IFERROR(IF(0=LEN(ReferenceData!$CK$88),"",ReferenceData!$CK$88),"")</f>
        <v>27.078815779999999</v>
      </c>
    </row>
    <row r="89" spans="1:89">
      <c r="A89" t="str">
        <f>IFERROR(IF(0=LEN(ReferenceData!$A$89),"",ReferenceData!$A$89),"")</f>
        <v xml:space="preserve">    Mid-America Apartment Communit</v>
      </c>
      <c r="B89" t="str">
        <f>IFERROR(IF(0=LEN(ReferenceData!$B$89),"",ReferenceData!$B$89),"")</f>
        <v>MAA US Equity</v>
      </c>
      <c r="C89" t="str">
        <f>IFERROR(IF(0=LEN(ReferenceData!$C$89),"",ReferenceData!$C$89),"")</f>
        <v/>
      </c>
      <c r="D89" t="str">
        <f>IFERROR(IF(0=LEN(ReferenceData!$D$89),"",ReferenceData!$D$89),"")</f>
        <v/>
      </c>
      <c r="E89" t="str">
        <f>IFERROR(IF(0=LEN(ReferenceData!$E$89),"",ReferenceData!$E$89),"")</f>
        <v>Expression</v>
      </c>
      <c r="F89">
        <f ca="1">IFERROR(IF(0=LEN(ReferenceData!$F$89),"",ReferenceData!$F$89),"")</f>
        <v>16.125861860000001</v>
      </c>
      <c r="G89">
        <f ca="1">IFERROR(IF(0=LEN(ReferenceData!$G$89),"",ReferenceData!$G$89),"")</f>
        <v>15.425386209999999</v>
      </c>
      <c r="H89">
        <f ca="1">IFERROR(IF(0=LEN(ReferenceData!$H$89),"",ReferenceData!$H$89),"")</f>
        <v>17.036511579999999</v>
      </c>
      <c r="I89">
        <f ca="1">IFERROR(IF(0=LEN(ReferenceData!$I$89),"",ReferenceData!$I$89),"")</f>
        <v>17.905982909999999</v>
      </c>
      <c r="J89">
        <f ca="1">IFERROR(IF(0=LEN(ReferenceData!$J$89),"",ReferenceData!$J$89),"")</f>
        <v>17.99602556</v>
      </c>
      <c r="K89">
        <f ca="1">IFERROR(IF(0=LEN(ReferenceData!$K$89),"",ReferenceData!$K$89),"")</f>
        <v>18.060836170000002</v>
      </c>
      <c r="L89">
        <f ca="1">IFERROR(IF(0=LEN(ReferenceData!$L$89),"",ReferenceData!$L$89),"")</f>
        <v>18.880890340000001</v>
      </c>
      <c r="M89">
        <f ca="1">IFERROR(IF(0=LEN(ReferenceData!$M$89),"",ReferenceData!$M$89),"")</f>
        <v>19.063694330000001</v>
      </c>
      <c r="N89">
        <f ca="1">IFERROR(IF(0=LEN(ReferenceData!$N$89),"",ReferenceData!$N$89),"")</f>
        <v>18.614192849999998</v>
      </c>
      <c r="O89">
        <f ca="1">IFERROR(IF(0=LEN(ReferenceData!$O$89),"",ReferenceData!$O$89),"")</f>
        <v>19.061228180000001</v>
      </c>
      <c r="P89">
        <f ca="1">IFERROR(IF(0=LEN(ReferenceData!$P$89),"",ReferenceData!$P$89),"")</f>
        <v>18.552730499999999</v>
      </c>
      <c r="Q89">
        <f ca="1">IFERROR(IF(0=LEN(ReferenceData!$Q$89),"",ReferenceData!$Q$89),"")</f>
        <v>18.352157200000001</v>
      </c>
      <c r="R89">
        <f ca="1">IFERROR(IF(0=LEN(ReferenceData!$R$89),"",ReferenceData!$R$89),"")</f>
        <v>18.99285948</v>
      </c>
      <c r="S89">
        <f ca="1">IFERROR(IF(0=LEN(ReferenceData!$S$89),"",ReferenceData!$S$89),"")</f>
        <v>19.28892531</v>
      </c>
      <c r="T89">
        <f ca="1">IFERROR(IF(0=LEN(ReferenceData!$T$89),"",ReferenceData!$T$89),"")</f>
        <v>17.754350469999999</v>
      </c>
      <c r="U89">
        <f ca="1">IFERROR(IF(0=LEN(ReferenceData!$U$89),"",ReferenceData!$U$89),"")</f>
        <v>18.47198642</v>
      </c>
      <c r="V89">
        <f ca="1">IFERROR(IF(0=LEN(ReferenceData!$V$89),"",ReferenceData!$V$89),"")</f>
        <v>17.010676650000001</v>
      </c>
      <c r="W89">
        <f ca="1">IFERROR(IF(0=LEN(ReferenceData!$W$89),"",ReferenceData!$W$89),"")</f>
        <v>17.243312150000001</v>
      </c>
      <c r="X89">
        <f ca="1">IFERROR(IF(0=LEN(ReferenceData!$X$89),"",ReferenceData!$X$89),"")</f>
        <v>17.683913449999999</v>
      </c>
      <c r="Y89">
        <f ca="1">IFERROR(IF(0=LEN(ReferenceData!$Y$89),"",ReferenceData!$Y$89),"")</f>
        <v>17.77308653</v>
      </c>
      <c r="Z89">
        <f ca="1">IFERROR(IF(0=LEN(ReferenceData!$Z$89),"",ReferenceData!$Z$89),"")</f>
        <v>19.572134170000002</v>
      </c>
      <c r="AA89">
        <f ca="1">IFERROR(IF(0=LEN(ReferenceData!$AA$89),"",ReferenceData!$AA$89),"")</f>
        <v>19.828890099999999</v>
      </c>
      <c r="AB89">
        <f ca="1">IFERROR(IF(0=LEN(ReferenceData!$AB$89),"",ReferenceData!$AB$89),"")</f>
        <v>19.286394059999999</v>
      </c>
      <c r="AC89">
        <f ca="1">IFERROR(IF(0=LEN(ReferenceData!$AC$89),"",ReferenceData!$AC$89),"")</f>
        <v>18.15844079</v>
      </c>
      <c r="AD89">
        <f ca="1">IFERROR(IF(0=LEN(ReferenceData!$AD$89),"",ReferenceData!$AD$89),"")</f>
        <v>19.533004300000002</v>
      </c>
      <c r="AE89">
        <f ca="1">IFERROR(IF(0=LEN(ReferenceData!$AE$89),"",ReferenceData!$AE$89),"")</f>
        <v>17.335278240000001</v>
      </c>
      <c r="AF89">
        <f ca="1">IFERROR(IF(0=LEN(ReferenceData!$AF$89),"",ReferenceData!$AF$89),"")</f>
        <v>18.08135995</v>
      </c>
      <c r="AG89">
        <f ca="1">IFERROR(IF(0=LEN(ReferenceData!$AG$89),"",ReferenceData!$AG$89),"")</f>
        <v>17.54443586</v>
      </c>
      <c r="AH89">
        <f ca="1">IFERROR(IF(0=LEN(ReferenceData!$AH$89),"",ReferenceData!$AH$89),"")</f>
        <v>17.247782820000001</v>
      </c>
      <c r="AI89">
        <f ca="1">IFERROR(IF(0=LEN(ReferenceData!$AI$89),"",ReferenceData!$AI$89),"")</f>
        <v>16.84846821</v>
      </c>
      <c r="AJ89">
        <f ca="1">IFERROR(IF(0=LEN(ReferenceData!$AJ$89),"",ReferenceData!$AJ$89),"")</f>
        <v>16.719962779999999</v>
      </c>
      <c r="AK89">
        <f ca="1">IFERROR(IF(0=LEN(ReferenceData!$AK$89),"",ReferenceData!$AK$89),"")</f>
        <v>16.206088489999999</v>
      </c>
      <c r="AL89">
        <f ca="1">IFERROR(IF(0=LEN(ReferenceData!$AL$89),"",ReferenceData!$AL$89),"")</f>
        <v>16.636282090000002</v>
      </c>
      <c r="AM89">
        <f ca="1">IFERROR(IF(0=LEN(ReferenceData!$AM$89),"",ReferenceData!$AM$89),"")</f>
        <v>15.29381517</v>
      </c>
      <c r="AN89">
        <f ca="1">IFERROR(IF(0=LEN(ReferenceData!$AN$89),"",ReferenceData!$AN$89),"")</f>
        <v>16.129434119999999</v>
      </c>
      <c r="AO89">
        <f ca="1">IFERROR(IF(0=LEN(ReferenceData!$AO$89),"",ReferenceData!$AO$89),"")</f>
        <v>15.88147283</v>
      </c>
      <c r="AP89">
        <f ca="1">IFERROR(IF(0=LEN(ReferenceData!$AP$89),"",ReferenceData!$AP$89),"")</f>
        <v>16.483204709999999</v>
      </c>
      <c r="AQ89">
        <f ca="1">IFERROR(IF(0=LEN(ReferenceData!$AQ$89),"",ReferenceData!$AQ$89),"")</f>
        <v>15.75098876</v>
      </c>
      <c r="AR89">
        <f ca="1">IFERROR(IF(0=LEN(ReferenceData!$AR$89),"",ReferenceData!$AR$89),"")</f>
        <v>17.445796399999999</v>
      </c>
      <c r="AS89">
        <f ca="1">IFERROR(IF(0=LEN(ReferenceData!$AS$89),"",ReferenceData!$AS$89),"")</f>
        <v>16.621411080000001</v>
      </c>
      <c r="AT89">
        <f ca="1">IFERROR(IF(0=LEN(ReferenceData!$AT$89),"",ReferenceData!$AT$89),"")</f>
        <v>16.34958911</v>
      </c>
      <c r="AU89">
        <f ca="1">IFERROR(IF(0=LEN(ReferenceData!$AU$89),"",ReferenceData!$AU$89),"")</f>
        <v>15.77916141</v>
      </c>
      <c r="AV89">
        <f ca="1">IFERROR(IF(0=LEN(ReferenceData!$AV$89),"",ReferenceData!$AV$89),"")</f>
        <v>14.56470824</v>
      </c>
      <c r="AW89">
        <f ca="1">IFERROR(IF(0=LEN(ReferenceData!$AW$89),"",ReferenceData!$AW$89),"")</f>
        <v>16.09978662</v>
      </c>
      <c r="AX89">
        <f ca="1">IFERROR(IF(0=LEN(ReferenceData!$AX$89),"",ReferenceData!$AX$89),"")</f>
        <v>15.56835749</v>
      </c>
      <c r="AY89">
        <f ca="1">IFERROR(IF(0=LEN(ReferenceData!$AY$89),"",ReferenceData!$AY$89),"")</f>
        <v>16.364624899999999</v>
      </c>
      <c r="AZ89">
        <f ca="1">IFERROR(IF(0=LEN(ReferenceData!$AZ$89),"",ReferenceData!$AZ$89),"")</f>
        <v>16.550894289999999</v>
      </c>
      <c r="BA89">
        <f ca="1">IFERROR(IF(0=LEN(ReferenceData!$BA$89),"",ReferenceData!$BA$89),"")</f>
        <v>16.083957099999999</v>
      </c>
      <c r="BB89">
        <f ca="1">IFERROR(IF(0=LEN(ReferenceData!$BB$89),"",ReferenceData!$BB$89),"")</f>
        <v>15.988118160000001</v>
      </c>
      <c r="BC89">
        <f ca="1">IFERROR(IF(0=LEN(ReferenceData!$BC$89),"",ReferenceData!$BC$89),"")</f>
        <v>15.515732959999999</v>
      </c>
      <c r="BD89">
        <f ca="1">IFERROR(IF(0=LEN(ReferenceData!$BD$89),"",ReferenceData!$BD$89),"")</f>
        <v>14.562274370000001</v>
      </c>
      <c r="BE89">
        <f ca="1">IFERROR(IF(0=LEN(ReferenceData!$BE$89),"",ReferenceData!$BE$89),"")</f>
        <v>13.695603159999999</v>
      </c>
      <c r="BF89">
        <f ca="1">IFERROR(IF(0=LEN(ReferenceData!$BF$89),"",ReferenceData!$BF$89),"")</f>
        <v>13.515863299999999</v>
      </c>
      <c r="BG89">
        <f ca="1">IFERROR(IF(0=LEN(ReferenceData!$BG$89),"",ReferenceData!$BG$89),"")</f>
        <v>14.597978489999999</v>
      </c>
      <c r="BH89">
        <f ca="1">IFERROR(IF(0=LEN(ReferenceData!$BH$89),"",ReferenceData!$BH$89),"")</f>
        <v>13.88186775</v>
      </c>
      <c r="BI89">
        <f ca="1">IFERROR(IF(0=LEN(ReferenceData!$BI$89),"",ReferenceData!$BI$89),"")</f>
        <v>13.758242729999999</v>
      </c>
      <c r="BJ89">
        <f ca="1">IFERROR(IF(0=LEN(ReferenceData!$BJ$89),"",ReferenceData!$BJ$89),"")</f>
        <v>15.28398458</v>
      </c>
      <c r="BK89">
        <f ca="1">IFERROR(IF(0=LEN(ReferenceData!$BK$89),"",ReferenceData!$BK$89),"")</f>
        <v>15.400820149999999</v>
      </c>
      <c r="BL89">
        <f ca="1">IFERROR(IF(0=LEN(ReferenceData!$BL$89),"",ReferenceData!$BL$89),"")</f>
        <v>15.48421724</v>
      </c>
      <c r="BM89">
        <f ca="1">IFERROR(IF(0=LEN(ReferenceData!$BM$89),"",ReferenceData!$BM$89),"")</f>
        <v>15.78216434</v>
      </c>
      <c r="BN89">
        <f ca="1">IFERROR(IF(0=LEN(ReferenceData!$BN$89),"",ReferenceData!$BN$89),"")</f>
        <v>15.95337346</v>
      </c>
      <c r="BO89">
        <f ca="1">IFERROR(IF(0=LEN(ReferenceData!$BO$89),"",ReferenceData!$BO$89),"")</f>
        <v>16.21078881</v>
      </c>
      <c r="BP89">
        <f ca="1">IFERROR(IF(0=LEN(ReferenceData!$BP$89),"",ReferenceData!$BP$89),"")</f>
        <v>15.434817000000001</v>
      </c>
      <c r="BQ89">
        <f ca="1">IFERROR(IF(0=LEN(ReferenceData!$BQ$89),"",ReferenceData!$BQ$89),"")</f>
        <v>15.398335319999999</v>
      </c>
      <c r="BR89">
        <f ca="1">IFERROR(IF(0=LEN(ReferenceData!$BR$89),"",ReferenceData!$BR$89),"")</f>
        <v>14.91158806</v>
      </c>
      <c r="BS89">
        <f ca="1">IFERROR(IF(0=LEN(ReferenceData!$BS$89),"",ReferenceData!$BS$89),"")</f>
        <v>15.891200169999999</v>
      </c>
      <c r="BT89">
        <f ca="1">IFERROR(IF(0=LEN(ReferenceData!$BT$89),"",ReferenceData!$BT$89),"")</f>
        <v>16.142758239999999</v>
      </c>
      <c r="BU89">
        <f ca="1">IFERROR(IF(0=LEN(ReferenceData!$BU$89),"",ReferenceData!$BU$89),"")</f>
        <v>16.93094292</v>
      </c>
      <c r="BV89">
        <f ca="1">IFERROR(IF(0=LEN(ReferenceData!$BV$89),"",ReferenceData!$BV$89),"")</f>
        <v>17.68636854</v>
      </c>
      <c r="BW89">
        <f ca="1">IFERROR(IF(0=LEN(ReferenceData!$BW$89),"",ReferenceData!$BW$89),"")</f>
        <v>17.593419279999999</v>
      </c>
      <c r="BX89">
        <f ca="1">IFERROR(IF(0=LEN(ReferenceData!$BX$89),"",ReferenceData!$BX$89),"")</f>
        <v>17.444281969999999</v>
      </c>
      <c r="BY89">
        <f ca="1">IFERROR(IF(0=LEN(ReferenceData!$BY$89),"",ReferenceData!$BY$89),"")</f>
        <v>17.824271070000002</v>
      </c>
      <c r="BZ89">
        <f ca="1">IFERROR(IF(0=LEN(ReferenceData!$BZ$89),"",ReferenceData!$BZ$89),"")</f>
        <v>17.8260325</v>
      </c>
      <c r="CA89">
        <f ca="1">IFERROR(IF(0=LEN(ReferenceData!$CA$89),"",ReferenceData!$CA$89),"")</f>
        <v>16.71347261</v>
      </c>
      <c r="CB89">
        <f ca="1">IFERROR(IF(0=LEN(ReferenceData!$CB$89),"",ReferenceData!$CB$89),"")</f>
        <v>17.350686920000001</v>
      </c>
      <c r="CC89">
        <f ca="1">IFERROR(IF(0=LEN(ReferenceData!$CC$89),"",ReferenceData!$CC$89),"")</f>
        <v>17.16520307</v>
      </c>
      <c r="CD89">
        <f ca="1">IFERROR(IF(0=LEN(ReferenceData!$CD$89),"",ReferenceData!$CD$89),"")</f>
        <v>15.87002747</v>
      </c>
      <c r="CE89">
        <f ca="1">IFERROR(IF(0=LEN(ReferenceData!$CE$89),"",ReferenceData!$CE$89),"")</f>
        <v>17.519600759999999</v>
      </c>
      <c r="CF89">
        <f ca="1">IFERROR(IF(0=LEN(ReferenceData!$CF$89),"",ReferenceData!$CF$89),"")</f>
        <v>17.006495340000001</v>
      </c>
      <c r="CG89">
        <f ca="1">IFERROR(IF(0=LEN(ReferenceData!$CG$89),"",ReferenceData!$CG$89),"")</f>
        <v>20.354315440000001</v>
      </c>
      <c r="CH89">
        <f ca="1">IFERROR(IF(0=LEN(ReferenceData!$CH$89),"",ReferenceData!$CH$89),"")</f>
        <v>20.200406059999999</v>
      </c>
      <c r="CI89">
        <f ca="1">IFERROR(IF(0=LEN(ReferenceData!$CI$89),"",ReferenceData!$CI$89),"")</f>
        <v>19.335458599999999</v>
      </c>
      <c r="CJ89">
        <f ca="1">IFERROR(IF(0=LEN(ReferenceData!$CJ$89),"",ReferenceData!$CJ$89),"")</f>
        <v>19.6832928</v>
      </c>
      <c r="CK89">
        <f ca="1">IFERROR(IF(0=LEN(ReferenceData!$CK$89),"",ReferenceData!$CK$89),"")</f>
        <v>19.65520334</v>
      </c>
    </row>
    <row r="90" spans="1:89">
      <c r="A90" t="str">
        <f>IFERROR(IF(0=LEN(ReferenceData!$A$90),"",ReferenceData!$A$90),"")</f>
        <v xml:space="preserve">    Monogram Residential Trust Inc</v>
      </c>
      <c r="B90" t="str">
        <f>IFERROR(IF(0=LEN(ReferenceData!$B$90),"",ReferenceData!$B$90),"")</f>
        <v>MORE US Equity</v>
      </c>
      <c r="C90" t="str">
        <f>IFERROR(IF(0=LEN(ReferenceData!$C$90),"",ReferenceData!$C$90),"")</f>
        <v/>
      </c>
      <c r="D90" t="str">
        <f>IFERROR(IF(0=LEN(ReferenceData!$D$90),"",ReferenceData!$D$90),"")</f>
        <v/>
      </c>
      <c r="E90" t="str">
        <f>IFERROR(IF(0=LEN(ReferenceData!$E$90),"",ReferenceData!$E$90),"")</f>
        <v>Expression</v>
      </c>
      <c r="F90" t="str">
        <f ca="1">IFERROR(IF(0=LEN(ReferenceData!$F$90),"",ReferenceData!$F$90),"")</f>
        <v/>
      </c>
      <c r="G90" t="str">
        <f ca="1">IFERROR(IF(0=LEN(ReferenceData!$G$90),"",ReferenceData!$G$90),"")</f>
        <v/>
      </c>
      <c r="H90" t="str">
        <f ca="1">IFERROR(IF(0=LEN(ReferenceData!$H$90),"",ReferenceData!$H$90),"")</f>
        <v/>
      </c>
      <c r="I90" t="str">
        <f ca="1">IFERROR(IF(0=LEN(ReferenceData!$I$90),"",ReferenceData!$I$90),"")</f>
        <v/>
      </c>
      <c r="J90" t="str">
        <f ca="1">IFERROR(IF(0=LEN(ReferenceData!$J$90),"",ReferenceData!$J$90),"")</f>
        <v/>
      </c>
      <c r="K90" t="str">
        <f ca="1">IFERROR(IF(0=LEN(ReferenceData!$K$90),"",ReferenceData!$K$90),"")</f>
        <v/>
      </c>
      <c r="L90">
        <f ca="1">IFERROR(IF(0=LEN(ReferenceData!$L$90),"",ReferenceData!$L$90),"")</f>
        <v>26.351648350000001</v>
      </c>
      <c r="M90">
        <f ca="1">IFERROR(IF(0=LEN(ReferenceData!$M$90),"",ReferenceData!$M$90),"")</f>
        <v>26.24436566</v>
      </c>
      <c r="N90">
        <f ca="1">IFERROR(IF(0=LEN(ReferenceData!$N$90),"",ReferenceData!$N$90),"")</f>
        <v>27.108194789999999</v>
      </c>
      <c r="O90">
        <f ca="1">IFERROR(IF(0=LEN(ReferenceData!$O$90),"",ReferenceData!$O$90),"")</f>
        <v>22.245131730000001</v>
      </c>
      <c r="P90">
        <f ca="1">IFERROR(IF(0=LEN(ReferenceData!$P$90),"",ReferenceData!$P$90),"")</f>
        <v>22.284754270000001</v>
      </c>
      <c r="Q90">
        <f ca="1">IFERROR(IF(0=LEN(ReferenceData!$Q$90),"",ReferenceData!$Q$90),"")</f>
        <v>24.423715479999998</v>
      </c>
      <c r="R90">
        <f ca="1">IFERROR(IF(0=LEN(ReferenceData!$R$90),"",ReferenceData!$R$90),"")</f>
        <v>24.053076000000001</v>
      </c>
      <c r="S90">
        <f ca="1">IFERROR(IF(0=LEN(ReferenceData!$S$90),"",ReferenceData!$S$90),"")</f>
        <v>25.338836140000002</v>
      </c>
      <c r="T90">
        <f ca="1">IFERROR(IF(0=LEN(ReferenceData!$T$90),"",ReferenceData!$T$90),"")</f>
        <v>24.270512400000001</v>
      </c>
      <c r="U90">
        <f ca="1">IFERROR(IF(0=LEN(ReferenceData!$U$90),"",ReferenceData!$U$90),"")</f>
        <v>24.98845266</v>
      </c>
      <c r="V90">
        <f ca="1">IFERROR(IF(0=LEN(ReferenceData!$V$90),"",ReferenceData!$V$90),"")</f>
        <v>24.977998960000001</v>
      </c>
      <c r="W90">
        <f ca="1">IFERROR(IF(0=LEN(ReferenceData!$W$90),"",ReferenceData!$W$90),"")</f>
        <v>24.810040770000001</v>
      </c>
      <c r="X90">
        <f ca="1">IFERROR(IF(0=LEN(ReferenceData!$X$90),"",ReferenceData!$X$90),"")</f>
        <v>25.03529412</v>
      </c>
      <c r="Y90">
        <f ca="1">IFERROR(IF(0=LEN(ReferenceData!$Y$90),"",ReferenceData!$Y$90),"")</f>
        <v>25.2479798</v>
      </c>
      <c r="Z90">
        <f ca="1">IFERROR(IF(0=LEN(ReferenceData!$Z$90),"",ReferenceData!$Z$90),"")</f>
        <v>24.469261490000001</v>
      </c>
      <c r="AA90">
        <f ca="1">IFERROR(IF(0=LEN(ReferenceData!$AA$90),"",ReferenceData!$AA$90),"")</f>
        <v>23.294387669999999</v>
      </c>
      <c r="AB90">
        <f ca="1">IFERROR(IF(0=LEN(ReferenceData!$AB$90),"",ReferenceData!$AB$90),"")</f>
        <v>26.185243809999999</v>
      </c>
      <c r="AC90">
        <f ca="1">IFERROR(IF(0=LEN(ReferenceData!$AC$90),"",ReferenceData!$AC$90),"")</f>
        <v>20.283407050000001</v>
      </c>
      <c r="AD90">
        <f ca="1">IFERROR(IF(0=LEN(ReferenceData!$AD$90),"",ReferenceData!$AD$90),"")</f>
        <v>20.023801110000001</v>
      </c>
      <c r="AE90">
        <f ca="1">IFERROR(IF(0=LEN(ReferenceData!$AE$90),"",ReferenceData!$AE$90),"")</f>
        <v>18.74162767</v>
      </c>
      <c r="AF90">
        <f ca="1">IFERROR(IF(0=LEN(ReferenceData!$AF$90),"",ReferenceData!$AF$90),"")</f>
        <v>18.343027230000001</v>
      </c>
      <c r="AG90">
        <f ca="1">IFERROR(IF(0=LEN(ReferenceData!$AG$90),"",ReferenceData!$AG$90),"")</f>
        <v>20.765957449999998</v>
      </c>
      <c r="AH90" t="str">
        <f ca="1">IFERROR(IF(0=LEN(ReferenceData!$AH$90),"",ReferenceData!$AH$90),"")</f>
        <v/>
      </c>
      <c r="AI90" t="str">
        <f ca="1">IFERROR(IF(0=LEN(ReferenceData!$AI$90),"",ReferenceData!$AI$90),"")</f>
        <v/>
      </c>
      <c r="AJ90" t="str">
        <f ca="1">IFERROR(IF(0=LEN(ReferenceData!$AJ$90),"",ReferenceData!$AJ$90),"")</f>
        <v/>
      </c>
      <c r="AK90" t="str">
        <f ca="1">IFERROR(IF(0=LEN(ReferenceData!$AK$90),"",ReferenceData!$AK$90),"")</f>
        <v/>
      </c>
      <c r="AL90" t="str">
        <f ca="1">IFERROR(IF(0=LEN(ReferenceData!$AL$90),"",ReferenceData!$AL$90),"")</f>
        <v/>
      </c>
      <c r="AM90" t="str">
        <f ca="1">IFERROR(IF(0=LEN(ReferenceData!$AM$90),"",ReferenceData!$AM$90),"")</f>
        <v/>
      </c>
      <c r="AN90" t="str">
        <f ca="1">IFERROR(IF(0=LEN(ReferenceData!$AN$90),"",ReferenceData!$AN$90),"")</f>
        <v/>
      </c>
      <c r="AO90" t="str">
        <f ca="1">IFERROR(IF(0=LEN(ReferenceData!$AO$90),"",ReferenceData!$AO$90),"")</f>
        <v/>
      </c>
      <c r="AP90" t="str">
        <f ca="1">IFERROR(IF(0=LEN(ReferenceData!$AP$90),"",ReferenceData!$AP$90),"")</f>
        <v/>
      </c>
      <c r="AQ90" t="str">
        <f ca="1">IFERROR(IF(0=LEN(ReferenceData!$AQ$90),"",ReferenceData!$AQ$90),"")</f>
        <v/>
      </c>
      <c r="AR90" t="str">
        <f ca="1">IFERROR(IF(0=LEN(ReferenceData!$AR$90),"",ReferenceData!$AR$90),"")</f>
        <v/>
      </c>
      <c r="AS90" t="str">
        <f ca="1">IFERROR(IF(0=LEN(ReferenceData!$AS$90),"",ReferenceData!$AS$90),"")</f>
        <v/>
      </c>
      <c r="AT90" t="str">
        <f ca="1">IFERROR(IF(0=LEN(ReferenceData!$AT$90),"",ReferenceData!$AT$90),"")</f>
        <v/>
      </c>
      <c r="AU90" t="str">
        <f ca="1">IFERROR(IF(0=LEN(ReferenceData!$AU$90),"",ReferenceData!$AU$90),"")</f>
        <v/>
      </c>
      <c r="AV90" t="str">
        <f ca="1">IFERROR(IF(0=LEN(ReferenceData!$AV$90),"",ReferenceData!$AV$90),"")</f>
        <v/>
      </c>
      <c r="AW90" t="str">
        <f ca="1">IFERROR(IF(0=LEN(ReferenceData!$AW$90),"",ReferenceData!$AW$90),"")</f>
        <v/>
      </c>
      <c r="AX90" t="str">
        <f ca="1">IFERROR(IF(0=LEN(ReferenceData!$AX$90),"",ReferenceData!$AX$90),"")</f>
        <v/>
      </c>
      <c r="AY90" t="str">
        <f ca="1">IFERROR(IF(0=LEN(ReferenceData!$AY$90),"",ReferenceData!$AY$90),"")</f>
        <v/>
      </c>
      <c r="AZ90" t="str">
        <f ca="1">IFERROR(IF(0=LEN(ReferenceData!$AZ$90),"",ReferenceData!$AZ$90),"")</f>
        <v/>
      </c>
      <c r="BA90" t="str">
        <f ca="1">IFERROR(IF(0=LEN(ReferenceData!$BA$90),"",ReferenceData!$BA$90),"")</f>
        <v/>
      </c>
      <c r="BB90" t="str">
        <f ca="1">IFERROR(IF(0=LEN(ReferenceData!$BB$90),"",ReferenceData!$BB$90),"")</f>
        <v/>
      </c>
      <c r="BC90" t="str">
        <f ca="1">IFERROR(IF(0=LEN(ReferenceData!$BC$90),"",ReferenceData!$BC$90),"")</f>
        <v/>
      </c>
      <c r="BD90" t="str">
        <f ca="1">IFERROR(IF(0=LEN(ReferenceData!$BD$90),"",ReferenceData!$BD$90),"")</f>
        <v/>
      </c>
      <c r="BE90" t="str">
        <f ca="1">IFERROR(IF(0=LEN(ReferenceData!$BE$90),"",ReferenceData!$BE$90),"")</f>
        <v/>
      </c>
      <c r="BF90" t="str">
        <f ca="1">IFERROR(IF(0=LEN(ReferenceData!$BF$90),"",ReferenceData!$BF$90),"")</f>
        <v/>
      </c>
      <c r="BG90" t="str">
        <f ca="1">IFERROR(IF(0=LEN(ReferenceData!$BG$90),"",ReferenceData!$BG$90),"")</f>
        <v/>
      </c>
      <c r="BH90" t="str">
        <f ca="1">IFERROR(IF(0=LEN(ReferenceData!$BH$90),"",ReferenceData!$BH$90),"")</f>
        <v/>
      </c>
      <c r="BI90" t="str">
        <f ca="1">IFERROR(IF(0=LEN(ReferenceData!$BI$90),"",ReferenceData!$BI$90),"")</f>
        <v/>
      </c>
      <c r="BJ90" t="str">
        <f ca="1">IFERROR(IF(0=LEN(ReferenceData!$BJ$90),"",ReferenceData!$BJ$90),"")</f>
        <v/>
      </c>
      <c r="BK90" t="str">
        <f ca="1">IFERROR(IF(0=LEN(ReferenceData!$BK$90),"",ReferenceData!$BK$90),"")</f>
        <v/>
      </c>
      <c r="BL90" t="str">
        <f ca="1">IFERROR(IF(0=LEN(ReferenceData!$BL$90),"",ReferenceData!$BL$90),"")</f>
        <v/>
      </c>
      <c r="BM90" t="str">
        <f ca="1">IFERROR(IF(0=LEN(ReferenceData!$BM$90),"",ReferenceData!$BM$90),"")</f>
        <v/>
      </c>
      <c r="BN90" t="str">
        <f ca="1">IFERROR(IF(0=LEN(ReferenceData!$BN$90),"",ReferenceData!$BN$90),"")</f>
        <v/>
      </c>
      <c r="BO90" t="str">
        <f ca="1">IFERROR(IF(0=LEN(ReferenceData!$BO$90),"",ReferenceData!$BO$90),"")</f>
        <v/>
      </c>
      <c r="BP90" t="str">
        <f ca="1">IFERROR(IF(0=LEN(ReferenceData!$BP$90),"",ReferenceData!$BP$90),"")</f>
        <v/>
      </c>
      <c r="BQ90" t="str">
        <f ca="1">IFERROR(IF(0=LEN(ReferenceData!$BQ$90),"",ReferenceData!$BQ$90),"")</f>
        <v/>
      </c>
      <c r="BR90" t="str">
        <f ca="1">IFERROR(IF(0=LEN(ReferenceData!$BR$90),"",ReferenceData!$BR$90),"")</f>
        <v/>
      </c>
      <c r="BS90" t="str">
        <f ca="1">IFERROR(IF(0=LEN(ReferenceData!$BS$90),"",ReferenceData!$BS$90),"")</f>
        <v/>
      </c>
      <c r="BT90" t="str">
        <f ca="1">IFERROR(IF(0=LEN(ReferenceData!$BT$90),"",ReferenceData!$BT$90),"")</f>
        <v/>
      </c>
      <c r="BU90" t="str">
        <f ca="1">IFERROR(IF(0=LEN(ReferenceData!$BU$90),"",ReferenceData!$BU$90),"")</f>
        <v/>
      </c>
      <c r="BV90" t="str">
        <f ca="1">IFERROR(IF(0=LEN(ReferenceData!$BV$90),"",ReferenceData!$BV$90),"")</f>
        <v/>
      </c>
      <c r="BW90" t="str">
        <f ca="1">IFERROR(IF(0=LEN(ReferenceData!$BW$90),"",ReferenceData!$BW$90),"")</f>
        <v/>
      </c>
      <c r="BX90" t="str">
        <f ca="1">IFERROR(IF(0=LEN(ReferenceData!$BX$90),"",ReferenceData!$BX$90),"")</f>
        <v/>
      </c>
      <c r="BY90" t="str">
        <f ca="1">IFERROR(IF(0=LEN(ReferenceData!$BY$90),"",ReferenceData!$BY$90),"")</f>
        <v/>
      </c>
      <c r="BZ90" t="str">
        <f ca="1">IFERROR(IF(0=LEN(ReferenceData!$BZ$90),"",ReferenceData!$BZ$90),"")</f>
        <v/>
      </c>
      <c r="CA90" t="str">
        <f ca="1">IFERROR(IF(0=LEN(ReferenceData!$CA$90),"",ReferenceData!$CA$90),"")</f>
        <v/>
      </c>
      <c r="CB90" t="str">
        <f ca="1">IFERROR(IF(0=LEN(ReferenceData!$CB$90),"",ReferenceData!$CB$90),"")</f>
        <v/>
      </c>
      <c r="CC90" t="str">
        <f ca="1">IFERROR(IF(0=LEN(ReferenceData!$CC$90),"",ReferenceData!$CC$90),"")</f>
        <v/>
      </c>
      <c r="CD90" t="str">
        <f ca="1">IFERROR(IF(0=LEN(ReferenceData!$CD$90),"",ReferenceData!$CD$90),"")</f>
        <v/>
      </c>
      <c r="CE90" t="str">
        <f ca="1">IFERROR(IF(0=LEN(ReferenceData!$CE$90),"",ReferenceData!$CE$90),"")</f>
        <v/>
      </c>
      <c r="CF90" t="str">
        <f ca="1">IFERROR(IF(0=LEN(ReferenceData!$CF$90),"",ReferenceData!$CF$90),"")</f>
        <v/>
      </c>
      <c r="CG90" t="str">
        <f ca="1">IFERROR(IF(0=LEN(ReferenceData!$CG$90),"",ReferenceData!$CG$90),"")</f>
        <v/>
      </c>
      <c r="CH90" t="str">
        <f ca="1">IFERROR(IF(0=LEN(ReferenceData!$CH$90),"",ReferenceData!$CH$90),"")</f>
        <v/>
      </c>
      <c r="CI90" t="str">
        <f ca="1">IFERROR(IF(0=LEN(ReferenceData!$CI$90),"",ReferenceData!$CI$90),"")</f>
        <v/>
      </c>
      <c r="CJ90" t="str">
        <f ca="1">IFERROR(IF(0=LEN(ReferenceData!$CJ$90),"",ReferenceData!$CJ$90),"")</f>
        <v/>
      </c>
      <c r="CK90" t="str">
        <f ca="1">IFERROR(IF(0=LEN(ReferenceData!$CK$90),"",ReferenceData!$CK$90),"")</f>
        <v/>
      </c>
    </row>
    <row r="91" spans="1:89">
      <c r="A91" t="str">
        <f>IFERROR(IF(0=LEN(ReferenceData!$A$91),"",ReferenceData!$A$91),"")</f>
        <v xml:space="preserve">    UDR Inc</v>
      </c>
      <c r="B91" t="str">
        <f>IFERROR(IF(0=LEN(ReferenceData!$B$91),"",ReferenceData!$B$91),"")</f>
        <v>UDR US Equity</v>
      </c>
      <c r="C91" t="str">
        <f>IFERROR(IF(0=LEN(ReferenceData!$C$91),"",ReferenceData!$C$91),"")</f>
        <v/>
      </c>
      <c r="D91" t="str">
        <f>IFERROR(IF(0=LEN(ReferenceData!$D$91),"",ReferenceData!$D$91),"")</f>
        <v/>
      </c>
      <c r="E91" t="str">
        <f>IFERROR(IF(0=LEN(ReferenceData!$E$91),"",ReferenceData!$E$91),"")</f>
        <v>Expression</v>
      </c>
      <c r="F91">
        <f ca="1">IFERROR(IF(0=LEN(ReferenceData!$F$91),"",ReferenceData!$F$91),"")</f>
        <v>19.512486169999999</v>
      </c>
      <c r="G91">
        <f ca="1">IFERROR(IF(0=LEN(ReferenceData!$G$91),"",ReferenceData!$G$91),"")</f>
        <v>18.63668389</v>
      </c>
      <c r="H91">
        <f ca="1">IFERROR(IF(0=LEN(ReferenceData!$H$91),"",ReferenceData!$H$91),"")</f>
        <v>20.139904250000001</v>
      </c>
      <c r="I91">
        <f ca="1">IFERROR(IF(0=LEN(ReferenceData!$I$91),"",ReferenceData!$I$91),"")</f>
        <v>21.4</v>
      </c>
      <c r="J91">
        <f ca="1">IFERROR(IF(0=LEN(ReferenceData!$J$91),"",ReferenceData!$J$91),"")</f>
        <v>21.948108040000001</v>
      </c>
      <c r="K91">
        <f ca="1">IFERROR(IF(0=LEN(ReferenceData!$K$91),"",ReferenceData!$K$91),"")</f>
        <v>21.718547999999998</v>
      </c>
      <c r="L91">
        <f ca="1">IFERROR(IF(0=LEN(ReferenceData!$L$91),"",ReferenceData!$L$91),"")</f>
        <v>21.398227599999998</v>
      </c>
      <c r="M91">
        <f ca="1">IFERROR(IF(0=LEN(ReferenceData!$M$91),"",ReferenceData!$M$91),"")</f>
        <v>21.844492200000001</v>
      </c>
      <c r="N91">
        <f ca="1">IFERROR(IF(0=LEN(ReferenceData!$N$91),"",ReferenceData!$N$91),"")</f>
        <v>22.343654440000002</v>
      </c>
      <c r="O91">
        <f ca="1">IFERROR(IF(0=LEN(ReferenceData!$O$91),"",ReferenceData!$O$91),"")</f>
        <v>22.300429179999998</v>
      </c>
      <c r="P91">
        <f ca="1">IFERROR(IF(0=LEN(ReferenceData!$P$91),"",ReferenceData!$P$91),"")</f>
        <v>22.204317679999999</v>
      </c>
      <c r="Q91">
        <f ca="1">IFERROR(IF(0=LEN(ReferenceData!$Q$91),"",ReferenceData!$Q$91),"")</f>
        <v>21.932207510000001</v>
      </c>
      <c r="R91">
        <f ca="1">IFERROR(IF(0=LEN(ReferenceData!$R$91),"",ReferenceData!$R$91),"")</f>
        <v>21.56407969</v>
      </c>
      <c r="S91">
        <f ca="1">IFERROR(IF(0=LEN(ReferenceData!$S$91),"",ReferenceData!$S$91),"")</f>
        <v>21.719597029999999</v>
      </c>
      <c r="T91">
        <f ca="1">IFERROR(IF(0=LEN(ReferenceData!$T$91),"",ReferenceData!$T$91),"")</f>
        <v>20.348409010000001</v>
      </c>
      <c r="U91">
        <f ca="1">IFERROR(IF(0=LEN(ReferenceData!$U$91),"",ReferenceData!$U$91),"")</f>
        <v>21.333333329999999</v>
      </c>
      <c r="V91">
        <f ca="1">IFERROR(IF(0=LEN(ReferenceData!$V$91),"",ReferenceData!$V$91),"")</f>
        <v>20.011710730000001</v>
      </c>
      <c r="W91">
        <f ca="1">IFERROR(IF(0=LEN(ReferenceData!$W$91),"",ReferenceData!$W$91),"")</f>
        <v>20.80270977</v>
      </c>
      <c r="X91">
        <f ca="1">IFERROR(IF(0=LEN(ReferenceData!$X$91),"",ReferenceData!$X$91),"")</f>
        <v>21.314776429999998</v>
      </c>
      <c r="Y91">
        <f ca="1">IFERROR(IF(0=LEN(ReferenceData!$Y$91),"",ReferenceData!$Y$91),"")</f>
        <v>21.480312980000001</v>
      </c>
      <c r="Z91">
        <f ca="1">IFERROR(IF(0=LEN(ReferenceData!$Z$91),"",ReferenceData!$Z$91),"")</f>
        <v>22.187127530000001</v>
      </c>
      <c r="AA91">
        <f ca="1">IFERROR(IF(0=LEN(ReferenceData!$AA$91),"",ReferenceData!$AA$91),"")</f>
        <v>22.156994189999999</v>
      </c>
      <c r="AB91">
        <f ca="1">IFERROR(IF(0=LEN(ReferenceData!$AB$91),"",ReferenceData!$AB$91),"")</f>
        <v>21.674201199999999</v>
      </c>
      <c r="AC91">
        <f ca="1">IFERROR(IF(0=LEN(ReferenceData!$AC$91),"",ReferenceData!$AC$91),"")</f>
        <v>21.152790750000001</v>
      </c>
      <c r="AD91">
        <f ca="1">IFERROR(IF(0=LEN(ReferenceData!$AD$91),"",ReferenceData!$AD$91),"")</f>
        <v>23.349675479999998</v>
      </c>
      <c r="AE91">
        <f ca="1">IFERROR(IF(0=LEN(ReferenceData!$AE$91),"",ReferenceData!$AE$91),"")</f>
        <v>20.9248631</v>
      </c>
      <c r="AF91">
        <f ca="1">IFERROR(IF(0=LEN(ReferenceData!$AF$91),"",ReferenceData!$AF$91),"")</f>
        <v>21.646390790000002</v>
      </c>
      <c r="AG91">
        <f ca="1">IFERROR(IF(0=LEN(ReferenceData!$AG$91),"",ReferenceData!$AG$91),"")</f>
        <v>22.992656060000002</v>
      </c>
      <c r="AH91">
        <f ca="1">IFERROR(IF(0=LEN(ReferenceData!$AH$91),"",ReferenceData!$AH$91),"")</f>
        <v>22.757947550000001</v>
      </c>
      <c r="AI91">
        <f ca="1">IFERROR(IF(0=LEN(ReferenceData!$AI$91),"",ReferenceData!$AI$91),"")</f>
        <v>21.53480815</v>
      </c>
      <c r="AJ91">
        <f ca="1">IFERROR(IF(0=LEN(ReferenceData!$AJ$91),"",ReferenceData!$AJ$91),"")</f>
        <v>21.777754479999999</v>
      </c>
      <c r="AK91">
        <f ca="1">IFERROR(IF(0=LEN(ReferenceData!$AK$91),"",ReferenceData!$AK$91),"")</f>
        <v>20.512208260000001</v>
      </c>
      <c r="AL91">
        <f ca="1">IFERROR(IF(0=LEN(ReferenceData!$AL$91),"",ReferenceData!$AL$91),"")</f>
        <v>21.776431219999999</v>
      </c>
      <c r="AM91">
        <f ca="1">IFERROR(IF(0=LEN(ReferenceData!$AM$91),"",ReferenceData!$AM$91),"")</f>
        <v>20.934011129999998</v>
      </c>
      <c r="AN91">
        <f ca="1">IFERROR(IF(0=LEN(ReferenceData!$AN$91),"",ReferenceData!$AN$91),"")</f>
        <v>21.53920652</v>
      </c>
      <c r="AO91">
        <f ca="1">IFERROR(IF(0=LEN(ReferenceData!$AO$91),"",ReferenceData!$AO$91),"")</f>
        <v>21.955007309999999</v>
      </c>
      <c r="AP91">
        <f ca="1">IFERROR(IF(0=LEN(ReferenceData!$AP$91),"",ReferenceData!$AP$91),"")</f>
        <v>23.180662030000001</v>
      </c>
      <c r="AQ91">
        <f ca="1">IFERROR(IF(0=LEN(ReferenceData!$AQ$91),"",ReferenceData!$AQ$91),"")</f>
        <v>21.891241520000001</v>
      </c>
      <c r="AR91">
        <f ca="1">IFERROR(IF(0=LEN(ReferenceData!$AR$91),"",ReferenceData!$AR$91),"")</f>
        <v>22.4837895</v>
      </c>
      <c r="AS91">
        <f ca="1">IFERROR(IF(0=LEN(ReferenceData!$AS$91),"",ReferenceData!$AS$91),"")</f>
        <v>20.712365590000001</v>
      </c>
      <c r="AT91">
        <f ca="1">IFERROR(IF(0=LEN(ReferenceData!$AT$91),"",ReferenceData!$AT$91),"")</f>
        <v>21.02160349</v>
      </c>
      <c r="AU91">
        <f ca="1">IFERROR(IF(0=LEN(ReferenceData!$AU$91),"",ReferenceData!$AU$91),"")</f>
        <v>21.10121393</v>
      </c>
      <c r="AV91">
        <f ca="1">IFERROR(IF(0=LEN(ReferenceData!$AV$91),"",ReferenceData!$AV$91),"")</f>
        <v>19.221260340000001</v>
      </c>
      <c r="AW91">
        <f ca="1">IFERROR(IF(0=LEN(ReferenceData!$AW$91),"",ReferenceData!$AW$91),"")</f>
        <v>21.465077640000001</v>
      </c>
      <c r="AX91">
        <f ca="1">IFERROR(IF(0=LEN(ReferenceData!$AX$91),"",ReferenceData!$AX$91),"")</f>
        <v>21.017604769999998</v>
      </c>
      <c r="AY91">
        <f ca="1">IFERROR(IF(0=LEN(ReferenceData!$AY$91),"",ReferenceData!$AY$91),"")</f>
        <v>21.05805123</v>
      </c>
      <c r="AZ91">
        <f ca="1">IFERROR(IF(0=LEN(ReferenceData!$AZ$91),"",ReferenceData!$AZ$91),"")</f>
        <v>20.326989770000001</v>
      </c>
      <c r="BA91">
        <f ca="1">IFERROR(IF(0=LEN(ReferenceData!$BA$91),"",ReferenceData!$BA$91),"")</f>
        <v>19.137084720000001</v>
      </c>
      <c r="BB91">
        <f ca="1">IFERROR(IF(0=LEN(ReferenceData!$BB$91),"",ReferenceData!$BB$91),"")</f>
        <v>19.0976702</v>
      </c>
      <c r="BC91">
        <f ca="1">IFERROR(IF(0=LEN(ReferenceData!$BC$91),"",ReferenceData!$BC$91),"")</f>
        <v>19.293315960000001</v>
      </c>
      <c r="BD91">
        <f ca="1">IFERROR(IF(0=LEN(ReferenceData!$BD$91),"",ReferenceData!$BD$91),"")</f>
        <v>18.319608680000002</v>
      </c>
      <c r="BE91">
        <f ca="1">IFERROR(IF(0=LEN(ReferenceData!$BE$91),"",ReferenceData!$BE$91),"")</f>
        <v>17.743161090000001</v>
      </c>
      <c r="BF91">
        <f ca="1">IFERROR(IF(0=LEN(ReferenceData!$BF$91),"",ReferenceData!$BF$91),"")</f>
        <v>17.818814740000001</v>
      </c>
      <c r="BG91">
        <f ca="1">IFERROR(IF(0=LEN(ReferenceData!$BG$91),"",ReferenceData!$BG$91),"")</f>
        <v>18.982954360000001</v>
      </c>
      <c r="BH91">
        <f ca="1">IFERROR(IF(0=LEN(ReferenceData!$BH$91),"",ReferenceData!$BH$91),"")</f>
        <v>18.32914032</v>
      </c>
      <c r="BI91">
        <f ca="1">IFERROR(IF(0=LEN(ReferenceData!$BI$91),"",ReferenceData!$BI$91),"")</f>
        <v>17.594883070000002</v>
      </c>
      <c r="BJ91">
        <f ca="1">IFERROR(IF(0=LEN(ReferenceData!$BJ$91),"",ReferenceData!$BJ$91),"")</f>
        <v>19.675217480000001</v>
      </c>
      <c r="BK91">
        <f ca="1">IFERROR(IF(0=LEN(ReferenceData!$BK$91),"",ReferenceData!$BK$91),"")</f>
        <v>20.41864224</v>
      </c>
      <c r="BL91">
        <f ca="1">IFERROR(IF(0=LEN(ReferenceData!$BL$91),"",ReferenceData!$BL$91),"")</f>
        <v>19.72787353</v>
      </c>
      <c r="BM91">
        <f ca="1">IFERROR(IF(0=LEN(ReferenceData!$BM$91),"",ReferenceData!$BM$91),"")</f>
        <v>20.098563089999999</v>
      </c>
      <c r="BN91">
        <f ca="1">IFERROR(IF(0=LEN(ReferenceData!$BN$91),"",ReferenceData!$BN$91),"")</f>
        <v>19.718833400000001</v>
      </c>
      <c r="BO91">
        <f ca="1">IFERROR(IF(0=LEN(ReferenceData!$BO$91),"",ReferenceData!$BO$91),"")</f>
        <v>19.427657620000002</v>
      </c>
      <c r="BP91">
        <f ca="1">IFERROR(IF(0=LEN(ReferenceData!$BP$91),"",ReferenceData!$BP$91),"")</f>
        <v>19.005735130000001</v>
      </c>
      <c r="BQ91">
        <f ca="1">IFERROR(IF(0=LEN(ReferenceData!$BQ$91),"",ReferenceData!$BQ$91),"")</f>
        <v>19.008792969999998</v>
      </c>
      <c r="BR91">
        <f ca="1">IFERROR(IF(0=LEN(ReferenceData!$BR$91),"",ReferenceData!$BR$91),"")</f>
        <v>18.102644590000001</v>
      </c>
      <c r="BS91">
        <f ca="1">IFERROR(IF(0=LEN(ReferenceData!$BS$91),"",ReferenceData!$BS$91),"")</f>
        <v>19.16533278</v>
      </c>
      <c r="BT91">
        <f ca="1">IFERROR(IF(0=LEN(ReferenceData!$BT$91),"",ReferenceData!$BT$91),"")</f>
        <v>19.978074020000001</v>
      </c>
      <c r="BU91">
        <f ca="1">IFERROR(IF(0=LEN(ReferenceData!$BU$91),"",ReferenceData!$BU$91),"")</f>
        <v>20.452100770000001</v>
      </c>
      <c r="BV91">
        <f ca="1">IFERROR(IF(0=LEN(ReferenceData!$BV$91),"",ReferenceData!$BV$91),"")</f>
        <v>21.749258269999999</v>
      </c>
      <c r="BW91">
        <f ca="1">IFERROR(IF(0=LEN(ReferenceData!$BW$91),"",ReferenceData!$BW$91),"")</f>
        <v>21.212633669999999</v>
      </c>
      <c r="BX91">
        <f ca="1">IFERROR(IF(0=LEN(ReferenceData!$BX$91),"",ReferenceData!$BX$91),"")</f>
        <v>21.18878058</v>
      </c>
      <c r="BY91">
        <f ca="1">IFERROR(IF(0=LEN(ReferenceData!$BY$91),"",ReferenceData!$BY$91),"")</f>
        <v>21.530312110000001</v>
      </c>
      <c r="BZ91">
        <f ca="1">IFERROR(IF(0=LEN(ReferenceData!$BZ$91),"",ReferenceData!$BZ$91),"")</f>
        <v>21.491533329999999</v>
      </c>
      <c r="CA91">
        <f ca="1">IFERROR(IF(0=LEN(ReferenceData!$CA$91),"",ReferenceData!$CA$91),"")</f>
        <v>20.21377154</v>
      </c>
      <c r="CB91">
        <f ca="1">IFERROR(IF(0=LEN(ReferenceData!$CB$91),"",ReferenceData!$CB$91),"")</f>
        <v>20.682934270000001</v>
      </c>
      <c r="CC91">
        <f ca="1">IFERROR(IF(0=LEN(ReferenceData!$CC$91),"",ReferenceData!$CC$91),"")</f>
        <v>20.031923379999999</v>
      </c>
      <c r="CD91">
        <f ca="1">IFERROR(IF(0=LEN(ReferenceData!$CD$91),"",ReferenceData!$CD$91),"")</f>
        <v>18.985035750000002</v>
      </c>
      <c r="CE91">
        <f ca="1">IFERROR(IF(0=LEN(ReferenceData!$CE$91),"",ReferenceData!$CE$91),"")</f>
        <v>20.581108799999999</v>
      </c>
      <c r="CF91">
        <f ca="1">IFERROR(IF(0=LEN(ReferenceData!$CF$91),"",ReferenceData!$CF$91),"")</f>
        <v>18.64028626</v>
      </c>
      <c r="CG91">
        <f ca="1">IFERROR(IF(0=LEN(ReferenceData!$CG$91),"",ReferenceData!$CG$91),"")</f>
        <v>22.72180127</v>
      </c>
      <c r="CH91">
        <f ca="1">IFERROR(IF(0=LEN(ReferenceData!$CH$91),"",ReferenceData!$CH$91),"")</f>
        <v>23.214446429999999</v>
      </c>
      <c r="CI91">
        <f ca="1">IFERROR(IF(0=LEN(ReferenceData!$CI$91),"",ReferenceData!$CI$91),"")</f>
        <v>21.71983972</v>
      </c>
      <c r="CJ91">
        <f ca="1">IFERROR(IF(0=LEN(ReferenceData!$CJ$91),"",ReferenceData!$CJ$91),"")</f>
        <v>23.21059743</v>
      </c>
      <c r="CK91">
        <f ca="1">IFERROR(IF(0=LEN(ReferenceData!$CK$91),"",ReferenceData!$CK$91),"")</f>
        <v>23.60901501</v>
      </c>
    </row>
    <row r="92" spans="1:89">
      <c r="A92" t="str">
        <f>IFERROR(IF(0=LEN(ReferenceData!$A$92),"",ReferenceData!$A$92),"")</f>
        <v>2017年预测P/FAD</v>
      </c>
      <c r="B92" t="str">
        <f>IFERROR(IF(0=LEN(ReferenceData!$B$92),"",ReferenceData!$B$92),"")</f>
        <v>BRFREITV Index</v>
      </c>
      <c r="C92" t="str">
        <f>IFERROR(IF(0=LEN(ReferenceData!$C$92),"",ReferenceData!$C$92),"")</f>
        <v/>
      </c>
      <c r="D92" t="str">
        <f>IFERROR(IF(0=LEN(ReferenceData!$D$92),"",ReferenceData!$D$92),"")</f>
        <v/>
      </c>
      <c r="E92" t="str">
        <f>IFERROR(IF(0=LEN(ReferenceData!$E$92),"",ReferenceData!$E$92),"")</f>
        <v>Median</v>
      </c>
      <c r="F92" t="str">
        <f ca="1">IFERROR(IF(0=LEN(ReferenceData!$F$92),"",ReferenceData!$F$92),"")</f>
        <v/>
      </c>
      <c r="G92" t="str">
        <f ca="1">IFERROR(IF(0=LEN(ReferenceData!$G$92),"",ReferenceData!$G$92),"")</f>
        <v/>
      </c>
      <c r="H92">
        <f ca="1">IFERROR(IF(0=LEN(ReferenceData!$H$92),"",ReferenceData!$H$92),"")</f>
        <v>21.53891509</v>
      </c>
      <c r="I92">
        <f ca="1">IFERROR(IF(0=LEN(ReferenceData!$I$92),"",ReferenceData!$I$92),"")</f>
        <v>22.552693210000001</v>
      </c>
      <c r="J92">
        <f ca="1">IFERROR(IF(0=LEN(ReferenceData!$J$92),"",ReferenceData!$J$92),"")</f>
        <v>23.135294120000001</v>
      </c>
      <c r="K92">
        <f ca="1">IFERROR(IF(0=LEN(ReferenceData!$K$92),"",ReferenceData!$K$92),"")</f>
        <v>22.817647059999999</v>
      </c>
      <c r="L92">
        <f ca="1">IFERROR(IF(0=LEN(ReferenceData!$L$92),"",ReferenceData!$L$92),"")</f>
        <v>22.935062854999998</v>
      </c>
      <c r="M92">
        <f ca="1">IFERROR(IF(0=LEN(ReferenceData!$M$92),"",ReferenceData!$M$92),"")</f>
        <v>22.950390640000002</v>
      </c>
      <c r="N92">
        <f ca="1">IFERROR(IF(0=LEN(ReferenceData!$N$92),"",ReferenceData!$N$92),"")</f>
        <v>23.359705959999999</v>
      </c>
      <c r="O92">
        <f ca="1">IFERROR(IF(0=LEN(ReferenceData!$O$92),"",ReferenceData!$O$92),"")</f>
        <v>23.317056520000001</v>
      </c>
      <c r="P92">
        <f ca="1">IFERROR(IF(0=LEN(ReferenceData!$P$92),"",ReferenceData!$P$92),"")</f>
        <v>23.127656985000002</v>
      </c>
      <c r="Q92">
        <f ca="1">IFERROR(IF(0=LEN(ReferenceData!$Q$92),"",ReferenceData!$Q$92),"")</f>
        <v>22.572637350000001</v>
      </c>
      <c r="R92">
        <f ca="1">IFERROR(IF(0=LEN(ReferenceData!$R$92),"",ReferenceData!$R$92),"")</f>
        <v>21.799997755</v>
      </c>
      <c r="S92">
        <f ca="1">IFERROR(IF(0=LEN(ReferenceData!$S$92),"",ReferenceData!$S$92),"")</f>
        <v>22.327977969999999</v>
      </c>
      <c r="T92">
        <f ca="1">IFERROR(IF(0=LEN(ReferenceData!$T$92),"",ReferenceData!$T$92),"")</f>
        <v>20.953430969999999</v>
      </c>
      <c r="U92">
        <f ca="1">IFERROR(IF(0=LEN(ReferenceData!$U$92),"",ReferenceData!$U$92),"")</f>
        <v>21.433929105000001</v>
      </c>
      <c r="V92">
        <f ca="1">IFERROR(IF(0=LEN(ReferenceData!$V$92),"",ReferenceData!$V$92),"")</f>
        <v>19.98532179</v>
      </c>
      <c r="W92">
        <f ca="1">IFERROR(IF(0=LEN(ReferenceData!$W$92),"",ReferenceData!$W$92),"")</f>
        <v>20.778369885</v>
      </c>
      <c r="X92">
        <f ca="1">IFERROR(IF(0=LEN(ReferenceData!$X$92),"",ReferenceData!$X$92),"")</f>
        <v>21.375335880000002</v>
      </c>
      <c r="Y92">
        <f ca="1">IFERROR(IF(0=LEN(ReferenceData!$Y$92),"",ReferenceData!$Y$92),"")</f>
        <v>21.118668075000002</v>
      </c>
      <c r="Z92">
        <f ca="1">IFERROR(IF(0=LEN(ReferenceData!$Z$92),"",ReferenceData!$Z$92),"")</f>
        <v>21.898982799999999</v>
      </c>
      <c r="AA92">
        <f ca="1">IFERROR(IF(0=LEN(ReferenceData!$AA$92),"",ReferenceData!$AA$92),"")</f>
        <v>21.248853969999999</v>
      </c>
      <c r="AB92">
        <f ca="1">IFERROR(IF(0=LEN(ReferenceData!$AB$92),"",ReferenceData!$AB$92),"")</f>
        <v>21.162503059999999</v>
      </c>
      <c r="AC92">
        <f ca="1">IFERROR(IF(0=LEN(ReferenceData!$AC$92),"",ReferenceData!$AC$92),"")</f>
        <v>20.103626940000002</v>
      </c>
      <c r="AD92">
        <f ca="1">IFERROR(IF(0=LEN(ReferenceData!$AD$92),"",ReferenceData!$AD$92),"")</f>
        <v>21.390286289999999</v>
      </c>
      <c r="AE92">
        <f ca="1">IFERROR(IF(0=LEN(ReferenceData!$AE$92),"",ReferenceData!$AE$92),"")</f>
        <v>18.179383675</v>
      </c>
      <c r="AF92">
        <f ca="1">IFERROR(IF(0=LEN(ReferenceData!$AF$92),"",ReferenceData!$AF$92),"")</f>
        <v>18.676604879999999</v>
      </c>
      <c r="AG92">
        <f ca="1">IFERROR(IF(0=LEN(ReferenceData!$AG$92),"",ReferenceData!$AG$92),"")</f>
        <v>19.74718305</v>
      </c>
      <c r="AH92">
        <f ca="1">IFERROR(IF(0=LEN(ReferenceData!$AH$92),"",ReferenceData!$AH$92),"")</f>
        <v>20.759280090000001</v>
      </c>
      <c r="AI92">
        <f ca="1">IFERROR(IF(0=LEN(ReferenceData!$AI$92),"",ReferenceData!$AI$92),"")</f>
        <v>19.804597699999999</v>
      </c>
      <c r="AJ92">
        <f ca="1">IFERROR(IF(0=LEN(ReferenceData!$AJ$92),"",ReferenceData!$AJ$92),"")</f>
        <v>20.282352939999999</v>
      </c>
      <c r="AK92">
        <f ca="1">IFERROR(IF(0=LEN(ReferenceData!$AK$92),"",ReferenceData!$AK$92),"")</f>
        <v>19.662526079999999</v>
      </c>
      <c r="AL92">
        <f ca="1">IFERROR(IF(0=LEN(ReferenceData!$AL$92),"",ReferenceData!$AL$92),"")</f>
        <v>20.342699844999999</v>
      </c>
      <c r="AM92">
        <f ca="1">IFERROR(IF(0=LEN(ReferenceData!$AM$92),"",ReferenceData!$AM$92),"")</f>
        <v>16.25740278</v>
      </c>
      <c r="AN92">
        <f ca="1">IFERROR(IF(0=LEN(ReferenceData!$AN$92),"",ReferenceData!$AN$92),"")</f>
        <v>19.67371601</v>
      </c>
      <c r="AO92">
        <f ca="1">IFERROR(IF(0=LEN(ReferenceData!$AO$92),"",ReferenceData!$AO$92),"")</f>
        <v>20.630871355</v>
      </c>
      <c r="AP92">
        <f ca="1">IFERROR(IF(0=LEN(ReferenceData!$AP$92),"",ReferenceData!$AP$92),"")</f>
        <v>22.89840637</v>
      </c>
      <c r="AQ92">
        <f ca="1">IFERROR(IF(0=LEN(ReferenceData!$AQ$92),"",ReferenceData!$AQ$92),"")</f>
        <v>22.422379029999998</v>
      </c>
      <c r="AR92">
        <f ca="1">IFERROR(IF(0=LEN(ReferenceData!$AR$92),"",ReferenceData!$AR$92),"")</f>
        <v>20.00874331</v>
      </c>
      <c r="AS92" t="str">
        <f ca="1">IFERROR(IF(0=LEN(ReferenceData!$AS$92),"",ReferenceData!$AS$92),"")</f>
        <v/>
      </c>
      <c r="AT92" t="str">
        <f ca="1">IFERROR(IF(0=LEN(ReferenceData!$AT$92),"",ReferenceData!$AT$92),"")</f>
        <v/>
      </c>
      <c r="AU92" t="str">
        <f ca="1">IFERROR(IF(0=LEN(ReferenceData!$AU$92),"",ReferenceData!$AU$92),"")</f>
        <v/>
      </c>
      <c r="AV92" t="str">
        <f ca="1">IFERROR(IF(0=LEN(ReferenceData!$AV$92),"",ReferenceData!$AV$92),"")</f>
        <v/>
      </c>
      <c r="AW92" t="str">
        <f ca="1">IFERROR(IF(0=LEN(ReferenceData!$AW$92),"",ReferenceData!$AW$92),"")</f>
        <v/>
      </c>
      <c r="AX92" t="str">
        <f ca="1">IFERROR(IF(0=LEN(ReferenceData!$AX$92),"",ReferenceData!$AX$92),"")</f>
        <v/>
      </c>
      <c r="AY92" t="str">
        <f ca="1">IFERROR(IF(0=LEN(ReferenceData!$AY$92),"",ReferenceData!$AY$92),"")</f>
        <v/>
      </c>
      <c r="AZ92" t="str">
        <f ca="1">IFERROR(IF(0=LEN(ReferenceData!$AZ$92),"",ReferenceData!$AZ$92),"")</f>
        <v/>
      </c>
      <c r="BA92" t="str">
        <f ca="1">IFERROR(IF(0=LEN(ReferenceData!$BA$92),"",ReferenceData!$BA$92),"")</f>
        <v/>
      </c>
      <c r="BB92" t="str">
        <f ca="1">IFERROR(IF(0=LEN(ReferenceData!$BB$92),"",ReferenceData!$BB$92),"")</f>
        <v/>
      </c>
      <c r="BC92" t="str">
        <f ca="1">IFERROR(IF(0=LEN(ReferenceData!$BC$92),"",ReferenceData!$BC$92),"")</f>
        <v/>
      </c>
      <c r="BD92" t="str">
        <f ca="1">IFERROR(IF(0=LEN(ReferenceData!$BD$92),"",ReferenceData!$BD$92),"")</f>
        <v/>
      </c>
      <c r="BE92" t="str">
        <f ca="1">IFERROR(IF(0=LEN(ReferenceData!$BE$92),"",ReferenceData!$BE$92),"")</f>
        <v/>
      </c>
      <c r="BF92" t="str">
        <f ca="1">IFERROR(IF(0=LEN(ReferenceData!$BF$92),"",ReferenceData!$BF$92),"")</f>
        <v/>
      </c>
      <c r="BG92" t="str">
        <f ca="1">IFERROR(IF(0=LEN(ReferenceData!$BG$92),"",ReferenceData!$BG$92),"")</f>
        <v/>
      </c>
      <c r="BH92" t="str">
        <f ca="1">IFERROR(IF(0=LEN(ReferenceData!$BH$92),"",ReferenceData!$BH$92),"")</f>
        <v/>
      </c>
      <c r="BI92" t="str">
        <f ca="1">IFERROR(IF(0=LEN(ReferenceData!$BI$92),"",ReferenceData!$BI$92),"")</f>
        <v/>
      </c>
      <c r="BJ92" t="str">
        <f ca="1">IFERROR(IF(0=LEN(ReferenceData!$BJ$92),"",ReferenceData!$BJ$92),"")</f>
        <v/>
      </c>
      <c r="BK92" t="str">
        <f ca="1">IFERROR(IF(0=LEN(ReferenceData!$BK$92),"",ReferenceData!$BK$92),"")</f>
        <v/>
      </c>
      <c r="BL92" t="str">
        <f ca="1">IFERROR(IF(0=LEN(ReferenceData!$BL$92),"",ReferenceData!$BL$92),"")</f>
        <v/>
      </c>
      <c r="BM92" t="str">
        <f ca="1">IFERROR(IF(0=LEN(ReferenceData!$BM$92),"",ReferenceData!$BM$92),"")</f>
        <v/>
      </c>
      <c r="BN92" t="str">
        <f ca="1">IFERROR(IF(0=LEN(ReferenceData!$BN$92),"",ReferenceData!$BN$92),"")</f>
        <v/>
      </c>
      <c r="BO92" t="str">
        <f ca="1">IFERROR(IF(0=LEN(ReferenceData!$BO$92),"",ReferenceData!$BO$92),"")</f>
        <v/>
      </c>
      <c r="BP92" t="str">
        <f ca="1">IFERROR(IF(0=LEN(ReferenceData!$BP$92),"",ReferenceData!$BP$92),"")</f>
        <v/>
      </c>
      <c r="BQ92" t="str">
        <f ca="1">IFERROR(IF(0=LEN(ReferenceData!$BQ$92),"",ReferenceData!$BQ$92),"")</f>
        <v/>
      </c>
      <c r="BR92" t="str">
        <f ca="1">IFERROR(IF(0=LEN(ReferenceData!$BR$92),"",ReferenceData!$BR$92),"")</f>
        <v/>
      </c>
      <c r="BS92" t="str">
        <f ca="1">IFERROR(IF(0=LEN(ReferenceData!$BS$92),"",ReferenceData!$BS$92),"")</f>
        <v/>
      </c>
      <c r="BT92" t="str">
        <f ca="1">IFERROR(IF(0=LEN(ReferenceData!$BT$92),"",ReferenceData!$BT$92),"")</f>
        <v/>
      </c>
      <c r="BU92" t="str">
        <f ca="1">IFERROR(IF(0=LEN(ReferenceData!$BU$92),"",ReferenceData!$BU$92),"")</f>
        <v/>
      </c>
      <c r="BV92" t="str">
        <f ca="1">IFERROR(IF(0=LEN(ReferenceData!$BV$92),"",ReferenceData!$BV$92),"")</f>
        <v/>
      </c>
      <c r="BW92" t="str">
        <f ca="1">IFERROR(IF(0=LEN(ReferenceData!$BW$92),"",ReferenceData!$BW$92),"")</f>
        <v/>
      </c>
      <c r="BX92" t="str">
        <f ca="1">IFERROR(IF(0=LEN(ReferenceData!$BX$92),"",ReferenceData!$BX$92),"")</f>
        <v/>
      </c>
      <c r="BY92" t="str">
        <f ca="1">IFERROR(IF(0=LEN(ReferenceData!$BY$92),"",ReferenceData!$BY$92),"")</f>
        <v/>
      </c>
      <c r="BZ92" t="str">
        <f ca="1">IFERROR(IF(0=LEN(ReferenceData!$BZ$92),"",ReferenceData!$BZ$92),"")</f>
        <v/>
      </c>
      <c r="CA92" t="str">
        <f ca="1">IFERROR(IF(0=LEN(ReferenceData!$CA$92),"",ReferenceData!$CA$92),"")</f>
        <v/>
      </c>
      <c r="CB92" t="str">
        <f ca="1">IFERROR(IF(0=LEN(ReferenceData!$CB$92),"",ReferenceData!$CB$92),"")</f>
        <v/>
      </c>
      <c r="CC92" t="str">
        <f ca="1">IFERROR(IF(0=LEN(ReferenceData!$CC$92),"",ReferenceData!$CC$92),"")</f>
        <v/>
      </c>
      <c r="CD92" t="str">
        <f ca="1">IFERROR(IF(0=LEN(ReferenceData!$CD$92),"",ReferenceData!$CD$92),"")</f>
        <v/>
      </c>
      <c r="CE92" t="str">
        <f ca="1">IFERROR(IF(0=LEN(ReferenceData!$CE$92),"",ReferenceData!$CE$92),"")</f>
        <v/>
      </c>
      <c r="CF92" t="str">
        <f ca="1">IFERROR(IF(0=LEN(ReferenceData!$CF$92),"",ReferenceData!$CF$92),"")</f>
        <v/>
      </c>
      <c r="CG92" t="str">
        <f ca="1">IFERROR(IF(0=LEN(ReferenceData!$CG$92),"",ReferenceData!$CG$92),"")</f>
        <v/>
      </c>
      <c r="CH92" t="str">
        <f ca="1">IFERROR(IF(0=LEN(ReferenceData!$CH$92),"",ReferenceData!$CH$92),"")</f>
        <v/>
      </c>
      <c r="CI92" t="str">
        <f ca="1">IFERROR(IF(0=LEN(ReferenceData!$CI$92),"",ReferenceData!$CI$92),"")</f>
        <v/>
      </c>
      <c r="CJ92" t="str">
        <f ca="1">IFERROR(IF(0=LEN(ReferenceData!$CJ$92),"",ReferenceData!$CJ$92),"")</f>
        <v/>
      </c>
      <c r="CK92" t="str">
        <f ca="1">IFERROR(IF(0=LEN(ReferenceData!$CK$92),"",ReferenceData!$CK$92),"")</f>
        <v/>
      </c>
    </row>
    <row r="93" spans="1:89">
      <c r="A93" t="str">
        <f>IFERROR(IF(0=LEN(ReferenceData!$A$93),"",ReferenceData!$A$93),"")</f>
        <v xml:space="preserve">    Apartment Investment &amp; Managem</v>
      </c>
      <c r="B93" t="str">
        <f>IFERROR(IF(0=LEN(ReferenceData!$B$93),"",ReferenceData!$B$93),"")</f>
        <v>AIV US Equity</v>
      </c>
      <c r="C93" t="str">
        <f>IFERROR(IF(0=LEN(ReferenceData!$C$93),"",ReferenceData!$C$93),"")</f>
        <v/>
      </c>
      <c r="D93" t="str">
        <f>IFERROR(IF(0=LEN(ReferenceData!$D$93),"",ReferenceData!$D$93),"")</f>
        <v/>
      </c>
      <c r="E93" t="str">
        <f>IFERROR(IF(0=LEN(ReferenceData!$E$93),"",ReferenceData!$E$93),"")</f>
        <v>Expression</v>
      </c>
      <c r="F93" t="str">
        <f ca="1">IFERROR(IF(0=LEN(ReferenceData!$F$93),"",ReferenceData!$F$93),"")</f>
        <v/>
      </c>
      <c r="G93" t="str">
        <f ca="1">IFERROR(IF(0=LEN(ReferenceData!$G$93),"",ReferenceData!$G$93),"")</f>
        <v/>
      </c>
      <c r="H93">
        <f ca="1">IFERROR(IF(0=LEN(ReferenceData!$H$93),"",ReferenceData!$H$93),"")</f>
        <v>19.801230480000001</v>
      </c>
      <c r="I93">
        <f ca="1">IFERROR(IF(0=LEN(ReferenceData!$I$93),"",ReferenceData!$I$93),"")</f>
        <v>20.696022729999999</v>
      </c>
      <c r="J93">
        <f ca="1">IFERROR(IF(0=LEN(ReferenceData!$J$93),"",ReferenceData!$J$93),"")</f>
        <v>20.915559770000002</v>
      </c>
      <c r="K93">
        <f ca="1">IFERROR(IF(0=LEN(ReferenceData!$K$93),"",ReferenceData!$K$93),"")</f>
        <v>20.912981460000001</v>
      </c>
      <c r="L93">
        <f ca="1">IFERROR(IF(0=LEN(ReferenceData!$L$93),"",ReferenceData!$L$93),"")</f>
        <v>20.885714289999999</v>
      </c>
      <c r="M93">
        <f ca="1">IFERROR(IF(0=LEN(ReferenceData!$M$93),"",ReferenceData!$M$93),"")</f>
        <v>21.452910549999999</v>
      </c>
      <c r="N93">
        <f ca="1">IFERROR(IF(0=LEN(ReferenceData!$N$93),"",ReferenceData!$N$93),"")</f>
        <v>21.02954755</v>
      </c>
      <c r="O93">
        <f ca="1">IFERROR(IF(0=LEN(ReferenceData!$O$93),"",ReferenceData!$O$93),"")</f>
        <v>20.384250470000001</v>
      </c>
      <c r="P93">
        <f ca="1">IFERROR(IF(0=LEN(ReferenceData!$P$93),"",ReferenceData!$P$93),"")</f>
        <v>20.360531309999999</v>
      </c>
      <c r="Q93">
        <f ca="1">IFERROR(IF(0=LEN(ReferenceData!$Q$93),"",ReferenceData!$Q$93),"")</f>
        <v>20.506329109999999</v>
      </c>
      <c r="R93">
        <f ca="1">IFERROR(IF(0=LEN(ReferenceData!$R$93),"",ReferenceData!$R$93),"")</f>
        <v>21.782907659999999</v>
      </c>
      <c r="S93">
        <f ca="1">IFERROR(IF(0=LEN(ReferenceData!$S$93),"",ReferenceData!$S$93),"")</f>
        <v>22.876106190000002</v>
      </c>
      <c r="T93">
        <f ca="1">IFERROR(IF(0=LEN(ReferenceData!$T$93),"",ReferenceData!$T$93),"")</f>
        <v>20.777934940000002</v>
      </c>
      <c r="U93">
        <f ca="1">IFERROR(IF(0=LEN(ReferenceData!$U$93),"",ReferenceData!$U$93),"")</f>
        <v>21.348050730000001</v>
      </c>
      <c r="V93">
        <f ca="1">IFERROR(IF(0=LEN(ReferenceData!$V$93),"",ReferenceData!$V$93),"")</f>
        <v>19.672897200000001</v>
      </c>
      <c r="W93">
        <f ca="1">IFERROR(IF(0=LEN(ReferenceData!$W$93),"",ReferenceData!$W$93),"")</f>
        <v>20.59345794</v>
      </c>
      <c r="X93">
        <f ca="1">IFERROR(IF(0=LEN(ReferenceData!$X$93),"",ReferenceData!$X$93),"")</f>
        <v>21.31383473</v>
      </c>
      <c r="Y93">
        <f ca="1">IFERROR(IF(0=LEN(ReferenceData!$Y$93),"",ReferenceData!$Y$93),"")</f>
        <v>20.974930359999998</v>
      </c>
      <c r="Z93">
        <f ca="1">IFERROR(IF(0=LEN(ReferenceData!$Z$93),"",ReferenceData!$Z$93),"")</f>
        <v>21.381395349999998</v>
      </c>
      <c r="AA93">
        <f ca="1">IFERROR(IF(0=LEN(ReferenceData!$AA$93),"",ReferenceData!$AA$93),"")</f>
        <v>20.501392760000002</v>
      </c>
      <c r="AB93">
        <f ca="1">IFERROR(IF(0=LEN(ReferenceData!$AB$93),"",ReferenceData!$AB$93),"")</f>
        <v>19.74537037</v>
      </c>
      <c r="AC93">
        <f ca="1">IFERROR(IF(0=LEN(ReferenceData!$AC$93),"",ReferenceData!$AC$93),"")</f>
        <v>18.74590547</v>
      </c>
      <c r="AD93">
        <f ca="1">IFERROR(IF(0=LEN(ReferenceData!$AD$93),"",ReferenceData!$AD$93),"")</f>
        <v>19.597000940000001</v>
      </c>
      <c r="AE93">
        <f ca="1">IFERROR(IF(0=LEN(ReferenceData!$AE$93),"",ReferenceData!$AE$93),"")</f>
        <v>16.793577979999998</v>
      </c>
      <c r="AF93">
        <f ca="1">IFERROR(IF(0=LEN(ReferenceData!$AF$93),"",ReferenceData!$AF$93),"")</f>
        <v>17.819754209999999</v>
      </c>
      <c r="AG93">
        <f ca="1">IFERROR(IF(0=LEN(ReferenceData!$AG$93),"",ReferenceData!$AG$93),"")</f>
        <v>18.22030041</v>
      </c>
      <c r="AH93">
        <f ca="1">IFERROR(IF(0=LEN(ReferenceData!$AH$93),"",ReferenceData!$AH$93),"")</f>
        <v>17.28344671</v>
      </c>
      <c r="AI93">
        <f ca="1">IFERROR(IF(0=LEN(ReferenceData!$AI$93),"",ReferenceData!$AI$93),"")</f>
        <v>16.50105263</v>
      </c>
      <c r="AJ93" t="str">
        <f ca="1">IFERROR(IF(0=LEN(ReferenceData!$AJ$93),"",ReferenceData!$AJ$93),"")</f>
        <v/>
      </c>
      <c r="AK93" t="str">
        <f ca="1">IFERROR(IF(0=LEN(ReferenceData!$AK$93),"",ReferenceData!$AK$93),"")</f>
        <v/>
      </c>
      <c r="AL93" t="str">
        <f ca="1">IFERROR(IF(0=LEN(ReferenceData!$AL$93),"",ReferenceData!$AL$93),"")</f>
        <v/>
      </c>
      <c r="AM93" t="str">
        <f ca="1">IFERROR(IF(0=LEN(ReferenceData!$AM$93),"",ReferenceData!$AM$93),"")</f>
        <v/>
      </c>
      <c r="AN93" t="str">
        <f ca="1">IFERROR(IF(0=LEN(ReferenceData!$AN$93),"",ReferenceData!$AN$93),"")</f>
        <v/>
      </c>
      <c r="AO93" t="str">
        <f ca="1">IFERROR(IF(0=LEN(ReferenceData!$AO$93),"",ReferenceData!$AO$93),"")</f>
        <v/>
      </c>
      <c r="AP93" t="str">
        <f ca="1">IFERROR(IF(0=LEN(ReferenceData!$AP$93),"",ReferenceData!$AP$93),"")</f>
        <v/>
      </c>
      <c r="AQ93" t="str">
        <f ca="1">IFERROR(IF(0=LEN(ReferenceData!$AQ$93),"",ReferenceData!$AQ$93),"")</f>
        <v/>
      </c>
      <c r="AR93" t="str">
        <f ca="1">IFERROR(IF(0=LEN(ReferenceData!$AR$93),"",ReferenceData!$AR$93),"")</f>
        <v/>
      </c>
      <c r="AS93" t="str">
        <f ca="1">IFERROR(IF(0=LEN(ReferenceData!$AS$93),"",ReferenceData!$AS$93),"")</f>
        <v/>
      </c>
      <c r="AT93" t="str">
        <f ca="1">IFERROR(IF(0=LEN(ReferenceData!$AT$93),"",ReferenceData!$AT$93),"")</f>
        <v/>
      </c>
      <c r="AU93" t="str">
        <f ca="1">IFERROR(IF(0=LEN(ReferenceData!$AU$93),"",ReferenceData!$AU$93),"")</f>
        <v/>
      </c>
      <c r="AV93" t="str">
        <f ca="1">IFERROR(IF(0=LEN(ReferenceData!$AV$93),"",ReferenceData!$AV$93),"")</f>
        <v/>
      </c>
      <c r="AW93" t="str">
        <f ca="1">IFERROR(IF(0=LEN(ReferenceData!$AW$93),"",ReferenceData!$AW$93),"")</f>
        <v/>
      </c>
      <c r="AX93" t="str">
        <f ca="1">IFERROR(IF(0=LEN(ReferenceData!$AX$93),"",ReferenceData!$AX$93),"")</f>
        <v/>
      </c>
      <c r="AY93" t="str">
        <f ca="1">IFERROR(IF(0=LEN(ReferenceData!$AY$93),"",ReferenceData!$AY$93),"")</f>
        <v/>
      </c>
      <c r="AZ93" t="str">
        <f ca="1">IFERROR(IF(0=LEN(ReferenceData!$AZ$93),"",ReferenceData!$AZ$93),"")</f>
        <v/>
      </c>
      <c r="BA93" t="str">
        <f ca="1">IFERROR(IF(0=LEN(ReferenceData!$BA$93),"",ReferenceData!$BA$93),"")</f>
        <v/>
      </c>
      <c r="BB93" t="str">
        <f ca="1">IFERROR(IF(0=LEN(ReferenceData!$BB$93),"",ReferenceData!$BB$93),"")</f>
        <v/>
      </c>
      <c r="BC93" t="str">
        <f ca="1">IFERROR(IF(0=LEN(ReferenceData!$BC$93),"",ReferenceData!$BC$93),"")</f>
        <v/>
      </c>
      <c r="BD93" t="str">
        <f ca="1">IFERROR(IF(0=LEN(ReferenceData!$BD$93),"",ReferenceData!$BD$93),"")</f>
        <v/>
      </c>
      <c r="BE93" t="str">
        <f ca="1">IFERROR(IF(0=LEN(ReferenceData!$BE$93),"",ReferenceData!$BE$93),"")</f>
        <v/>
      </c>
      <c r="BF93" t="str">
        <f ca="1">IFERROR(IF(0=LEN(ReferenceData!$BF$93),"",ReferenceData!$BF$93),"")</f>
        <v/>
      </c>
      <c r="BG93" t="str">
        <f ca="1">IFERROR(IF(0=LEN(ReferenceData!$BG$93),"",ReferenceData!$BG$93),"")</f>
        <v/>
      </c>
      <c r="BH93" t="str">
        <f ca="1">IFERROR(IF(0=LEN(ReferenceData!$BH$93),"",ReferenceData!$BH$93),"")</f>
        <v/>
      </c>
      <c r="BI93" t="str">
        <f ca="1">IFERROR(IF(0=LEN(ReferenceData!$BI$93),"",ReferenceData!$BI$93),"")</f>
        <v/>
      </c>
      <c r="BJ93" t="str">
        <f ca="1">IFERROR(IF(0=LEN(ReferenceData!$BJ$93),"",ReferenceData!$BJ$93),"")</f>
        <v/>
      </c>
      <c r="BK93" t="str">
        <f ca="1">IFERROR(IF(0=LEN(ReferenceData!$BK$93),"",ReferenceData!$BK$93),"")</f>
        <v/>
      </c>
      <c r="BL93" t="str">
        <f ca="1">IFERROR(IF(0=LEN(ReferenceData!$BL$93),"",ReferenceData!$BL$93),"")</f>
        <v/>
      </c>
      <c r="BM93" t="str">
        <f ca="1">IFERROR(IF(0=LEN(ReferenceData!$BM$93),"",ReferenceData!$BM$93),"")</f>
        <v/>
      </c>
      <c r="BN93" t="str">
        <f ca="1">IFERROR(IF(0=LEN(ReferenceData!$BN$93),"",ReferenceData!$BN$93),"")</f>
        <v/>
      </c>
      <c r="BO93" t="str">
        <f ca="1">IFERROR(IF(0=LEN(ReferenceData!$BO$93),"",ReferenceData!$BO$93),"")</f>
        <v/>
      </c>
      <c r="BP93" t="str">
        <f ca="1">IFERROR(IF(0=LEN(ReferenceData!$BP$93),"",ReferenceData!$BP$93),"")</f>
        <v/>
      </c>
      <c r="BQ93" t="str">
        <f ca="1">IFERROR(IF(0=LEN(ReferenceData!$BQ$93),"",ReferenceData!$BQ$93),"")</f>
        <v/>
      </c>
      <c r="BR93" t="str">
        <f ca="1">IFERROR(IF(0=LEN(ReferenceData!$BR$93),"",ReferenceData!$BR$93),"")</f>
        <v/>
      </c>
      <c r="BS93" t="str">
        <f ca="1">IFERROR(IF(0=LEN(ReferenceData!$BS$93),"",ReferenceData!$BS$93),"")</f>
        <v/>
      </c>
      <c r="BT93" t="str">
        <f ca="1">IFERROR(IF(0=LEN(ReferenceData!$BT$93),"",ReferenceData!$BT$93),"")</f>
        <v/>
      </c>
      <c r="BU93" t="str">
        <f ca="1">IFERROR(IF(0=LEN(ReferenceData!$BU$93),"",ReferenceData!$BU$93),"")</f>
        <v/>
      </c>
      <c r="BV93" t="str">
        <f ca="1">IFERROR(IF(0=LEN(ReferenceData!$BV$93),"",ReferenceData!$BV$93),"")</f>
        <v/>
      </c>
      <c r="BW93" t="str">
        <f ca="1">IFERROR(IF(0=LEN(ReferenceData!$BW$93),"",ReferenceData!$BW$93),"")</f>
        <v/>
      </c>
      <c r="BX93" t="str">
        <f ca="1">IFERROR(IF(0=LEN(ReferenceData!$BX$93),"",ReferenceData!$BX$93),"")</f>
        <v/>
      </c>
      <c r="BY93" t="str">
        <f ca="1">IFERROR(IF(0=LEN(ReferenceData!$BY$93),"",ReferenceData!$BY$93),"")</f>
        <v/>
      </c>
      <c r="BZ93" t="str">
        <f ca="1">IFERROR(IF(0=LEN(ReferenceData!$BZ$93),"",ReferenceData!$BZ$93),"")</f>
        <v/>
      </c>
      <c r="CA93" t="str">
        <f ca="1">IFERROR(IF(0=LEN(ReferenceData!$CA$93),"",ReferenceData!$CA$93),"")</f>
        <v/>
      </c>
      <c r="CB93" t="str">
        <f ca="1">IFERROR(IF(0=LEN(ReferenceData!$CB$93),"",ReferenceData!$CB$93),"")</f>
        <v/>
      </c>
      <c r="CC93" t="str">
        <f ca="1">IFERROR(IF(0=LEN(ReferenceData!$CC$93),"",ReferenceData!$CC$93),"")</f>
        <v/>
      </c>
      <c r="CD93" t="str">
        <f ca="1">IFERROR(IF(0=LEN(ReferenceData!$CD$93),"",ReferenceData!$CD$93),"")</f>
        <v/>
      </c>
      <c r="CE93" t="str">
        <f ca="1">IFERROR(IF(0=LEN(ReferenceData!$CE$93),"",ReferenceData!$CE$93),"")</f>
        <v/>
      </c>
      <c r="CF93" t="str">
        <f ca="1">IFERROR(IF(0=LEN(ReferenceData!$CF$93),"",ReferenceData!$CF$93),"")</f>
        <v/>
      </c>
      <c r="CG93" t="str">
        <f ca="1">IFERROR(IF(0=LEN(ReferenceData!$CG$93),"",ReferenceData!$CG$93),"")</f>
        <v/>
      </c>
      <c r="CH93" t="str">
        <f ca="1">IFERROR(IF(0=LEN(ReferenceData!$CH$93),"",ReferenceData!$CH$93),"")</f>
        <v/>
      </c>
      <c r="CI93" t="str">
        <f ca="1">IFERROR(IF(0=LEN(ReferenceData!$CI$93),"",ReferenceData!$CI$93),"")</f>
        <v/>
      </c>
      <c r="CJ93" t="str">
        <f ca="1">IFERROR(IF(0=LEN(ReferenceData!$CJ$93),"",ReferenceData!$CJ$93),"")</f>
        <v/>
      </c>
      <c r="CK93" t="str">
        <f ca="1">IFERROR(IF(0=LEN(ReferenceData!$CK$93),"",ReferenceData!$CK$93),"")</f>
        <v/>
      </c>
    </row>
    <row r="94" spans="1:89">
      <c r="A94" t="str">
        <f>IFERROR(IF(0=LEN(ReferenceData!$A$94),"",ReferenceData!$A$94),"")</f>
        <v xml:space="preserve">    AvalonBay Communities Inc</v>
      </c>
      <c r="B94" t="str">
        <f>IFERROR(IF(0=LEN(ReferenceData!$B$94),"",ReferenceData!$B$94),"")</f>
        <v>AVB US Equity</v>
      </c>
      <c r="C94" t="str">
        <f>IFERROR(IF(0=LEN(ReferenceData!$C$94),"",ReferenceData!$C$94),"")</f>
        <v/>
      </c>
      <c r="D94" t="str">
        <f>IFERROR(IF(0=LEN(ReferenceData!$D$94),"",ReferenceData!$D$94),"")</f>
        <v/>
      </c>
      <c r="E94" t="str">
        <f>IFERROR(IF(0=LEN(ReferenceData!$E$94),"",ReferenceData!$E$94),"")</f>
        <v>Expression</v>
      </c>
      <c r="F94" t="str">
        <f ca="1">IFERROR(IF(0=LEN(ReferenceData!$F$94),"",ReferenceData!$F$94),"")</f>
        <v/>
      </c>
      <c r="G94" t="str">
        <f ca="1">IFERROR(IF(0=LEN(ReferenceData!$G$94),"",ReferenceData!$G$94),"")</f>
        <v/>
      </c>
      <c r="H94">
        <f ca="1">IFERROR(IF(0=LEN(ReferenceData!$H$94),"",ReferenceData!$H$94),"")</f>
        <v>21.19402985</v>
      </c>
      <c r="I94">
        <f ca="1">IFERROR(IF(0=LEN(ReferenceData!$I$94),"",ReferenceData!$I$94),"")</f>
        <v>22.240089749999999</v>
      </c>
      <c r="J94">
        <f ca="1">IFERROR(IF(0=LEN(ReferenceData!$J$94),"",ReferenceData!$J$94),"")</f>
        <v>22.694618269999999</v>
      </c>
      <c r="K94">
        <f ca="1">IFERROR(IF(0=LEN(ReferenceData!$K$94),"",ReferenceData!$K$94),"")</f>
        <v>22.50589549</v>
      </c>
      <c r="L94">
        <f ca="1">IFERROR(IF(0=LEN(ReferenceData!$L$94),"",ReferenceData!$L$94),"")</f>
        <v>22.180507209999998</v>
      </c>
      <c r="M94">
        <f ca="1">IFERROR(IF(0=LEN(ReferenceData!$M$94),"",ReferenceData!$M$94),"")</f>
        <v>23.06548716</v>
      </c>
      <c r="N94">
        <f ca="1">IFERROR(IF(0=LEN(ReferenceData!$N$94),"",ReferenceData!$N$94),"")</f>
        <v>23.630221129999999</v>
      </c>
      <c r="O94">
        <f ca="1">IFERROR(IF(0=LEN(ReferenceData!$O$94),"",ReferenceData!$O$94),"")</f>
        <v>23.642962600000001</v>
      </c>
      <c r="P94">
        <f ca="1">IFERROR(IF(0=LEN(ReferenceData!$P$94),"",ReferenceData!$P$94),"")</f>
        <v>23.476552909999999</v>
      </c>
      <c r="Q94">
        <f ca="1">IFERROR(IF(0=LEN(ReferenceData!$Q$94),"",ReferenceData!$Q$94),"")</f>
        <v>23.460207610000001</v>
      </c>
      <c r="R94">
        <f ca="1">IFERROR(IF(0=LEN(ReferenceData!$R$94),"",ReferenceData!$R$94),"")</f>
        <v>22.524843579999999</v>
      </c>
      <c r="S94">
        <f ca="1">IFERROR(IF(0=LEN(ReferenceData!$S$94),"",ReferenceData!$S$94),"")</f>
        <v>22.582944210000001</v>
      </c>
      <c r="T94">
        <f ca="1">IFERROR(IF(0=LEN(ReferenceData!$T$94),"",ReferenceData!$T$94),"")</f>
        <v>21.301622420000001</v>
      </c>
      <c r="U94">
        <f ca="1">IFERROR(IF(0=LEN(ReferenceData!$U$94),"",ReferenceData!$U$94),"")</f>
        <v>21.728198209999999</v>
      </c>
      <c r="V94">
        <f ca="1">IFERROR(IF(0=LEN(ReferenceData!$V$94),"",ReferenceData!$V$94),"")</f>
        <v>20.05241985</v>
      </c>
      <c r="W94">
        <f ca="1">IFERROR(IF(0=LEN(ReferenceData!$W$94),"",ReferenceData!$W$94),"")</f>
        <v>20.901098900000001</v>
      </c>
      <c r="X94">
        <f ca="1">IFERROR(IF(0=LEN(ReferenceData!$X$94),"",ReferenceData!$X$94),"")</f>
        <v>21.43683703</v>
      </c>
      <c r="Y94">
        <f ca="1">IFERROR(IF(0=LEN(ReferenceData!$Y$94),"",ReferenceData!$Y$94),"")</f>
        <v>21.12881806</v>
      </c>
      <c r="Z94">
        <f ca="1">IFERROR(IF(0=LEN(ReferenceData!$Z$94),"",ReferenceData!$Z$94),"")</f>
        <v>22.177756540000001</v>
      </c>
      <c r="AA94">
        <f ca="1">IFERROR(IF(0=LEN(ReferenceData!$AA$94),"",ReferenceData!$AA$94),"")</f>
        <v>21.403654490000001</v>
      </c>
      <c r="AB94">
        <f ca="1">IFERROR(IF(0=LEN(ReferenceData!$AB$94),"",ReferenceData!$AB$94),"")</f>
        <v>21.416835339999999</v>
      </c>
      <c r="AC94">
        <f ca="1">IFERROR(IF(0=LEN(ReferenceData!$AC$94),"",ReferenceData!$AC$94),"")</f>
        <v>21.09665871</v>
      </c>
      <c r="AD94">
        <f ca="1">IFERROR(IF(0=LEN(ReferenceData!$AD$94),"",ReferenceData!$AD$94),"")</f>
        <v>22.323943660000001</v>
      </c>
      <c r="AE94">
        <f ca="1">IFERROR(IF(0=LEN(ReferenceData!$AE$94),"",ReferenceData!$AE$94),"")</f>
        <v>20.219107080000001</v>
      </c>
      <c r="AF94">
        <f ca="1">IFERROR(IF(0=LEN(ReferenceData!$AF$94),"",ReferenceData!$AF$94),"")</f>
        <v>20.029198789999999</v>
      </c>
      <c r="AG94">
        <f ca="1">IFERROR(IF(0=LEN(ReferenceData!$AG$94),"",ReferenceData!$AG$94),"")</f>
        <v>21.687868080000001</v>
      </c>
      <c r="AH94">
        <f ca="1">IFERROR(IF(0=LEN(ReferenceData!$AH$94),"",ReferenceData!$AH$94),"")</f>
        <v>21.45521067</v>
      </c>
      <c r="AI94">
        <f ca="1">IFERROR(IF(0=LEN(ReferenceData!$AI$94),"",ReferenceData!$AI$94),"")</f>
        <v>20.63377788</v>
      </c>
      <c r="AJ94" t="str">
        <f ca="1">IFERROR(IF(0=LEN(ReferenceData!$AJ$94),"",ReferenceData!$AJ$94),"")</f>
        <v/>
      </c>
      <c r="AK94">
        <f ca="1">IFERROR(IF(0=LEN(ReferenceData!$AK$94),"",ReferenceData!$AK$94),"")</f>
        <v>20.402966630000002</v>
      </c>
      <c r="AL94">
        <f ca="1">IFERROR(IF(0=LEN(ReferenceData!$AL$94),"",ReferenceData!$AL$94),"")</f>
        <v>21.42200124</v>
      </c>
      <c r="AM94" t="str">
        <f ca="1">IFERROR(IF(0=LEN(ReferenceData!$AM$94),"",ReferenceData!$AM$94),"")</f>
        <v/>
      </c>
      <c r="AN94" t="str">
        <f ca="1">IFERROR(IF(0=LEN(ReferenceData!$AN$94),"",ReferenceData!$AN$94),"")</f>
        <v/>
      </c>
      <c r="AO94">
        <f ca="1">IFERROR(IF(0=LEN(ReferenceData!$AO$94),"",ReferenceData!$AO$94),"")</f>
        <v>21.482352939999998</v>
      </c>
      <c r="AP94" t="str">
        <f ca="1">IFERROR(IF(0=LEN(ReferenceData!$AP$94),"",ReferenceData!$AP$94),"")</f>
        <v/>
      </c>
      <c r="AQ94" t="str">
        <f ca="1">IFERROR(IF(0=LEN(ReferenceData!$AQ$94),"",ReferenceData!$AQ$94),"")</f>
        <v/>
      </c>
      <c r="AR94">
        <f ca="1">IFERROR(IF(0=LEN(ReferenceData!$AR$94),"",ReferenceData!$AR$94),"")</f>
        <v>22.466233769999999</v>
      </c>
      <c r="AS94" t="str">
        <f ca="1">IFERROR(IF(0=LEN(ReferenceData!$AS$94),"",ReferenceData!$AS$94),"")</f>
        <v/>
      </c>
      <c r="AT94" t="str">
        <f ca="1">IFERROR(IF(0=LEN(ReferenceData!$AT$94),"",ReferenceData!$AT$94),"")</f>
        <v/>
      </c>
      <c r="AU94" t="str">
        <f ca="1">IFERROR(IF(0=LEN(ReferenceData!$AU$94),"",ReferenceData!$AU$94),"")</f>
        <v/>
      </c>
      <c r="AV94" t="str">
        <f ca="1">IFERROR(IF(0=LEN(ReferenceData!$AV$94),"",ReferenceData!$AV$94),"")</f>
        <v/>
      </c>
      <c r="AW94" t="str">
        <f ca="1">IFERROR(IF(0=LEN(ReferenceData!$AW$94),"",ReferenceData!$AW$94),"")</f>
        <v/>
      </c>
      <c r="AX94" t="str">
        <f ca="1">IFERROR(IF(0=LEN(ReferenceData!$AX$94),"",ReferenceData!$AX$94),"")</f>
        <v/>
      </c>
      <c r="AY94" t="str">
        <f ca="1">IFERROR(IF(0=LEN(ReferenceData!$AY$94),"",ReferenceData!$AY$94),"")</f>
        <v/>
      </c>
      <c r="AZ94" t="str">
        <f ca="1">IFERROR(IF(0=LEN(ReferenceData!$AZ$94),"",ReferenceData!$AZ$94),"")</f>
        <v/>
      </c>
      <c r="BA94" t="str">
        <f ca="1">IFERROR(IF(0=LEN(ReferenceData!$BA$94),"",ReferenceData!$BA$94),"")</f>
        <v/>
      </c>
      <c r="BB94" t="str">
        <f ca="1">IFERROR(IF(0=LEN(ReferenceData!$BB$94),"",ReferenceData!$BB$94),"")</f>
        <v/>
      </c>
      <c r="BC94" t="str">
        <f ca="1">IFERROR(IF(0=LEN(ReferenceData!$BC$94),"",ReferenceData!$BC$94),"")</f>
        <v/>
      </c>
      <c r="BD94" t="str">
        <f ca="1">IFERROR(IF(0=LEN(ReferenceData!$BD$94),"",ReferenceData!$BD$94),"")</f>
        <v/>
      </c>
      <c r="BE94" t="str">
        <f ca="1">IFERROR(IF(0=LEN(ReferenceData!$BE$94),"",ReferenceData!$BE$94),"")</f>
        <v/>
      </c>
      <c r="BF94" t="str">
        <f ca="1">IFERROR(IF(0=LEN(ReferenceData!$BF$94),"",ReferenceData!$BF$94),"")</f>
        <v/>
      </c>
      <c r="BG94" t="str">
        <f ca="1">IFERROR(IF(0=LEN(ReferenceData!$BG$94),"",ReferenceData!$BG$94),"")</f>
        <v/>
      </c>
      <c r="BH94" t="str">
        <f ca="1">IFERROR(IF(0=LEN(ReferenceData!$BH$94),"",ReferenceData!$BH$94),"")</f>
        <v/>
      </c>
      <c r="BI94" t="str">
        <f ca="1">IFERROR(IF(0=LEN(ReferenceData!$BI$94),"",ReferenceData!$BI$94),"")</f>
        <v/>
      </c>
      <c r="BJ94" t="str">
        <f ca="1">IFERROR(IF(0=LEN(ReferenceData!$BJ$94),"",ReferenceData!$BJ$94),"")</f>
        <v/>
      </c>
      <c r="BK94" t="str">
        <f ca="1">IFERROR(IF(0=LEN(ReferenceData!$BK$94),"",ReferenceData!$BK$94),"")</f>
        <v/>
      </c>
      <c r="BL94" t="str">
        <f ca="1">IFERROR(IF(0=LEN(ReferenceData!$BL$94),"",ReferenceData!$BL$94),"")</f>
        <v/>
      </c>
      <c r="BM94" t="str">
        <f ca="1">IFERROR(IF(0=LEN(ReferenceData!$BM$94),"",ReferenceData!$BM$94),"")</f>
        <v/>
      </c>
      <c r="BN94" t="str">
        <f ca="1">IFERROR(IF(0=LEN(ReferenceData!$BN$94),"",ReferenceData!$BN$94),"")</f>
        <v/>
      </c>
      <c r="BO94" t="str">
        <f ca="1">IFERROR(IF(0=LEN(ReferenceData!$BO$94),"",ReferenceData!$BO$94),"")</f>
        <v/>
      </c>
      <c r="BP94" t="str">
        <f ca="1">IFERROR(IF(0=LEN(ReferenceData!$BP$94),"",ReferenceData!$BP$94),"")</f>
        <v/>
      </c>
      <c r="BQ94" t="str">
        <f ca="1">IFERROR(IF(0=LEN(ReferenceData!$BQ$94),"",ReferenceData!$BQ$94),"")</f>
        <v/>
      </c>
      <c r="BR94" t="str">
        <f ca="1">IFERROR(IF(0=LEN(ReferenceData!$BR$94),"",ReferenceData!$BR$94),"")</f>
        <v/>
      </c>
      <c r="BS94" t="str">
        <f ca="1">IFERROR(IF(0=LEN(ReferenceData!$BS$94),"",ReferenceData!$BS$94),"")</f>
        <v/>
      </c>
      <c r="BT94" t="str">
        <f ca="1">IFERROR(IF(0=LEN(ReferenceData!$BT$94),"",ReferenceData!$BT$94),"")</f>
        <v/>
      </c>
      <c r="BU94" t="str">
        <f ca="1">IFERROR(IF(0=LEN(ReferenceData!$BU$94),"",ReferenceData!$BU$94),"")</f>
        <v/>
      </c>
      <c r="BV94" t="str">
        <f ca="1">IFERROR(IF(0=LEN(ReferenceData!$BV$94),"",ReferenceData!$BV$94),"")</f>
        <v/>
      </c>
      <c r="BW94" t="str">
        <f ca="1">IFERROR(IF(0=LEN(ReferenceData!$BW$94),"",ReferenceData!$BW$94),"")</f>
        <v/>
      </c>
      <c r="BX94" t="str">
        <f ca="1">IFERROR(IF(0=LEN(ReferenceData!$BX$94),"",ReferenceData!$BX$94),"")</f>
        <v/>
      </c>
      <c r="BY94" t="str">
        <f ca="1">IFERROR(IF(0=LEN(ReferenceData!$BY$94),"",ReferenceData!$BY$94),"")</f>
        <v/>
      </c>
      <c r="BZ94" t="str">
        <f ca="1">IFERROR(IF(0=LEN(ReferenceData!$BZ$94),"",ReferenceData!$BZ$94),"")</f>
        <v/>
      </c>
      <c r="CA94" t="str">
        <f ca="1">IFERROR(IF(0=LEN(ReferenceData!$CA$94),"",ReferenceData!$CA$94),"")</f>
        <v/>
      </c>
      <c r="CB94" t="str">
        <f ca="1">IFERROR(IF(0=LEN(ReferenceData!$CB$94),"",ReferenceData!$CB$94),"")</f>
        <v/>
      </c>
      <c r="CC94" t="str">
        <f ca="1">IFERROR(IF(0=LEN(ReferenceData!$CC$94),"",ReferenceData!$CC$94),"")</f>
        <v/>
      </c>
      <c r="CD94" t="str">
        <f ca="1">IFERROR(IF(0=LEN(ReferenceData!$CD$94),"",ReferenceData!$CD$94),"")</f>
        <v/>
      </c>
      <c r="CE94" t="str">
        <f ca="1">IFERROR(IF(0=LEN(ReferenceData!$CE$94),"",ReferenceData!$CE$94),"")</f>
        <v/>
      </c>
      <c r="CF94" t="str">
        <f ca="1">IFERROR(IF(0=LEN(ReferenceData!$CF$94),"",ReferenceData!$CF$94),"")</f>
        <v/>
      </c>
      <c r="CG94" t="str">
        <f ca="1">IFERROR(IF(0=LEN(ReferenceData!$CG$94),"",ReferenceData!$CG$94),"")</f>
        <v/>
      </c>
      <c r="CH94" t="str">
        <f ca="1">IFERROR(IF(0=LEN(ReferenceData!$CH$94),"",ReferenceData!$CH$94),"")</f>
        <v/>
      </c>
      <c r="CI94" t="str">
        <f ca="1">IFERROR(IF(0=LEN(ReferenceData!$CI$94),"",ReferenceData!$CI$94),"")</f>
        <v/>
      </c>
      <c r="CJ94" t="str">
        <f ca="1">IFERROR(IF(0=LEN(ReferenceData!$CJ$94),"",ReferenceData!$CJ$94),"")</f>
        <v/>
      </c>
      <c r="CK94" t="str">
        <f ca="1">IFERROR(IF(0=LEN(ReferenceData!$CK$94),"",ReferenceData!$CK$94),"")</f>
        <v/>
      </c>
    </row>
    <row r="95" spans="1:89">
      <c r="A95" t="str">
        <f>IFERROR(IF(0=LEN(ReferenceData!$A$95),"",ReferenceData!$A$95),"")</f>
        <v xml:space="preserve">    Camden Property Trust</v>
      </c>
      <c r="B95" t="str">
        <f>IFERROR(IF(0=LEN(ReferenceData!$B$95),"",ReferenceData!$B$95),"")</f>
        <v>CPT US Equity</v>
      </c>
      <c r="C95" t="str">
        <f>IFERROR(IF(0=LEN(ReferenceData!$C$95),"",ReferenceData!$C$95),"")</f>
        <v/>
      </c>
      <c r="D95" t="str">
        <f>IFERROR(IF(0=LEN(ReferenceData!$D$95),"",ReferenceData!$D$95),"")</f>
        <v/>
      </c>
      <c r="E95" t="str">
        <f>IFERROR(IF(0=LEN(ReferenceData!$E$95),"",ReferenceData!$E$95),"")</f>
        <v>Expression</v>
      </c>
      <c r="F95" t="str">
        <f ca="1">IFERROR(IF(0=LEN(ReferenceData!$F$95),"",ReferenceData!$F$95),"")</f>
        <v/>
      </c>
      <c r="G95" t="str">
        <f ca="1">IFERROR(IF(0=LEN(ReferenceData!$G$95),"",ReferenceData!$G$95),"")</f>
        <v/>
      </c>
      <c r="H95">
        <f ca="1">IFERROR(IF(0=LEN(ReferenceData!$H$95),"",ReferenceData!$H$95),"")</f>
        <v>22.43068152</v>
      </c>
      <c r="I95">
        <f ca="1">IFERROR(IF(0=LEN(ReferenceData!$I$95),"",ReferenceData!$I$95),"")</f>
        <v>23.955243299999999</v>
      </c>
      <c r="J95">
        <f ca="1">IFERROR(IF(0=LEN(ReferenceData!$J$95),"",ReferenceData!$J$95),"")</f>
        <v>23.78322043</v>
      </c>
      <c r="K95">
        <f ca="1">IFERROR(IF(0=LEN(ReferenceData!$K$95),"",ReferenceData!$K$95),"")</f>
        <v>23.847360170000002</v>
      </c>
      <c r="L95">
        <f ca="1">IFERROR(IF(0=LEN(ReferenceData!$L$95),"",ReferenceData!$L$95),"")</f>
        <v>23.521090529999999</v>
      </c>
      <c r="M95">
        <f ca="1">IFERROR(IF(0=LEN(ReferenceData!$M$95),"",ReferenceData!$M$95),"")</f>
        <v>22.69338067</v>
      </c>
      <c r="N95">
        <f ca="1">IFERROR(IF(0=LEN(ReferenceData!$N$95),"",ReferenceData!$N$95),"")</f>
        <v>22.69162661</v>
      </c>
      <c r="O95">
        <f ca="1">IFERROR(IF(0=LEN(ReferenceData!$O$95),"",ReferenceData!$O$95),"")</f>
        <v>21.785987259999999</v>
      </c>
      <c r="P95">
        <f ca="1">IFERROR(IF(0=LEN(ReferenceData!$P$95),"",ReferenceData!$P$95),"")</f>
        <v>21.26882818</v>
      </c>
      <c r="Q95">
        <f ca="1">IFERROR(IF(0=LEN(ReferenceData!$Q$95),"",ReferenceData!$Q$95),"")</f>
        <v>20.895939089999999</v>
      </c>
      <c r="R95">
        <f ca="1">IFERROR(IF(0=LEN(ReferenceData!$R$95),"",ReferenceData!$R$95),"")</f>
        <v>20.98044329</v>
      </c>
      <c r="S95">
        <f ca="1">IFERROR(IF(0=LEN(ReferenceData!$S$95),"",ReferenceData!$S$95),"")</f>
        <v>22.073011730000001</v>
      </c>
      <c r="T95">
        <f ca="1">IFERROR(IF(0=LEN(ReferenceData!$T$95),"",ReferenceData!$T$95),"")</f>
        <v>21.124873610000002</v>
      </c>
      <c r="U95">
        <f ca="1">IFERROR(IF(0=LEN(ReferenceData!$U$95),"",ReferenceData!$U$95),"")</f>
        <v>21.235160390000001</v>
      </c>
      <c r="V95">
        <f ca="1">IFERROR(IF(0=LEN(ReferenceData!$V$95),"",ReferenceData!$V$95),"")</f>
        <v>20.007625829999999</v>
      </c>
      <c r="W95">
        <f ca="1">IFERROR(IF(0=LEN(ReferenceData!$W$95),"",ReferenceData!$W$95),"")</f>
        <v>21.011351909999998</v>
      </c>
      <c r="X95">
        <f ca="1">IFERROR(IF(0=LEN(ReferenceData!$X$95),"",ReferenceData!$X$95),"")</f>
        <v>21.532527640000001</v>
      </c>
      <c r="Y95">
        <f ca="1">IFERROR(IF(0=LEN(ReferenceData!$Y$95),"",ReferenceData!$Y$95),"")</f>
        <v>22.592020590000001</v>
      </c>
      <c r="Z95">
        <f ca="1">IFERROR(IF(0=LEN(ReferenceData!$Z$95),"",ReferenceData!$Z$95),"")</f>
        <v>23.161840739999999</v>
      </c>
      <c r="AA95">
        <f ca="1">IFERROR(IF(0=LEN(ReferenceData!$AA$95),"",ReferenceData!$AA$95),"")</f>
        <v>22.812177500000001</v>
      </c>
      <c r="AB95">
        <f ca="1">IFERROR(IF(0=LEN(ReferenceData!$AB$95),"",ReferenceData!$AB$95),"")</f>
        <v>21.709554140000002</v>
      </c>
      <c r="AC95">
        <f ca="1">IFERROR(IF(0=LEN(ReferenceData!$AC$95),"",ReferenceData!$AC$95),"")</f>
        <v>18.844537819999999</v>
      </c>
      <c r="AD95">
        <f ca="1">IFERROR(IF(0=LEN(ReferenceData!$AD$95),"",ReferenceData!$AD$95),"")</f>
        <v>19.411357339999999</v>
      </c>
      <c r="AE95">
        <f ca="1">IFERROR(IF(0=LEN(ReferenceData!$AE$95),"",ReferenceData!$AE$95),"")</f>
        <v>17.296922009999999</v>
      </c>
      <c r="AF95">
        <f ca="1">IFERROR(IF(0=LEN(ReferenceData!$AF$95),"",ReferenceData!$AF$95),"")</f>
        <v>17.57659525</v>
      </c>
      <c r="AG95">
        <f ca="1">IFERROR(IF(0=LEN(ReferenceData!$AG$95),"",ReferenceData!$AG$95),"")</f>
        <v>17.80148423</v>
      </c>
      <c r="AH95">
        <f ca="1">IFERROR(IF(0=LEN(ReferenceData!$AH$95),"",ReferenceData!$AH$95),"")</f>
        <v>17.518348620000001</v>
      </c>
      <c r="AI95">
        <f ca="1">IFERROR(IF(0=LEN(ReferenceData!$AI$95),"",ReferenceData!$AI$95),"")</f>
        <v>16.904925540000001</v>
      </c>
      <c r="AJ95">
        <f ca="1">IFERROR(IF(0=LEN(ReferenceData!$AJ$95),"",ReferenceData!$AJ$95),"")</f>
        <v>16.891428569999999</v>
      </c>
      <c r="AK95">
        <f ca="1">IFERROR(IF(0=LEN(ReferenceData!$AK$95),"",ReferenceData!$AK$95),"")</f>
        <v>16.463999999999999</v>
      </c>
      <c r="AL95">
        <f ca="1">IFERROR(IF(0=LEN(ReferenceData!$AL$95),"",ReferenceData!$AL$95),"")</f>
        <v>18.221967960000001</v>
      </c>
      <c r="AM95" t="str">
        <f ca="1">IFERROR(IF(0=LEN(ReferenceData!$AM$95),"",ReferenceData!$AM$95),"")</f>
        <v/>
      </c>
      <c r="AN95" t="str">
        <f ca="1">IFERROR(IF(0=LEN(ReferenceData!$AN$95),"",ReferenceData!$AN$95),"")</f>
        <v/>
      </c>
      <c r="AO95">
        <f ca="1">IFERROR(IF(0=LEN(ReferenceData!$AO$95),"",ReferenceData!$AO$95),"")</f>
        <v>17.180778029999999</v>
      </c>
      <c r="AP95" t="str">
        <f ca="1">IFERROR(IF(0=LEN(ReferenceData!$AP$95),"",ReferenceData!$AP$95),"")</f>
        <v/>
      </c>
      <c r="AQ95" t="str">
        <f ca="1">IFERROR(IF(0=LEN(ReferenceData!$AQ$95),"",ReferenceData!$AQ$95),"")</f>
        <v/>
      </c>
      <c r="AR95">
        <f ca="1">IFERROR(IF(0=LEN(ReferenceData!$AR$95),"",ReferenceData!$AR$95),"")</f>
        <v>17.551252850000001</v>
      </c>
      <c r="AS95" t="str">
        <f ca="1">IFERROR(IF(0=LEN(ReferenceData!$AS$95),"",ReferenceData!$AS$95),"")</f>
        <v/>
      </c>
      <c r="AT95" t="str">
        <f ca="1">IFERROR(IF(0=LEN(ReferenceData!$AT$95),"",ReferenceData!$AT$95),"")</f>
        <v/>
      </c>
      <c r="AU95" t="str">
        <f ca="1">IFERROR(IF(0=LEN(ReferenceData!$AU$95),"",ReferenceData!$AU$95),"")</f>
        <v/>
      </c>
      <c r="AV95" t="str">
        <f ca="1">IFERROR(IF(0=LEN(ReferenceData!$AV$95),"",ReferenceData!$AV$95),"")</f>
        <v/>
      </c>
      <c r="AW95" t="str">
        <f ca="1">IFERROR(IF(0=LEN(ReferenceData!$AW$95),"",ReferenceData!$AW$95),"")</f>
        <v/>
      </c>
      <c r="AX95" t="str">
        <f ca="1">IFERROR(IF(0=LEN(ReferenceData!$AX$95),"",ReferenceData!$AX$95),"")</f>
        <v/>
      </c>
      <c r="AY95" t="str">
        <f ca="1">IFERROR(IF(0=LEN(ReferenceData!$AY$95),"",ReferenceData!$AY$95),"")</f>
        <v/>
      </c>
      <c r="AZ95" t="str">
        <f ca="1">IFERROR(IF(0=LEN(ReferenceData!$AZ$95),"",ReferenceData!$AZ$95),"")</f>
        <v/>
      </c>
      <c r="BA95" t="str">
        <f ca="1">IFERROR(IF(0=LEN(ReferenceData!$BA$95),"",ReferenceData!$BA$95),"")</f>
        <v/>
      </c>
      <c r="BB95" t="str">
        <f ca="1">IFERROR(IF(0=LEN(ReferenceData!$BB$95),"",ReferenceData!$BB$95),"")</f>
        <v/>
      </c>
      <c r="BC95" t="str">
        <f ca="1">IFERROR(IF(0=LEN(ReferenceData!$BC$95),"",ReferenceData!$BC$95),"")</f>
        <v/>
      </c>
      <c r="BD95" t="str">
        <f ca="1">IFERROR(IF(0=LEN(ReferenceData!$BD$95),"",ReferenceData!$BD$95),"")</f>
        <v/>
      </c>
      <c r="BE95" t="str">
        <f ca="1">IFERROR(IF(0=LEN(ReferenceData!$BE$95),"",ReferenceData!$BE$95),"")</f>
        <v/>
      </c>
      <c r="BF95" t="str">
        <f ca="1">IFERROR(IF(0=LEN(ReferenceData!$BF$95),"",ReferenceData!$BF$95),"")</f>
        <v/>
      </c>
      <c r="BG95" t="str">
        <f ca="1">IFERROR(IF(0=LEN(ReferenceData!$BG$95),"",ReferenceData!$BG$95),"")</f>
        <v/>
      </c>
      <c r="BH95" t="str">
        <f ca="1">IFERROR(IF(0=LEN(ReferenceData!$BH$95),"",ReferenceData!$BH$95),"")</f>
        <v/>
      </c>
      <c r="BI95" t="str">
        <f ca="1">IFERROR(IF(0=LEN(ReferenceData!$BI$95),"",ReferenceData!$BI$95),"")</f>
        <v/>
      </c>
      <c r="BJ95" t="str">
        <f ca="1">IFERROR(IF(0=LEN(ReferenceData!$BJ$95),"",ReferenceData!$BJ$95),"")</f>
        <v/>
      </c>
      <c r="BK95" t="str">
        <f ca="1">IFERROR(IF(0=LEN(ReferenceData!$BK$95),"",ReferenceData!$BK$95),"")</f>
        <v/>
      </c>
      <c r="BL95" t="str">
        <f ca="1">IFERROR(IF(0=LEN(ReferenceData!$BL$95),"",ReferenceData!$BL$95),"")</f>
        <v/>
      </c>
      <c r="BM95" t="str">
        <f ca="1">IFERROR(IF(0=LEN(ReferenceData!$BM$95),"",ReferenceData!$BM$95),"")</f>
        <v/>
      </c>
      <c r="BN95" t="str">
        <f ca="1">IFERROR(IF(0=LEN(ReferenceData!$BN$95),"",ReferenceData!$BN$95),"")</f>
        <v/>
      </c>
      <c r="BO95" t="str">
        <f ca="1">IFERROR(IF(0=LEN(ReferenceData!$BO$95),"",ReferenceData!$BO$95),"")</f>
        <v/>
      </c>
      <c r="BP95" t="str">
        <f ca="1">IFERROR(IF(0=LEN(ReferenceData!$BP$95),"",ReferenceData!$BP$95),"")</f>
        <v/>
      </c>
      <c r="BQ95" t="str">
        <f ca="1">IFERROR(IF(0=LEN(ReferenceData!$BQ$95),"",ReferenceData!$BQ$95),"")</f>
        <v/>
      </c>
      <c r="BR95" t="str">
        <f ca="1">IFERROR(IF(0=LEN(ReferenceData!$BR$95),"",ReferenceData!$BR$95),"")</f>
        <v/>
      </c>
      <c r="BS95" t="str">
        <f ca="1">IFERROR(IF(0=LEN(ReferenceData!$BS$95),"",ReferenceData!$BS$95),"")</f>
        <v/>
      </c>
      <c r="BT95" t="str">
        <f ca="1">IFERROR(IF(0=LEN(ReferenceData!$BT$95),"",ReferenceData!$BT$95),"")</f>
        <v/>
      </c>
      <c r="BU95" t="str">
        <f ca="1">IFERROR(IF(0=LEN(ReferenceData!$BU$95),"",ReferenceData!$BU$95),"")</f>
        <v/>
      </c>
      <c r="BV95" t="str">
        <f ca="1">IFERROR(IF(0=LEN(ReferenceData!$BV$95),"",ReferenceData!$BV$95),"")</f>
        <v/>
      </c>
      <c r="BW95" t="str">
        <f ca="1">IFERROR(IF(0=LEN(ReferenceData!$BW$95),"",ReferenceData!$BW$95),"")</f>
        <v/>
      </c>
      <c r="BX95" t="str">
        <f ca="1">IFERROR(IF(0=LEN(ReferenceData!$BX$95),"",ReferenceData!$BX$95),"")</f>
        <v/>
      </c>
      <c r="BY95" t="str">
        <f ca="1">IFERROR(IF(0=LEN(ReferenceData!$BY$95),"",ReferenceData!$BY$95),"")</f>
        <v/>
      </c>
      <c r="BZ95" t="str">
        <f ca="1">IFERROR(IF(0=LEN(ReferenceData!$BZ$95),"",ReferenceData!$BZ$95),"")</f>
        <v/>
      </c>
      <c r="CA95" t="str">
        <f ca="1">IFERROR(IF(0=LEN(ReferenceData!$CA$95),"",ReferenceData!$CA$95),"")</f>
        <v/>
      </c>
      <c r="CB95" t="str">
        <f ca="1">IFERROR(IF(0=LEN(ReferenceData!$CB$95),"",ReferenceData!$CB$95),"")</f>
        <v/>
      </c>
      <c r="CC95" t="str">
        <f ca="1">IFERROR(IF(0=LEN(ReferenceData!$CC$95),"",ReferenceData!$CC$95),"")</f>
        <v/>
      </c>
      <c r="CD95" t="str">
        <f ca="1">IFERROR(IF(0=LEN(ReferenceData!$CD$95),"",ReferenceData!$CD$95),"")</f>
        <v/>
      </c>
      <c r="CE95" t="str">
        <f ca="1">IFERROR(IF(0=LEN(ReferenceData!$CE$95),"",ReferenceData!$CE$95),"")</f>
        <v/>
      </c>
      <c r="CF95" t="str">
        <f ca="1">IFERROR(IF(0=LEN(ReferenceData!$CF$95),"",ReferenceData!$CF$95),"")</f>
        <v/>
      </c>
      <c r="CG95" t="str">
        <f ca="1">IFERROR(IF(0=LEN(ReferenceData!$CG$95),"",ReferenceData!$CG$95),"")</f>
        <v/>
      </c>
      <c r="CH95" t="str">
        <f ca="1">IFERROR(IF(0=LEN(ReferenceData!$CH$95),"",ReferenceData!$CH$95),"")</f>
        <v/>
      </c>
      <c r="CI95" t="str">
        <f ca="1">IFERROR(IF(0=LEN(ReferenceData!$CI$95),"",ReferenceData!$CI$95),"")</f>
        <v/>
      </c>
      <c r="CJ95" t="str">
        <f ca="1">IFERROR(IF(0=LEN(ReferenceData!$CJ$95),"",ReferenceData!$CJ$95),"")</f>
        <v/>
      </c>
      <c r="CK95" t="str">
        <f ca="1">IFERROR(IF(0=LEN(ReferenceData!$CK$95),"",ReferenceData!$CK$95),"")</f>
        <v/>
      </c>
    </row>
    <row r="96" spans="1:89">
      <c r="A96" t="str">
        <f>IFERROR(IF(0=LEN(ReferenceData!$A$96),"",ReferenceData!$A$96),"")</f>
        <v xml:space="preserve">    Equity Residential</v>
      </c>
      <c r="B96" t="str">
        <f>IFERROR(IF(0=LEN(ReferenceData!$B$96),"",ReferenceData!$B$96),"")</f>
        <v>EQR US Equity</v>
      </c>
      <c r="C96" t="str">
        <f>IFERROR(IF(0=LEN(ReferenceData!$C$96),"",ReferenceData!$C$96),"")</f>
        <v/>
      </c>
      <c r="D96" t="str">
        <f>IFERROR(IF(0=LEN(ReferenceData!$D$96),"",ReferenceData!$D$96),"")</f>
        <v/>
      </c>
      <c r="E96" t="str">
        <f>IFERROR(IF(0=LEN(ReferenceData!$E$96),"",ReferenceData!$E$96),"")</f>
        <v>Expression</v>
      </c>
      <c r="F96" t="str">
        <f ca="1">IFERROR(IF(0=LEN(ReferenceData!$F$96),"",ReferenceData!$F$96),"")</f>
        <v/>
      </c>
      <c r="G96" t="str">
        <f ca="1">IFERROR(IF(0=LEN(ReferenceData!$G$96),"",ReferenceData!$G$96),"")</f>
        <v/>
      </c>
      <c r="H96">
        <f ca="1">IFERROR(IF(0=LEN(ReferenceData!$H$96),"",ReferenceData!$H$96),"")</f>
        <v>22.64241088</v>
      </c>
      <c r="I96">
        <f ca="1">IFERROR(IF(0=LEN(ReferenceData!$I$96),"",ReferenceData!$I$96),"")</f>
        <v>23.41902314</v>
      </c>
      <c r="J96">
        <f ca="1">IFERROR(IF(0=LEN(ReferenceData!$J$96),"",ReferenceData!$J$96),"")</f>
        <v>24.693274209999998</v>
      </c>
      <c r="K96">
        <f ca="1">IFERROR(IF(0=LEN(ReferenceData!$K$96),"",ReferenceData!$K$96),"")</f>
        <v>24.646390619999998</v>
      </c>
      <c r="L96">
        <f ca="1">IFERROR(IF(0=LEN(ReferenceData!$L$96),"",ReferenceData!$L$96),"")</f>
        <v>24.346381090000001</v>
      </c>
      <c r="M96">
        <f ca="1">IFERROR(IF(0=LEN(ReferenceData!$M$96),"",ReferenceData!$M$96),"")</f>
        <v>24.507299270000001</v>
      </c>
      <c r="N96">
        <f ca="1">IFERROR(IF(0=LEN(ReferenceData!$N$96),"",ReferenceData!$N$96),"")</f>
        <v>25.244807120000001</v>
      </c>
      <c r="O96">
        <f ca="1">IFERROR(IF(0=LEN(ReferenceData!$O$96),"",ReferenceData!$O$96),"")</f>
        <v>23.98178506</v>
      </c>
      <c r="P96">
        <f ca="1">IFERROR(IF(0=LEN(ReferenceData!$P$96),"",ReferenceData!$P$96),"")</f>
        <v>23.74680773</v>
      </c>
      <c r="Q96">
        <f ca="1">IFERROR(IF(0=LEN(ReferenceData!$Q$96),"",ReferenceData!$Q$96),"")</f>
        <v>23.398550719999999</v>
      </c>
      <c r="R96">
        <f ca="1">IFERROR(IF(0=LEN(ReferenceData!$R$96),"",ReferenceData!$R$96),"")</f>
        <v>22.833027520000002</v>
      </c>
      <c r="S96">
        <f ca="1">IFERROR(IF(0=LEN(ReferenceData!$S$96),"",ReferenceData!$S$96),"")</f>
        <v>22.934545450000002</v>
      </c>
      <c r="T96">
        <f ca="1">IFERROR(IF(0=LEN(ReferenceData!$T$96),"",ReferenceData!$T$96),"")</f>
        <v>21.557289820000001</v>
      </c>
      <c r="U96">
        <f ca="1">IFERROR(IF(0=LEN(ReferenceData!$U$96),"",ReferenceData!$U$96),"")</f>
        <v>22.774239210000001</v>
      </c>
      <c r="V96">
        <f ca="1">IFERROR(IF(0=LEN(ReferenceData!$V$96),"",ReferenceData!$V$96),"")</f>
        <v>21.325515280000001</v>
      </c>
      <c r="W96">
        <f ca="1">IFERROR(IF(0=LEN(ReferenceData!$W$96),"",ReferenceData!$W$96),"")</f>
        <v>21.897163119999998</v>
      </c>
      <c r="X96">
        <f ca="1">IFERROR(IF(0=LEN(ReferenceData!$X$96),"",ReferenceData!$X$96),"")</f>
        <v>22.779745040000002</v>
      </c>
      <c r="Y96">
        <f ca="1">IFERROR(IF(0=LEN(ReferenceData!$Y$96),"",ReferenceData!$Y$96),"")</f>
        <v>22.809423349999999</v>
      </c>
      <c r="Z96">
        <f ca="1">IFERROR(IF(0=LEN(ReferenceData!$Z$96),"",ReferenceData!$Z$96),"")</f>
        <v>23.58307319</v>
      </c>
      <c r="AA96">
        <f ca="1">IFERROR(IF(0=LEN(ReferenceData!$AA$96),"",ReferenceData!$AA$96),"")</f>
        <v>23.137386630000002</v>
      </c>
      <c r="AB96">
        <f ca="1">IFERROR(IF(0=LEN(ReferenceData!$AB$96),"",ReferenceData!$AB$96),"")</f>
        <v>23.062312559999999</v>
      </c>
      <c r="AC96">
        <f ca="1">IFERROR(IF(0=LEN(ReferenceData!$AC$96),"",ReferenceData!$AC$96),"")</f>
        <v>22.81930942</v>
      </c>
      <c r="AD96">
        <f ca="1">IFERROR(IF(0=LEN(ReferenceData!$AD$96),"",ReferenceData!$AD$96),"")</f>
        <v>24.869075240000001</v>
      </c>
      <c r="AE96">
        <f ca="1">IFERROR(IF(0=LEN(ReferenceData!$AE$96),"",ReferenceData!$AE$96),"")</f>
        <v>24.608523290000001</v>
      </c>
      <c r="AF96">
        <f ca="1">IFERROR(IF(0=LEN(ReferenceData!$AF$96),"",ReferenceData!$AF$96),"")</f>
        <v>24.364728190000001</v>
      </c>
      <c r="AG96">
        <f ca="1">IFERROR(IF(0=LEN(ReferenceData!$AG$96),"",ReferenceData!$AG$96),"")</f>
        <v>25.893367189999999</v>
      </c>
      <c r="AH96">
        <f ca="1">IFERROR(IF(0=LEN(ReferenceData!$AH$96),"",ReferenceData!$AH$96),"")</f>
        <v>24.8273717</v>
      </c>
      <c r="AI96">
        <f ca="1">IFERROR(IF(0=LEN(ReferenceData!$AI$96),"",ReferenceData!$AI$96),"")</f>
        <v>23.458737859999999</v>
      </c>
      <c r="AJ96">
        <f ca="1">IFERROR(IF(0=LEN(ReferenceData!$AJ$96),"",ReferenceData!$AJ$96),"")</f>
        <v>21.42612664</v>
      </c>
      <c r="AK96">
        <f ca="1">IFERROR(IF(0=LEN(ReferenceData!$AK$96),"",ReferenceData!$AK$96),"")</f>
        <v>20.485911439999999</v>
      </c>
      <c r="AL96">
        <f ca="1">IFERROR(IF(0=LEN(ReferenceData!$AL$96),"",ReferenceData!$AL$96),"")</f>
        <v>20.43989071</v>
      </c>
      <c r="AM96" t="str">
        <f ca="1">IFERROR(IF(0=LEN(ReferenceData!$AM$96),"",ReferenceData!$AM$96),"")</f>
        <v/>
      </c>
      <c r="AN96" t="str">
        <f ca="1">IFERROR(IF(0=LEN(ReferenceData!$AN$96),"",ReferenceData!$AN$96),"")</f>
        <v/>
      </c>
      <c r="AO96">
        <f ca="1">IFERROR(IF(0=LEN(ReferenceData!$AO$96),"",ReferenceData!$AO$96),"")</f>
        <v>21.408695649999999</v>
      </c>
      <c r="AP96" t="str">
        <f ca="1">IFERROR(IF(0=LEN(ReferenceData!$AP$96),"",ReferenceData!$AP$96),"")</f>
        <v/>
      </c>
      <c r="AQ96">
        <f ca="1">IFERROR(IF(0=LEN(ReferenceData!$AQ$96),"",ReferenceData!$AQ$96),"")</f>
        <v>22.490510950000001</v>
      </c>
      <c r="AR96" t="str">
        <f ca="1">IFERROR(IF(0=LEN(ReferenceData!$AR$96),"",ReferenceData!$AR$96),"")</f>
        <v/>
      </c>
      <c r="AS96" t="str">
        <f ca="1">IFERROR(IF(0=LEN(ReferenceData!$AS$96),"",ReferenceData!$AS$96),"")</f>
        <v/>
      </c>
      <c r="AT96" t="str">
        <f ca="1">IFERROR(IF(0=LEN(ReferenceData!$AT$96),"",ReferenceData!$AT$96),"")</f>
        <v/>
      </c>
      <c r="AU96" t="str">
        <f ca="1">IFERROR(IF(0=LEN(ReferenceData!$AU$96),"",ReferenceData!$AU$96),"")</f>
        <v/>
      </c>
      <c r="AV96" t="str">
        <f ca="1">IFERROR(IF(0=LEN(ReferenceData!$AV$96),"",ReferenceData!$AV$96),"")</f>
        <v/>
      </c>
      <c r="AW96" t="str">
        <f ca="1">IFERROR(IF(0=LEN(ReferenceData!$AW$96),"",ReferenceData!$AW$96),"")</f>
        <v/>
      </c>
      <c r="AX96" t="str">
        <f ca="1">IFERROR(IF(0=LEN(ReferenceData!$AX$96),"",ReferenceData!$AX$96),"")</f>
        <v/>
      </c>
      <c r="AY96" t="str">
        <f ca="1">IFERROR(IF(0=LEN(ReferenceData!$AY$96),"",ReferenceData!$AY$96),"")</f>
        <v/>
      </c>
      <c r="AZ96" t="str">
        <f ca="1">IFERROR(IF(0=LEN(ReferenceData!$AZ$96),"",ReferenceData!$AZ$96),"")</f>
        <v/>
      </c>
      <c r="BA96" t="str">
        <f ca="1">IFERROR(IF(0=LEN(ReferenceData!$BA$96),"",ReferenceData!$BA$96),"")</f>
        <v/>
      </c>
      <c r="BB96" t="str">
        <f ca="1">IFERROR(IF(0=LEN(ReferenceData!$BB$96),"",ReferenceData!$BB$96),"")</f>
        <v/>
      </c>
      <c r="BC96" t="str">
        <f ca="1">IFERROR(IF(0=LEN(ReferenceData!$BC$96),"",ReferenceData!$BC$96),"")</f>
        <v/>
      </c>
      <c r="BD96" t="str">
        <f ca="1">IFERROR(IF(0=LEN(ReferenceData!$BD$96),"",ReferenceData!$BD$96),"")</f>
        <v/>
      </c>
      <c r="BE96" t="str">
        <f ca="1">IFERROR(IF(0=LEN(ReferenceData!$BE$96),"",ReferenceData!$BE$96),"")</f>
        <v/>
      </c>
      <c r="BF96" t="str">
        <f ca="1">IFERROR(IF(0=LEN(ReferenceData!$BF$96),"",ReferenceData!$BF$96),"")</f>
        <v/>
      </c>
      <c r="BG96" t="str">
        <f ca="1">IFERROR(IF(0=LEN(ReferenceData!$BG$96),"",ReferenceData!$BG$96),"")</f>
        <v/>
      </c>
      <c r="BH96" t="str">
        <f ca="1">IFERROR(IF(0=LEN(ReferenceData!$BH$96),"",ReferenceData!$BH$96),"")</f>
        <v/>
      </c>
      <c r="BI96" t="str">
        <f ca="1">IFERROR(IF(0=LEN(ReferenceData!$BI$96),"",ReferenceData!$BI$96),"")</f>
        <v/>
      </c>
      <c r="BJ96" t="str">
        <f ca="1">IFERROR(IF(0=LEN(ReferenceData!$BJ$96),"",ReferenceData!$BJ$96),"")</f>
        <v/>
      </c>
      <c r="BK96" t="str">
        <f ca="1">IFERROR(IF(0=LEN(ReferenceData!$BK$96),"",ReferenceData!$BK$96),"")</f>
        <v/>
      </c>
      <c r="BL96" t="str">
        <f ca="1">IFERROR(IF(0=LEN(ReferenceData!$BL$96),"",ReferenceData!$BL$96),"")</f>
        <v/>
      </c>
      <c r="BM96" t="str">
        <f ca="1">IFERROR(IF(0=LEN(ReferenceData!$BM$96),"",ReferenceData!$BM$96),"")</f>
        <v/>
      </c>
      <c r="BN96" t="str">
        <f ca="1">IFERROR(IF(0=LEN(ReferenceData!$BN$96),"",ReferenceData!$BN$96),"")</f>
        <v/>
      </c>
      <c r="BO96" t="str">
        <f ca="1">IFERROR(IF(0=LEN(ReferenceData!$BO$96),"",ReferenceData!$BO$96),"")</f>
        <v/>
      </c>
      <c r="BP96" t="str">
        <f ca="1">IFERROR(IF(0=LEN(ReferenceData!$BP$96),"",ReferenceData!$BP$96),"")</f>
        <v/>
      </c>
      <c r="BQ96" t="str">
        <f ca="1">IFERROR(IF(0=LEN(ReferenceData!$BQ$96),"",ReferenceData!$BQ$96),"")</f>
        <v/>
      </c>
      <c r="BR96" t="str">
        <f ca="1">IFERROR(IF(0=LEN(ReferenceData!$BR$96),"",ReferenceData!$BR$96),"")</f>
        <v/>
      </c>
      <c r="BS96" t="str">
        <f ca="1">IFERROR(IF(0=LEN(ReferenceData!$BS$96),"",ReferenceData!$BS$96),"")</f>
        <v/>
      </c>
      <c r="BT96" t="str">
        <f ca="1">IFERROR(IF(0=LEN(ReferenceData!$BT$96),"",ReferenceData!$BT$96),"")</f>
        <v/>
      </c>
      <c r="BU96" t="str">
        <f ca="1">IFERROR(IF(0=LEN(ReferenceData!$BU$96),"",ReferenceData!$BU$96),"")</f>
        <v/>
      </c>
      <c r="BV96" t="str">
        <f ca="1">IFERROR(IF(0=LEN(ReferenceData!$BV$96),"",ReferenceData!$BV$96),"")</f>
        <v/>
      </c>
      <c r="BW96" t="str">
        <f ca="1">IFERROR(IF(0=LEN(ReferenceData!$BW$96),"",ReferenceData!$BW$96),"")</f>
        <v/>
      </c>
      <c r="BX96" t="str">
        <f ca="1">IFERROR(IF(0=LEN(ReferenceData!$BX$96),"",ReferenceData!$BX$96),"")</f>
        <v/>
      </c>
      <c r="BY96" t="str">
        <f ca="1">IFERROR(IF(0=LEN(ReferenceData!$BY$96),"",ReferenceData!$BY$96),"")</f>
        <v/>
      </c>
      <c r="BZ96" t="str">
        <f ca="1">IFERROR(IF(0=LEN(ReferenceData!$BZ$96),"",ReferenceData!$BZ$96),"")</f>
        <v/>
      </c>
      <c r="CA96" t="str">
        <f ca="1">IFERROR(IF(0=LEN(ReferenceData!$CA$96),"",ReferenceData!$CA$96),"")</f>
        <v/>
      </c>
      <c r="CB96" t="str">
        <f ca="1">IFERROR(IF(0=LEN(ReferenceData!$CB$96),"",ReferenceData!$CB$96),"")</f>
        <v/>
      </c>
      <c r="CC96" t="str">
        <f ca="1">IFERROR(IF(0=LEN(ReferenceData!$CC$96),"",ReferenceData!$CC$96),"")</f>
        <v/>
      </c>
      <c r="CD96" t="str">
        <f ca="1">IFERROR(IF(0=LEN(ReferenceData!$CD$96),"",ReferenceData!$CD$96),"")</f>
        <v/>
      </c>
      <c r="CE96" t="str">
        <f ca="1">IFERROR(IF(0=LEN(ReferenceData!$CE$96),"",ReferenceData!$CE$96),"")</f>
        <v/>
      </c>
      <c r="CF96" t="str">
        <f ca="1">IFERROR(IF(0=LEN(ReferenceData!$CF$96),"",ReferenceData!$CF$96),"")</f>
        <v/>
      </c>
      <c r="CG96" t="str">
        <f ca="1">IFERROR(IF(0=LEN(ReferenceData!$CG$96),"",ReferenceData!$CG$96),"")</f>
        <v/>
      </c>
      <c r="CH96" t="str">
        <f ca="1">IFERROR(IF(0=LEN(ReferenceData!$CH$96),"",ReferenceData!$CH$96),"")</f>
        <v/>
      </c>
      <c r="CI96" t="str">
        <f ca="1">IFERROR(IF(0=LEN(ReferenceData!$CI$96),"",ReferenceData!$CI$96),"")</f>
        <v/>
      </c>
      <c r="CJ96" t="str">
        <f ca="1">IFERROR(IF(0=LEN(ReferenceData!$CJ$96),"",ReferenceData!$CJ$96),"")</f>
        <v/>
      </c>
      <c r="CK96" t="str">
        <f ca="1">IFERROR(IF(0=LEN(ReferenceData!$CK$96),"",ReferenceData!$CK$96),"")</f>
        <v/>
      </c>
    </row>
    <row r="97" spans="1:89">
      <c r="A97" t="str">
        <f>IFERROR(IF(0=LEN(ReferenceData!$A$97),"",ReferenceData!$A$97),"")</f>
        <v xml:space="preserve">    Essex Property Trust Inc</v>
      </c>
      <c r="B97" t="str">
        <f>IFERROR(IF(0=LEN(ReferenceData!$B$97),"",ReferenceData!$B$97),"")</f>
        <v>ESS US Equity</v>
      </c>
      <c r="C97" t="str">
        <f>IFERROR(IF(0=LEN(ReferenceData!$C$97),"",ReferenceData!$C$97),"")</f>
        <v/>
      </c>
      <c r="D97" t="str">
        <f>IFERROR(IF(0=LEN(ReferenceData!$D$97),"",ReferenceData!$D$97),"")</f>
        <v/>
      </c>
      <c r="E97" t="str">
        <f>IFERROR(IF(0=LEN(ReferenceData!$E$97),"",ReferenceData!$E$97),"")</f>
        <v>Expression</v>
      </c>
      <c r="F97" t="str">
        <f ca="1">IFERROR(IF(0=LEN(ReferenceData!$F$97),"",ReferenceData!$F$97),"")</f>
        <v/>
      </c>
      <c r="G97" t="str">
        <f ca="1">IFERROR(IF(0=LEN(ReferenceData!$G$97),"",ReferenceData!$G$97),"")</f>
        <v/>
      </c>
      <c r="H97">
        <f ca="1">IFERROR(IF(0=LEN(ReferenceData!$H$97),"",ReferenceData!$H$97),"")</f>
        <v>21.712954329999999</v>
      </c>
      <c r="I97">
        <f ca="1">IFERROR(IF(0=LEN(ReferenceData!$I$97),"",ReferenceData!$I$97),"")</f>
        <v>22.581158200000001</v>
      </c>
      <c r="J97">
        <f ca="1">IFERROR(IF(0=LEN(ReferenceData!$J$97),"",ReferenceData!$J$97),"")</f>
        <v>23.158931079999999</v>
      </c>
      <c r="K97">
        <f ca="1">IFERROR(IF(0=LEN(ReferenceData!$K$97),"",ReferenceData!$K$97),"")</f>
        <v>24.290077749999998</v>
      </c>
      <c r="L97">
        <f ca="1">IFERROR(IF(0=LEN(ReferenceData!$L$97),"",ReferenceData!$L$97),"")</f>
        <v>23.49953747</v>
      </c>
      <c r="M97">
        <f ca="1">IFERROR(IF(0=LEN(ReferenceData!$M$97),"",ReferenceData!$M$97),"")</f>
        <v>24.789821979999999</v>
      </c>
      <c r="N97">
        <f ca="1">IFERROR(IF(0=LEN(ReferenceData!$N$97),"",ReferenceData!$N$97),"")</f>
        <v>24.298978640000001</v>
      </c>
      <c r="O97">
        <f ca="1">IFERROR(IF(0=LEN(ReferenceData!$O$97),"",ReferenceData!$O$97),"")</f>
        <v>24.082186650000001</v>
      </c>
      <c r="P97">
        <f ca="1">IFERROR(IF(0=LEN(ReferenceData!$P$97),"",ReferenceData!$P$97),"")</f>
        <v>24.056179780000001</v>
      </c>
      <c r="Q97">
        <f ca="1">IFERROR(IF(0=LEN(ReferenceData!$Q$97),"",ReferenceData!$Q$97),"")</f>
        <v>22.89259294</v>
      </c>
      <c r="R97">
        <f ca="1">IFERROR(IF(0=LEN(ReferenceData!$R$97),"",ReferenceData!$R$97),"")</f>
        <v>21.65450804</v>
      </c>
      <c r="S97">
        <f ca="1">IFERROR(IF(0=LEN(ReferenceData!$S$97),"",ReferenceData!$S$97),"")</f>
        <v>21.95509822</v>
      </c>
      <c r="T97">
        <f ca="1">IFERROR(IF(0=LEN(ReferenceData!$T$97),"",ReferenceData!$T$97),"")</f>
        <v>20.781988330000001</v>
      </c>
      <c r="U97">
        <f ca="1">IFERROR(IF(0=LEN(ReferenceData!$U$97),"",ReferenceData!$U$97),"")</f>
        <v>21.519807480000001</v>
      </c>
      <c r="V97">
        <f ca="1">IFERROR(IF(0=LEN(ReferenceData!$V$97),"",ReferenceData!$V$97),"")</f>
        <v>19.963017749999999</v>
      </c>
      <c r="W97">
        <f ca="1">IFERROR(IF(0=LEN(ReferenceData!$W$97),"",ReferenceData!$W$97),"")</f>
        <v>19.770061869999999</v>
      </c>
      <c r="X97">
        <f ca="1">IFERROR(IF(0=LEN(ReferenceData!$X$97),"",ReferenceData!$X$97),"")</f>
        <v>20.593674870000001</v>
      </c>
      <c r="Y97">
        <f ca="1">IFERROR(IF(0=LEN(ReferenceData!$Y$97),"",ReferenceData!$Y$97),"")</f>
        <v>20.986969779999999</v>
      </c>
      <c r="Z97">
        <f ca="1">IFERROR(IF(0=LEN(ReferenceData!$Z$97),"",ReferenceData!$Z$97),"")</f>
        <v>21.61752473</v>
      </c>
      <c r="AA97">
        <f ca="1">IFERROR(IF(0=LEN(ReferenceData!$AA$97),"",ReferenceData!$AA$97),"")</f>
        <v>21.094053450000001</v>
      </c>
      <c r="AB97">
        <f ca="1">IFERROR(IF(0=LEN(ReferenceData!$AB$97),"",ReferenceData!$AB$97),"")</f>
        <v>20.908170779999999</v>
      </c>
      <c r="AC97">
        <f ca="1">IFERROR(IF(0=LEN(ReferenceData!$AC$97),"",ReferenceData!$AC$97),"")</f>
        <v>20.123231400000002</v>
      </c>
      <c r="AD97">
        <f ca="1">IFERROR(IF(0=LEN(ReferenceData!$AD$97),"",ReferenceData!$AD$97),"")</f>
        <v>21.390286289999999</v>
      </c>
      <c r="AE97">
        <f ca="1">IFERROR(IF(0=LEN(ReferenceData!$AE$97),"",ReferenceData!$AE$97),"")</f>
        <v>19.061845340000001</v>
      </c>
      <c r="AF97">
        <f ca="1">IFERROR(IF(0=LEN(ReferenceData!$AF$97),"",ReferenceData!$AF$97),"")</f>
        <v>19.533455549999999</v>
      </c>
      <c r="AG97">
        <f ca="1">IFERROR(IF(0=LEN(ReferenceData!$AG$97),"",ReferenceData!$AG$97),"")</f>
        <v>21.742802650000002</v>
      </c>
      <c r="AH97">
        <f ca="1">IFERROR(IF(0=LEN(ReferenceData!$AH$97),"",ReferenceData!$AH$97),"")</f>
        <v>20.769438439999998</v>
      </c>
      <c r="AI97">
        <f ca="1">IFERROR(IF(0=LEN(ReferenceData!$AI$97),"",ReferenceData!$AI$97),"")</f>
        <v>20.467966570000002</v>
      </c>
      <c r="AJ97">
        <f ca="1">IFERROR(IF(0=LEN(ReferenceData!$AJ$97),"",ReferenceData!$AJ$97),"")</f>
        <v>21.77582846</v>
      </c>
      <c r="AK97">
        <f ca="1">IFERROR(IF(0=LEN(ReferenceData!$AK$97),"",ReferenceData!$AK$97),"")</f>
        <v>20.91812865</v>
      </c>
      <c r="AL97">
        <f ca="1">IFERROR(IF(0=LEN(ReferenceData!$AL$97),"",ReferenceData!$AL$97),"")</f>
        <v>20.921860469999999</v>
      </c>
      <c r="AM97" t="str">
        <f ca="1">IFERROR(IF(0=LEN(ReferenceData!$AM$97),"",ReferenceData!$AM$97),"")</f>
        <v/>
      </c>
      <c r="AN97">
        <f ca="1">IFERROR(IF(0=LEN(ReferenceData!$AN$97),"",ReferenceData!$AN$97),"")</f>
        <v>21.171659529999999</v>
      </c>
      <c r="AO97">
        <f ca="1">IFERROR(IF(0=LEN(ReferenceData!$AO$97),"",ReferenceData!$AO$97),"")</f>
        <v>21.218929249999999</v>
      </c>
      <c r="AP97">
        <f ca="1">IFERROR(IF(0=LEN(ReferenceData!$AP$97),"",ReferenceData!$AP$97),"")</f>
        <v>22.89840637</v>
      </c>
      <c r="AQ97">
        <f ca="1">IFERROR(IF(0=LEN(ReferenceData!$AQ$97),"",ReferenceData!$AQ$97),"")</f>
        <v>22.422379029999998</v>
      </c>
      <c r="AR97" t="str">
        <f ca="1">IFERROR(IF(0=LEN(ReferenceData!$AR$97),"",ReferenceData!$AR$97),"")</f>
        <v/>
      </c>
      <c r="AS97" t="str">
        <f ca="1">IFERROR(IF(0=LEN(ReferenceData!$AS$97),"",ReferenceData!$AS$97),"")</f>
        <v/>
      </c>
      <c r="AT97" t="str">
        <f ca="1">IFERROR(IF(0=LEN(ReferenceData!$AT$97),"",ReferenceData!$AT$97),"")</f>
        <v/>
      </c>
      <c r="AU97" t="str">
        <f ca="1">IFERROR(IF(0=LEN(ReferenceData!$AU$97),"",ReferenceData!$AU$97),"")</f>
        <v/>
      </c>
      <c r="AV97" t="str">
        <f ca="1">IFERROR(IF(0=LEN(ReferenceData!$AV$97),"",ReferenceData!$AV$97),"")</f>
        <v/>
      </c>
      <c r="AW97" t="str">
        <f ca="1">IFERROR(IF(0=LEN(ReferenceData!$AW$97),"",ReferenceData!$AW$97),"")</f>
        <v/>
      </c>
      <c r="AX97" t="str">
        <f ca="1">IFERROR(IF(0=LEN(ReferenceData!$AX$97),"",ReferenceData!$AX$97),"")</f>
        <v/>
      </c>
      <c r="AY97" t="str">
        <f ca="1">IFERROR(IF(0=LEN(ReferenceData!$AY$97),"",ReferenceData!$AY$97),"")</f>
        <v/>
      </c>
      <c r="AZ97" t="str">
        <f ca="1">IFERROR(IF(0=LEN(ReferenceData!$AZ$97),"",ReferenceData!$AZ$97),"")</f>
        <v/>
      </c>
      <c r="BA97" t="str">
        <f ca="1">IFERROR(IF(0=LEN(ReferenceData!$BA$97),"",ReferenceData!$BA$97),"")</f>
        <v/>
      </c>
      <c r="BB97" t="str">
        <f ca="1">IFERROR(IF(0=LEN(ReferenceData!$BB$97),"",ReferenceData!$BB$97),"")</f>
        <v/>
      </c>
      <c r="BC97" t="str">
        <f ca="1">IFERROR(IF(0=LEN(ReferenceData!$BC$97),"",ReferenceData!$BC$97),"")</f>
        <v/>
      </c>
      <c r="BD97" t="str">
        <f ca="1">IFERROR(IF(0=LEN(ReferenceData!$BD$97),"",ReferenceData!$BD$97),"")</f>
        <v/>
      </c>
      <c r="BE97" t="str">
        <f ca="1">IFERROR(IF(0=LEN(ReferenceData!$BE$97),"",ReferenceData!$BE$97),"")</f>
        <v/>
      </c>
      <c r="BF97" t="str">
        <f ca="1">IFERROR(IF(0=LEN(ReferenceData!$BF$97),"",ReferenceData!$BF$97),"")</f>
        <v/>
      </c>
      <c r="BG97" t="str">
        <f ca="1">IFERROR(IF(0=LEN(ReferenceData!$BG$97),"",ReferenceData!$BG$97),"")</f>
        <v/>
      </c>
      <c r="BH97" t="str">
        <f ca="1">IFERROR(IF(0=LEN(ReferenceData!$BH$97),"",ReferenceData!$BH$97),"")</f>
        <v/>
      </c>
      <c r="BI97" t="str">
        <f ca="1">IFERROR(IF(0=LEN(ReferenceData!$BI$97),"",ReferenceData!$BI$97),"")</f>
        <v/>
      </c>
      <c r="BJ97" t="str">
        <f ca="1">IFERROR(IF(0=LEN(ReferenceData!$BJ$97),"",ReferenceData!$BJ$97),"")</f>
        <v/>
      </c>
      <c r="BK97" t="str">
        <f ca="1">IFERROR(IF(0=LEN(ReferenceData!$BK$97),"",ReferenceData!$BK$97),"")</f>
        <v/>
      </c>
      <c r="BL97" t="str">
        <f ca="1">IFERROR(IF(0=LEN(ReferenceData!$BL$97),"",ReferenceData!$BL$97),"")</f>
        <v/>
      </c>
      <c r="BM97" t="str">
        <f ca="1">IFERROR(IF(0=LEN(ReferenceData!$BM$97),"",ReferenceData!$BM$97),"")</f>
        <v/>
      </c>
      <c r="BN97" t="str">
        <f ca="1">IFERROR(IF(0=LEN(ReferenceData!$BN$97),"",ReferenceData!$BN$97),"")</f>
        <v/>
      </c>
      <c r="BO97" t="str">
        <f ca="1">IFERROR(IF(0=LEN(ReferenceData!$BO$97),"",ReferenceData!$BO$97),"")</f>
        <v/>
      </c>
      <c r="BP97" t="str">
        <f ca="1">IFERROR(IF(0=LEN(ReferenceData!$BP$97),"",ReferenceData!$BP$97),"")</f>
        <v/>
      </c>
      <c r="BQ97" t="str">
        <f ca="1">IFERROR(IF(0=LEN(ReferenceData!$BQ$97),"",ReferenceData!$BQ$97),"")</f>
        <v/>
      </c>
      <c r="BR97" t="str">
        <f ca="1">IFERROR(IF(0=LEN(ReferenceData!$BR$97),"",ReferenceData!$BR$97),"")</f>
        <v/>
      </c>
      <c r="BS97" t="str">
        <f ca="1">IFERROR(IF(0=LEN(ReferenceData!$BS$97),"",ReferenceData!$BS$97),"")</f>
        <v/>
      </c>
      <c r="BT97" t="str">
        <f ca="1">IFERROR(IF(0=LEN(ReferenceData!$BT$97),"",ReferenceData!$BT$97),"")</f>
        <v/>
      </c>
      <c r="BU97" t="str">
        <f ca="1">IFERROR(IF(0=LEN(ReferenceData!$BU$97),"",ReferenceData!$BU$97),"")</f>
        <v/>
      </c>
      <c r="BV97" t="str">
        <f ca="1">IFERROR(IF(0=LEN(ReferenceData!$BV$97),"",ReferenceData!$BV$97),"")</f>
        <v/>
      </c>
      <c r="BW97" t="str">
        <f ca="1">IFERROR(IF(0=LEN(ReferenceData!$BW$97),"",ReferenceData!$BW$97),"")</f>
        <v/>
      </c>
      <c r="BX97" t="str">
        <f ca="1">IFERROR(IF(0=LEN(ReferenceData!$BX$97),"",ReferenceData!$BX$97),"")</f>
        <v/>
      </c>
      <c r="BY97" t="str">
        <f ca="1">IFERROR(IF(0=LEN(ReferenceData!$BY$97),"",ReferenceData!$BY$97),"")</f>
        <v/>
      </c>
      <c r="BZ97" t="str">
        <f ca="1">IFERROR(IF(0=LEN(ReferenceData!$BZ$97),"",ReferenceData!$BZ$97),"")</f>
        <v/>
      </c>
      <c r="CA97" t="str">
        <f ca="1">IFERROR(IF(0=LEN(ReferenceData!$CA$97),"",ReferenceData!$CA$97),"")</f>
        <v/>
      </c>
      <c r="CB97" t="str">
        <f ca="1">IFERROR(IF(0=LEN(ReferenceData!$CB$97),"",ReferenceData!$CB$97),"")</f>
        <v/>
      </c>
      <c r="CC97" t="str">
        <f ca="1">IFERROR(IF(0=LEN(ReferenceData!$CC$97),"",ReferenceData!$CC$97),"")</f>
        <v/>
      </c>
      <c r="CD97" t="str">
        <f ca="1">IFERROR(IF(0=LEN(ReferenceData!$CD$97),"",ReferenceData!$CD$97),"")</f>
        <v/>
      </c>
      <c r="CE97" t="str">
        <f ca="1">IFERROR(IF(0=LEN(ReferenceData!$CE$97),"",ReferenceData!$CE$97),"")</f>
        <v/>
      </c>
      <c r="CF97" t="str">
        <f ca="1">IFERROR(IF(0=LEN(ReferenceData!$CF$97),"",ReferenceData!$CF$97),"")</f>
        <v/>
      </c>
      <c r="CG97" t="str">
        <f ca="1">IFERROR(IF(0=LEN(ReferenceData!$CG$97),"",ReferenceData!$CG$97),"")</f>
        <v/>
      </c>
      <c r="CH97" t="str">
        <f ca="1">IFERROR(IF(0=LEN(ReferenceData!$CH$97),"",ReferenceData!$CH$97),"")</f>
        <v/>
      </c>
      <c r="CI97" t="str">
        <f ca="1">IFERROR(IF(0=LEN(ReferenceData!$CI$97),"",ReferenceData!$CI$97),"")</f>
        <v/>
      </c>
      <c r="CJ97" t="str">
        <f ca="1">IFERROR(IF(0=LEN(ReferenceData!$CJ$97),"",ReferenceData!$CJ$97),"")</f>
        <v/>
      </c>
      <c r="CK97" t="str">
        <f ca="1">IFERROR(IF(0=LEN(ReferenceData!$CK$97),"",ReferenceData!$CK$97),"")</f>
        <v/>
      </c>
    </row>
    <row r="98" spans="1:89">
      <c r="A98" t="str">
        <f>IFERROR(IF(0=LEN(ReferenceData!$A$98),"",ReferenceData!$A$98),"")</f>
        <v xml:space="preserve">    Mid-America Apartment Communit</v>
      </c>
      <c r="B98" t="str">
        <f>IFERROR(IF(0=LEN(ReferenceData!$B$98),"",ReferenceData!$B$98),"")</f>
        <v>MAA US Equity</v>
      </c>
      <c r="C98" t="str">
        <f>IFERROR(IF(0=LEN(ReferenceData!$C$98),"",ReferenceData!$C$98),"")</f>
        <v/>
      </c>
      <c r="D98" t="str">
        <f>IFERROR(IF(0=LEN(ReferenceData!$D$98),"",ReferenceData!$D$98),"")</f>
        <v/>
      </c>
      <c r="E98" t="str">
        <f>IFERROR(IF(0=LEN(ReferenceData!$E$98),"",ReferenceData!$E$98),"")</f>
        <v>Expression</v>
      </c>
      <c r="F98" t="str">
        <f ca="1">IFERROR(IF(0=LEN(ReferenceData!$F$98),"",ReferenceData!$F$98),"")</f>
        <v/>
      </c>
      <c r="G98" t="str">
        <f ca="1">IFERROR(IF(0=LEN(ReferenceData!$G$98),"",ReferenceData!$G$98),"")</f>
        <v/>
      </c>
      <c r="H98">
        <f ca="1">IFERROR(IF(0=LEN(ReferenceData!$H$98),"",ReferenceData!$H$98),"")</f>
        <v>17.756469930000002</v>
      </c>
      <c r="I98">
        <f ca="1">IFERROR(IF(0=LEN(ReferenceData!$I$98),"",ReferenceData!$I$98),"")</f>
        <v>18.952129660000001</v>
      </c>
      <c r="J98">
        <f ca="1">IFERROR(IF(0=LEN(ReferenceData!$J$98),"",ReferenceData!$J$98),"")</f>
        <v>19.012620640000002</v>
      </c>
      <c r="K98">
        <f ca="1">IFERROR(IF(0=LEN(ReferenceData!$K$98),"",ReferenceData!$K$98),"")</f>
        <v>19.23149192</v>
      </c>
      <c r="L98">
        <f ca="1">IFERROR(IF(0=LEN(ReferenceData!$L$98),"",ReferenceData!$L$98),"")</f>
        <v>19.818282960000001</v>
      </c>
      <c r="M98">
        <f ca="1">IFERROR(IF(0=LEN(ReferenceData!$M$98),"",ReferenceData!$M$98),"")</f>
        <v>19.96249766</v>
      </c>
      <c r="N98">
        <f ca="1">IFERROR(IF(0=LEN(ReferenceData!$N$98),"",ReferenceData!$N$98),"")</f>
        <v>19.387640449999999</v>
      </c>
      <c r="O98">
        <f ca="1">IFERROR(IF(0=LEN(ReferenceData!$O$98),"",ReferenceData!$O$98),"")</f>
        <v>19.737778609999999</v>
      </c>
      <c r="P98">
        <f ca="1">IFERROR(IF(0=LEN(ReferenceData!$P$98),"",ReferenceData!$P$98),"")</f>
        <v>19.09704009</v>
      </c>
      <c r="Q98">
        <f ca="1">IFERROR(IF(0=LEN(ReferenceData!$Q$98),"",ReferenceData!$Q$98),"")</f>
        <v>18.843304839999998</v>
      </c>
      <c r="R98">
        <f ca="1">IFERROR(IF(0=LEN(ReferenceData!$R$98),"",ReferenceData!$R$98),"")</f>
        <v>19.397521449999999</v>
      </c>
      <c r="S98">
        <f ca="1">IFERROR(IF(0=LEN(ReferenceData!$S$98),"",ReferenceData!$S$98),"")</f>
        <v>19.545281580000001</v>
      </c>
      <c r="T98">
        <f ca="1">IFERROR(IF(0=LEN(ReferenceData!$T$98),"",ReferenceData!$T$98),"")</f>
        <v>17.871259179999999</v>
      </c>
      <c r="U98">
        <f ca="1">IFERROR(IF(0=LEN(ReferenceData!$U$98),"",ReferenceData!$U$98),"")</f>
        <v>18.47198642</v>
      </c>
      <c r="V98">
        <f ca="1">IFERROR(IF(0=LEN(ReferenceData!$V$98),"",ReferenceData!$V$98),"")</f>
        <v>16.92776649</v>
      </c>
      <c r="W98">
        <f ca="1">IFERROR(IF(0=LEN(ReferenceData!$W$98),"",ReferenceData!$W$98),"")</f>
        <v>17.074742270000002</v>
      </c>
      <c r="X98">
        <f ca="1">IFERROR(IF(0=LEN(ReferenceData!$X$98),"",ReferenceData!$X$98),"")</f>
        <v>17.473508089999999</v>
      </c>
      <c r="Y98">
        <f ca="1">IFERROR(IF(0=LEN(ReferenceData!$Y$98),"",ReferenceData!$Y$98),"")</f>
        <v>17.48976554</v>
      </c>
      <c r="Z98">
        <f ca="1">IFERROR(IF(0=LEN(ReferenceData!$Z$98),"",ReferenceData!$Z$98),"")</f>
        <v>19.137184120000001</v>
      </c>
      <c r="AA98">
        <f ca="1">IFERROR(IF(0=LEN(ReferenceData!$AA$98),"",ReferenceData!$AA$98),"")</f>
        <v>19.271871040000001</v>
      </c>
      <c r="AB98">
        <f ca="1">IFERROR(IF(0=LEN(ReferenceData!$AB$98),"",ReferenceData!$AB$98),"")</f>
        <v>18.657608700000001</v>
      </c>
      <c r="AC98">
        <f ca="1">IFERROR(IF(0=LEN(ReferenceData!$AC$98),"",ReferenceData!$AC$98),"")</f>
        <v>17.40498272</v>
      </c>
      <c r="AD98">
        <f ca="1">IFERROR(IF(0=LEN(ReferenceData!$AD$98),"",ReferenceData!$AD$98),"")</f>
        <v>18.644655239999999</v>
      </c>
      <c r="AE98">
        <f ca="1">IFERROR(IF(0=LEN(ReferenceData!$AE$98),"",ReferenceData!$AE$98),"")</f>
        <v>16.454445660000001</v>
      </c>
      <c r="AF98">
        <f ca="1">IFERROR(IF(0=LEN(ReferenceData!$AF$98),"",ReferenceData!$AF$98),"")</f>
        <v>17.064387050000001</v>
      </c>
      <c r="AG98">
        <f ca="1">IFERROR(IF(0=LEN(ReferenceData!$AG$98),"",ReferenceData!$AG$98),"")</f>
        <v>16.468988029999998</v>
      </c>
      <c r="AH98">
        <f ca="1">IFERROR(IF(0=LEN(ReferenceData!$AH$98),"",ReferenceData!$AH$98),"")</f>
        <v>16.002891219999999</v>
      </c>
      <c r="AI98">
        <f ca="1">IFERROR(IF(0=LEN(ReferenceData!$AI$98),"",ReferenceData!$AI$98),"")</f>
        <v>15.20435481</v>
      </c>
      <c r="AJ98">
        <f ca="1">IFERROR(IF(0=LEN(ReferenceData!$AJ$98),"",ReferenceData!$AJ$98),"")</f>
        <v>15.04963235</v>
      </c>
      <c r="AK98">
        <f ca="1">IFERROR(IF(0=LEN(ReferenceData!$AK$98),"",ReferenceData!$AK$98),"")</f>
        <v>14.44669118</v>
      </c>
      <c r="AL98">
        <f ca="1">IFERROR(IF(0=LEN(ReferenceData!$AL$98),"",ReferenceData!$AL$98),"")</f>
        <v>14.76838235</v>
      </c>
      <c r="AM98">
        <f ca="1">IFERROR(IF(0=LEN(ReferenceData!$AM$98),"",ReferenceData!$AM$98),"")</f>
        <v>13.335164839999999</v>
      </c>
      <c r="AN98">
        <f ca="1">IFERROR(IF(0=LEN(ReferenceData!$AN$98),"",ReferenceData!$AN$98),"")</f>
        <v>13.99084249</v>
      </c>
      <c r="AO98">
        <f ca="1">IFERROR(IF(0=LEN(ReferenceData!$AO$98),"",ReferenceData!$AO$98),"")</f>
        <v>14.18441065</v>
      </c>
      <c r="AP98" t="str">
        <f ca="1">IFERROR(IF(0=LEN(ReferenceData!$AP$98),"",ReferenceData!$AP$98),"")</f>
        <v/>
      </c>
      <c r="AQ98" t="str">
        <f ca="1">IFERROR(IF(0=LEN(ReferenceData!$AQ$98),"",ReferenceData!$AQ$98),"")</f>
        <v/>
      </c>
      <c r="AR98" t="str">
        <f ca="1">IFERROR(IF(0=LEN(ReferenceData!$AR$98),"",ReferenceData!$AR$98),"")</f>
        <v/>
      </c>
      <c r="AS98" t="str">
        <f ca="1">IFERROR(IF(0=LEN(ReferenceData!$AS$98),"",ReferenceData!$AS$98),"")</f>
        <v/>
      </c>
      <c r="AT98" t="str">
        <f ca="1">IFERROR(IF(0=LEN(ReferenceData!$AT$98),"",ReferenceData!$AT$98),"")</f>
        <v/>
      </c>
      <c r="AU98" t="str">
        <f ca="1">IFERROR(IF(0=LEN(ReferenceData!$AU$98),"",ReferenceData!$AU$98),"")</f>
        <v/>
      </c>
      <c r="AV98" t="str">
        <f ca="1">IFERROR(IF(0=LEN(ReferenceData!$AV$98),"",ReferenceData!$AV$98),"")</f>
        <v/>
      </c>
      <c r="AW98" t="str">
        <f ca="1">IFERROR(IF(0=LEN(ReferenceData!$AW$98),"",ReferenceData!$AW$98),"")</f>
        <v/>
      </c>
      <c r="AX98" t="str">
        <f ca="1">IFERROR(IF(0=LEN(ReferenceData!$AX$98),"",ReferenceData!$AX$98),"")</f>
        <v/>
      </c>
      <c r="AY98" t="str">
        <f ca="1">IFERROR(IF(0=LEN(ReferenceData!$AY$98),"",ReferenceData!$AY$98),"")</f>
        <v/>
      </c>
      <c r="AZ98" t="str">
        <f ca="1">IFERROR(IF(0=LEN(ReferenceData!$AZ$98),"",ReferenceData!$AZ$98),"")</f>
        <v/>
      </c>
      <c r="BA98" t="str">
        <f ca="1">IFERROR(IF(0=LEN(ReferenceData!$BA$98),"",ReferenceData!$BA$98),"")</f>
        <v/>
      </c>
      <c r="BB98" t="str">
        <f ca="1">IFERROR(IF(0=LEN(ReferenceData!$BB$98),"",ReferenceData!$BB$98),"")</f>
        <v/>
      </c>
      <c r="BC98" t="str">
        <f ca="1">IFERROR(IF(0=LEN(ReferenceData!$BC$98),"",ReferenceData!$BC$98),"")</f>
        <v/>
      </c>
      <c r="BD98" t="str">
        <f ca="1">IFERROR(IF(0=LEN(ReferenceData!$BD$98),"",ReferenceData!$BD$98),"")</f>
        <v/>
      </c>
      <c r="BE98" t="str">
        <f ca="1">IFERROR(IF(0=LEN(ReferenceData!$BE$98),"",ReferenceData!$BE$98),"")</f>
        <v/>
      </c>
      <c r="BF98" t="str">
        <f ca="1">IFERROR(IF(0=LEN(ReferenceData!$BF$98),"",ReferenceData!$BF$98),"")</f>
        <v/>
      </c>
      <c r="BG98" t="str">
        <f ca="1">IFERROR(IF(0=LEN(ReferenceData!$BG$98),"",ReferenceData!$BG$98),"")</f>
        <v/>
      </c>
      <c r="BH98" t="str">
        <f ca="1">IFERROR(IF(0=LEN(ReferenceData!$BH$98),"",ReferenceData!$BH$98),"")</f>
        <v/>
      </c>
      <c r="BI98" t="str">
        <f ca="1">IFERROR(IF(0=LEN(ReferenceData!$BI$98),"",ReferenceData!$BI$98),"")</f>
        <v/>
      </c>
      <c r="BJ98" t="str">
        <f ca="1">IFERROR(IF(0=LEN(ReferenceData!$BJ$98),"",ReferenceData!$BJ$98),"")</f>
        <v/>
      </c>
      <c r="BK98" t="str">
        <f ca="1">IFERROR(IF(0=LEN(ReferenceData!$BK$98),"",ReferenceData!$BK$98),"")</f>
        <v/>
      </c>
      <c r="BL98" t="str">
        <f ca="1">IFERROR(IF(0=LEN(ReferenceData!$BL$98),"",ReferenceData!$BL$98),"")</f>
        <v/>
      </c>
      <c r="BM98" t="str">
        <f ca="1">IFERROR(IF(0=LEN(ReferenceData!$BM$98),"",ReferenceData!$BM$98),"")</f>
        <v/>
      </c>
      <c r="BN98" t="str">
        <f ca="1">IFERROR(IF(0=LEN(ReferenceData!$BN$98),"",ReferenceData!$BN$98),"")</f>
        <v/>
      </c>
      <c r="BO98" t="str">
        <f ca="1">IFERROR(IF(0=LEN(ReferenceData!$BO$98),"",ReferenceData!$BO$98),"")</f>
        <v/>
      </c>
      <c r="BP98" t="str">
        <f ca="1">IFERROR(IF(0=LEN(ReferenceData!$BP$98),"",ReferenceData!$BP$98),"")</f>
        <v/>
      </c>
      <c r="BQ98" t="str">
        <f ca="1">IFERROR(IF(0=LEN(ReferenceData!$BQ$98),"",ReferenceData!$BQ$98),"")</f>
        <v/>
      </c>
      <c r="BR98" t="str">
        <f ca="1">IFERROR(IF(0=LEN(ReferenceData!$BR$98),"",ReferenceData!$BR$98),"")</f>
        <v/>
      </c>
      <c r="BS98" t="str">
        <f ca="1">IFERROR(IF(0=LEN(ReferenceData!$BS$98),"",ReferenceData!$BS$98),"")</f>
        <v/>
      </c>
      <c r="BT98" t="str">
        <f ca="1">IFERROR(IF(0=LEN(ReferenceData!$BT$98),"",ReferenceData!$BT$98),"")</f>
        <v/>
      </c>
      <c r="BU98" t="str">
        <f ca="1">IFERROR(IF(0=LEN(ReferenceData!$BU$98),"",ReferenceData!$BU$98),"")</f>
        <v/>
      </c>
      <c r="BV98" t="str">
        <f ca="1">IFERROR(IF(0=LEN(ReferenceData!$BV$98),"",ReferenceData!$BV$98),"")</f>
        <v/>
      </c>
      <c r="BW98" t="str">
        <f ca="1">IFERROR(IF(0=LEN(ReferenceData!$BW$98),"",ReferenceData!$BW$98),"")</f>
        <v/>
      </c>
      <c r="BX98" t="str">
        <f ca="1">IFERROR(IF(0=LEN(ReferenceData!$BX$98),"",ReferenceData!$BX$98),"")</f>
        <v/>
      </c>
      <c r="BY98" t="str">
        <f ca="1">IFERROR(IF(0=LEN(ReferenceData!$BY$98),"",ReferenceData!$BY$98),"")</f>
        <v/>
      </c>
      <c r="BZ98" t="str">
        <f ca="1">IFERROR(IF(0=LEN(ReferenceData!$BZ$98),"",ReferenceData!$BZ$98),"")</f>
        <v/>
      </c>
      <c r="CA98" t="str">
        <f ca="1">IFERROR(IF(0=LEN(ReferenceData!$CA$98),"",ReferenceData!$CA$98),"")</f>
        <v/>
      </c>
      <c r="CB98" t="str">
        <f ca="1">IFERROR(IF(0=LEN(ReferenceData!$CB$98),"",ReferenceData!$CB$98),"")</f>
        <v/>
      </c>
      <c r="CC98" t="str">
        <f ca="1">IFERROR(IF(0=LEN(ReferenceData!$CC$98),"",ReferenceData!$CC$98),"")</f>
        <v/>
      </c>
      <c r="CD98" t="str">
        <f ca="1">IFERROR(IF(0=LEN(ReferenceData!$CD$98),"",ReferenceData!$CD$98),"")</f>
        <v/>
      </c>
      <c r="CE98" t="str">
        <f ca="1">IFERROR(IF(0=LEN(ReferenceData!$CE$98),"",ReferenceData!$CE$98),"")</f>
        <v/>
      </c>
      <c r="CF98" t="str">
        <f ca="1">IFERROR(IF(0=LEN(ReferenceData!$CF$98),"",ReferenceData!$CF$98),"")</f>
        <v/>
      </c>
      <c r="CG98" t="str">
        <f ca="1">IFERROR(IF(0=LEN(ReferenceData!$CG$98),"",ReferenceData!$CG$98),"")</f>
        <v/>
      </c>
      <c r="CH98" t="str">
        <f ca="1">IFERROR(IF(0=LEN(ReferenceData!$CH$98),"",ReferenceData!$CH$98),"")</f>
        <v/>
      </c>
      <c r="CI98" t="str">
        <f ca="1">IFERROR(IF(0=LEN(ReferenceData!$CI$98),"",ReferenceData!$CI$98),"")</f>
        <v/>
      </c>
      <c r="CJ98" t="str">
        <f ca="1">IFERROR(IF(0=LEN(ReferenceData!$CJ$98),"",ReferenceData!$CJ$98),"")</f>
        <v/>
      </c>
      <c r="CK98" t="str">
        <f ca="1">IFERROR(IF(0=LEN(ReferenceData!$CK$98),"",ReferenceData!$CK$98),"")</f>
        <v/>
      </c>
    </row>
    <row r="99" spans="1:89">
      <c r="A99" t="str">
        <f>IFERROR(IF(0=LEN(ReferenceData!$A$99),"",ReferenceData!$A$99),"")</f>
        <v xml:space="preserve">    Monogram Residential Trust Inc</v>
      </c>
      <c r="B99" t="str">
        <f>IFERROR(IF(0=LEN(ReferenceData!$B$99),"",ReferenceData!$B$99),"")</f>
        <v>MORE US Equity</v>
      </c>
      <c r="C99" t="str">
        <f>IFERROR(IF(0=LEN(ReferenceData!$C$99),"",ReferenceData!$C$99),"")</f>
        <v/>
      </c>
      <c r="D99" t="str">
        <f>IFERROR(IF(0=LEN(ReferenceData!$D$99),"",ReferenceData!$D$99),"")</f>
        <v/>
      </c>
      <c r="E99" t="str">
        <f>IFERROR(IF(0=LEN(ReferenceData!$E$99),"",ReferenceData!$E$99),"")</f>
        <v>Expression</v>
      </c>
      <c r="F99" t="str">
        <f ca="1">IFERROR(IF(0=LEN(ReferenceData!$F$99),"",ReferenceData!$F$99),"")</f>
        <v/>
      </c>
      <c r="G99" t="str">
        <f ca="1">IFERROR(IF(0=LEN(ReferenceData!$G$99),"",ReferenceData!$G$99),"")</f>
        <v/>
      </c>
      <c r="H99" t="str">
        <f ca="1">IFERROR(IF(0=LEN(ReferenceData!$H$99),"",ReferenceData!$H$99),"")</f>
        <v/>
      </c>
      <c r="I99" t="str">
        <f ca="1">IFERROR(IF(0=LEN(ReferenceData!$I$99),"",ReferenceData!$I$99),"")</f>
        <v/>
      </c>
      <c r="J99" t="str">
        <f ca="1">IFERROR(IF(0=LEN(ReferenceData!$J$99),"",ReferenceData!$J$99),"")</f>
        <v/>
      </c>
      <c r="K99" t="str">
        <f ca="1">IFERROR(IF(0=LEN(ReferenceData!$K$99),"",ReferenceData!$K$99),"")</f>
        <v/>
      </c>
      <c r="L99">
        <f ca="1">IFERROR(IF(0=LEN(ReferenceData!$L$99),"",ReferenceData!$L$99),"")</f>
        <v>29.243902439999999</v>
      </c>
      <c r="M99">
        <f ca="1">IFERROR(IF(0=LEN(ReferenceData!$M$99),"",ReferenceData!$M$99),"")</f>
        <v>28.915662650000002</v>
      </c>
      <c r="N99">
        <f ca="1">IFERROR(IF(0=LEN(ReferenceData!$N$99),"",ReferenceData!$N$99),"")</f>
        <v>29.313725489999999</v>
      </c>
      <c r="O99">
        <f ca="1">IFERROR(IF(0=LEN(ReferenceData!$O$99),"",ReferenceData!$O$99),"")</f>
        <v>23.68292683</v>
      </c>
      <c r="P99">
        <f ca="1">IFERROR(IF(0=LEN(ReferenceData!$P$99),"",ReferenceData!$P$99),"")</f>
        <v>23.487804879999999</v>
      </c>
      <c r="Q99">
        <f ca="1">IFERROR(IF(0=LEN(ReferenceData!$Q$99),"",ReferenceData!$Q$99),"")</f>
        <v>25.012285009999999</v>
      </c>
      <c r="R99">
        <f ca="1">IFERROR(IF(0=LEN(ReferenceData!$R$99),"",ReferenceData!$R$99),"")</f>
        <v>24.4963145</v>
      </c>
      <c r="S99">
        <f ca="1">IFERROR(IF(0=LEN(ReferenceData!$S$99),"",ReferenceData!$S$99),"")</f>
        <v>25.725000000000001</v>
      </c>
      <c r="T99">
        <f ca="1">IFERROR(IF(0=LEN(ReferenceData!$T$99),"",ReferenceData!$T$99),"")</f>
        <v>24.388489209999999</v>
      </c>
      <c r="U99">
        <f ca="1">IFERROR(IF(0=LEN(ReferenceData!$U$99),"",ReferenceData!$U$99),"")</f>
        <v>24.98845266</v>
      </c>
      <c r="V99">
        <f ca="1">IFERROR(IF(0=LEN(ReferenceData!$V$99),"",ReferenceData!$V$99),"")</f>
        <v>24.488372089999999</v>
      </c>
      <c r="W99">
        <f ca="1">IFERROR(IF(0=LEN(ReferenceData!$W$99),"",ReferenceData!$W$99),"")</f>
        <v>23.954545450000001</v>
      </c>
      <c r="X99">
        <f ca="1">IFERROR(IF(0=LEN(ReferenceData!$X$99),"",ReferenceData!$X$99),"")</f>
        <v>23.644444440000001</v>
      </c>
      <c r="Y99">
        <f ca="1">IFERROR(IF(0=LEN(ReferenceData!$Y$99),"",ReferenceData!$Y$99),"")</f>
        <v>23.377777779999999</v>
      </c>
      <c r="Z99">
        <f ca="1">IFERROR(IF(0=LEN(ReferenceData!$Z$99),"",ReferenceData!$Z$99),"")</f>
        <v>22.3125</v>
      </c>
      <c r="AA99">
        <f ca="1">IFERROR(IF(0=LEN(ReferenceData!$AA$99),"",ReferenceData!$AA$99),"")</f>
        <v>20.83673469</v>
      </c>
      <c r="AB99">
        <f ca="1">IFERROR(IF(0=LEN(ReferenceData!$AB$99),"",ReferenceData!$AB$99),"")</f>
        <v>23.045454549999999</v>
      </c>
      <c r="AC99" t="str">
        <f ca="1">IFERROR(IF(0=LEN(ReferenceData!$AC$99),"",ReferenceData!$AC$99),"")</f>
        <v/>
      </c>
      <c r="AD99" t="str">
        <f ca="1">IFERROR(IF(0=LEN(ReferenceData!$AD$99),"",ReferenceData!$AD$99),"")</f>
        <v/>
      </c>
      <c r="AE99">
        <f ca="1">IFERROR(IF(0=LEN(ReferenceData!$AE$99),"",ReferenceData!$AE$99),"")</f>
        <v>16.214285709999999</v>
      </c>
      <c r="AF99">
        <f ca="1">IFERROR(IF(0=LEN(ReferenceData!$AF$99),"",ReferenceData!$AF$99),"")</f>
        <v>16.148148150000001</v>
      </c>
      <c r="AG99">
        <f ca="1">IFERROR(IF(0=LEN(ReferenceData!$AG$99),"",ReferenceData!$AG$99),"")</f>
        <v>18.074074070000002</v>
      </c>
      <c r="AH99" t="str">
        <f ca="1">IFERROR(IF(0=LEN(ReferenceData!$AH$99),"",ReferenceData!$AH$99),"")</f>
        <v/>
      </c>
      <c r="AI99" t="str">
        <f ca="1">IFERROR(IF(0=LEN(ReferenceData!$AI$99),"",ReferenceData!$AI$99),"")</f>
        <v/>
      </c>
      <c r="AJ99" t="str">
        <f ca="1">IFERROR(IF(0=LEN(ReferenceData!$AJ$99),"",ReferenceData!$AJ$99),"")</f>
        <v/>
      </c>
      <c r="AK99" t="str">
        <f ca="1">IFERROR(IF(0=LEN(ReferenceData!$AK$99),"",ReferenceData!$AK$99),"")</f>
        <v/>
      </c>
      <c r="AL99" t="str">
        <f ca="1">IFERROR(IF(0=LEN(ReferenceData!$AL$99),"",ReferenceData!$AL$99),"")</f>
        <v/>
      </c>
      <c r="AM99" t="str">
        <f ca="1">IFERROR(IF(0=LEN(ReferenceData!$AM$99),"",ReferenceData!$AM$99),"")</f>
        <v/>
      </c>
      <c r="AN99" t="str">
        <f ca="1">IFERROR(IF(0=LEN(ReferenceData!$AN$99),"",ReferenceData!$AN$99),"")</f>
        <v/>
      </c>
      <c r="AO99" t="str">
        <f ca="1">IFERROR(IF(0=LEN(ReferenceData!$AO$99),"",ReferenceData!$AO$99),"")</f>
        <v/>
      </c>
      <c r="AP99" t="str">
        <f ca="1">IFERROR(IF(0=LEN(ReferenceData!$AP$99),"",ReferenceData!$AP$99),"")</f>
        <v/>
      </c>
      <c r="AQ99" t="str">
        <f ca="1">IFERROR(IF(0=LEN(ReferenceData!$AQ$99),"",ReferenceData!$AQ$99),"")</f>
        <v/>
      </c>
      <c r="AR99" t="str">
        <f ca="1">IFERROR(IF(0=LEN(ReferenceData!$AR$99),"",ReferenceData!$AR$99),"")</f>
        <v/>
      </c>
      <c r="AS99" t="str">
        <f ca="1">IFERROR(IF(0=LEN(ReferenceData!$AS$99),"",ReferenceData!$AS$99),"")</f>
        <v/>
      </c>
      <c r="AT99" t="str">
        <f ca="1">IFERROR(IF(0=LEN(ReferenceData!$AT$99),"",ReferenceData!$AT$99),"")</f>
        <v/>
      </c>
      <c r="AU99" t="str">
        <f ca="1">IFERROR(IF(0=LEN(ReferenceData!$AU$99),"",ReferenceData!$AU$99),"")</f>
        <v/>
      </c>
      <c r="AV99" t="str">
        <f ca="1">IFERROR(IF(0=LEN(ReferenceData!$AV$99),"",ReferenceData!$AV$99),"")</f>
        <v/>
      </c>
      <c r="AW99" t="str">
        <f ca="1">IFERROR(IF(0=LEN(ReferenceData!$AW$99),"",ReferenceData!$AW$99),"")</f>
        <v/>
      </c>
      <c r="AX99" t="str">
        <f ca="1">IFERROR(IF(0=LEN(ReferenceData!$AX$99),"",ReferenceData!$AX$99),"")</f>
        <v/>
      </c>
      <c r="AY99" t="str">
        <f ca="1">IFERROR(IF(0=LEN(ReferenceData!$AY$99),"",ReferenceData!$AY$99),"")</f>
        <v/>
      </c>
      <c r="AZ99" t="str">
        <f ca="1">IFERROR(IF(0=LEN(ReferenceData!$AZ$99),"",ReferenceData!$AZ$99),"")</f>
        <v/>
      </c>
      <c r="BA99" t="str">
        <f ca="1">IFERROR(IF(0=LEN(ReferenceData!$BA$99),"",ReferenceData!$BA$99),"")</f>
        <v/>
      </c>
      <c r="BB99" t="str">
        <f ca="1">IFERROR(IF(0=LEN(ReferenceData!$BB$99),"",ReferenceData!$BB$99),"")</f>
        <v/>
      </c>
      <c r="BC99" t="str">
        <f ca="1">IFERROR(IF(0=LEN(ReferenceData!$BC$99),"",ReferenceData!$BC$99),"")</f>
        <v/>
      </c>
      <c r="BD99" t="str">
        <f ca="1">IFERROR(IF(0=LEN(ReferenceData!$BD$99),"",ReferenceData!$BD$99),"")</f>
        <v/>
      </c>
      <c r="BE99" t="str">
        <f ca="1">IFERROR(IF(0=LEN(ReferenceData!$BE$99),"",ReferenceData!$BE$99),"")</f>
        <v/>
      </c>
      <c r="BF99" t="str">
        <f ca="1">IFERROR(IF(0=LEN(ReferenceData!$BF$99),"",ReferenceData!$BF$99),"")</f>
        <v/>
      </c>
      <c r="BG99" t="str">
        <f ca="1">IFERROR(IF(0=LEN(ReferenceData!$BG$99),"",ReferenceData!$BG$99),"")</f>
        <v/>
      </c>
      <c r="BH99" t="str">
        <f ca="1">IFERROR(IF(0=LEN(ReferenceData!$BH$99),"",ReferenceData!$BH$99),"")</f>
        <v/>
      </c>
      <c r="BI99" t="str">
        <f ca="1">IFERROR(IF(0=LEN(ReferenceData!$BI$99),"",ReferenceData!$BI$99),"")</f>
        <v/>
      </c>
      <c r="BJ99" t="str">
        <f ca="1">IFERROR(IF(0=LEN(ReferenceData!$BJ$99),"",ReferenceData!$BJ$99),"")</f>
        <v/>
      </c>
      <c r="BK99" t="str">
        <f ca="1">IFERROR(IF(0=LEN(ReferenceData!$BK$99),"",ReferenceData!$BK$99),"")</f>
        <v/>
      </c>
      <c r="BL99" t="str">
        <f ca="1">IFERROR(IF(0=LEN(ReferenceData!$BL$99),"",ReferenceData!$BL$99),"")</f>
        <v/>
      </c>
      <c r="BM99" t="str">
        <f ca="1">IFERROR(IF(0=LEN(ReferenceData!$BM$99),"",ReferenceData!$BM$99),"")</f>
        <v/>
      </c>
      <c r="BN99" t="str">
        <f ca="1">IFERROR(IF(0=LEN(ReferenceData!$BN$99),"",ReferenceData!$BN$99),"")</f>
        <v/>
      </c>
      <c r="BO99" t="str">
        <f ca="1">IFERROR(IF(0=LEN(ReferenceData!$BO$99),"",ReferenceData!$BO$99),"")</f>
        <v/>
      </c>
      <c r="BP99" t="str">
        <f ca="1">IFERROR(IF(0=LEN(ReferenceData!$BP$99),"",ReferenceData!$BP$99),"")</f>
        <v/>
      </c>
      <c r="BQ99" t="str">
        <f ca="1">IFERROR(IF(0=LEN(ReferenceData!$BQ$99),"",ReferenceData!$BQ$99),"")</f>
        <v/>
      </c>
      <c r="BR99" t="str">
        <f ca="1">IFERROR(IF(0=LEN(ReferenceData!$BR$99),"",ReferenceData!$BR$99),"")</f>
        <v/>
      </c>
      <c r="BS99" t="str">
        <f ca="1">IFERROR(IF(0=LEN(ReferenceData!$BS$99),"",ReferenceData!$BS$99),"")</f>
        <v/>
      </c>
      <c r="BT99" t="str">
        <f ca="1">IFERROR(IF(0=LEN(ReferenceData!$BT$99),"",ReferenceData!$BT$99),"")</f>
        <v/>
      </c>
      <c r="BU99" t="str">
        <f ca="1">IFERROR(IF(0=LEN(ReferenceData!$BU$99),"",ReferenceData!$BU$99),"")</f>
        <v/>
      </c>
      <c r="BV99" t="str">
        <f ca="1">IFERROR(IF(0=LEN(ReferenceData!$BV$99),"",ReferenceData!$BV$99),"")</f>
        <v/>
      </c>
      <c r="BW99" t="str">
        <f ca="1">IFERROR(IF(0=LEN(ReferenceData!$BW$99),"",ReferenceData!$BW$99),"")</f>
        <v/>
      </c>
      <c r="BX99" t="str">
        <f ca="1">IFERROR(IF(0=LEN(ReferenceData!$BX$99),"",ReferenceData!$BX$99),"")</f>
        <v/>
      </c>
      <c r="BY99" t="str">
        <f ca="1">IFERROR(IF(0=LEN(ReferenceData!$BY$99),"",ReferenceData!$BY$99),"")</f>
        <v/>
      </c>
      <c r="BZ99" t="str">
        <f ca="1">IFERROR(IF(0=LEN(ReferenceData!$BZ$99),"",ReferenceData!$BZ$99),"")</f>
        <v/>
      </c>
      <c r="CA99" t="str">
        <f ca="1">IFERROR(IF(0=LEN(ReferenceData!$CA$99),"",ReferenceData!$CA$99),"")</f>
        <v/>
      </c>
      <c r="CB99" t="str">
        <f ca="1">IFERROR(IF(0=LEN(ReferenceData!$CB$99),"",ReferenceData!$CB$99),"")</f>
        <v/>
      </c>
      <c r="CC99" t="str">
        <f ca="1">IFERROR(IF(0=LEN(ReferenceData!$CC$99),"",ReferenceData!$CC$99),"")</f>
        <v/>
      </c>
      <c r="CD99" t="str">
        <f ca="1">IFERROR(IF(0=LEN(ReferenceData!$CD$99),"",ReferenceData!$CD$99),"")</f>
        <v/>
      </c>
      <c r="CE99" t="str">
        <f ca="1">IFERROR(IF(0=LEN(ReferenceData!$CE$99),"",ReferenceData!$CE$99),"")</f>
        <v/>
      </c>
      <c r="CF99" t="str">
        <f ca="1">IFERROR(IF(0=LEN(ReferenceData!$CF$99),"",ReferenceData!$CF$99),"")</f>
        <v/>
      </c>
      <c r="CG99" t="str">
        <f ca="1">IFERROR(IF(0=LEN(ReferenceData!$CG$99),"",ReferenceData!$CG$99),"")</f>
        <v/>
      </c>
      <c r="CH99" t="str">
        <f ca="1">IFERROR(IF(0=LEN(ReferenceData!$CH$99),"",ReferenceData!$CH$99),"")</f>
        <v/>
      </c>
      <c r="CI99" t="str">
        <f ca="1">IFERROR(IF(0=LEN(ReferenceData!$CI$99),"",ReferenceData!$CI$99),"")</f>
        <v/>
      </c>
      <c r="CJ99" t="str">
        <f ca="1">IFERROR(IF(0=LEN(ReferenceData!$CJ$99),"",ReferenceData!$CJ$99),"")</f>
        <v/>
      </c>
      <c r="CK99" t="str">
        <f ca="1">IFERROR(IF(0=LEN(ReferenceData!$CK$99),"",ReferenceData!$CK$99),"")</f>
        <v/>
      </c>
    </row>
    <row r="100" spans="1:89">
      <c r="A100" t="str">
        <f>IFERROR(IF(0=LEN(ReferenceData!$A$100),"",ReferenceData!$A$100),"")</f>
        <v xml:space="preserve">    UDR Inc</v>
      </c>
      <c r="B100" t="str">
        <f>IFERROR(IF(0=LEN(ReferenceData!$B$100),"",ReferenceData!$B$100),"")</f>
        <v>UDR US Equity</v>
      </c>
      <c r="C100" t="str">
        <f>IFERROR(IF(0=LEN(ReferenceData!$C$100),"",ReferenceData!$C$100),"")</f>
        <v/>
      </c>
      <c r="D100" t="str">
        <f>IFERROR(IF(0=LEN(ReferenceData!$D$100),"",ReferenceData!$D$100),"")</f>
        <v/>
      </c>
      <c r="E100" t="str">
        <f>IFERROR(IF(0=LEN(ReferenceData!$E$100),"",ReferenceData!$E$100),"")</f>
        <v>Expression</v>
      </c>
      <c r="F100" t="str">
        <f ca="1">IFERROR(IF(0=LEN(ReferenceData!$F$100),"",ReferenceData!$F$100),"")</f>
        <v/>
      </c>
      <c r="G100" t="str">
        <f ca="1">IFERROR(IF(0=LEN(ReferenceData!$G$100),"",ReferenceData!$G$100),"")</f>
        <v/>
      </c>
      <c r="H100">
        <f ca="1">IFERROR(IF(0=LEN(ReferenceData!$H$100),"",ReferenceData!$H$100),"")</f>
        <v>21.53891509</v>
      </c>
      <c r="I100">
        <f ca="1">IFERROR(IF(0=LEN(ReferenceData!$I$100),"",ReferenceData!$I$100),"")</f>
        <v>22.552693210000001</v>
      </c>
      <c r="J100">
        <f ca="1">IFERROR(IF(0=LEN(ReferenceData!$J$100),"",ReferenceData!$J$100),"")</f>
        <v>23.135294120000001</v>
      </c>
      <c r="K100">
        <f ca="1">IFERROR(IF(0=LEN(ReferenceData!$K$100),"",ReferenceData!$K$100),"")</f>
        <v>22.817647059999999</v>
      </c>
      <c r="L100">
        <f ca="1">IFERROR(IF(0=LEN(ReferenceData!$L$100),"",ReferenceData!$L$100),"")</f>
        <v>22.37058824</v>
      </c>
      <c r="M100">
        <f ca="1">IFERROR(IF(0=LEN(ReferenceData!$M$100),"",ReferenceData!$M$100),"")</f>
        <v>22.83529412</v>
      </c>
      <c r="N100">
        <f ca="1">IFERROR(IF(0=LEN(ReferenceData!$N$100),"",ReferenceData!$N$100),"")</f>
        <v>23.08919079</v>
      </c>
      <c r="O100">
        <f ca="1">IFERROR(IF(0=LEN(ReferenceData!$O$100),"",ReferenceData!$O$100),"")</f>
        <v>22.991150439999998</v>
      </c>
      <c r="P100">
        <f ca="1">IFERROR(IF(0=LEN(ReferenceData!$P$100),"",ReferenceData!$P$100),"")</f>
        <v>22.778761060000001</v>
      </c>
      <c r="Q100">
        <f ca="1">IFERROR(IF(0=LEN(ReferenceData!$Q$100),"",ReferenceData!$Q$100),"")</f>
        <v>22.252681760000002</v>
      </c>
      <c r="R100">
        <f ca="1">IFERROR(IF(0=LEN(ReferenceData!$R$100),"",ReferenceData!$R$100),"")</f>
        <v>21.81708785</v>
      </c>
      <c r="S100">
        <f ca="1">IFERROR(IF(0=LEN(ReferenceData!$S$100),"",ReferenceData!$S$100),"")</f>
        <v>21.895620879999999</v>
      </c>
      <c r="T100">
        <f ca="1">IFERROR(IF(0=LEN(ReferenceData!$T$100),"",ReferenceData!$T$100),"")</f>
        <v>20.438596489999998</v>
      </c>
      <c r="U100">
        <f ca="1">IFERROR(IF(0=LEN(ReferenceData!$U$100),"",ReferenceData!$U$100),"")</f>
        <v>21.333333329999999</v>
      </c>
      <c r="V100">
        <f ca="1">IFERROR(IF(0=LEN(ReferenceData!$V$100),"",ReferenceData!$V$100),"")</f>
        <v>19.929742390000001</v>
      </c>
      <c r="W100">
        <f ca="1">IFERROR(IF(0=LEN(ReferenceData!$W$100),"",ReferenceData!$W$100),"")</f>
        <v>20.655640869999999</v>
      </c>
      <c r="X100">
        <f ca="1">IFERROR(IF(0=LEN(ReferenceData!$X$100),"",ReferenceData!$X$100),"")</f>
        <v>21.059098890000001</v>
      </c>
      <c r="Y100">
        <f ca="1">IFERROR(IF(0=LEN(ReferenceData!$Y$100),"",ReferenceData!$Y$100),"")</f>
        <v>21.10851809</v>
      </c>
      <c r="Z100">
        <f ca="1">IFERROR(IF(0=LEN(ReferenceData!$Z$100),"",ReferenceData!$Z$100),"")</f>
        <v>21.620209060000001</v>
      </c>
      <c r="AA100">
        <f ca="1">IFERROR(IF(0=LEN(ReferenceData!$AA$100),"",ReferenceData!$AA$100),"")</f>
        <v>21.452643810000001</v>
      </c>
      <c r="AB100">
        <f ca="1">IFERROR(IF(0=LEN(ReferenceData!$AB$100),"",ReferenceData!$AB$100),"")</f>
        <v>20.850694440000002</v>
      </c>
      <c r="AC100">
        <f ca="1">IFERROR(IF(0=LEN(ReferenceData!$AC$100),"",ReferenceData!$AC$100),"")</f>
        <v>20.103626940000002</v>
      </c>
      <c r="AD100">
        <f ca="1">IFERROR(IF(0=LEN(ReferenceData!$AD$100),"",ReferenceData!$AD$100),"")</f>
        <v>22.09288991</v>
      </c>
      <c r="AE100">
        <f ca="1">IFERROR(IF(0=LEN(ReferenceData!$AE$100),"",ReferenceData!$AE$100),"")</f>
        <v>19.69592656</v>
      </c>
      <c r="AF100">
        <f ca="1">IFERROR(IF(0=LEN(ReferenceData!$AF$100),"",ReferenceData!$AF$100),"")</f>
        <v>20.152887880000002</v>
      </c>
      <c r="AG100">
        <f ca="1">IFERROR(IF(0=LEN(ReferenceData!$AG$100),"",ReferenceData!$AG$100),"")</f>
        <v>21.27406569</v>
      </c>
      <c r="AH100">
        <f ca="1">IFERROR(IF(0=LEN(ReferenceData!$AH$100),"",ReferenceData!$AH$100),"")</f>
        <v>20.759280090000001</v>
      </c>
      <c r="AI100">
        <f ca="1">IFERROR(IF(0=LEN(ReferenceData!$AI$100),"",ReferenceData!$AI$100),"")</f>
        <v>19.804597699999999</v>
      </c>
      <c r="AJ100">
        <f ca="1">IFERROR(IF(0=LEN(ReferenceData!$AJ$100),"",ReferenceData!$AJ$100),"")</f>
        <v>20.282352939999999</v>
      </c>
      <c r="AK100">
        <f ca="1">IFERROR(IF(0=LEN(ReferenceData!$AK$100),"",ReferenceData!$AK$100),"")</f>
        <v>18.92208553</v>
      </c>
      <c r="AL100">
        <f ca="1">IFERROR(IF(0=LEN(ReferenceData!$AL$100),"",ReferenceData!$AL$100),"")</f>
        <v>20.24550898</v>
      </c>
      <c r="AM100">
        <f ca="1">IFERROR(IF(0=LEN(ReferenceData!$AM$100),"",ReferenceData!$AM$100),"")</f>
        <v>19.179640719999998</v>
      </c>
      <c r="AN100">
        <f ca="1">IFERROR(IF(0=LEN(ReferenceData!$AN$100),"",ReferenceData!$AN$100),"")</f>
        <v>19.67371601</v>
      </c>
      <c r="AO100">
        <f ca="1">IFERROR(IF(0=LEN(ReferenceData!$AO$100),"",ReferenceData!$AO$100),"")</f>
        <v>20.042813460000001</v>
      </c>
      <c r="AP100" t="str">
        <f ca="1">IFERROR(IF(0=LEN(ReferenceData!$AP$100),"",ReferenceData!$AP$100),"")</f>
        <v/>
      </c>
      <c r="AQ100">
        <f ca="1">IFERROR(IF(0=LEN(ReferenceData!$AQ$100),"",ReferenceData!$AQ$100),"")</f>
        <v>19.29909366</v>
      </c>
      <c r="AR100" t="str">
        <f ca="1">IFERROR(IF(0=LEN(ReferenceData!$AR$100),"",ReferenceData!$AR$100),"")</f>
        <v/>
      </c>
      <c r="AS100" t="str">
        <f ca="1">IFERROR(IF(0=LEN(ReferenceData!$AS$100),"",ReferenceData!$AS$100),"")</f>
        <v/>
      </c>
      <c r="AT100" t="str">
        <f ca="1">IFERROR(IF(0=LEN(ReferenceData!$AT$100),"",ReferenceData!$AT$100),"")</f>
        <v/>
      </c>
      <c r="AU100" t="str">
        <f ca="1">IFERROR(IF(0=LEN(ReferenceData!$AU$100),"",ReferenceData!$AU$100),"")</f>
        <v/>
      </c>
      <c r="AV100" t="str">
        <f ca="1">IFERROR(IF(0=LEN(ReferenceData!$AV$100),"",ReferenceData!$AV$100),"")</f>
        <v/>
      </c>
      <c r="AW100" t="str">
        <f ca="1">IFERROR(IF(0=LEN(ReferenceData!$AW$100),"",ReferenceData!$AW$100),"")</f>
        <v/>
      </c>
      <c r="AX100" t="str">
        <f ca="1">IFERROR(IF(0=LEN(ReferenceData!$AX$100),"",ReferenceData!$AX$100),"")</f>
        <v/>
      </c>
      <c r="AY100" t="str">
        <f ca="1">IFERROR(IF(0=LEN(ReferenceData!$AY$100),"",ReferenceData!$AY$100),"")</f>
        <v/>
      </c>
      <c r="AZ100" t="str">
        <f ca="1">IFERROR(IF(0=LEN(ReferenceData!$AZ$100),"",ReferenceData!$AZ$100),"")</f>
        <v/>
      </c>
      <c r="BA100" t="str">
        <f ca="1">IFERROR(IF(0=LEN(ReferenceData!$BA$100),"",ReferenceData!$BA$100),"")</f>
        <v/>
      </c>
      <c r="BB100" t="str">
        <f ca="1">IFERROR(IF(0=LEN(ReferenceData!$BB$100),"",ReferenceData!$BB$100),"")</f>
        <v/>
      </c>
      <c r="BC100" t="str">
        <f ca="1">IFERROR(IF(0=LEN(ReferenceData!$BC$100),"",ReferenceData!$BC$100),"")</f>
        <v/>
      </c>
      <c r="BD100" t="str">
        <f ca="1">IFERROR(IF(0=LEN(ReferenceData!$BD$100),"",ReferenceData!$BD$100),"")</f>
        <v/>
      </c>
      <c r="BE100" t="str">
        <f ca="1">IFERROR(IF(0=LEN(ReferenceData!$BE$100),"",ReferenceData!$BE$100),"")</f>
        <v/>
      </c>
      <c r="BF100" t="str">
        <f ca="1">IFERROR(IF(0=LEN(ReferenceData!$BF$100),"",ReferenceData!$BF$100),"")</f>
        <v/>
      </c>
      <c r="BG100" t="str">
        <f ca="1">IFERROR(IF(0=LEN(ReferenceData!$BG$100),"",ReferenceData!$BG$100),"")</f>
        <v/>
      </c>
      <c r="BH100" t="str">
        <f ca="1">IFERROR(IF(0=LEN(ReferenceData!$BH$100),"",ReferenceData!$BH$100),"")</f>
        <v/>
      </c>
      <c r="BI100" t="str">
        <f ca="1">IFERROR(IF(0=LEN(ReferenceData!$BI$100),"",ReferenceData!$BI$100),"")</f>
        <v/>
      </c>
      <c r="BJ100" t="str">
        <f ca="1">IFERROR(IF(0=LEN(ReferenceData!$BJ$100),"",ReferenceData!$BJ$100),"")</f>
        <v/>
      </c>
      <c r="BK100" t="str">
        <f ca="1">IFERROR(IF(0=LEN(ReferenceData!$BK$100),"",ReferenceData!$BK$100),"")</f>
        <v/>
      </c>
      <c r="BL100" t="str">
        <f ca="1">IFERROR(IF(0=LEN(ReferenceData!$BL$100),"",ReferenceData!$BL$100),"")</f>
        <v/>
      </c>
      <c r="BM100" t="str">
        <f ca="1">IFERROR(IF(0=LEN(ReferenceData!$BM$100),"",ReferenceData!$BM$100),"")</f>
        <v/>
      </c>
      <c r="BN100" t="str">
        <f ca="1">IFERROR(IF(0=LEN(ReferenceData!$BN$100),"",ReferenceData!$BN$100),"")</f>
        <v/>
      </c>
      <c r="BO100" t="str">
        <f ca="1">IFERROR(IF(0=LEN(ReferenceData!$BO$100),"",ReferenceData!$BO$100),"")</f>
        <v/>
      </c>
      <c r="BP100" t="str">
        <f ca="1">IFERROR(IF(0=LEN(ReferenceData!$BP$100),"",ReferenceData!$BP$100),"")</f>
        <v/>
      </c>
      <c r="BQ100" t="str">
        <f ca="1">IFERROR(IF(0=LEN(ReferenceData!$BQ$100),"",ReferenceData!$BQ$100),"")</f>
        <v/>
      </c>
      <c r="BR100" t="str">
        <f ca="1">IFERROR(IF(0=LEN(ReferenceData!$BR$100),"",ReferenceData!$BR$100),"")</f>
        <v/>
      </c>
      <c r="BS100" t="str">
        <f ca="1">IFERROR(IF(0=LEN(ReferenceData!$BS$100),"",ReferenceData!$BS$100),"")</f>
        <v/>
      </c>
      <c r="BT100" t="str">
        <f ca="1">IFERROR(IF(0=LEN(ReferenceData!$BT$100),"",ReferenceData!$BT$100),"")</f>
        <v/>
      </c>
      <c r="BU100" t="str">
        <f ca="1">IFERROR(IF(0=LEN(ReferenceData!$BU$100),"",ReferenceData!$BU$100),"")</f>
        <v/>
      </c>
      <c r="BV100" t="str">
        <f ca="1">IFERROR(IF(0=LEN(ReferenceData!$BV$100),"",ReferenceData!$BV$100),"")</f>
        <v/>
      </c>
      <c r="BW100" t="str">
        <f ca="1">IFERROR(IF(0=LEN(ReferenceData!$BW$100),"",ReferenceData!$BW$100),"")</f>
        <v/>
      </c>
      <c r="BX100" t="str">
        <f ca="1">IFERROR(IF(0=LEN(ReferenceData!$BX$100),"",ReferenceData!$BX$100),"")</f>
        <v/>
      </c>
      <c r="BY100" t="str">
        <f ca="1">IFERROR(IF(0=LEN(ReferenceData!$BY$100),"",ReferenceData!$BY$100),"")</f>
        <v/>
      </c>
      <c r="BZ100" t="str">
        <f ca="1">IFERROR(IF(0=LEN(ReferenceData!$BZ$100),"",ReferenceData!$BZ$100),"")</f>
        <v/>
      </c>
      <c r="CA100" t="str">
        <f ca="1">IFERROR(IF(0=LEN(ReferenceData!$CA$100),"",ReferenceData!$CA$100),"")</f>
        <v/>
      </c>
      <c r="CB100" t="str">
        <f ca="1">IFERROR(IF(0=LEN(ReferenceData!$CB$100),"",ReferenceData!$CB$100),"")</f>
        <v/>
      </c>
      <c r="CC100" t="str">
        <f ca="1">IFERROR(IF(0=LEN(ReferenceData!$CC$100),"",ReferenceData!$CC$100),"")</f>
        <v/>
      </c>
      <c r="CD100" t="str">
        <f ca="1">IFERROR(IF(0=LEN(ReferenceData!$CD$100),"",ReferenceData!$CD$100),"")</f>
        <v/>
      </c>
      <c r="CE100" t="str">
        <f ca="1">IFERROR(IF(0=LEN(ReferenceData!$CE$100),"",ReferenceData!$CE$100),"")</f>
        <v/>
      </c>
      <c r="CF100" t="str">
        <f ca="1">IFERROR(IF(0=LEN(ReferenceData!$CF$100),"",ReferenceData!$CF$100),"")</f>
        <v/>
      </c>
      <c r="CG100" t="str">
        <f ca="1">IFERROR(IF(0=LEN(ReferenceData!$CG$100),"",ReferenceData!$CG$100),"")</f>
        <v/>
      </c>
      <c r="CH100" t="str">
        <f ca="1">IFERROR(IF(0=LEN(ReferenceData!$CH$100),"",ReferenceData!$CH$100),"")</f>
        <v/>
      </c>
      <c r="CI100" t="str">
        <f ca="1">IFERROR(IF(0=LEN(ReferenceData!$CI$100),"",ReferenceData!$CI$100),"")</f>
        <v/>
      </c>
      <c r="CJ100" t="str">
        <f ca="1">IFERROR(IF(0=LEN(ReferenceData!$CJ$100),"",ReferenceData!$CJ$100),"")</f>
        <v/>
      </c>
      <c r="CK100" t="str">
        <f ca="1">IFERROR(IF(0=LEN(ReferenceData!$CK$100),"",ReferenceData!$CK$100),"")</f>
        <v/>
      </c>
    </row>
    <row r="101" spans="1:89">
      <c r="A101" t="str">
        <f>IFERROR(IF(0=LEN(ReferenceData!$A$101),"",ReferenceData!$A$101),"")</f>
        <v>2018年预测P/FAD</v>
      </c>
      <c r="B101" t="str">
        <f>IFERROR(IF(0=LEN(ReferenceData!$B$101),"",ReferenceData!$B$101),"")</f>
        <v>BRFREITV Index</v>
      </c>
      <c r="C101" t="str">
        <f>IFERROR(IF(0=LEN(ReferenceData!$C$101),"",ReferenceData!$C$101),"")</f>
        <v/>
      </c>
      <c r="D101" t="str">
        <f>IFERROR(IF(0=LEN(ReferenceData!$D$101),"",ReferenceData!$D$101),"")</f>
        <v/>
      </c>
      <c r="E101" t="str">
        <f>IFERROR(IF(0=LEN(ReferenceData!$E$101),"",ReferenceData!$E$101),"")</f>
        <v>Median</v>
      </c>
      <c r="F101">
        <f ca="1">IFERROR(IF(0=LEN(ReferenceData!$F$101),"",ReferenceData!$F$101),"")</f>
        <v>19.776035830000001</v>
      </c>
      <c r="G101">
        <f ca="1">IFERROR(IF(0=LEN(ReferenceData!$G$101),"",ReferenceData!$G$101),"")</f>
        <v>18.81365417</v>
      </c>
      <c r="H101">
        <f ca="1">IFERROR(IF(0=LEN(ReferenceData!$H$101),"",ReferenceData!$H$101),"")</f>
        <v>20.23822715</v>
      </c>
      <c r="I101">
        <f ca="1">IFERROR(IF(0=LEN(ReferenceData!$I$101),"",ReferenceData!$I$101),"")</f>
        <v>21.4</v>
      </c>
      <c r="J101">
        <f ca="1">IFERROR(IF(0=LEN(ReferenceData!$J$101),"",ReferenceData!$J$101),"")</f>
        <v>21.85</v>
      </c>
      <c r="K101">
        <f ca="1">IFERROR(IF(0=LEN(ReferenceData!$K$101),"",ReferenceData!$K$101),"")</f>
        <v>21.514143090000001</v>
      </c>
      <c r="L101">
        <f ca="1">IFERROR(IF(0=LEN(ReferenceData!$L$101),"",ReferenceData!$L$101),"")</f>
        <v>21.092623410000002</v>
      </c>
      <c r="M101">
        <f ca="1">IFERROR(IF(0=LEN(ReferenceData!$M$101),"",ReferenceData!$M$101),"")</f>
        <v>21.895264749999999</v>
      </c>
      <c r="N101">
        <f ca="1">IFERROR(IF(0=LEN(ReferenceData!$N$101),"",ReferenceData!$N$101),"")</f>
        <v>22.093596059999999</v>
      </c>
      <c r="O101">
        <f ca="1">IFERROR(IF(0=LEN(ReferenceData!$O$101),"",ReferenceData!$O$101),"")</f>
        <v>21.65</v>
      </c>
      <c r="P101">
        <f ca="1">IFERROR(IF(0=LEN(ReferenceData!$P$101),"",ReferenceData!$P$101),"")</f>
        <v>21.45</v>
      </c>
      <c r="Q101">
        <f ca="1">IFERROR(IF(0=LEN(ReferenceData!$Q$101),"",ReferenceData!$Q$101),"")</f>
        <v>21.300627500000001</v>
      </c>
      <c r="R101">
        <f ca="1">IFERROR(IF(0=LEN(ReferenceData!$R$101),"",ReferenceData!$R$101),"")</f>
        <v>20.511162299999999</v>
      </c>
      <c r="S101">
        <f ca="1">IFERROR(IF(0=LEN(ReferenceData!$S$101),"",ReferenceData!$S$101),"")</f>
        <v>20.869068039999998</v>
      </c>
      <c r="T101">
        <f ca="1">IFERROR(IF(0=LEN(ReferenceData!$T$101),"",ReferenceData!$T$101),"")</f>
        <v>19.744623659999998</v>
      </c>
      <c r="U101">
        <f ca="1">IFERROR(IF(0=LEN(ReferenceData!$U$101),"",ReferenceData!$U$101),"")</f>
        <v>20.486386469999999</v>
      </c>
      <c r="V101">
        <f ca="1">IFERROR(IF(0=LEN(ReferenceData!$V$101),"",ReferenceData!$V$101),"")</f>
        <v>19.075727700000002</v>
      </c>
      <c r="W101">
        <f ca="1">IFERROR(IF(0=LEN(ReferenceData!$W$101),"",ReferenceData!$W$101),"")</f>
        <v>19.723632259999999</v>
      </c>
      <c r="X101">
        <f ca="1">IFERROR(IF(0=LEN(ReferenceData!$X$101),"",ReferenceData!$X$101),"")</f>
        <v>19.984018265000003</v>
      </c>
      <c r="Y101">
        <f ca="1">IFERROR(IF(0=LEN(ReferenceData!$Y$101),"",ReferenceData!$Y$101),"")</f>
        <v>19.886164619999999</v>
      </c>
      <c r="Z101">
        <f ca="1">IFERROR(IF(0=LEN(ReferenceData!$Z$101),"",ReferenceData!$Z$101),"")</f>
        <v>20.422380690000001</v>
      </c>
      <c r="AA101">
        <f ca="1">IFERROR(IF(0=LEN(ReferenceData!$AA$101),"",ReferenceData!$AA$101),"")</f>
        <v>20.54597133</v>
      </c>
      <c r="AB101">
        <f ca="1">IFERROR(IF(0=LEN(ReferenceData!$AB$101),"",ReferenceData!$AB$101),"")</f>
        <v>19.416388959999999</v>
      </c>
      <c r="AC101">
        <f ca="1">IFERROR(IF(0=LEN(ReferenceData!$AC$101),"",ReferenceData!$AC$101),"")</f>
        <v>18.97826087</v>
      </c>
      <c r="AD101" t="str">
        <f ca="1">IFERROR(IF(0=LEN(ReferenceData!$AD$101),"",ReferenceData!$AD$101),"")</f>
        <v/>
      </c>
      <c r="AE101">
        <f ca="1">IFERROR(IF(0=LEN(ReferenceData!$AE$101),"",ReferenceData!$AE$101),"")</f>
        <v>18.456989249999999</v>
      </c>
      <c r="AF101">
        <f ca="1">IFERROR(IF(0=LEN(ReferenceData!$AF$101),"",ReferenceData!$AF$101),"")</f>
        <v>16.955555560000001</v>
      </c>
      <c r="AG101" t="str">
        <f ca="1">IFERROR(IF(0=LEN(ReferenceData!$AG$101),"",ReferenceData!$AG$101),"")</f>
        <v/>
      </c>
      <c r="AH101" t="str">
        <f ca="1">IFERROR(IF(0=LEN(ReferenceData!$AH$101),"",ReferenceData!$AH$101),"")</f>
        <v/>
      </c>
      <c r="AI101" t="str">
        <f ca="1">IFERROR(IF(0=LEN(ReferenceData!$AI$101),"",ReferenceData!$AI$101),"")</f>
        <v/>
      </c>
      <c r="AJ101" t="str">
        <f ca="1">IFERROR(IF(0=LEN(ReferenceData!$AJ$101),"",ReferenceData!$AJ$101),"")</f>
        <v/>
      </c>
      <c r="AK101" t="str">
        <f ca="1">IFERROR(IF(0=LEN(ReferenceData!$AK$101),"",ReferenceData!$AK$101),"")</f>
        <v/>
      </c>
      <c r="AL101" t="str">
        <f ca="1">IFERROR(IF(0=LEN(ReferenceData!$AL$101),"",ReferenceData!$AL$101),"")</f>
        <v/>
      </c>
      <c r="AM101" t="str">
        <f ca="1">IFERROR(IF(0=LEN(ReferenceData!$AM$101),"",ReferenceData!$AM$101),"")</f>
        <v/>
      </c>
      <c r="AN101" t="str">
        <f ca="1">IFERROR(IF(0=LEN(ReferenceData!$AN$101),"",ReferenceData!$AN$101),"")</f>
        <v/>
      </c>
      <c r="AO101" t="str">
        <f ca="1">IFERROR(IF(0=LEN(ReferenceData!$AO$101),"",ReferenceData!$AO$101),"")</f>
        <v/>
      </c>
      <c r="AP101" t="str">
        <f ca="1">IFERROR(IF(0=LEN(ReferenceData!$AP$101),"",ReferenceData!$AP$101),"")</f>
        <v/>
      </c>
      <c r="AQ101" t="str">
        <f ca="1">IFERROR(IF(0=LEN(ReferenceData!$AQ$101),"",ReferenceData!$AQ$101),"")</f>
        <v/>
      </c>
      <c r="AR101" t="str">
        <f ca="1">IFERROR(IF(0=LEN(ReferenceData!$AR$101),"",ReferenceData!$AR$101),"")</f>
        <v/>
      </c>
      <c r="AS101" t="str">
        <f ca="1">IFERROR(IF(0=LEN(ReferenceData!$AS$101),"",ReferenceData!$AS$101),"")</f>
        <v/>
      </c>
      <c r="AT101" t="str">
        <f ca="1">IFERROR(IF(0=LEN(ReferenceData!$AT$101),"",ReferenceData!$AT$101),"")</f>
        <v/>
      </c>
      <c r="AU101" t="str">
        <f ca="1">IFERROR(IF(0=LEN(ReferenceData!$AU$101),"",ReferenceData!$AU$101),"")</f>
        <v/>
      </c>
      <c r="AV101" t="str">
        <f ca="1">IFERROR(IF(0=LEN(ReferenceData!$AV$101),"",ReferenceData!$AV$101),"")</f>
        <v/>
      </c>
      <c r="AW101" t="str">
        <f ca="1">IFERROR(IF(0=LEN(ReferenceData!$AW$101),"",ReferenceData!$AW$101),"")</f>
        <v/>
      </c>
      <c r="AX101" t="str">
        <f ca="1">IFERROR(IF(0=LEN(ReferenceData!$AX$101),"",ReferenceData!$AX$101),"")</f>
        <v/>
      </c>
      <c r="AY101" t="str">
        <f ca="1">IFERROR(IF(0=LEN(ReferenceData!$AY$101),"",ReferenceData!$AY$101),"")</f>
        <v/>
      </c>
      <c r="AZ101" t="str">
        <f ca="1">IFERROR(IF(0=LEN(ReferenceData!$AZ$101),"",ReferenceData!$AZ$101),"")</f>
        <v/>
      </c>
      <c r="BA101" t="str">
        <f ca="1">IFERROR(IF(0=LEN(ReferenceData!$BA$101),"",ReferenceData!$BA$101),"")</f>
        <v/>
      </c>
      <c r="BB101" t="str">
        <f ca="1">IFERROR(IF(0=LEN(ReferenceData!$BB$101),"",ReferenceData!$BB$101),"")</f>
        <v/>
      </c>
      <c r="BC101" t="str">
        <f ca="1">IFERROR(IF(0=LEN(ReferenceData!$BC$101),"",ReferenceData!$BC$101),"")</f>
        <v/>
      </c>
      <c r="BD101" t="str">
        <f ca="1">IFERROR(IF(0=LEN(ReferenceData!$BD$101),"",ReferenceData!$BD$101),"")</f>
        <v/>
      </c>
      <c r="BE101" t="str">
        <f ca="1">IFERROR(IF(0=LEN(ReferenceData!$BE$101),"",ReferenceData!$BE$101),"")</f>
        <v/>
      </c>
      <c r="BF101" t="str">
        <f ca="1">IFERROR(IF(0=LEN(ReferenceData!$BF$101),"",ReferenceData!$BF$101),"")</f>
        <v/>
      </c>
      <c r="BG101" t="str">
        <f ca="1">IFERROR(IF(0=LEN(ReferenceData!$BG$101),"",ReferenceData!$BG$101),"")</f>
        <v/>
      </c>
      <c r="BH101" t="str">
        <f ca="1">IFERROR(IF(0=LEN(ReferenceData!$BH$101),"",ReferenceData!$BH$101),"")</f>
        <v/>
      </c>
      <c r="BI101" t="str">
        <f ca="1">IFERROR(IF(0=LEN(ReferenceData!$BI$101),"",ReferenceData!$BI$101),"")</f>
        <v/>
      </c>
      <c r="BJ101" t="str">
        <f ca="1">IFERROR(IF(0=LEN(ReferenceData!$BJ$101),"",ReferenceData!$BJ$101),"")</f>
        <v/>
      </c>
      <c r="BK101" t="str">
        <f ca="1">IFERROR(IF(0=LEN(ReferenceData!$BK$101),"",ReferenceData!$BK$101),"")</f>
        <v/>
      </c>
      <c r="BL101" t="str">
        <f ca="1">IFERROR(IF(0=LEN(ReferenceData!$BL$101),"",ReferenceData!$BL$101),"")</f>
        <v/>
      </c>
      <c r="BM101" t="str">
        <f ca="1">IFERROR(IF(0=LEN(ReferenceData!$BM$101),"",ReferenceData!$BM$101),"")</f>
        <v/>
      </c>
      <c r="BN101" t="str">
        <f ca="1">IFERROR(IF(0=LEN(ReferenceData!$BN$101),"",ReferenceData!$BN$101),"")</f>
        <v/>
      </c>
      <c r="BO101" t="str">
        <f ca="1">IFERROR(IF(0=LEN(ReferenceData!$BO$101),"",ReferenceData!$BO$101),"")</f>
        <v/>
      </c>
      <c r="BP101" t="str">
        <f ca="1">IFERROR(IF(0=LEN(ReferenceData!$BP$101),"",ReferenceData!$BP$101),"")</f>
        <v/>
      </c>
      <c r="BQ101" t="str">
        <f ca="1">IFERROR(IF(0=LEN(ReferenceData!$BQ$101),"",ReferenceData!$BQ$101),"")</f>
        <v/>
      </c>
      <c r="BR101" t="str">
        <f ca="1">IFERROR(IF(0=LEN(ReferenceData!$BR$101),"",ReferenceData!$BR$101),"")</f>
        <v/>
      </c>
      <c r="BS101" t="str">
        <f ca="1">IFERROR(IF(0=LEN(ReferenceData!$BS$101),"",ReferenceData!$BS$101),"")</f>
        <v/>
      </c>
      <c r="BT101" t="str">
        <f ca="1">IFERROR(IF(0=LEN(ReferenceData!$BT$101),"",ReferenceData!$BT$101),"")</f>
        <v/>
      </c>
      <c r="BU101" t="str">
        <f ca="1">IFERROR(IF(0=LEN(ReferenceData!$BU$101),"",ReferenceData!$BU$101),"")</f>
        <v/>
      </c>
      <c r="BV101" t="str">
        <f ca="1">IFERROR(IF(0=LEN(ReferenceData!$BV$101),"",ReferenceData!$BV$101),"")</f>
        <v/>
      </c>
      <c r="BW101" t="str">
        <f ca="1">IFERROR(IF(0=LEN(ReferenceData!$BW$101),"",ReferenceData!$BW$101),"")</f>
        <v/>
      </c>
      <c r="BX101" t="str">
        <f ca="1">IFERROR(IF(0=LEN(ReferenceData!$BX$101),"",ReferenceData!$BX$101),"")</f>
        <v/>
      </c>
      <c r="BY101" t="str">
        <f ca="1">IFERROR(IF(0=LEN(ReferenceData!$BY$101),"",ReferenceData!$BY$101),"")</f>
        <v/>
      </c>
      <c r="BZ101" t="str">
        <f ca="1">IFERROR(IF(0=LEN(ReferenceData!$BZ$101),"",ReferenceData!$BZ$101),"")</f>
        <v/>
      </c>
      <c r="CA101" t="str">
        <f ca="1">IFERROR(IF(0=LEN(ReferenceData!$CA$101),"",ReferenceData!$CA$101),"")</f>
        <v/>
      </c>
      <c r="CB101" t="str">
        <f ca="1">IFERROR(IF(0=LEN(ReferenceData!$CB$101),"",ReferenceData!$CB$101),"")</f>
        <v/>
      </c>
      <c r="CC101" t="str">
        <f ca="1">IFERROR(IF(0=LEN(ReferenceData!$CC$101),"",ReferenceData!$CC$101),"")</f>
        <v/>
      </c>
      <c r="CD101" t="str">
        <f ca="1">IFERROR(IF(0=LEN(ReferenceData!$CD$101),"",ReferenceData!$CD$101),"")</f>
        <v/>
      </c>
      <c r="CE101" t="str">
        <f ca="1">IFERROR(IF(0=LEN(ReferenceData!$CE$101),"",ReferenceData!$CE$101),"")</f>
        <v/>
      </c>
      <c r="CF101" t="str">
        <f ca="1">IFERROR(IF(0=LEN(ReferenceData!$CF$101),"",ReferenceData!$CF$101),"")</f>
        <v/>
      </c>
      <c r="CG101" t="str">
        <f ca="1">IFERROR(IF(0=LEN(ReferenceData!$CG$101),"",ReferenceData!$CG$101),"")</f>
        <v/>
      </c>
      <c r="CH101" t="str">
        <f ca="1">IFERROR(IF(0=LEN(ReferenceData!$CH$101),"",ReferenceData!$CH$101),"")</f>
        <v/>
      </c>
      <c r="CI101" t="str">
        <f ca="1">IFERROR(IF(0=LEN(ReferenceData!$CI$101),"",ReferenceData!$CI$101),"")</f>
        <v/>
      </c>
      <c r="CJ101" t="str">
        <f ca="1">IFERROR(IF(0=LEN(ReferenceData!$CJ$101),"",ReferenceData!$CJ$101),"")</f>
        <v/>
      </c>
      <c r="CK101" t="str">
        <f ca="1">IFERROR(IF(0=LEN(ReferenceData!$CK$101),"",ReferenceData!$CK$101),"")</f>
        <v/>
      </c>
    </row>
    <row r="102" spans="1:89">
      <c r="A102" t="str">
        <f>IFERROR(IF(0=LEN(ReferenceData!$A$102),"",ReferenceData!$A$102),"")</f>
        <v xml:space="preserve">    Apartment Investment &amp; Managem</v>
      </c>
      <c r="B102" t="str">
        <f>IFERROR(IF(0=LEN(ReferenceData!$B$102),"",ReferenceData!$B$102),"")</f>
        <v>AIV US Equity</v>
      </c>
      <c r="C102" t="str">
        <f>IFERROR(IF(0=LEN(ReferenceData!$C$102),"",ReferenceData!$C$102),"")</f>
        <v/>
      </c>
      <c r="D102" t="str">
        <f>IFERROR(IF(0=LEN(ReferenceData!$D$102),"",ReferenceData!$D$102),"")</f>
        <v/>
      </c>
      <c r="E102" t="str">
        <f>IFERROR(IF(0=LEN(ReferenceData!$E$102),"",ReferenceData!$E$102),"")</f>
        <v>Expression</v>
      </c>
      <c r="F102">
        <f ca="1">IFERROR(IF(0=LEN(ReferenceData!$F$102),"",ReferenceData!$F$102),"")</f>
        <v>18.97630332</v>
      </c>
      <c r="G102">
        <f ca="1">IFERROR(IF(0=LEN(ReferenceData!$G$102),"",ReferenceData!$G$102),"")</f>
        <v>18.227251299999999</v>
      </c>
      <c r="H102">
        <f ca="1">IFERROR(IF(0=LEN(ReferenceData!$H$102),"",ReferenceData!$H$102),"")</f>
        <v>18.779174149999999</v>
      </c>
      <c r="I102">
        <f ca="1">IFERROR(IF(0=LEN(ReferenceData!$I$102),"",ReferenceData!$I$102),"")</f>
        <v>19.5308311</v>
      </c>
      <c r="J102">
        <f ca="1">IFERROR(IF(0=LEN(ReferenceData!$J$102),"",ReferenceData!$J$102),"")</f>
        <v>19.656709759999998</v>
      </c>
      <c r="K102">
        <f ca="1">IFERROR(IF(0=LEN(ReferenceData!$K$102),"",ReferenceData!$K$102),"")</f>
        <v>19.581478180000001</v>
      </c>
      <c r="L102">
        <f ca="1">IFERROR(IF(0=LEN(ReferenceData!$L$102),"",ReferenceData!$L$102),"")</f>
        <v>19.510676159999999</v>
      </c>
      <c r="M102">
        <f ca="1">IFERROR(IF(0=LEN(ReferenceData!$M$102),"",ReferenceData!$M$102),"")</f>
        <v>20.146666669999998</v>
      </c>
      <c r="N102">
        <f ca="1">IFERROR(IF(0=LEN(ReferenceData!$N$102),"",ReferenceData!$N$102),"")</f>
        <v>19.84749455</v>
      </c>
      <c r="O102">
        <f ca="1">IFERROR(IF(0=LEN(ReferenceData!$O$102),"",ReferenceData!$O$102),"")</f>
        <v>19.131789850000001</v>
      </c>
      <c r="P102">
        <f ca="1">IFERROR(IF(0=LEN(ReferenceData!$P$102),"",ReferenceData!$P$102),"")</f>
        <v>19.109528050000002</v>
      </c>
      <c r="Q102">
        <f ca="1">IFERROR(IF(0=LEN(ReferenceData!$Q$102),"",ReferenceData!$Q$102),"")</f>
        <v>19.414114510000001</v>
      </c>
      <c r="R102">
        <f ca="1">IFERROR(IF(0=LEN(ReferenceData!$R$102),"",ReferenceData!$R$102),"")</f>
        <v>19.597878919999999</v>
      </c>
      <c r="S102">
        <f ca="1">IFERROR(IF(0=LEN(ReferenceData!$S$102),"",ReferenceData!$S$102),"")</f>
        <v>20.56120194</v>
      </c>
      <c r="T102">
        <f ca="1">IFERROR(IF(0=LEN(ReferenceData!$T$102),"",ReferenceData!$T$102),"")</f>
        <v>19.744623659999998</v>
      </c>
      <c r="U102">
        <f ca="1">IFERROR(IF(0=LEN(ReferenceData!$U$102),"",ReferenceData!$U$102),"")</f>
        <v>20.472972970000001</v>
      </c>
      <c r="V102">
        <f ca="1">IFERROR(IF(0=LEN(ReferenceData!$V$102),"",ReferenceData!$V$102),"")</f>
        <v>18.587196469999999</v>
      </c>
      <c r="W102">
        <f ca="1">IFERROR(IF(0=LEN(ReferenceData!$W$102),"",ReferenceData!$W$102),"")</f>
        <v>19.5</v>
      </c>
      <c r="X102" t="str">
        <f ca="1">IFERROR(IF(0=LEN(ReferenceData!$X$102),"",ReferenceData!$X$102),"")</f>
        <v/>
      </c>
      <c r="Y102">
        <f ca="1">IFERROR(IF(0=LEN(ReferenceData!$Y$102),"",ReferenceData!$Y$102),"")</f>
        <v>19.282970550000002</v>
      </c>
      <c r="Z102">
        <f ca="1">IFERROR(IF(0=LEN(ReferenceData!$Z$102),"",ReferenceData!$Z$102),"")</f>
        <v>19.56170213</v>
      </c>
      <c r="AA102">
        <f ca="1">IFERROR(IF(0=LEN(ReferenceData!$AA$102),"",ReferenceData!$AA$102),"")</f>
        <v>18.79148936</v>
      </c>
      <c r="AB102">
        <f ca="1">IFERROR(IF(0=LEN(ReferenceData!$AB$102),"",ReferenceData!$AB$102),"")</f>
        <v>18.148936169999999</v>
      </c>
      <c r="AC102" t="str">
        <f ca="1">IFERROR(IF(0=LEN(ReferenceData!$AC$102),"",ReferenceData!$AC$102),"")</f>
        <v/>
      </c>
      <c r="AD102" t="str">
        <f ca="1">IFERROR(IF(0=LEN(ReferenceData!$AD$102),"",ReferenceData!$AD$102),"")</f>
        <v/>
      </c>
      <c r="AE102" t="str">
        <f ca="1">IFERROR(IF(0=LEN(ReferenceData!$AE$102),"",ReferenceData!$AE$102),"")</f>
        <v/>
      </c>
      <c r="AF102" t="str">
        <f ca="1">IFERROR(IF(0=LEN(ReferenceData!$AF$102),"",ReferenceData!$AF$102),"")</f>
        <v/>
      </c>
      <c r="AG102" t="str">
        <f ca="1">IFERROR(IF(0=LEN(ReferenceData!$AG$102),"",ReferenceData!$AG$102),"")</f>
        <v/>
      </c>
      <c r="AH102" t="str">
        <f ca="1">IFERROR(IF(0=LEN(ReferenceData!$AH$102),"",ReferenceData!$AH$102),"")</f>
        <v/>
      </c>
      <c r="AI102" t="str">
        <f ca="1">IFERROR(IF(0=LEN(ReferenceData!$AI$102),"",ReferenceData!$AI$102),"")</f>
        <v/>
      </c>
      <c r="AJ102" t="str">
        <f ca="1">IFERROR(IF(0=LEN(ReferenceData!$AJ$102),"",ReferenceData!$AJ$102),"")</f>
        <v/>
      </c>
      <c r="AK102" t="str">
        <f ca="1">IFERROR(IF(0=LEN(ReferenceData!$AK$102),"",ReferenceData!$AK$102),"")</f>
        <v/>
      </c>
      <c r="AL102" t="str">
        <f ca="1">IFERROR(IF(0=LEN(ReferenceData!$AL$102),"",ReferenceData!$AL$102),"")</f>
        <v/>
      </c>
      <c r="AM102" t="str">
        <f ca="1">IFERROR(IF(0=LEN(ReferenceData!$AM$102),"",ReferenceData!$AM$102),"")</f>
        <v/>
      </c>
      <c r="AN102" t="str">
        <f ca="1">IFERROR(IF(0=LEN(ReferenceData!$AN$102),"",ReferenceData!$AN$102),"")</f>
        <v/>
      </c>
      <c r="AO102" t="str">
        <f ca="1">IFERROR(IF(0=LEN(ReferenceData!$AO$102),"",ReferenceData!$AO$102),"")</f>
        <v/>
      </c>
      <c r="AP102" t="str">
        <f ca="1">IFERROR(IF(0=LEN(ReferenceData!$AP$102),"",ReferenceData!$AP$102),"")</f>
        <v/>
      </c>
      <c r="AQ102" t="str">
        <f ca="1">IFERROR(IF(0=LEN(ReferenceData!$AQ$102),"",ReferenceData!$AQ$102),"")</f>
        <v/>
      </c>
      <c r="AR102" t="str">
        <f ca="1">IFERROR(IF(0=LEN(ReferenceData!$AR$102),"",ReferenceData!$AR$102),"")</f>
        <v/>
      </c>
      <c r="AS102" t="str">
        <f ca="1">IFERROR(IF(0=LEN(ReferenceData!$AS$102),"",ReferenceData!$AS$102),"")</f>
        <v/>
      </c>
      <c r="AT102" t="str">
        <f ca="1">IFERROR(IF(0=LEN(ReferenceData!$AT$102),"",ReferenceData!$AT$102),"")</f>
        <v/>
      </c>
      <c r="AU102" t="str">
        <f ca="1">IFERROR(IF(0=LEN(ReferenceData!$AU$102),"",ReferenceData!$AU$102),"")</f>
        <v/>
      </c>
      <c r="AV102" t="str">
        <f ca="1">IFERROR(IF(0=LEN(ReferenceData!$AV$102),"",ReferenceData!$AV$102),"")</f>
        <v/>
      </c>
      <c r="AW102" t="str">
        <f ca="1">IFERROR(IF(0=LEN(ReferenceData!$AW$102),"",ReferenceData!$AW$102),"")</f>
        <v/>
      </c>
      <c r="AX102" t="str">
        <f ca="1">IFERROR(IF(0=LEN(ReferenceData!$AX$102),"",ReferenceData!$AX$102),"")</f>
        <v/>
      </c>
      <c r="AY102" t="str">
        <f ca="1">IFERROR(IF(0=LEN(ReferenceData!$AY$102),"",ReferenceData!$AY$102),"")</f>
        <v/>
      </c>
      <c r="AZ102" t="str">
        <f ca="1">IFERROR(IF(0=LEN(ReferenceData!$AZ$102),"",ReferenceData!$AZ$102),"")</f>
        <v/>
      </c>
      <c r="BA102" t="str">
        <f ca="1">IFERROR(IF(0=LEN(ReferenceData!$BA$102),"",ReferenceData!$BA$102),"")</f>
        <v/>
      </c>
      <c r="BB102" t="str">
        <f ca="1">IFERROR(IF(0=LEN(ReferenceData!$BB$102),"",ReferenceData!$BB$102),"")</f>
        <v/>
      </c>
      <c r="BC102" t="str">
        <f ca="1">IFERROR(IF(0=LEN(ReferenceData!$BC$102),"",ReferenceData!$BC$102),"")</f>
        <v/>
      </c>
      <c r="BD102" t="str">
        <f ca="1">IFERROR(IF(0=LEN(ReferenceData!$BD$102),"",ReferenceData!$BD$102),"")</f>
        <v/>
      </c>
      <c r="BE102" t="str">
        <f ca="1">IFERROR(IF(0=LEN(ReferenceData!$BE$102),"",ReferenceData!$BE$102),"")</f>
        <v/>
      </c>
      <c r="BF102" t="str">
        <f ca="1">IFERROR(IF(0=LEN(ReferenceData!$BF$102),"",ReferenceData!$BF$102),"")</f>
        <v/>
      </c>
      <c r="BG102" t="str">
        <f ca="1">IFERROR(IF(0=LEN(ReferenceData!$BG$102),"",ReferenceData!$BG$102),"")</f>
        <v/>
      </c>
      <c r="BH102" t="str">
        <f ca="1">IFERROR(IF(0=LEN(ReferenceData!$BH$102),"",ReferenceData!$BH$102),"")</f>
        <v/>
      </c>
      <c r="BI102" t="str">
        <f ca="1">IFERROR(IF(0=LEN(ReferenceData!$BI$102),"",ReferenceData!$BI$102),"")</f>
        <v/>
      </c>
      <c r="BJ102" t="str">
        <f ca="1">IFERROR(IF(0=LEN(ReferenceData!$BJ$102),"",ReferenceData!$BJ$102),"")</f>
        <v/>
      </c>
      <c r="BK102" t="str">
        <f ca="1">IFERROR(IF(0=LEN(ReferenceData!$BK$102),"",ReferenceData!$BK$102),"")</f>
        <v/>
      </c>
      <c r="BL102" t="str">
        <f ca="1">IFERROR(IF(0=LEN(ReferenceData!$BL$102),"",ReferenceData!$BL$102),"")</f>
        <v/>
      </c>
      <c r="BM102" t="str">
        <f ca="1">IFERROR(IF(0=LEN(ReferenceData!$BM$102),"",ReferenceData!$BM$102),"")</f>
        <v/>
      </c>
      <c r="BN102" t="str">
        <f ca="1">IFERROR(IF(0=LEN(ReferenceData!$BN$102),"",ReferenceData!$BN$102),"")</f>
        <v/>
      </c>
      <c r="BO102" t="str">
        <f ca="1">IFERROR(IF(0=LEN(ReferenceData!$BO$102),"",ReferenceData!$BO$102),"")</f>
        <v/>
      </c>
      <c r="BP102" t="str">
        <f ca="1">IFERROR(IF(0=LEN(ReferenceData!$BP$102),"",ReferenceData!$BP$102),"")</f>
        <v/>
      </c>
      <c r="BQ102" t="str">
        <f ca="1">IFERROR(IF(0=LEN(ReferenceData!$BQ$102),"",ReferenceData!$BQ$102),"")</f>
        <v/>
      </c>
      <c r="BR102" t="str">
        <f ca="1">IFERROR(IF(0=LEN(ReferenceData!$BR$102),"",ReferenceData!$BR$102),"")</f>
        <v/>
      </c>
      <c r="BS102" t="str">
        <f ca="1">IFERROR(IF(0=LEN(ReferenceData!$BS$102),"",ReferenceData!$BS$102),"")</f>
        <v/>
      </c>
      <c r="BT102" t="str">
        <f ca="1">IFERROR(IF(0=LEN(ReferenceData!$BT$102),"",ReferenceData!$BT$102),"")</f>
        <v/>
      </c>
      <c r="BU102" t="str">
        <f ca="1">IFERROR(IF(0=LEN(ReferenceData!$BU$102),"",ReferenceData!$BU$102),"")</f>
        <v/>
      </c>
      <c r="BV102" t="str">
        <f ca="1">IFERROR(IF(0=LEN(ReferenceData!$BV$102),"",ReferenceData!$BV$102),"")</f>
        <v/>
      </c>
      <c r="BW102" t="str">
        <f ca="1">IFERROR(IF(0=LEN(ReferenceData!$BW$102),"",ReferenceData!$BW$102),"")</f>
        <v/>
      </c>
      <c r="BX102" t="str">
        <f ca="1">IFERROR(IF(0=LEN(ReferenceData!$BX$102),"",ReferenceData!$BX$102),"")</f>
        <v/>
      </c>
      <c r="BY102" t="str">
        <f ca="1">IFERROR(IF(0=LEN(ReferenceData!$BY$102),"",ReferenceData!$BY$102),"")</f>
        <v/>
      </c>
      <c r="BZ102" t="str">
        <f ca="1">IFERROR(IF(0=LEN(ReferenceData!$BZ$102),"",ReferenceData!$BZ$102),"")</f>
        <v/>
      </c>
      <c r="CA102" t="str">
        <f ca="1">IFERROR(IF(0=LEN(ReferenceData!$CA$102),"",ReferenceData!$CA$102),"")</f>
        <v/>
      </c>
      <c r="CB102" t="str">
        <f ca="1">IFERROR(IF(0=LEN(ReferenceData!$CB$102),"",ReferenceData!$CB$102),"")</f>
        <v/>
      </c>
      <c r="CC102" t="str">
        <f ca="1">IFERROR(IF(0=LEN(ReferenceData!$CC$102),"",ReferenceData!$CC$102),"")</f>
        <v/>
      </c>
      <c r="CD102" t="str">
        <f ca="1">IFERROR(IF(0=LEN(ReferenceData!$CD$102),"",ReferenceData!$CD$102),"")</f>
        <v/>
      </c>
      <c r="CE102" t="str">
        <f ca="1">IFERROR(IF(0=LEN(ReferenceData!$CE$102),"",ReferenceData!$CE$102),"")</f>
        <v/>
      </c>
      <c r="CF102" t="str">
        <f ca="1">IFERROR(IF(0=LEN(ReferenceData!$CF$102),"",ReferenceData!$CF$102),"")</f>
        <v/>
      </c>
      <c r="CG102" t="str">
        <f ca="1">IFERROR(IF(0=LEN(ReferenceData!$CG$102),"",ReferenceData!$CG$102),"")</f>
        <v/>
      </c>
      <c r="CH102" t="str">
        <f ca="1">IFERROR(IF(0=LEN(ReferenceData!$CH$102),"",ReferenceData!$CH$102),"")</f>
        <v/>
      </c>
      <c r="CI102" t="str">
        <f ca="1">IFERROR(IF(0=LEN(ReferenceData!$CI$102),"",ReferenceData!$CI$102),"")</f>
        <v/>
      </c>
      <c r="CJ102" t="str">
        <f ca="1">IFERROR(IF(0=LEN(ReferenceData!$CJ$102),"",ReferenceData!$CJ$102),"")</f>
        <v/>
      </c>
      <c r="CK102" t="str">
        <f ca="1">IFERROR(IF(0=LEN(ReferenceData!$CK$102),"",ReferenceData!$CK$102),"")</f>
        <v/>
      </c>
    </row>
    <row r="103" spans="1:89">
      <c r="A103" t="str">
        <f>IFERROR(IF(0=LEN(ReferenceData!$A$103),"",ReferenceData!$A$103),"")</f>
        <v xml:space="preserve">    AvalonBay Communities Inc</v>
      </c>
      <c r="B103" t="str">
        <f>IFERROR(IF(0=LEN(ReferenceData!$B$103),"",ReferenceData!$B$103),"")</f>
        <v>AVB US Equity</v>
      </c>
      <c r="C103" t="str">
        <f>IFERROR(IF(0=LEN(ReferenceData!$C$103),"",ReferenceData!$C$103),"")</f>
        <v/>
      </c>
      <c r="D103" t="str">
        <f>IFERROR(IF(0=LEN(ReferenceData!$D$103),"",ReferenceData!$D$103),"")</f>
        <v/>
      </c>
      <c r="E103" t="str">
        <f>IFERROR(IF(0=LEN(ReferenceData!$E$103),"",ReferenceData!$E$103),"")</f>
        <v>Expression</v>
      </c>
      <c r="F103">
        <f ca="1">IFERROR(IF(0=LEN(ReferenceData!$F$103),"",ReferenceData!$F$103),"")</f>
        <v>19.128478390000001</v>
      </c>
      <c r="G103">
        <f ca="1">IFERROR(IF(0=LEN(ReferenceData!$G$103),"",ReferenceData!$G$103),"")</f>
        <v>18.413784960000001</v>
      </c>
      <c r="H103">
        <f ca="1">IFERROR(IF(0=LEN(ReferenceData!$H$103),"",ReferenceData!$H$103),"")</f>
        <v>19.953161590000001</v>
      </c>
      <c r="I103">
        <f ca="1">IFERROR(IF(0=LEN(ReferenceData!$I$103),"",ReferenceData!$I$103),"")</f>
        <v>20.905788609999998</v>
      </c>
      <c r="J103">
        <f ca="1">IFERROR(IF(0=LEN(ReferenceData!$J$103),"",ReferenceData!$J$103),"")</f>
        <v>21.23799485</v>
      </c>
      <c r="K103">
        <f ca="1">IFERROR(IF(0=LEN(ReferenceData!$K$103),"",ReferenceData!$K$103),"")</f>
        <v>21.208187129999999</v>
      </c>
      <c r="L103">
        <f ca="1">IFERROR(IF(0=LEN(ReferenceData!$L$103),"",ReferenceData!$L$103),"")</f>
        <v>20.84832905</v>
      </c>
      <c r="M103">
        <f ca="1">IFERROR(IF(0=LEN(ReferenceData!$M$103),"",ReferenceData!$M$103),"")</f>
        <v>21.895264749999999</v>
      </c>
      <c r="N103">
        <f ca="1">IFERROR(IF(0=LEN(ReferenceData!$N$103),"",ReferenceData!$N$103),"")</f>
        <v>22.316974129999998</v>
      </c>
      <c r="O103">
        <f ca="1">IFERROR(IF(0=LEN(ReferenceData!$O$103),"",ReferenceData!$O$103),"")</f>
        <v>22.26767092</v>
      </c>
      <c r="P103">
        <f ca="1">IFERROR(IF(0=LEN(ReferenceData!$P$103),"",ReferenceData!$P$103),"")</f>
        <v>22.213962129999999</v>
      </c>
      <c r="Q103">
        <f ca="1">IFERROR(IF(0=LEN(ReferenceData!$Q$103),"",ReferenceData!$Q$103),"")</f>
        <v>22.162035960000001</v>
      </c>
      <c r="R103">
        <f ca="1">IFERROR(IF(0=LEN(ReferenceData!$R$103),"",ReferenceData!$R$103),"")</f>
        <v>21.333953059999999</v>
      </c>
      <c r="S103">
        <f ca="1">IFERROR(IF(0=LEN(ReferenceData!$S$103),"",ReferenceData!$S$103),"")</f>
        <v>21.409599249999999</v>
      </c>
      <c r="T103">
        <f ca="1">IFERROR(IF(0=LEN(ReferenceData!$T$103),"",ReferenceData!$T$103),"")</f>
        <v>20.199300699999998</v>
      </c>
      <c r="U103">
        <f ca="1">IFERROR(IF(0=LEN(ReferenceData!$U$103),"",ReferenceData!$U$103),"")</f>
        <v>20.598837209999999</v>
      </c>
      <c r="V103">
        <f ca="1">IFERROR(IF(0=LEN(ReferenceData!$V$103),"",ReferenceData!$V$103),"")</f>
        <v>19.075727700000002</v>
      </c>
      <c r="W103">
        <f ca="1">IFERROR(IF(0=LEN(ReferenceData!$W$103),"",ReferenceData!$W$103),"")</f>
        <v>19.87460815</v>
      </c>
      <c r="X103">
        <f ca="1">IFERROR(IF(0=LEN(ReferenceData!$X$103),"",ReferenceData!$X$103),"")</f>
        <v>20.301369860000001</v>
      </c>
      <c r="Y103">
        <f ca="1">IFERROR(IF(0=LEN(ReferenceData!$Y$103),"",ReferenceData!$Y$103),"")</f>
        <v>19.894282140000001</v>
      </c>
      <c r="Z103">
        <f ca="1">IFERROR(IF(0=LEN(ReferenceData!$Z$103),"",ReferenceData!$Z$103),"")</f>
        <v>21.103785380000001</v>
      </c>
      <c r="AA103">
        <f ca="1">IFERROR(IF(0=LEN(ReferenceData!$AA$103),"",ReferenceData!$AA$103),"")</f>
        <v>20.806228369999999</v>
      </c>
      <c r="AB103" t="str">
        <f ca="1">IFERROR(IF(0=LEN(ReferenceData!$AB$103),"",ReferenceData!$AB$103),"")</f>
        <v/>
      </c>
      <c r="AC103">
        <f ca="1">IFERROR(IF(0=LEN(ReferenceData!$AC$103),"",ReferenceData!$AC$103),"")</f>
        <v>20.274082570000001</v>
      </c>
      <c r="AD103" t="str">
        <f ca="1">IFERROR(IF(0=LEN(ReferenceData!$AD$103),"",ReferenceData!$AD$103),"")</f>
        <v/>
      </c>
      <c r="AE103">
        <f ca="1">IFERROR(IF(0=LEN(ReferenceData!$AE$103),"",ReferenceData!$AE$103),"")</f>
        <v>19.113585749999999</v>
      </c>
      <c r="AF103" t="str">
        <f ca="1">IFERROR(IF(0=LEN(ReferenceData!$AF$103),"",ReferenceData!$AF$103),"")</f>
        <v/>
      </c>
      <c r="AG103" t="str">
        <f ca="1">IFERROR(IF(0=LEN(ReferenceData!$AG$103),"",ReferenceData!$AG$103),"")</f>
        <v/>
      </c>
      <c r="AH103" t="str">
        <f ca="1">IFERROR(IF(0=LEN(ReferenceData!$AH$103),"",ReferenceData!$AH$103),"")</f>
        <v/>
      </c>
      <c r="AI103" t="str">
        <f ca="1">IFERROR(IF(0=LEN(ReferenceData!$AI$103),"",ReferenceData!$AI$103),"")</f>
        <v/>
      </c>
      <c r="AJ103" t="str">
        <f ca="1">IFERROR(IF(0=LEN(ReferenceData!$AJ$103),"",ReferenceData!$AJ$103),"")</f>
        <v/>
      </c>
      <c r="AK103" t="str">
        <f ca="1">IFERROR(IF(0=LEN(ReferenceData!$AK$103),"",ReferenceData!$AK$103),"")</f>
        <v/>
      </c>
      <c r="AL103" t="str">
        <f ca="1">IFERROR(IF(0=LEN(ReferenceData!$AL$103),"",ReferenceData!$AL$103),"")</f>
        <v/>
      </c>
      <c r="AM103" t="str">
        <f ca="1">IFERROR(IF(0=LEN(ReferenceData!$AM$103),"",ReferenceData!$AM$103),"")</f>
        <v/>
      </c>
      <c r="AN103" t="str">
        <f ca="1">IFERROR(IF(0=LEN(ReferenceData!$AN$103),"",ReferenceData!$AN$103),"")</f>
        <v/>
      </c>
      <c r="AO103" t="str">
        <f ca="1">IFERROR(IF(0=LEN(ReferenceData!$AO$103),"",ReferenceData!$AO$103),"")</f>
        <v/>
      </c>
      <c r="AP103" t="str">
        <f ca="1">IFERROR(IF(0=LEN(ReferenceData!$AP$103),"",ReferenceData!$AP$103),"")</f>
        <v/>
      </c>
      <c r="AQ103" t="str">
        <f ca="1">IFERROR(IF(0=LEN(ReferenceData!$AQ$103),"",ReferenceData!$AQ$103),"")</f>
        <v/>
      </c>
      <c r="AR103" t="str">
        <f ca="1">IFERROR(IF(0=LEN(ReferenceData!$AR$103),"",ReferenceData!$AR$103),"")</f>
        <v/>
      </c>
      <c r="AS103" t="str">
        <f ca="1">IFERROR(IF(0=LEN(ReferenceData!$AS$103),"",ReferenceData!$AS$103),"")</f>
        <v/>
      </c>
      <c r="AT103" t="str">
        <f ca="1">IFERROR(IF(0=LEN(ReferenceData!$AT$103),"",ReferenceData!$AT$103),"")</f>
        <v/>
      </c>
      <c r="AU103" t="str">
        <f ca="1">IFERROR(IF(0=LEN(ReferenceData!$AU$103),"",ReferenceData!$AU$103),"")</f>
        <v/>
      </c>
      <c r="AV103" t="str">
        <f ca="1">IFERROR(IF(0=LEN(ReferenceData!$AV$103),"",ReferenceData!$AV$103),"")</f>
        <v/>
      </c>
      <c r="AW103" t="str">
        <f ca="1">IFERROR(IF(0=LEN(ReferenceData!$AW$103),"",ReferenceData!$AW$103),"")</f>
        <v/>
      </c>
      <c r="AX103" t="str">
        <f ca="1">IFERROR(IF(0=LEN(ReferenceData!$AX$103),"",ReferenceData!$AX$103),"")</f>
        <v/>
      </c>
      <c r="AY103" t="str">
        <f ca="1">IFERROR(IF(0=LEN(ReferenceData!$AY$103),"",ReferenceData!$AY$103),"")</f>
        <v/>
      </c>
      <c r="AZ103" t="str">
        <f ca="1">IFERROR(IF(0=LEN(ReferenceData!$AZ$103),"",ReferenceData!$AZ$103),"")</f>
        <v/>
      </c>
      <c r="BA103" t="str">
        <f ca="1">IFERROR(IF(0=LEN(ReferenceData!$BA$103),"",ReferenceData!$BA$103),"")</f>
        <v/>
      </c>
      <c r="BB103" t="str">
        <f ca="1">IFERROR(IF(0=LEN(ReferenceData!$BB$103),"",ReferenceData!$BB$103),"")</f>
        <v/>
      </c>
      <c r="BC103" t="str">
        <f ca="1">IFERROR(IF(0=LEN(ReferenceData!$BC$103),"",ReferenceData!$BC$103),"")</f>
        <v/>
      </c>
      <c r="BD103" t="str">
        <f ca="1">IFERROR(IF(0=LEN(ReferenceData!$BD$103),"",ReferenceData!$BD$103),"")</f>
        <v/>
      </c>
      <c r="BE103" t="str">
        <f ca="1">IFERROR(IF(0=LEN(ReferenceData!$BE$103),"",ReferenceData!$BE$103),"")</f>
        <v/>
      </c>
      <c r="BF103" t="str">
        <f ca="1">IFERROR(IF(0=LEN(ReferenceData!$BF$103),"",ReferenceData!$BF$103),"")</f>
        <v/>
      </c>
      <c r="BG103" t="str">
        <f ca="1">IFERROR(IF(0=LEN(ReferenceData!$BG$103),"",ReferenceData!$BG$103),"")</f>
        <v/>
      </c>
      <c r="BH103" t="str">
        <f ca="1">IFERROR(IF(0=LEN(ReferenceData!$BH$103),"",ReferenceData!$BH$103),"")</f>
        <v/>
      </c>
      <c r="BI103" t="str">
        <f ca="1">IFERROR(IF(0=LEN(ReferenceData!$BI$103),"",ReferenceData!$BI$103),"")</f>
        <v/>
      </c>
      <c r="BJ103" t="str">
        <f ca="1">IFERROR(IF(0=LEN(ReferenceData!$BJ$103),"",ReferenceData!$BJ$103),"")</f>
        <v/>
      </c>
      <c r="BK103" t="str">
        <f ca="1">IFERROR(IF(0=LEN(ReferenceData!$BK$103),"",ReferenceData!$BK$103),"")</f>
        <v/>
      </c>
      <c r="BL103" t="str">
        <f ca="1">IFERROR(IF(0=LEN(ReferenceData!$BL$103),"",ReferenceData!$BL$103),"")</f>
        <v/>
      </c>
      <c r="BM103" t="str">
        <f ca="1">IFERROR(IF(0=LEN(ReferenceData!$BM$103),"",ReferenceData!$BM$103),"")</f>
        <v/>
      </c>
      <c r="BN103" t="str">
        <f ca="1">IFERROR(IF(0=LEN(ReferenceData!$BN$103),"",ReferenceData!$BN$103),"")</f>
        <v/>
      </c>
      <c r="BO103" t="str">
        <f ca="1">IFERROR(IF(0=LEN(ReferenceData!$BO$103),"",ReferenceData!$BO$103),"")</f>
        <v/>
      </c>
      <c r="BP103" t="str">
        <f ca="1">IFERROR(IF(0=LEN(ReferenceData!$BP$103),"",ReferenceData!$BP$103),"")</f>
        <v/>
      </c>
      <c r="BQ103" t="str">
        <f ca="1">IFERROR(IF(0=LEN(ReferenceData!$BQ$103),"",ReferenceData!$BQ$103),"")</f>
        <v/>
      </c>
      <c r="BR103" t="str">
        <f ca="1">IFERROR(IF(0=LEN(ReferenceData!$BR$103),"",ReferenceData!$BR$103),"")</f>
        <v/>
      </c>
      <c r="BS103" t="str">
        <f ca="1">IFERROR(IF(0=LEN(ReferenceData!$BS$103),"",ReferenceData!$BS$103),"")</f>
        <v/>
      </c>
      <c r="BT103" t="str">
        <f ca="1">IFERROR(IF(0=LEN(ReferenceData!$BT$103),"",ReferenceData!$BT$103),"")</f>
        <v/>
      </c>
      <c r="BU103" t="str">
        <f ca="1">IFERROR(IF(0=LEN(ReferenceData!$BU$103),"",ReferenceData!$BU$103),"")</f>
        <v/>
      </c>
      <c r="BV103" t="str">
        <f ca="1">IFERROR(IF(0=LEN(ReferenceData!$BV$103),"",ReferenceData!$BV$103),"")</f>
        <v/>
      </c>
      <c r="BW103" t="str">
        <f ca="1">IFERROR(IF(0=LEN(ReferenceData!$BW$103),"",ReferenceData!$BW$103),"")</f>
        <v/>
      </c>
      <c r="BX103" t="str">
        <f ca="1">IFERROR(IF(0=LEN(ReferenceData!$BX$103),"",ReferenceData!$BX$103),"")</f>
        <v/>
      </c>
      <c r="BY103" t="str">
        <f ca="1">IFERROR(IF(0=LEN(ReferenceData!$BY$103),"",ReferenceData!$BY$103),"")</f>
        <v/>
      </c>
      <c r="BZ103" t="str">
        <f ca="1">IFERROR(IF(0=LEN(ReferenceData!$BZ$103),"",ReferenceData!$BZ$103),"")</f>
        <v/>
      </c>
      <c r="CA103" t="str">
        <f ca="1">IFERROR(IF(0=LEN(ReferenceData!$CA$103),"",ReferenceData!$CA$103),"")</f>
        <v/>
      </c>
      <c r="CB103" t="str">
        <f ca="1">IFERROR(IF(0=LEN(ReferenceData!$CB$103),"",ReferenceData!$CB$103),"")</f>
        <v/>
      </c>
      <c r="CC103" t="str">
        <f ca="1">IFERROR(IF(0=LEN(ReferenceData!$CC$103),"",ReferenceData!$CC$103),"")</f>
        <v/>
      </c>
      <c r="CD103" t="str">
        <f ca="1">IFERROR(IF(0=LEN(ReferenceData!$CD$103),"",ReferenceData!$CD$103),"")</f>
        <v/>
      </c>
      <c r="CE103" t="str">
        <f ca="1">IFERROR(IF(0=LEN(ReferenceData!$CE$103),"",ReferenceData!$CE$103),"")</f>
        <v/>
      </c>
      <c r="CF103" t="str">
        <f ca="1">IFERROR(IF(0=LEN(ReferenceData!$CF$103),"",ReferenceData!$CF$103),"")</f>
        <v/>
      </c>
      <c r="CG103" t="str">
        <f ca="1">IFERROR(IF(0=LEN(ReferenceData!$CG$103),"",ReferenceData!$CG$103),"")</f>
        <v/>
      </c>
      <c r="CH103" t="str">
        <f ca="1">IFERROR(IF(0=LEN(ReferenceData!$CH$103),"",ReferenceData!$CH$103),"")</f>
        <v/>
      </c>
      <c r="CI103" t="str">
        <f ca="1">IFERROR(IF(0=LEN(ReferenceData!$CI$103),"",ReferenceData!$CI$103),"")</f>
        <v/>
      </c>
      <c r="CJ103" t="str">
        <f ca="1">IFERROR(IF(0=LEN(ReferenceData!$CJ$103),"",ReferenceData!$CJ$103),"")</f>
        <v/>
      </c>
      <c r="CK103" t="str">
        <f ca="1">IFERROR(IF(0=LEN(ReferenceData!$CK$103),"",ReferenceData!$CK$103),"")</f>
        <v/>
      </c>
    </row>
    <row r="104" spans="1:89">
      <c r="A104" t="str">
        <f>IFERROR(IF(0=LEN(ReferenceData!$A$104),"",ReferenceData!$A$104),"")</f>
        <v xml:space="preserve">    Camden Property Trust</v>
      </c>
      <c r="B104" t="str">
        <f>IFERROR(IF(0=LEN(ReferenceData!$B$104),"",ReferenceData!$B$104),"")</f>
        <v>CPT US Equity</v>
      </c>
      <c r="C104" t="str">
        <f>IFERROR(IF(0=LEN(ReferenceData!$C$104),"",ReferenceData!$C$104),"")</f>
        <v/>
      </c>
      <c r="D104" t="str">
        <f>IFERROR(IF(0=LEN(ReferenceData!$D$104),"",ReferenceData!$D$104),"")</f>
        <v/>
      </c>
      <c r="E104" t="str">
        <f>IFERROR(IF(0=LEN(ReferenceData!$E$104),"",ReferenceData!$E$104),"")</f>
        <v>Expression</v>
      </c>
      <c r="F104">
        <f ca="1">IFERROR(IF(0=LEN(ReferenceData!$F$104),"",ReferenceData!$F$104),"")</f>
        <v>20.321788260000002</v>
      </c>
      <c r="G104">
        <f ca="1">IFERROR(IF(0=LEN(ReferenceData!$G$104),"",ReferenceData!$G$104),"")</f>
        <v>19.53676471</v>
      </c>
      <c r="H104">
        <f ca="1">IFERROR(IF(0=LEN(ReferenceData!$H$104),"",ReferenceData!$H$104),"")</f>
        <v>20.968992249999999</v>
      </c>
      <c r="I104">
        <f ca="1">IFERROR(IF(0=LEN(ReferenceData!$I$104),"",ReferenceData!$I$104),"")</f>
        <v>22.409931839999999</v>
      </c>
      <c r="J104">
        <f ca="1">IFERROR(IF(0=LEN(ReferenceData!$J$104),"",ReferenceData!$J$104),"")</f>
        <v>22.155339810000001</v>
      </c>
      <c r="K104">
        <f ca="1">IFERROR(IF(0=LEN(ReferenceData!$K$104),"",ReferenceData!$K$104),"")</f>
        <v>22.395679919999999</v>
      </c>
      <c r="L104">
        <f ca="1">IFERROR(IF(0=LEN(ReferenceData!$L$104),"",ReferenceData!$L$104),"")</f>
        <v>22.239785990000001</v>
      </c>
      <c r="M104">
        <f ca="1">IFERROR(IF(0=LEN(ReferenceData!$M$104),"",ReferenceData!$M$104),"")</f>
        <v>22.050271070000001</v>
      </c>
      <c r="N104">
        <f ca="1">IFERROR(IF(0=LEN(ReferenceData!$N$104),"",ReferenceData!$N$104),"")</f>
        <v>22.093596059999999</v>
      </c>
      <c r="O104">
        <f ca="1">IFERROR(IF(0=LEN(ReferenceData!$O$104),"",ReferenceData!$O$104),"")</f>
        <v>21.186818630000001</v>
      </c>
      <c r="P104">
        <f ca="1">IFERROR(IF(0=LEN(ReferenceData!$P$104),"",ReferenceData!$P$104),"")</f>
        <v>20.723880600000001</v>
      </c>
      <c r="Q104">
        <f ca="1">IFERROR(IF(0=LEN(ReferenceData!$Q$104),"",ReferenceData!$Q$104),"")</f>
        <v>19.852905710000002</v>
      </c>
      <c r="R104">
        <f ca="1">IFERROR(IF(0=LEN(ReferenceData!$R$104),"",ReferenceData!$R$104),"")</f>
        <v>20.114999999999998</v>
      </c>
      <c r="S104">
        <f ca="1">IFERROR(IF(0=LEN(ReferenceData!$S$104),"",ReferenceData!$S$104),"")</f>
        <v>21.136079899999999</v>
      </c>
      <c r="T104">
        <f ca="1">IFERROR(IF(0=LEN(ReferenceData!$T$104),"",ReferenceData!$T$104),"")</f>
        <v>20.472807450000001</v>
      </c>
      <c r="U104">
        <f ca="1">IFERROR(IF(0=LEN(ReferenceData!$U$104),"",ReferenceData!$U$104),"")</f>
        <v>20.758024689999999</v>
      </c>
      <c r="V104">
        <f ca="1">IFERROR(IF(0=LEN(ReferenceData!$V$104),"",ReferenceData!$V$104),"")</f>
        <v>19.911459650000001</v>
      </c>
      <c r="W104">
        <f ca="1">IFERROR(IF(0=LEN(ReferenceData!$W$104),"",ReferenceData!$W$104),"")</f>
        <v>20.55008832</v>
      </c>
      <c r="X104">
        <f ca="1">IFERROR(IF(0=LEN(ReferenceData!$X$104),"",ReferenceData!$X$104),"")</f>
        <v>21.25380711</v>
      </c>
      <c r="Y104">
        <f ca="1">IFERROR(IF(0=LEN(ReferenceData!$Y$104),"",ReferenceData!$Y$104),"")</f>
        <v>22.119455649999999</v>
      </c>
      <c r="Z104">
        <f ca="1">IFERROR(IF(0=LEN(ReferenceData!$Z$104),"",ReferenceData!$Z$104),"")</f>
        <v>22.578125</v>
      </c>
      <c r="AA104">
        <f ca="1">IFERROR(IF(0=LEN(ReferenceData!$AA$104),"",ReferenceData!$AA$104),"")</f>
        <v>22.631174810000001</v>
      </c>
      <c r="AB104">
        <f ca="1">IFERROR(IF(0=LEN(ReferenceData!$AB$104),"",ReferenceData!$AB$104),"")</f>
        <v>21.626903550000002</v>
      </c>
      <c r="AC104">
        <f ca="1">IFERROR(IF(0=LEN(ReferenceData!$AC$104),"",ReferenceData!$AC$104),"")</f>
        <v>18.579976989999999</v>
      </c>
      <c r="AD104" t="str">
        <f ca="1">IFERROR(IF(0=LEN(ReferenceData!$AD$104),"",ReferenceData!$AD$104),"")</f>
        <v/>
      </c>
      <c r="AE104" t="str">
        <f ca="1">IFERROR(IF(0=LEN(ReferenceData!$AE$104),"",ReferenceData!$AE$104),"")</f>
        <v/>
      </c>
      <c r="AF104">
        <f ca="1">IFERROR(IF(0=LEN(ReferenceData!$AF$104),"",ReferenceData!$AF$104),"")</f>
        <v>16.955555560000001</v>
      </c>
      <c r="AG104" t="str">
        <f ca="1">IFERROR(IF(0=LEN(ReferenceData!$AG$104),"",ReferenceData!$AG$104),"")</f>
        <v/>
      </c>
      <c r="AH104" t="str">
        <f ca="1">IFERROR(IF(0=LEN(ReferenceData!$AH$104),"",ReferenceData!$AH$104),"")</f>
        <v/>
      </c>
      <c r="AI104" t="str">
        <f ca="1">IFERROR(IF(0=LEN(ReferenceData!$AI$104),"",ReferenceData!$AI$104),"")</f>
        <v/>
      </c>
      <c r="AJ104" t="str">
        <f ca="1">IFERROR(IF(0=LEN(ReferenceData!$AJ$104),"",ReferenceData!$AJ$104),"")</f>
        <v/>
      </c>
      <c r="AK104" t="str">
        <f ca="1">IFERROR(IF(0=LEN(ReferenceData!$AK$104),"",ReferenceData!$AK$104),"")</f>
        <v/>
      </c>
      <c r="AL104" t="str">
        <f ca="1">IFERROR(IF(0=LEN(ReferenceData!$AL$104),"",ReferenceData!$AL$104),"")</f>
        <v/>
      </c>
      <c r="AM104" t="str">
        <f ca="1">IFERROR(IF(0=LEN(ReferenceData!$AM$104),"",ReferenceData!$AM$104),"")</f>
        <v/>
      </c>
      <c r="AN104" t="str">
        <f ca="1">IFERROR(IF(0=LEN(ReferenceData!$AN$104),"",ReferenceData!$AN$104),"")</f>
        <v/>
      </c>
      <c r="AO104" t="str">
        <f ca="1">IFERROR(IF(0=LEN(ReferenceData!$AO$104),"",ReferenceData!$AO$104),"")</f>
        <v/>
      </c>
      <c r="AP104" t="str">
        <f ca="1">IFERROR(IF(0=LEN(ReferenceData!$AP$104),"",ReferenceData!$AP$104),"")</f>
        <v/>
      </c>
      <c r="AQ104" t="str">
        <f ca="1">IFERROR(IF(0=LEN(ReferenceData!$AQ$104),"",ReferenceData!$AQ$104),"")</f>
        <v/>
      </c>
      <c r="AR104" t="str">
        <f ca="1">IFERROR(IF(0=LEN(ReferenceData!$AR$104),"",ReferenceData!$AR$104),"")</f>
        <v/>
      </c>
      <c r="AS104" t="str">
        <f ca="1">IFERROR(IF(0=LEN(ReferenceData!$AS$104),"",ReferenceData!$AS$104),"")</f>
        <v/>
      </c>
      <c r="AT104" t="str">
        <f ca="1">IFERROR(IF(0=LEN(ReferenceData!$AT$104),"",ReferenceData!$AT$104),"")</f>
        <v/>
      </c>
      <c r="AU104" t="str">
        <f ca="1">IFERROR(IF(0=LEN(ReferenceData!$AU$104),"",ReferenceData!$AU$104),"")</f>
        <v/>
      </c>
      <c r="AV104" t="str">
        <f ca="1">IFERROR(IF(0=LEN(ReferenceData!$AV$104),"",ReferenceData!$AV$104),"")</f>
        <v/>
      </c>
      <c r="AW104" t="str">
        <f ca="1">IFERROR(IF(0=LEN(ReferenceData!$AW$104),"",ReferenceData!$AW$104),"")</f>
        <v/>
      </c>
      <c r="AX104" t="str">
        <f ca="1">IFERROR(IF(0=LEN(ReferenceData!$AX$104),"",ReferenceData!$AX$104),"")</f>
        <v/>
      </c>
      <c r="AY104" t="str">
        <f ca="1">IFERROR(IF(0=LEN(ReferenceData!$AY$104),"",ReferenceData!$AY$104),"")</f>
        <v/>
      </c>
      <c r="AZ104" t="str">
        <f ca="1">IFERROR(IF(0=LEN(ReferenceData!$AZ$104),"",ReferenceData!$AZ$104),"")</f>
        <v/>
      </c>
      <c r="BA104" t="str">
        <f ca="1">IFERROR(IF(0=LEN(ReferenceData!$BA$104),"",ReferenceData!$BA$104),"")</f>
        <v/>
      </c>
      <c r="BB104" t="str">
        <f ca="1">IFERROR(IF(0=LEN(ReferenceData!$BB$104),"",ReferenceData!$BB$104),"")</f>
        <v/>
      </c>
      <c r="BC104" t="str">
        <f ca="1">IFERROR(IF(0=LEN(ReferenceData!$BC$104),"",ReferenceData!$BC$104),"")</f>
        <v/>
      </c>
      <c r="BD104" t="str">
        <f ca="1">IFERROR(IF(0=LEN(ReferenceData!$BD$104),"",ReferenceData!$BD$104),"")</f>
        <v/>
      </c>
      <c r="BE104" t="str">
        <f ca="1">IFERROR(IF(0=LEN(ReferenceData!$BE$104),"",ReferenceData!$BE$104),"")</f>
        <v/>
      </c>
      <c r="BF104" t="str">
        <f ca="1">IFERROR(IF(0=LEN(ReferenceData!$BF$104),"",ReferenceData!$BF$104),"")</f>
        <v/>
      </c>
      <c r="BG104" t="str">
        <f ca="1">IFERROR(IF(0=LEN(ReferenceData!$BG$104),"",ReferenceData!$BG$104),"")</f>
        <v/>
      </c>
      <c r="BH104" t="str">
        <f ca="1">IFERROR(IF(0=LEN(ReferenceData!$BH$104),"",ReferenceData!$BH$104),"")</f>
        <v/>
      </c>
      <c r="BI104" t="str">
        <f ca="1">IFERROR(IF(0=LEN(ReferenceData!$BI$104),"",ReferenceData!$BI$104),"")</f>
        <v/>
      </c>
      <c r="BJ104" t="str">
        <f ca="1">IFERROR(IF(0=LEN(ReferenceData!$BJ$104),"",ReferenceData!$BJ$104),"")</f>
        <v/>
      </c>
      <c r="BK104" t="str">
        <f ca="1">IFERROR(IF(0=LEN(ReferenceData!$BK$104),"",ReferenceData!$BK$104),"")</f>
        <v/>
      </c>
      <c r="BL104" t="str">
        <f ca="1">IFERROR(IF(0=LEN(ReferenceData!$BL$104),"",ReferenceData!$BL$104),"")</f>
        <v/>
      </c>
      <c r="BM104" t="str">
        <f ca="1">IFERROR(IF(0=LEN(ReferenceData!$BM$104),"",ReferenceData!$BM$104),"")</f>
        <v/>
      </c>
      <c r="BN104" t="str">
        <f ca="1">IFERROR(IF(0=LEN(ReferenceData!$BN$104),"",ReferenceData!$BN$104),"")</f>
        <v/>
      </c>
      <c r="BO104" t="str">
        <f ca="1">IFERROR(IF(0=LEN(ReferenceData!$BO$104),"",ReferenceData!$BO$104),"")</f>
        <v/>
      </c>
      <c r="BP104" t="str">
        <f ca="1">IFERROR(IF(0=LEN(ReferenceData!$BP$104),"",ReferenceData!$BP$104),"")</f>
        <v/>
      </c>
      <c r="BQ104" t="str">
        <f ca="1">IFERROR(IF(0=LEN(ReferenceData!$BQ$104),"",ReferenceData!$BQ$104),"")</f>
        <v/>
      </c>
      <c r="BR104" t="str">
        <f ca="1">IFERROR(IF(0=LEN(ReferenceData!$BR$104),"",ReferenceData!$BR$104),"")</f>
        <v/>
      </c>
      <c r="BS104" t="str">
        <f ca="1">IFERROR(IF(0=LEN(ReferenceData!$BS$104),"",ReferenceData!$BS$104),"")</f>
        <v/>
      </c>
      <c r="BT104" t="str">
        <f ca="1">IFERROR(IF(0=LEN(ReferenceData!$BT$104),"",ReferenceData!$BT$104),"")</f>
        <v/>
      </c>
      <c r="BU104" t="str">
        <f ca="1">IFERROR(IF(0=LEN(ReferenceData!$BU$104),"",ReferenceData!$BU$104),"")</f>
        <v/>
      </c>
      <c r="BV104" t="str">
        <f ca="1">IFERROR(IF(0=LEN(ReferenceData!$BV$104),"",ReferenceData!$BV$104),"")</f>
        <v/>
      </c>
      <c r="BW104" t="str">
        <f ca="1">IFERROR(IF(0=LEN(ReferenceData!$BW$104),"",ReferenceData!$BW$104),"")</f>
        <v/>
      </c>
      <c r="BX104" t="str">
        <f ca="1">IFERROR(IF(0=LEN(ReferenceData!$BX$104),"",ReferenceData!$BX$104),"")</f>
        <v/>
      </c>
      <c r="BY104" t="str">
        <f ca="1">IFERROR(IF(0=LEN(ReferenceData!$BY$104),"",ReferenceData!$BY$104),"")</f>
        <v/>
      </c>
      <c r="BZ104" t="str">
        <f ca="1">IFERROR(IF(0=LEN(ReferenceData!$BZ$104),"",ReferenceData!$BZ$104),"")</f>
        <v/>
      </c>
      <c r="CA104" t="str">
        <f ca="1">IFERROR(IF(0=LEN(ReferenceData!$CA$104),"",ReferenceData!$CA$104),"")</f>
        <v/>
      </c>
      <c r="CB104" t="str">
        <f ca="1">IFERROR(IF(0=LEN(ReferenceData!$CB$104),"",ReferenceData!$CB$104),"")</f>
        <v/>
      </c>
      <c r="CC104" t="str">
        <f ca="1">IFERROR(IF(0=LEN(ReferenceData!$CC$104),"",ReferenceData!$CC$104),"")</f>
        <v/>
      </c>
      <c r="CD104" t="str">
        <f ca="1">IFERROR(IF(0=LEN(ReferenceData!$CD$104),"",ReferenceData!$CD$104),"")</f>
        <v/>
      </c>
      <c r="CE104" t="str">
        <f ca="1">IFERROR(IF(0=LEN(ReferenceData!$CE$104),"",ReferenceData!$CE$104),"")</f>
        <v/>
      </c>
      <c r="CF104" t="str">
        <f ca="1">IFERROR(IF(0=LEN(ReferenceData!$CF$104),"",ReferenceData!$CF$104),"")</f>
        <v/>
      </c>
      <c r="CG104" t="str">
        <f ca="1">IFERROR(IF(0=LEN(ReferenceData!$CG$104),"",ReferenceData!$CG$104),"")</f>
        <v/>
      </c>
      <c r="CH104" t="str">
        <f ca="1">IFERROR(IF(0=LEN(ReferenceData!$CH$104),"",ReferenceData!$CH$104),"")</f>
        <v/>
      </c>
      <c r="CI104" t="str">
        <f ca="1">IFERROR(IF(0=LEN(ReferenceData!$CI$104),"",ReferenceData!$CI$104),"")</f>
        <v/>
      </c>
      <c r="CJ104" t="str">
        <f ca="1">IFERROR(IF(0=LEN(ReferenceData!$CJ$104),"",ReferenceData!$CJ$104),"")</f>
        <v/>
      </c>
      <c r="CK104" t="str">
        <f ca="1">IFERROR(IF(0=LEN(ReferenceData!$CK$104),"",ReferenceData!$CK$104),"")</f>
        <v/>
      </c>
    </row>
    <row r="105" spans="1:89">
      <c r="A105" t="str">
        <f>IFERROR(IF(0=LEN(ReferenceData!$A$105),"",ReferenceData!$A$105),"")</f>
        <v xml:space="preserve">    Equity Residential</v>
      </c>
      <c r="B105" t="str">
        <f>IFERROR(IF(0=LEN(ReferenceData!$B$105),"",ReferenceData!$B$105),"")</f>
        <v>EQR US Equity</v>
      </c>
      <c r="C105" t="str">
        <f>IFERROR(IF(0=LEN(ReferenceData!$C$105),"",ReferenceData!$C$105),"")</f>
        <v/>
      </c>
      <c r="D105" t="str">
        <f>IFERROR(IF(0=LEN(ReferenceData!$D$105),"",ReferenceData!$D$105),"")</f>
        <v/>
      </c>
      <c r="E105" t="str">
        <f>IFERROR(IF(0=LEN(ReferenceData!$E$105),"",ReferenceData!$E$105),"")</f>
        <v>Expression</v>
      </c>
      <c r="F105">
        <f ca="1">IFERROR(IF(0=LEN(ReferenceData!$F$105),"",ReferenceData!$F$105),"")</f>
        <v>21.17437722</v>
      </c>
      <c r="G105">
        <f ca="1">IFERROR(IF(0=LEN(ReferenceData!$G$105),"",ReferenceData!$G$105),"")</f>
        <v>19.848217439999999</v>
      </c>
      <c r="H105">
        <f ca="1">IFERROR(IF(0=LEN(ReferenceData!$H$105),"",ReferenceData!$H$105),"")</f>
        <v>21.617543860000001</v>
      </c>
      <c r="I105">
        <f ca="1">IFERROR(IF(0=LEN(ReferenceData!$I$105),"",ReferenceData!$I$105),"")</f>
        <v>22.27383863</v>
      </c>
      <c r="J105">
        <f ca="1">IFERROR(IF(0=LEN(ReferenceData!$J$105),"",ReferenceData!$J$105),"")</f>
        <v>23.478566409999999</v>
      </c>
      <c r="K105">
        <f ca="1">IFERROR(IF(0=LEN(ReferenceData!$K$105),"",ReferenceData!$K$105),"")</f>
        <v>23.435540069999998</v>
      </c>
      <c r="L105">
        <f ca="1">IFERROR(IF(0=LEN(ReferenceData!$L$105),"",ReferenceData!$L$105),"")</f>
        <v>22.710988629999999</v>
      </c>
      <c r="M105">
        <f ca="1">IFERROR(IF(0=LEN(ReferenceData!$M$105),"",ReferenceData!$M$105),"")</f>
        <v>23.14719062</v>
      </c>
      <c r="N105">
        <f ca="1">IFERROR(IF(0=LEN(ReferenceData!$N$105),"",ReferenceData!$N$105),"")</f>
        <v>23.550173010000002</v>
      </c>
      <c r="O105">
        <f ca="1">IFERROR(IF(0=LEN(ReferenceData!$O$105),"",ReferenceData!$O$105),"")</f>
        <v>22.841776540000001</v>
      </c>
      <c r="P105">
        <f ca="1">IFERROR(IF(0=LEN(ReferenceData!$P$105),"",ReferenceData!$P$105),"")</f>
        <v>22.592849699999999</v>
      </c>
      <c r="Q105">
        <f ca="1">IFERROR(IF(0=LEN(ReferenceData!$Q$105),"",ReferenceData!$Q$105),"")</f>
        <v>22.268965519999998</v>
      </c>
      <c r="R105">
        <f ca="1">IFERROR(IF(0=LEN(ReferenceData!$R$105),"",ReferenceData!$R$105),"")</f>
        <v>21.440385939999999</v>
      </c>
      <c r="S105">
        <f ca="1">IFERROR(IF(0=LEN(ReferenceData!$S$105),"",ReferenceData!$S$105),"")</f>
        <v>21.55502392</v>
      </c>
      <c r="T105">
        <f ca="1">IFERROR(IF(0=LEN(ReferenceData!$T$105),"",ReferenceData!$T$105),"")</f>
        <v>20.46127946</v>
      </c>
      <c r="U105">
        <f ca="1">IFERROR(IF(0=LEN(ReferenceData!$U$105),"",ReferenceData!$U$105),"")</f>
        <v>21.96587031</v>
      </c>
      <c r="V105">
        <f ca="1">IFERROR(IF(0=LEN(ReferenceData!$V$105),"",ReferenceData!$V$105),"")</f>
        <v>20.48122867</v>
      </c>
      <c r="W105">
        <f ca="1">IFERROR(IF(0=LEN(ReferenceData!$W$105),"",ReferenceData!$W$105),"")</f>
        <v>21.59090909</v>
      </c>
      <c r="X105">
        <f ca="1">IFERROR(IF(0=LEN(ReferenceData!$X$105),"",ReferenceData!$X$105),"")</f>
        <v>21.3013245</v>
      </c>
      <c r="Y105">
        <f ca="1">IFERROR(IF(0=LEN(ReferenceData!$Y$105),"",ReferenceData!$Y$105),"")</f>
        <v>21.31777851</v>
      </c>
      <c r="Z105">
        <f ca="1">IFERROR(IF(0=LEN(ReferenceData!$Z$105),"",ReferenceData!$Z$105),"")</f>
        <v>22.34308248</v>
      </c>
      <c r="AA105">
        <f ca="1">IFERROR(IF(0=LEN(ReferenceData!$AA$105),"",ReferenceData!$AA$105),"")</f>
        <v>21.797468349999999</v>
      </c>
      <c r="AB105">
        <f ca="1">IFERROR(IF(0=LEN(ReferenceData!$AB$105),"",ReferenceData!$AB$105),"")</f>
        <v>21.648420389999998</v>
      </c>
      <c r="AC105">
        <f ca="1">IFERROR(IF(0=LEN(ReferenceData!$AC$105),"",ReferenceData!$AC$105),"")</f>
        <v>21.37205651</v>
      </c>
      <c r="AD105" t="str">
        <f ca="1">IFERROR(IF(0=LEN(ReferenceData!$AD$105),"",ReferenceData!$AD$105),"")</f>
        <v/>
      </c>
      <c r="AE105" t="str">
        <f ca="1">IFERROR(IF(0=LEN(ReferenceData!$AE$105),"",ReferenceData!$AE$105),"")</f>
        <v/>
      </c>
      <c r="AF105" t="str">
        <f ca="1">IFERROR(IF(0=LEN(ReferenceData!$AF$105),"",ReferenceData!$AF$105),"")</f>
        <v/>
      </c>
      <c r="AG105" t="str">
        <f ca="1">IFERROR(IF(0=LEN(ReferenceData!$AG$105),"",ReferenceData!$AG$105),"")</f>
        <v/>
      </c>
      <c r="AH105" t="str">
        <f ca="1">IFERROR(IF(0=LEN(ReferenceData!$AH$105),"",ReferenceData!$AH$105),"")</f>
        <v/>
      </c>
      <c r="AI105" t="str">
        <f ca="1">IFERROR(IF(0=LEN(ReferenceData!$AI$105),"",ReferenceData!$AI$105),"")</f>
        <v/>
      </c>
      <c r="AJ105" t="str">
        <f ca="1">IFERROR(IF(0=LEN(ReferenceData!$AJ$105),"",ReferenceData!$AJ$105),"")</f>
        <v/>
      </c>
      <c r="AK105" t="str">
        <f ca="1">IFERROR(IF(0=LEN(ReferenceData!$AK$105),"",ReferenceData!$AK$105),"")</f>
        <v/>
      </c>
      <c r="AL105" t="str">
        <f ca="1">IFERROR(IF(0=LEN(ReferenceData!$AL$105),"",ReferenceData!$AL$105),"")</f>
        <v/>
      </c>
      <c r="AM105" t="str">
        <f ca="1">IFERROR(IF(0=LEN(ReferenceData!$AM$105),"",ReferenceData!$AM$105),"")</f>
        <v/>
      </c>
      <c r="AN105" t="str">
        <f ca="1">IFERROR(IF(0=LEN(ReferenceData!$AN$105),"",ReferenceData!$AN$105),"")</f>
        <v/>
      </c>
      <c r="AO105" t="str">
        <f ca="1">IFERROR(IF(0=LEN(ReferenceData!$AO$105),"",ReferenceData!$AO$105),"")</f>
        <v/>
      </c>
      <c r="AP105" t="str">
        <f ca="1">IFERROR(IF(0=LEN(ReferenceData!$AP$105),"",ReferenceData!$AP$105),"")</f>
        <v/>
      </c>
      <c r="AQ105" t="str">
        <f ca="1">IFERROR(IF(0=LEN(ReferenceData!$AQ$105),"",ReferenceData!$AQ$105),"")</f>
        <v/>
      </c>
      <c r="AR105" t="str">
        <f ca="1">IFERROR(IF(0=LEN(ReferenceData!$AR$105),"",ReferenceData!$AR$105),"")</f>
        <v/>
      </c>
      <c r="AS105" t="str">
        <f ca="1">IFERROR(IF(0=LEN(ReferenceData!$AS$105),"",ReferenceData!$AS$105),"")</f>
        <v/>
      </c>
      <c r="AT105" t="str">
        <f ca="1">IFERROR(IF(0=LEN(ReferenceData!$AT$105),"",ReferenceData!$AT$105),"")</f>
        <v/>
      </c>
      <c r="AU105" t="str">
        <f ca="1">IFERROR(IF(0=LEN(ReferenceData!$AU$105),"",ReferenceData!$AU$105),"")</f>
        <v/>
      </c>
      <c r="AV105" t="str">
        <f ca="1">IFERROR(IF(0=LEN(ReferenceData!$AV$105),"",ReferenceData!$AV$105),"")</f>
        <v/>
      </c>
      <c r="AW105" t="str">
        <f ca="1">IFERROR(IF(0=LEN(ReferenceData!$AW$105),"",ReferenceData!$AW$105),"")</f>
        <v/>
      </c>
      <c r="AX105" t="str">
        <f ca="1">IFERROR(IF(0=LEN(ReferenceData!$AX$105),"",ReferenceData!$AX$105),"")</f>
        <v/>
      </c>
      <c r="AY105" t="str">
        <f ca="1">IFERROR(IF(0=LEN(ReferenceData!$AY$105),"",ReferenceData!$AY$105),"")</f>
        <v/>
      </c>
      <c r="AZ105" t="str">
        <f ca="1">IFERROR(IF(0=LEN(ReferenceData!$AZ$105),"",ReferenceData!$AZ$105),"")</f>
        <v/>
      </c>
      <c r="BA105" t="str">
        <f ca="1">IFERROR(IF(0=LEN(ReferenceData!$BA$105),"",ReferenceData!$BA$105),"")</f>
        <v/>
      </c>
      <c r="BB105" t="str">
        <f ca="1">IFERROR(IF(0=LEN(ReferenceData!$BB$105),"",ReferenceData!$BB$105),"")</f>
        <v/>
      </c>
      <c r="BC105" t="str">
        <f ca="1">IFERROR(IF(0=LEN(ReferenceData!$BC$105),"",ReferenceData!$BC$105),"")</f>
        <v/>
      </c>
      <c r="BD105" t="str">
        <f ca="1">IFERROR(IF(0=LEN(ReferenceData!$BD$105),"",ReferenceData!$BD$105),"")</f>
        <v/>
      </c>
      <c r="BE105" t="str">
        <f ca="1">IFERROR(IF(0=LEN(ReferenceData!$BE$105),"",ReferenceData!$BE$105),"")</f>
        <v/>
      </c>
      <c r="BF105" t="str">
        <f ca="1">IFERROR(IF(0=LEN(ReferenceData!$BF$105),"",ReferenceData!$BF$105),"")</f>
        <v/>
      </c>
      <c r="BG105" t="str">
        <f ca="1">IFERROR(IF(0=LEN(ReferenceData!$BG$105),"",ReferenceData!$BG$105),"")</f>
        <v/>
      </c>
      <c r="BH105" t="str">
        <f ca="1">IFERROR(IF(0=LEN(ReferenceData!$BH$105),"",ReferenceData!$BH$105),"")</f>
        <v/>
      </c>
      <c r="BI105" t="str">
        <f ca="1">IFERROR(IF(0=LEN(ReferenceData!$BI$105),"",ReferenceData!$BI$105),"")</f>
        <v/>
      </c>
      <c r="BJ105" t="str">
        <f ca="1">IFERROR(IF(0=LEN(ReferenceData!$BJ$105),"",ReferenceData!$BJ$105),"")</f>
        <v/>
      </c>
      <c r="BK105" t="str">
        <f ca="1">IFERROR(IF(0=LEN(ReferenceData!$BK$105),"",ReferenceData!$BK$105),"")</f>
        <v/>
      </c>
      <c r="BL105" t="str">
        <f ca="1">IFERROR(IF(0=LEN(ReferenceData!$BL$105),"",ReferenceData!$BL$105),"")</f>
        <v/>
      </c>
      <c r="BM105" t="str">
        <f ca="1">IFERROR(IF(0=LEN(ReferenceData!$BM$105),"",ReferenceData!$BM$105),"")</f>
        <v/>
      </c>
      <c r="BN105" t="str">
        <f ca="1">IFERROR(IF(0=LEN(ReferenceData!$BN$105),"",ReferenceData!$BN$105),"")</f>
        <v/>
      </c>
      <c r="BO105" t="str">
        <f ca="1">IFERROR(IF(0=LEN(ReferenceData!$BO$105),"",ReferenceData!$BO$105),"")</f>
        <v/>
      </c>
      <c r="BP105" t="str">
        <f ca="1">IFERROR(IF(0=LEN(ReferenceData!$BP$105),"",ReferenceData!$BP$105),"")</f>
        <v/>
      </c>
      <c r="BQ105" t="str">
        <f ca="1">IFERROR(IF(0=LEN(ReferenceData!$BQ$105),"",ReferenceData!$BQ$105),"")</f>
        <v/>
      </c>
      <c r="BR105" t="str">
        <f ca="1">IFERROR(IF(0=LEN(ReferenceData!$BR$105),"",ReferenceData!$BR$105),"")</f>
        <v/>
      </c>
      <c r="BS105" t="str">
        <f ca="1">IFERROR(IF(0=LEN(ReferenceData!$BS$105),"",ReferenceData!$BS$105),"")</f>
        <v/>
      </c>
      <c r="BT105" t="str">
        <f ca="1">IFERROR(IF(0=LEN(ReferenceData!$BT$105),"",ReferenceData!$BT$105),"")</f>
        <v/>
      </c>
      <c r="BU105" t="str">
        <f ca="1">IFERROR(IF(0=LEN(ReferenceData!$BU$105),"",ReferenceData!$BU$105),"")</f>
        <v/>
      </c>
      <c r="BV105" t="str">
        <f ca="1">IFERROR(IF(0=LEN(ReferenceData!$BV$105),"",ReferenceData!$BV$105),"")</f>
        <v/>
      </c>
      <c r="BW105" t="str">
        <f ca="1">IFERROR(IF(0=LEN(ReferenceData!$BW$105),"",ReferenceData!$BW$105),"")</f>
        <v/>
      </c>
      <c r="BX105" t="str">
        <f ca="1">IFERROR(IF(0=LEN(ReferenceData!$BX$105),"",ReferenceData!$BX$105),"")</f>
        <v/>
      </c>
      <c r="BY105" t="str">
        <f ca="1">IFERROR(IF(0=LEN(ReferenceData!$BY$105),"",ReferenceData!$BY$105),"")</f>
        <v/>
      </c>
      <c r="BZ105" t="str">
        <f ca="1">IFERROR(IF(0=LEN(ReferenceData!$BZ$105),"",ReferenceData!$BZ$105),"")</f>
        <v/>
      </c>
      <c r="CA105" t="str">
        <f ca="1">IFERROR(IF(0=LEN(ReferenceData!$CA$105),"",ReferenceData!$CA$105),"")</f>
        <v/>
      </c>
      <c r="CB105" t="str">
        <f ca="1">IFERROR(IF(0=LEN(ReferenceData!$CB$105),"",ReferenceData!$CB$105),"")</f>
        <v/>
      </c>
      <c r="CC105" t="str">
        <f ca="1">IFERROR(IF(0=LEN(ReferenceData!$CC$105),"",ReferenceData!$CC$105),"")</f>
        <v/>
      </c>
      <c r="CD105" t="str">
        <f ca="1">IFERROR(IF(0=LEN(ReferenceData!$CD$105),"",ReferenceData!$CD$105),"")</f>
        <v/>
      </c>
      <c r="CE105" t="str">
        <f ca="1">IFERROR(IF(0=LEN(ReferenceData!$CE$105),"",ReferenceData!$CE$105),"")</f>
        <v/>
      </c>
      <c r="CF105" t="str">
        <f ca="1">IFERROR(IF(0=LEN(ReferenceData!$CF$105),"",ReferenceData!$CF$105),"")</f>
        <v/>
      </c>
      <c r="CG105" t="str">
        <f ca="1">IFERROR(IF(0=LEN(ReferenceData!$CG$105),"",ReferenceData!$CG$105),"")</f>
        <v/>
      </c>
      <c r="CH105" t="str">
        <f ca="1">IFERROR(IF(0=LEN(ReferenceData!$CH$105),"",ReferenceData!$CH$105),"")</f>
        <v/>
      </c>
      <c r="CI105" t="str">
        <f ca="1">IFERROR(IF(0=LEN(ReferenceData!$CI$105),"",ReferenceData!$CI$105),"")</f>
        <v/>
      </c>
      <c r="CJ105" t="str">
        <f ca="1">IFERROR(IF(0=LEN(ReferenceData!$CJ$105),"",ReferenceData!$CJ$105),"")</f>
        <v/>
      </c>
      <c r="CK105" t="str">
        <f ca="1">IFERROR(IF(0=LEN(ReferenceData!$CK$105),"",ReferenceData!$CK$105),"")</f>
        <v/>
      </c>
    </row>
    <row r="106" spans="1:89">
      <c r="A106" t="str">
        <f>IFERROR(IF(0=LEN(ReferenceData!$A$106),"",ReferenceData!$A$106),"")</f>
        <v xml:space="preserve">    Essex Property Trust Inc</v>
      </c>
      <c r="B106" t="str">
        <f>IFERROR(IF(0=LEN(ReferenceData!$B$106),"",ReferenceData!$B$106),"")</f>
        <v>ESS US Equity</v>
      </c>
      <c r="C106" t="str">
        <f>IFERROR(IF(0=LEN(ReferenceData!$C$106),"",ReferenceData!$C$106),"")</f>
        <v/>
      </c>
      <c r="D106" t="str">
        <f>IFERROR(IF(0=LEN(ReferenceData!$D$106),"",ReferenceData!$D$106),"")</f>
        <v/>
      </c>
      <c r="E106" t="str">
        <f>IFERROR(IF(0=LEN(ReferenceData!$E$106),"",ReferenceData!$E$106),"")</f>
        <v>Expression</v>
      </c>
      <c r="F106">
        <f ca="1">IFERROR(IF(0=LEN(ReferenceData!$F$106),"",ReferenceData!$F$106),"")</f>
        <v>21.0454866</v>
      </c>
      <c r="G106">
        <f ca="1">IFERROR(IF(0=LEN(ReferenceData!$G$106),"",ReferenceData!$G$106),"")</f>
        <v>19.790450929999999</v>
      </c>
      <c r="H106">
        <f ca="1">IFERROR(IF(0=LEN(ReferenceData!$H$106),"",ReferenceData!$H$106),"")</f>
        <v>20.584908989999999</v>
      </c>
      <c r="I106">
        <f ca="1">IFERROR(IF(0=LEN(ReferenceData!$I$106),"",ReferenceData!$I$106),"")</f>
        <v>21.453204159999999</v>
      </c>
      <c r="J106">
        <f ca="1">IFERROR(IF(0=LEN(ReferenceData!$J$106),"",ReferenceData!$J$106),"")</f>
        <v>21.8962766</v>
      </c>
      <c r="K106">
        <f ca="1">IFERROR(IF(0=LEN(ReferenceData!$K$106),"",ReferenceData!$K$106),"")</f>
        <v>23.095133329999999</v>
      </c>
      <c r="L106">
        <f ca="1">IFERROR(IF(0=LEN(ReferenceData!$L$106),"",ReferenceData!$L$106),"")</f>
        <v>22.35982748</v>
      </c>
      <c r="M106">
        <f ca="1">IFERROR(IF(0=LEN(ReferenceData!$M$106),"",ReferenceData!$M$106),"")</f>
        <v>23.390203150000001</v>
      </c>
      <c r="N106">
        <f ca="1">IFERROR(IF(0=LEN(ReferenceData!$N$106),"",ReferenceData!$N$106),"")</f>
        <v>23.130634610000001</v>
      </c>
      <c r="O106">
        <f ca="1">IFERROR(IF(0=LEN(ReferenceData!$O$106),"",ReferenceData!$O$106),"")</f>
        <v>22.835966630000001</v>
      </c>
      <c r="P106">
        <f ca="1">IFERROR(IF(0=LEN(ReferenceData!$P$106),"",ReferenceData!$P$106),"")</f>
        <v>22.85561783</v>
      </c>
      <c r="Q106">
        <f ca="1">IFERROR(IF(0=LEN(ReferenceData!$Q$106),"",ReferenceData!$Q$106),"")</f>
        <v>21.70558466</v>
      </c>
      <c r="R106">
        <f ca="1">IFERROR(IF(0=LEN(ReferenceData!$R$106),"",ReferenceData!$R$106),"")</f>
        <v>20.511162299999999</v>
      </c>
      <c r="S106">
        <f ca="1">IFERROR(IF(0=LEN(ReferenceData!$S$106),"",ReferenceData!$S$106),"")</f>
        <v>20.786467099999999</v>
      </c>
      <c r="T106">
        <f ca="1">IFERROR(IF(0=LEN(ReferenceData!$T$106),"",ReferenceData!$T$106),"")</f>
        <v>19.690984109999999</v>
      </c>
      <c r="U106">
        <f ca="1">IFERROR(IF(0=LEN(ReferenceData!$U$106),"",ReferenceData!$U$106),"")</f>
        <v>20.486386469999999</v>
      </c>
      <c r="V106">
        <f ca="1">IFERROR(IF(0=LEN(ReferenceData!$V$106),"",ReferenceData!$V$106),"")</f>
        <v>19.121501949999999</v>
      </c>
      <c r="W106">
        <f ca="1">IFERROR(IF(0=LEN(ReferenceData!$W$106),"",ReferenceData!$W$106),"")</f>
        <v>18.93261408</v>
      </c>
      <c r="X106">
        <f ca="1">IFERROR(IF(0=LEN(ReferenceData!$X$106),"",ReferenceData!$X$106),"")</f>
        <v>19.63325399</v>
      </c>
      <c r="Y106">
        <f ca="1">IFERROR(IF(0=LEN(ReferenceData!$Y$106),"",ReferenceData!$Y$106),"")</f>
        <v>19.886164619999999</v>
      </c>
      <c r="Z106">
        <f ca="1">IFERROR(IF(0=LEN(ReferenceData!$Z$106),"",ReferenceData!$Z$106),"")</f>
        <v>20.355091380000001</v>
      </c>
      <c r="AA106">
        <f ca="1">IFERROR(IF(0=LEN(ReferenceData!$AA$106),"",ReferenceData!$AA$106),"")</f>
        <v>19.679896459999998</v>
      </c>
      <c r="AB106">
        <f ca="1">IFERROR(IF(0=LEN(ReferenceData!$AB$106),"",ReferenceData!$AB$106),"")</f>
        <v>19.416388959999999</v>
      </c>
      <c r="AC106">
        <f ca="1">IFERROR(IF(0=LEN(ReferenceData!$AC$106),"",ReferenceData!$AC$106),"")</f>
        <v>18.51742965</v>
      </c>
      <c r="AD106" t="str">
        <f ca="1">IFERROR(IF(0=LEN(ReferenceData!$AD$106),"",ReferenceData!$AD$106),"")</f>
        <v/>
      </c>
      <c r="AE106">
        <f ca="1">IFERROR(IF(0=LEN(ReferenceData!$AE$106),"",ReferenceData!$AE$106),"")</f>
        <v>17.3820598</v>
      </c>
      <c r="AF106" t="str">
        <f ca="1">IFERROR(IF(0=LEN(ReferenceData!$AF$106),"",ReferenceData!$AF$106),"")</f>
        <v/>
      </c>
      <c r="AG106" t="str">
        <f ca="1">IFERROR(IF(0=LEN(ReferenceData!$AG$106),"",ReferenceData!$AG$106),"")</f>
        <v/>
      </c>
      <c r="AH106" t="str">
        <f ca="1">IFERROR(IF(0=LEN(ReferenceData!$AH$106),"",ReferenceData!$AH$106),"")</f>
        <v/>
      </c>
      <c r="AI106" t="str">
        <f ca="1">IFERROR(IF(0=LEN(ReferenceData!$AI$106),"",ReferenceData!$AI$106),"")</f>
        <v/>
      </c>
      <c r="AJ106" t="str">
        <f ca="1">IFERROR(IF(0=LEN(ReferenceData!$AJ$106),"",ReferenceData!$AJ$106),"")</f>
        <v/>
      </c>
      <c r="AK106" t="str">
        <f ca="1">IFERROR(IF(0=LEN(ReferenceData!$AK$106),"",ReferenceData!$AK$106),"")</f>
        <v/>
      </c>
      <c r="AL106" t="str">
        <f ca="1">IFERROR(IF(0=LEN(ReferenceData!$AL$106),"",ReferenceData!$AL$106),"")</f>
        <v/>
      </c>
      <c r="AM106" t="str">
        <f ca="1">IFERROR(IF(0=LEN(ReferenceData!$AM$106),"",ReferenceData!$AM$106),"")</f>
        <v/>
      </c>
      <c r="AN106" t="str">
        <f ca="1">IFERROR(IF(0=LEN(ReferenceData!$AN$106),"",ReferenceData!$AN$106),"")</f>
        <v/>
      </c>
      <c r="AO106" t="str">
        <f ca="1">IFERROR(IF(0=LEN(ReferenceData!$AO$106),"",ReferenceData!$AO$106),"")</f>
        <v/>
      </c>
      <c r="AP106" t="str">
        <f ca="1">IFERROR(IF(0=LEN(ReferenceData!$AP$106),"",ReferenceData!$AP$106),"")</f>
        <v/>
      </c>
      <c r="AQ106" t="str">
        <f ca="1">IFERROR(IF(0=LEN(ReferenceData!$AQ$106),"",ReferenceData!$AQ$106),"")</f>
        <v/>
      </c>
      <c r="AR106" t="str">
        <f ca="1">IFERROR(IF(0=LEN(ReferenceData!$AR$106),"",ReferenceData!$AR$106),"")</f>
        <v/>
      </c>
      <c r="AS106" t="str">
        <f ca="1">IFERROR(IF(0=LEN(ReferenceData!$AS$106),"",ReferenceData!$AS$106),"")</f>
        <v/>
      </c>
      <c r="AT106" t="str">
        <f ca="1">IFERROR(IF(0=LEN(ReferenceData!$AT$106),"",ReferenceData!$AT$106),"")</f>
        <v/>
      </c>
      <c r="AU106" t="str">
        <f ca="1">IFERROR(IF(0=LEN(ReferenceData!$AU$106),"",ReferenceData!$AU$106),"")</f>
        <v/>
      </c>
      <c r="AV106" t="str">
        <f ca="1">IFERROR(IF(0=LEN(ReferenceData!$AV$106),"",ReferenceData!$AV$106),"")</f>
        <v/>
      </c>
      <c r="AW106" t="str">
        <f ca="1">IFERROR(IF(0=LEN(ReferenceData!$AW$106),"",ReferenceData!$AW$106),"")</f>
        <v/>
      </c>
      <c r="AX106" t="str">
        <f ca="1">IFERROR(IF(0=LEN(ReferenceData!$AX$106),"",ReferenceData!$AX$106),"")</f>
        <v/>
      </c>
      <c r="AY106" t="str">
        <f ca="1">IFERROR(IF(0=LEN(ReferenceData!$AY$106),"",ReferenceData!$AY$106),"")</f>
        <v/>
      </c>
      <c r="AZ106" t="str">
        <f ca="1">IFERROR(IF(0=LEN(ReferenceData!$AZ$106),"",ReferenceData!$AZ$106),"")</f>
        <v/>
      </c>
      <c r="BA106" t="str">
        <f ca="1">IFERROR(IF(0=LEN(ReferenceData!$BA$106),"",ReferenceData!$BA$106),"")</f>
        <v/>
      </c>
      <c r="BB106" t="str">
        <f ca="1">IFERROR(IF(0=LEN(ReferenceData!$BB$106),"",ReferenceData!$BB$106),"")</f>
        <v/>
      </c>
      <c r="BC106" t="str">
        <f ca="1">IFERROR(IF(0=LEN(ReferenceData!$BC$106),"",ReferenceData!$BC$106),"")</f>
        <v/>
      </c>
      <c r="BD106" t="str">
        <f ca="1">IFERROR(IF(0=LEN(ReferenceData!$BD$106),"",ReferenceData!$BD$106),"")</f>
        <v/>
      </c>
      <c r="BE106" t="str">
        <f ca="1">IFERROR(IF(0=LEN(ReferenceData!$BE$106),"",ReferenceData!$BE$106),"")</f>
        <v/>
      </c>
      <c r="BF106" t="str">
        <f ca="1">IFERROR(IF(0=LEN(ReferenceData!$BF$106),"",ReferenceData!$BF$106),"")</f>
        <v/>
      </c>
      <c r="BG106" t="str">
        <f ca="1">IFERROR(IF(0=LEN(ReferenceData!$BG$106),"",ReferenceData!$BG$106),"")</f>
        <v/>
      </c>
      <c r="BH106" t="str">
        <f ca="1">IFERROR(IF(0=LEN(ReferenceData!$BH$106),"",ReferenceData!$BH$106),"")</f>
        <v/>
      </c>
      <c r="BI106" t="str">
        <f ca="1">IFERROR(IF(0=LEN(ReferenceData!$BI$106),"",ReferenceData!$BI$106),"")</f>
        <v/>
      </c>
      <c r="BJ106" t="str">
        <f ca="1">IFERROR(IF(0=LEN(ReferenceData!$BJ$106),"",ReferenceData!$BJ$106),"")</f>
        <v/>
      </c>
      <c r="BK106" t="str">
        <f ca="1">IFERROR(IF(0=LEN(ReferenceData!$BK$106),"",ReferenceData!$BK$106),"")</f>
        <v/>
      </c>
      <c r="BL106" t="str">
        <f ca="1">IFERROR(IF(0=LEN(ReferenceData!$BL$106),"",ReferenceData!$BL$106),"")</f>
        <v/>
      </c>
      <c r="BM106" t="str">
        <f ca="1">IFERROR(IF(0=LEN(ReferenceData!$BM$106),"",ReferenceData!$BM$106),"")</f>
        <v/>
      </c>
      <c r="BN106" t="str">
        <f ca="1">IFERROR(IF(0=LEN(ReferenceData!$BN$106),"",ReferenceData!$BN$106),"")</f>
        <v/>
      </c>
      <c r="BO106" t="str">
        <f ca="1">IFERROR(IF(0=LEN(ReferenceData!$BO$106),"",ReferenceData!$BO$106),"")</f>
        <v/>
      </c>
      <c r="BP106" t="str">
        <f ca="1">IFERROR(IF(0=LEN(ReferenceData!$BP$106),"",ReferenceData!$BP$106),"")</f>
        <v/>
      </c>
      <c r="BQ106" t="str">
        <f ca="1">IFERROR(IF(0=LEN(ReferenceData!$BQ$106),"",ReferenceData!$BQ$106),"")</f>
        <v/>
      </c>
      <c r="BR106" t="str">
        <f ca="1">IFERROR(IF(0=LEN(ReferenceData!$BR$106),"",ReferenceData!$BR$106),"")</f>
        <v/>
      </c>
      <c r="BS106" t="str">
        <f ca="1">IFERROR(IF(0=LEN(ReferenceData!$BS$106),"",ReferenceData!$BS$106),"")</f>
        <v/>
      </c>
      <c r="BT106" t="str">
        <f ca="1">IFERROR(IF(0=LEN(ReferenceData!$BT$106),"",ReferenceData!$BT$106),"")</f>
        <v/>
      </c>
      <c r="BU106" t="str">
        <f ca="1">IFERROR(IF(0=LEN(ReferenceData!$BU$106),"",ReferenceData!$BU$106),"")</f>
        <v/>
      </c>
      <c r="BV106" t="str">
        <f ca="1">IFERROR(IF(0=LEN(ReferenceData!$BV$106),"",ReferenceData!$BV$106),"")</f>
        <v/>
      </c>
      <c r="BW106" t="str">
        <f ca="1">IFERROR(IF(0=LEN(ReferenceData!$BW$106),"",ReferenceData!$BW$106),"")</f>
        <v/>
      </c>
      <c r="BX106" t="str">
        <f ca="1">IFERROR(IF(0=LEN(ReferenceData!$BX$106),"",ReferenceData!$BX$106),"")</f>
        <v/>
      </c>
      <c r="BY106" t="str">
        <f ca="1">IFERROR(IF(0=LEN(ReferenceData!$BY$106),"",ReferenceData!$BY$106),"")</f>
        <v/>
      </c>
      <c r="BZ106" t="str">
        <f ca="1">IFERROR(IF(0=LEN(ReferenceData!$BZ$106),"",ReferenceData!$BZ$106),"")</f>
        <v/>
      </c>
      <c r="CA106" t="str">
        <f ca="1">IFERROR(IF(0=LEN(ReferenceData!$CA$106),"",ReferenceData!$CA$106),"")</f>
        <v/>
      </c>
      <c r="CB106" t="str">
        <f ca="1">IFERROR(IF(0=LEN(ReferenceData!$CB$106),"",ReferenceData!$CB$106),"")</f>
        <v/>
      </c>
      <c r="CC106" t="str">
        <f ca="1">IFERROR(IF(0=LEN(ReferenceData!$CC$106),"",ReferenceData!$CC$106),"")</f>
        <v/>
      </c>
      <c r="CD106" t="str">
        <f ca="1">IFERROR(IF(0=LEN(ReferenceData!$CD$106),"",ReferenceData!$CD$106),"")</f>
        <v/>
      </c>
      <c r="CE106" t="str">
        <f ca="1">IFERROR(IF(0=LEN(ReferenceData!$CE$106),"",ReferenceData!$CE$106),"")</f>
        <v/>
      </c>
      <c r="CF106" t="str">
        <f ca="1">IFERROR(IF(0=LEN(ReferenceData!$CF$106),"",ReferenceData!$CF$106),"")</f>
        <v/>
      </c>
      <c r="CG106" t="str">
        <f ca="1">IFERROR(IF(0=LEN(ReferenceData!$CG$106),"",ReferenceData!$CG$106),"")</f>
        <v/>
      </c>
      <c r="CH106" t="str">
        <f ca="1">IFERROR(IF(0=LEN(ReferenceData!$CH$106),"",ReferenceData!$CH$106),"")</f>
        <v/>
      </c>
      <c r="CI106" t="str">
        <f ca="1">IFERROR(IF(0=LEN(ReferenceData!$CI$106),"",ReferenceData!$CI$106),"")</f>
        <v/>
      </c>
      <c r="CJ106" t="str">
        <f ca="1">IFERROR(IF(0=LEN(ReferenceData!$CJ$106),"",ReferenceData!$CJ$106),"")</f>
        <v/>
      </c>
      <c r="CK106" t="str">
        <f ca="1">IFERROR(IF(0=LEN(ReferenceData!$CK$106),"",ReferenceData!$CK$106),"")</f>
        <v/>
      </c>
    </row>
    <row r="107" spans="1:89">
      <c r="A107" t="str">
        <f>IFERROR(IF(0=LEN(ReferenceData!$A$107),"",ReferenceData!$A$107),"")</f>
        <v xml:space="preserve">    Mid-America Apartment Communit</v>
      </c>
      <c r="B107" t="str">
        <f>IFERROR(IF(0=LEN(ReferenceData!$B$107),"",ReferenceData!$B$107),"")</f>
        <v>MAA US Equity</v>
      </c>
      <c r="C107" t="str">
        <f>IFERROR(IF(0=LEN(ReferenceData!$C$107),"",ReferenceData!$C$107),"")</f>
        <v/>
      </c>
      <c r="D107" t="str">
        <f>IFERROR(IF(0=LEN(ReferenceData!$D$107),"",ReferenceData!$D$107),"")</f>
        <v/>
      </c>
      <c r="E107" t="str">
        <f>IFERROR(IF(0=LEN(ReferenceData!$E$107),"",ReferenceData!$E$107),"")</f>
        <v>Expression</v>
      </c>
      <c r="F107">
        <f ca="1">IFERROR(IF(0=LEN(ReferenceData!$F$107),"",ReferenceData!$F$107),"")</f>
        <v>16.3776352</v>
      </c>
      <c r="G107">
        <f ca="1">IFERROR(IF(0=LEN(ReferenceData!$G$107),"",ReferenceData!$G$107),"")</f>
        <v>15.572491380000001</v>
      </c>
      <c r="H107">
        <f ca="1">IFERROR(IF(0=LEN(ReferenceData!$H$107),"",ReferenceData!$H$107),"")</f>
        <v>17.16213784</v>
      </c>
      <c r="I107">
        <f ca="1">IFERROR(IF(0=LEN(ReferenceData!$I$107),"",ReferenceData!$I$107),"")</f>
        <v>17.905982909999999</v>
      </c>
      <c r="J107">
        <f ca="1">IFERROR(IF(0=LEN(ReferenceData!$J$107),"",ReferenceData!$J$107),"")</f>
        <v>17.912222419999999</v>
      </c>
      <c r="K107">
        <f ca="1">IFERROR(IF(0=LEN(ReferenceData!$K$107),"",ReferenceData!$K$107),"")</f>
        <v>17.846556230000001</v>
      </c>
      <c r="L107">
        <f ca="1">IFERROR(IF(0=LEN(ReferenceData!$L$107),"",ReferenceData!$L$107),"")</f>
        <v>18.58782609</v>
      </c>
      <c r="M107">
        <f ca="1">IFERROR(IF(0=LEN(ReferenceData!$M$107),"",ReferenceData!$M$107),"")</f>
        <v>18.651016120000001</v>
      </c>
      <c r="N107">
        <f ca="1">IFERROR(IF(0=LEN(ReferenceData!$N$107),"",ReferenceData!$N$107),"")</f>
        <v>18.096486630000001</v>
      </c>
      <c r="O107">
        <f ca="1">IFERROR(IF(0=LEN(ReferenceData!$O$107),"",ReferenceData!$O$107),"")</f>
        <v>18.42952081</v>
      </c>
      <c r="P107">
        <f ca="1">IFERROR(IF(0=LEN(ReferenceData!$P$107),"",ReferenceData!$P$107),"")</f>
        <v>17.84351479</v>
      </c>
      <c r="Q107">
        <f ca="1">IFERROR(IF(0=LEN(ReferenceData!$Q$107),"",ReferenceData!$Q$107),"")</f>
        <v>17.41748596</v>
      </c>
      <c r="R107">
        <f ca="1">IFERROR(IF(0=LEN(ReferenceData!$R$107),"",ReferenceData!$R$107),"")</f>
        <v>17.87420942</v>
      </c>
      <c r="S107">
        <f ca="1">IFERROR(IF(0=LEN(ReferenceData!$S$107),"",ReferenceData!$S$107),"")</f>
        <v>18.08626761</v>
      </c>
      <c r="T107">
        <f ca="1">IFERROR(IF(0=LEN(ReferenceData!$T$107),"",ReferenceData!$T$107),"")</f>
        <v>16.628721540000001</v>
      </c>
      <c r="U107">
        <f ca="1">IFERROR(IF(0=LEN(ReferenceData!$U$107),"",ReferenceData!$U$107),"")</f>
        <v>17.414191710000001</v>
      </c>
      <c r="V107">
        <f ca="1">IFERROR(IF(0=LEN(ReferenceData!$V$107),"",ReferenceData!$V$107),"")</f>
        <v>15.79827586</v>
      </c>
      <c r="W107">
        <f ca="1">IFERROR(IF(0=LEN(ReferenceData!$W$107),"",ReferenceData!$W$107),"")</f>
        <v>15.720338979999999</v>
      </c>
      <c r="X107">
        <f ca="1">IFERROR(IF(0=LEN(ReferenceData!$X$107),"",ReferenceData!$X$107),"")</f>
        <v>15.796638659999999</v>
      </c>
      <c r="Y107">
        <f ca="1">IFERROR(IF(0=LEN(ReferenceData!$Y$107),"",ReferenceData!$Y$107),"")</f>
        <v>15.77013423</v>
      </c>
      <c r="Z107">
        <f ca="1">IFERROR(IF(0=LEN(ReferenceData!$Z$107),"",ReferenceData!$Z$107),"")</f>
        <v>17.788590599999999</v>
      </c>
      <c r="AA107" t="str">
        <f ca="1">IFERROR(IF(0=LEN(ReferenceData!$AA$107),"",ReferenceData!$AA$107),"")</f>
        <v/>
      </c>
      <c r="AB107">
        <f ca="1">IFERROR(IF(0=LEN(ReferenceData!$AB$107),"",ReferenceData!$AB$107),"")</f>
        <v>17.280201340000001</v>
      </c>
      <c r="AC107" t="str">
        <f ca="1">IFERROR(IF(0=LEN(ReferenceData!$AC$107),"",ReferenceData!$AC$107),"")</f>
        <v/>
      </c>
      <c r="AD107" t="str">
        <f ca="1">IFERROR(IF(0=LEN(ReferenceData!$AD$107),"",ReferenceData!$AD$107),"")</f>
        <v/>
      </c>
      <c r="AE107" t="str">
        <f ca="1">IFERROR(IF(0=LEN(ReferenceData!$AE$107),"",ReferenceData!$AE$107),"")</f>
        <v/>
      </c>
      <c r="AF107" t="str">
        <f ca="1">IFERROR(IF(0=LEN(ReferenceData!$AF$107),"",ReferenceData!$AF$107),"")</f>
        <v/>
      </c>
      <c r="AG107" t="str">
        <f ca="1">IFERROR(IF(0=LEN(ReferenceData!$AG$107),"",ReferenceData!$AG$107),"")</f>
        <v/>
      </c>
      <c r="AH107" t="str">
        <f ca="1">IFERROR(IF(0=LEN(ReferenceData!$AH$107),"",ReferenceData!$AH$107),"")</f>
        <v/>
      </c>
      <c r="AI107" t="str">
        <f ca="1">IFERROR(IF(0=LEN(ReferenceData!$AI$107),"",ReferenceData!$AI$107),"")</f>
        <v/>
      </c>
      <c r="AJ107" t="str">
        <f ca="1">IFERROR(IF(0=LEN(ReferenceData!$AJ$107),"",ReferenceData!$AJ$107),"")</f>
        <v/>
      </c>
      <c r="AK107" t="str">
        <f ca="1">IFERROR(IF(0=LEN(ReferenceData!$AK$107),"",ReferenceData!$AK$107),"")</f>
        <v/>
      </c>
      <c r="AL107" t="str">
        <f ca="1">IFERROR(IF(0=LEN(ReferenceData!$AL$107),"",ReferenceData!$AL$107),"")</f>
        <v/>
      </c>
      <c r="AM107" t="str">
        <f ca="1">IFERROR(IF(0=LEN(ReferenceData!$AM$107),"",ReferenceData!$AM$107),"")</f>
        <v/>
      </c>
      <c r="AN107" t="str">
        <f ca="1">IFERROR(IF(0=LEN(ReferenceData!$AN$107),"",ReferenceData!$AN$107),"")</f>
        <v/>
      </c>
      <c r="AO107" t="str">
        <f ca="1">IFERROR(IF(0=LEN(ReferenceData!$AO$107),"",ReferenceData!$AO$107),"")</f>
        <v/>
      </c>
      <c r="AP107" t="str">
        <f ca="1">IFERROR(IF(0=LEN(ReferenceData!$AP$107),"",ReferenceData!$AP$107),"")</f>
        <v/>
      </c>
      <c r="AQ107" t="str">
        <f ca="1">IFERROR(IF(0=LEN(ReferenceData!$AQ$107),"",ReferenceData!$AQ$107),"")</f>
        <v/>
      </c>
      <c r="AR107" t="str">
        <f ca="1">IFERROR(IF(0=LEN(ReferenceData!$AR$107),"",ReferenceData!$AR$107),"")</f>
        <v/>
      </c>
      <c r="AS107" t="str">
        <f ca="1">IFERROR(IF(0=LEN(ReferenceData!$AS$107),"",ReferenceData!$AS$107),"")</f>
        <v/>
      </c>
      <c r="AT107" t="str">
        <f ca="1">IFERROR(IF(0=LEN(ReferenceData!$AT$107),"",ReferenceData!$AT$107),"")</f>
        <v/>
      </c>
      <c r="AU107" t="str">
        <f ca="1">IFERROR(IF(0=LEN(ReferenceData!$AU$107),"",ReferenceData!$AU$107),"")</f>
        <v/>
      </c>
      <c r="AV107" t="str">
        <f ca="1">IFERROR(IF(0=LEN(ReferenceData!$AV$107),"",ReferenceData!$AV$107),"")</f>
        <v/>
      </c>
      <c r="AW107" t="str">
        <f ca="1">IFERROR(IF(0=LEN(ReferenceData!$AW$107),"",ReferenceData!$AW$107),"")</f>
        <v/>
      </c>
      <c r="AX107" t="str">
        <f ca="1">IFERROR(IF(0=LEN(ReferenceData!$AX$107),"",ReferenceData!$AX$107),"")</f>
        <v/>
      </c>
      <c r="AY107" t="str">
        <f ca="1">IFERROR(IF(0=LEN(ReferenceData!$AY$107),"",ReferenceData!$AY$107),"")</f>
        <v/>
      </c>
      <c r="AZ107" t="str">
        <f ca="1">IFERROR(IF(0=LEN(ReferenceData!$AZ$107),"",ReferenceData!$AZ$107),"")</f>
        <v/>
      </c>
      <c r="BA107" t="str">
        <f ca="1">IFERROR(IF(0=LEN(ReferenceData!$BA$107),"",ReferenceData!$BA$107),"")</f>
        <v/>
      </c>
      <c r="BB107" t="str">
        <f ca="1">IFERROR(IF(0=LEN(ReferenceData!$BB$107),"",ReferenceData!$BB$107),"")</f>
        <v/>
      </c>
      <c r="BC107" t="str">
        <f ca="1">IFERROR(IF(0=LEN(ReferenceData!$BC$107),"",ReferenceData!$BC$107),"")</f>
        <v/>
      </c>
      <c r="BD107" t="str">
        <f ca="1">IFERROR(IF(0=LEN(ReferenceData!$BD$107),"",ReferenceData!$BD$107),"")</f>
        <v/>
      </c>
      <c r="BE107" t="str">
        <f ca="1">IFERROR(IF(0=LEN(ReferenceData!$BE$107),"",ReferenceData!$BE$107),"")</f>
        <v/>
      </c>
      <c r="BF107" t="str">
        <f ca="1">IFERROR(IF(0=LEN(ReferenceData!$BF$107),"",ReferenceData!$BF$107),"")</f>
        <v/>
      </c>
      <c r="BG107" t="str">
        <f ca="1">IFERROR(IF(0=LEN(ReferenceData!$BG$107),"",ReferenceData!$BG$107),"")</f>
        <v/>
      </c>
      <c r="BH107" t="str">
        <f ca="1">IFERROR(IF(0=LEN(ReferenceData!$BH$107),"",ReferenceData!$BH$107),"")</f>
        <v/>
      </c>
      <c r="BI107" t="str">
        <f ca="1">IFERROR(IF(0=LEN(ReferenceData!$BI$107),"",ReferenceData!$BI$107),"")</f>
        <v/>
      </c>
      <c r="BJ107" t="str">
        <f ca="1">IFERROR(IF(0=LEN(ReferenceData!$BJ$107),"",ReferenceData!$BJ$107),"")</f>
        <v/>
      </c>
      <c r="BK107" t="str">
        <f ca="1">IFERROR(IF(0=LEN(ReferenceData!$BK$107),"",ReferenceData!$BK$107),"")</f>
        <v/>
      </c>
      <c r="BL107" t="str">
        <f ca="1">IFERROR(IF(0=LEN(ReferenceData!$BL$107),"",ReferenceData!$BL$107),"")</f>
        <v/>
      </c>
      <c r="BM107" t="str">
        <f ca="1">IFERROR(IF(0=LEN(ReferenceData!$BM$107),"",ReferenceData!$BM$107),"")</f>
        <v/>
      </c>
      <c r="BN107" t="str">
        <f ca="1">IFERROR(IF(0=LEN(ReferenceData!$BN$107),"",ReferenceData!$BN$107),"")</f>
        <v/>
      </c>
      <c r="BO107" t="str">
        <f ca="1">IFERROR(IF(0=LEN(ReferenceData!$BO$107),"",ReferenceData!$BO$107),"")</f>
        <v/>
      </c>
      <c r="BP107" t="str">
        <f ca="1">IFERROR(IF(0=LEN(ReferenceData!$BP$107),"",ReferenceData!$BP$107),"")</f>
        <v/>
      </c>
      <c r="BQ107" t="str">
        <f ca="1">IFERROR(IF(0=LEN(ReferenceData!$BQ$107),"",ReferenceData!$BQ$107),"")</f>
        <v/>
      </c>
      <c r="BR107" t="str">
        <f ca="1">IFERROR(IF(0=LEN(ReferenceData!$BR$107),"",ReferenceData!$BR$107),"")</f>
        <v/>
      </c>
      <c r="BS107" t="str">
        <f ca="1">IFERROR(IF(0=LEN(ReferenceData!$BS$107),"",ReferenceData!$BS$107),"")</f>
        <v/>
      </c>
      <c r="BT107" t="str">
        <f ca="1">IFERROR(IF(0=LEN(ReferenceData!$BT$107),"",ReferenceData!$BT$107),"")</f>
        <v/>
      </c>
      <c r="BU107" t="str">
        <f ca="1">IFERROR(IF(0=LEN(ReferenceData!$BU$107),"",ReferenceData!$BU$107),"")</f>
        <v/>
      </c>
      <c r="BV107" t="str">
        <f ca="1">IFERROR(IF(0=LEN(ReferenceData!$BV$107),"",ReferenceData!$BV$107),"")</f>
        <v/>
      </c>
      <c r="BW107" t="str">
        <f ca="1">IFERROR(IF(0=LEN(ReferenceData!$BW$107),"",ReferenceData!$BW$107),"")</f>
        <v/>
      </c>
      <c r="BX107" t="str">
        <f ca="1">IFERROR(IF(0=LEN(ReferenceData!$BX$107),"",ReferenceData!$BX$107),"")</f>
        <v/>
      </c>
      <c r="BY107" t="str">
        <f ca="1">IFERROR(IF(0=LEN(ReferenceData!$BY$107),"",ReferenceData!$BY$107),"")</f>
        <v/>
      </c>
      <c r="BZ107" t="str">
        <f ca="1">IFERROR(IF(0=LEN(ReferenceData!$BZ$107),"",ReferenceData!$BZ$107),"")</f>
        <v/>
      </c>
      <c r="CA107" t="str">
        <f ca="1">IFERROR(IF(0=LEN(ReferenceData!$CA$107),"",ReferenceData!$CA$107),"")</f>
        <v/>
      </c>
      <c r="CB107" t="str">
        <f ca="1">IFERROR(IF(0=LEN(ReferenceData!$CB$107),"",ReferenceData!$CB$107),"")</f>
        <v/>
      </c>
      <c r="CC107" t="str">
        <f ca="1">IFERROR(IF(0=LEN(ReferenceData!$CC$107),"",ReferenceData!$CC$107),"")</f>
        <v/>
      </c>
      <c r="CD107" t="str">
        <f ca="1">IFERROR(IF(0=LEN(ReferenceData!$CD$107),"",ReferenceData!$CD$107),"")</f>
        <v/>
      </c>
      <c r="CE107" t="str">
        <f ca="1">IFERROR(IF(0=LEN(ReferenceData!$CE$107),"",ReferenceData!$CE$107),"")</f>
        <v/>
      </c>
      <c r="CF107" t="str">
        <f ca="1">IFERROR(IF(0=LEN(ReferenceData!$CF$107),"",ReferenceData!$CF$107),"")</f>
        <v/>
      </c>
      <c r="CG107" t="str">
        <f ca="1">IFERROR(IF(0=LEN(ReferenceData!$CG$107),"",ReferenceData!$CG$107),"")</f>
        <v/>
      </c>
      <c r="CH107" t="str">
        <f ca="1">IFERROR(IF(0=LEN(ReferenceData!$CH$107),"",ReferenceData!$CH$107),"")</f>
        <v/>
      </c>
      <c r="CI107" t="str">
        <f ca="1">IFERROR(IF(0=LEN(ReferenceData!$CI$107),"",ReferenceData!$CI$107),"")</f>
        <v/>
      </c>
      <c r="CJ107" t="str">
        <f ca="1">IFERROR(IF(0=LEN(ReferenceData!$CJ$107),"",ReferenceData!$CJ$107),"")</f>
        <v/>
      </c>
      <c r="CK107" t="str">
        <f ca="1">IFERROR(IF(0=LEN(ReferenceData!$CK$107),"",ReferenceData!$CK$107),"")</f>
        <v/>
      </c>
    </row>
    <row r="108" spans="1:89">
      <c r="A108" t="str">
        <f>IFERROR(IF(0=LEN(ReferenceData!$A$108),"",ReferenceData!$A$108),"")</f>
        <v xml:space="preserve">    UDR Inc</v>
      </c>
      <c r="B108" t="str">
        <f>IFERROR(IF(0=LEN(ReferenceData!$B$108),"",ReferenceData!$B$108),"")</f>
        <v>UDR US Equity</v>
      </c>
      <c r="C108" t="str">
        <f>IFERROR(IF(0=LEN(ReferenceData!$C$108),"",ReferenceData!$C$108),"")</f>
        <v/>
      </c>
      <c r="D108" t="str">
        <f>IFERROR(IF(0=LEN(ReferenceData!$D$108),"",ReferenceData!$D$108),"")</f>
        <v/>
      </c>
      <c r="E108" t="str">
        <f>IFERROR(IF(0=LEN(ReferenceData!$E$108),"",ReferenceData!$E$108),"")</f>
        <v>Expression</v>
      </c>
      <c r="F108">
        <f ca="1">IFERROR(IF(0=LEN(ReferenceData!$F$108),"",ReferenceData!$F$108),"")</f>
        <v>19.776035830000001</v>
      </c>
      <c r="G108">
        <f ca="1">IFERROR(IF(0=LEN(ReferenceData!$G$108),"",ReferenceData!$G$108),"")</f>
        <v>18.81365417</v>
      </c>
      <c r="H108">
        <f ca="1">IFERROR(IF(0=LEN(ReferenceData!$H$108),"",ReferenceData!$H$108),"")</f>
        <v>20.23822715</v>
      </c>
      <c r="I108">
        <f ca="1">IFERROR(IF(0=LEN(ReferenceData!$I$108),"",ReferenceData!$I$108),"")</f>
        <v>21.4</v>
      </c>
      <c r="J108">
        <f ca="1">IFERROR(IF(0=LEN(ReferenceData!$J$108),"",ReferenceData!$J$108),"")</f>
        <v>21.85</v>
      </c>
      <c r="K108">
        <f ca="1">IFERROR(IF(0=LEN(ReferenceData!$K$108),"",ReferenceData!$K$108),"")</f>
        <v>21.514143090000001</v>
      </c>
      <c r="L108">
        <f ca="1">IFERROR(IF(0=LEN(ReferenceData!$L$108),"",ReferenceData!$L$108),"")</f>
        <v>21.092623410000002</v>
      </c>
      <c r="M108">
        <f ca="1">IFERROR(IF(0=LEN(ReferenceData!$M$108),"",ReferenceData!$M$108),"")</f>
        <v>21.38842975</v>
      </c>
      <c r="N108">
        <f ca="1">IFERROR(IF(0=LEN(ReferenceData!$N$108),"",ReferenceData!$N$108),"")</f>
        <v>21.83798883</v>
      </c>
      <c r="O108">
        <f ca="1">IFERROR(IF(0=LEN(ReferenceData!$O$108),"",ReferenceData!$O$108),"")</f>
        <v>21.65</v>
      </c>
      <c r="P108">
        <f ca="1">IFERROR(IF(0=LEN(ReferenceData!$P$108),"",ReferenceData!$P$108),"")</f>
        <v>21.45</v>
      </c>
      <c r="Q108">
        <f ca="1">IFERROR(IF(0=LEN(ReferenceData!$Q$108),"",ReferenceData!$Q$108),"")</f>
        <v>21.300627500000001</v>
      </c>
      <c r="R108">
        <f ca="1">IFERROR(IF(0=LEN(ReferenceData!$R$108),"",ReferenceData!$R$108),"")</f>
        <v>20.839080460000002</v>
      </c>
      <c r="S108">
        <f ca="1">IFERROR(IF(0=LEN(ReferenceData!$S$108),"",ReferenceData!$S$108),"")</f>
        <v>20.869068039999998</v>
      </c>
      <c r="T108">
        <f ca="1">IFERROR(IF(0=LEN(ReferenceData!$T$108),"",ReferenceData!$T$108),"")</f>
        <v>19.459910910000001</v>
      </c>
      <c r="U108">
        <f ca="1">IFERROR(IF(0=LEN(ReferenceData!$U$108),"",ReferenceData!$U$108),"")</f>
        <v>20.289210229999998</v>
      </c>
      <c r="V108">
        <f ca="1">IFERROR(IF(0=LEN(ReferenceData!$V$108),"",ReferenceData!$V$108),"")</f>
        <v>19.038031320000002</v>
      </c>
      <c r="W108">
        <f ca="1">IFERROR(IF(0=LEN(ReferenceData!$W$108),"",ReferenceData!$W$108),"")</f>
        <v>19.723632259999999</v>
      </c>
      <c r="X108">
        <f ca="1">IFERROR(IF(0=LEN(ReferenceData!$X$108),"",ReferenceData!$X$108),"")</f>
        <v>19.666666670000001</v>
      </c>
      <c r="Y108">
        <f ca="1">IFERROR(IF(0=LEN(ReferenceData!$Y$108),"",ReferenceData!$Y$108),"")</f>
        <v>19.846407020000001</v>
      </c>
      <c r="Z108">
        <f ca="1">IFERROR(IF(0=LEN(ReferenceData!$Z$108),"",ReferenceData!$Z$108),"")</f>
        <v>20.422380690000001</v>
      </c>
      <c r="AA108">
        <f ca="1">IFERROR(IF(0=LEN(ReferenceData!$AA$108),"",ReferenceData!$AA$108),"")</f>
        <v>20.285714290000001</v>
      </c>
      <c r="AB108" t="str">
        <f ca="1">IFERROR(IF(0=LEN(ReferenceData!$AB$108),"",ReferenceData!$AB$108),"")</f>
        <v/>
      </c>
      <c r="AC108">
        <f ca="1">IFERROR(IF(0=LEN(ReferenceData!$AC$108),"",ReferenceData!$AC$108),"")</f>
        <v>18.97826087</v>
      </c>
      <c r="AD108" t="str">
        <f ca="1">IFERROR(IF(0=LEN(ReferenceData!$AD$108),"",ReferenceData!$AD$108),"")</f>
        <v/>
      </c>
      <c r="AE108">
        <f ca="1">IFERROR(IF(0=LEN(ReferenceData!$AE$108),"",ReferenceData!$AE$108),"")</f>
        <v>18.456989249999999</v>
      </c>
      <c r="AF108" t="str">
        <f ca="1">IFERROR(IF(0=LEN(ReferenceData!$AF$108),"",ReferenceData!$AF$108),"")</f>
        <v/>
      </c>
      <c r="AG108" t="str">
        <f ca="1">IFERROR(IF(0=LEN(ReferenceData!$AG$108),"",ReferenceData!$AG$108),"")</f>
        <v/>
      </c>
      <c r="AH108" t="str">
        <f ca="1">IFERROR(IF(0=LEN(ReferenceData!$AH$108),"",ReferenceData!$AH$108),"")</f>
        <v/>
      </c>
      <c r="AI108" t="str">
        <f ca="1">IFERROR(IF(0=LEN(ReferenceData!$AI$108),"",ReferenceData!$AI$108),"")</f>
        <v/>
      </c>
      <c r="AJ108" t="str">
        <f ca="1">IFERROR(IF(0=LEN(ReferenceData!$AJ$108),"",ReferenceData!$AJ$108),"")</f>
        <v/>
      </c>
      <c r="AK108" t="str">
        <f ca="1">IFERROR(IF(0=LEN(ReferenceData!$AK$108),"",ReferenceData!$AK$108),"")</f>
        <v/>
      </c>
      <c r="AL108" t="str">
        <f ca="1">IFERROR(IF(0=LEN(ReferenceData!$AL$108),"",ReferenceData!$AL$108),"")</f>
        <v/>
      </c>
      <c r="AM108" t="str">
        <f ca="1">IFERROR(IF(0=LEN(ReferenceData!$AM$108),"",ReferenceData!$AM$108),"")</f>
        <v/>
      </c>
      <c r="AN108" t="str">
        <f ca="1">IFERROR(IF(0=LEN(ReferenceData!$AN$108),"",ReferenceData!$AN$108),"")</f>
        <v/>
      </c>
      <c r="AO108" t="str">
        <f ca="1">IFERROR(IF(0=LEN(ReferenceData!$AO$108),"",ReferenceData!$AO$108),"")</f>
        <v/>
      </c>
      <c r="AP108" t="str">
        <f ca="1">IFERROR(IF(0=LEN(ReferenceData!$AP$108),"",ReferenceData!$AP$108),"")</f>
        <v/>
      </c>
      <c r="AQ108" t="str">
        <f ca="1">IFERROR(IF(0=LEN(ReferenceData!$AQ$108),"",ReferenceData!$AQ$108),"")</f>
        <v/>
      </c>
      <c r="AR108" t="str">
        <f ca="1">IFERROR(IF(0=LEN(ReferenceData!$AR$108),"",ReferenceData!$AR$108),"")</f>
        <v/>
      </c>
      <c r="AS108" t="str">
        <f ca="1">IFERROR(IF(0=LEN(ReferenceData!$AS$108),"",ReferenceData!$AS$108),"")</f>
        <v/>
      </c>
      <c r="AT108" t="str">
        <f ca="1">IFERROR(IF(0=LEN(ReferenceData!$AT$108),"",ReferenceData!$AT$108),"")</f>
        <v/>
      </c>
      <c r="AU108" t="str">
        <f ca="1">IFERROR(IF(0=LEN(ReferenceData!$AU$108),"",ReferenceData!$AU$108),"")</f>
        <v/>
      </c>
      <c r="AV108" t="str">
        <f ca="1">IFERROR(IF(0=LEN(ReferenceData!$AV$108),"",ReferenceData!$AV$108),"")</f>
        <v/>
      </c>
      <c r="AW108" t="str">
        <f ca="1">IFERROR(IF(0=LEN(ReferenceData!$AW$108),"",ReferenceData!$AW$108),"")</f>
        <v/>
      </c>
      <c r="AX108" t="str">
        <f ca="1">IFERROR(IF(0=LEN(ReferenceData!$AX$108),"",ReferenceData!$AX$108),"")</f>
        <v/>
      </c>
      <c r="AY108" t="str">
        <f ca="1">IFERROR(IF(0=LEN(ReferenceData!$AY$108),"",ReferenceData!$AY$108),"")</f>
        <v/>
      </c>
      <c r="AZ108" t="str">
        <f ca="1">IFERROR(IF(0=LEN(ReferenceData!$AZ$108),"",ReferenceData!$AZ$108),"")</f>
        <v/>
      </c>
      <c r="BA108" t="str">
        <f ca="1">IFERROR(IF(0=LEN(ReferenceData!$BA$108),"",ReferenceData!$BA$108),"")</f>
        <v/>
      </c>
      <c r="BB108" t="str">
        <f ca="1">IFERROR(IF(0=LEN(ReferenceData!$BB$108),"",ReferenceData!$BB$108),"")</f>
        <v/>
      </c>
      <c r="BC108" t="str">
        <f ca="1">IFERROR(IF(0=LEN(ReferenceData!$BC$108),"",ReferenceData!$BC$108),"")</f>
        <v/>
      </c>
      <c r="BD108" t="str">
        <f ca="1">IFERROR(IF(0=LEN(ReferenceData!$BD$108),"",ReferenceData!$BD$108),"")</f>
        <v/>
      </c>
      <c r="BE108" t="str">
        <f ca="1">IFERROR(IF(0=LEN(ReferenceData!$BE$108),"",ReferenceData!$BE$108),"")</f>
        <v/>
      </c>
      <c r="BF108" t="str">
        <f ca="1">IFERROR(IF(0=LEN(ReferenceData!$BF$108),"",ReferenceData!$BF$108),"")</f>
        <v/>
      </c>
      <c r="BG108" t="str">
        <f ca="1">IFERROR(IF(0=LEN(ReferenceData!$BG$108),"",ReferenceData!$BG$108),"")</f>
        <v/>
      </c>
      <c r="BH108" t="str">
        <f ca="1">IFERROR(IF(0=LEN(ReferenceData!$BH$108),"",ReferenceData!$BH$108),"")</f>
        <v/>
      </c>
      <c r="BI108" t="str">
        <f ca="1">IFERROR(IF(0=LEN(ReferenceData!$BI$108),"",ReferenceData!$BI$108),"")</f>
        <v/>
      </c>
      <c r="BJ108" t="str">
        <f ca="1">IFERROR(IF(0=LEN(ReferenceData!$BJ$108),"",ReferenceData!$BJ$108),"")</f>
        <v/>
      </c>
      <c r="BK108" t="str">
        <f ca="1">IFERROR(IF(0=LEN(ReferenceData!$BK$108),"",ReferenceData!$BK$108),"")</f>
        <v/>
      </c>
      <c r="BL108" t="str">
        <f ca="1">IFERROR(IF(0=LEN(ReferenceData!$BL$108),"",ReferenceData!$BL$108),"")</f>
        <v/>
      </c>
      <c r="BM108" t="str">
        <f ca="1">IFERROR(IF(0=LEN(ReferenceData!$BM$108),"",ReferenceData!$BM$108),"")</f>
        <v/>
      </c>
      <c r="BN108" t="str">
        <f ca="1">IFERROR(IF(0=LEN(ReferenceData!$BN$108),"",ReferenceData!$BN$108),"")</f>
        <v/>
      </c>
      <c r="BO108" t="str">
        <f ca="1">IFERROR(IF(0=LEN(ReferenceData!$BO$108),"",ReferenceData!$BO$108),"")</f>
        <v/>
      </c>
      <c r="BP108" t="str">
        <f ca="1">IFERROR(IF(0=LEN(ReferenceData!$BP$108),"",ReferenceData!$BP$108),"")</f>
        <v/>
      </c>
      <c r="BQ108" t="str">
        <f ca="1">IFERROR(IF(0=LEN(ReferenceData!$BQ$108),"",ReferenceData!$BQ$108),"")</f>
        <v/>
      </c>
      <c r="BR108" t="str">
        <f ca="1">IFERROR(IF(0=LEN(ReferenceData!$BR$108),"",ReferenceData!$BR$108),"")</f>
        <v/>
      </c>
      <c r="BS108" t="str">
        <f ca="1">IFERROR(IF(0=LEN(ReferenceData!$BS$108),"",ReferenceData!$BS$108),"")</f>
        <v/>
      </c>
      <c r="BT108" t="str">
        <f ca="1">IFERROR(IF(0=LEN(ReferenceData!$BT$108),"",ReferenceData!$BT$108),"")</f>
        <v/>
      </c>
      <c r="BU108" t="str">
        <f ca="1">IFERROR(IF(0=LEN(ReferenceData!$BU$108),"",ReferenceData!$BU$108),"")</f>
        <v/>
      </c>
      <c r="BV108" t="str">
        <f ca="1">IFERROR(IF(0=LEN(ReferenceData!$BV$108),"",ReferenceData!$BV$108),"")</f>
        <v/>
      </c>
      <c r="BW108" t="str">
        <f ca="1">IFERROR(IF(0=LEN(ReferenceData!$BW$108),"",ReferenceData!$BW$108),"")</f>
        <v/>
      </c>
      <c r="BX108" t="str">
        <f ca="1">IFERROR(IF(0=LEN(ReferenceData!$BX$108),"",ReferenceData!$BX$108),"")</f>
        <v/>
      </c>
      <c r="BY108" t="str">
        <f ca="1">IFERROR(IF(0=LEN(ReferenceData!$BY$108),"",ReferenceData!$BY$108),"")</f>
        <v/>
      </c>
      <c r="BZ108" t="str">
        <f ca="1">IFERROR(IF(0=LEN(ReferenceData!$BZ$108),"",ReferenceData!$BZ$108),"")</f>
        <v/>
      </c>
      <c r="CA108" t="str">
        <f ca="1">IFERROR(IF(0=LEN(ReferenceData!$CA$108),"",ReferenceData!$CA$108),"")</f>
        <v/>
      </c>
      <c r="CB108" t="str">
        <f ca="1">IFERROR(IF(0=LEN(ReferenceData!$CB$108),"",ReferenceData!$CB$108),"")</f>
        <v/>
      </c>
      <c r="CC108" t="str">
        <f ca="1">IFERROR(IF(0=LEN(ReferenceData!$CC$108),"",ReferenceData!$CC$108),"")</f>
        <v/>
      </c>
      <c r="CD108" t="str">
        <f ca="1">IFERROR(IF(0=LEN(ReferenceData!$CD$108),"",ReferenceData!$CD$108),"")</f>
        <v/>
      </c>
      <c r="CE108" t="str">
        <f ca="1">IFERROR(IF(0=LEN(ReferenceData!$CE$108),"",ReferenceData!$CE$108),"")</f>
        <v/>
      </c>
      <c r="CF108" t="str">
        <f ca="1">IFERROR(IF(0=LEN(ReferenceData!$CF$108),"",ReferenceData!$CF$108),"")</f>
        <v/>
      </c>
      <c r="CG108" t="str">
        <f ca="1">IFERROR(IF(0=LEN(ReferenceData!$CG$108),"",ReferenceData!$CG$108),"")</f>
        <v/>
      </c>
      <c r="CH108" t="str">
        <f ca="1">IFERROR(IF(0=LEN(ReferenceData!$CH$108),"",ReferenceData!$CH$108),"")</f>
        <v/>
      </c>
      <c r="CI108" t="str">
        <f ca="1">IFERROR(IF(0=LEN(ReferenceData!$CI$108),"",ReferenceData!$CI$108),"")</f>
        <v/>
      </c>
      <c r="CJ108" t="str">
        <f ca="1">IFERROR(IF(0=LEN(ReferenceData!$CJ$108),"",ReferenceData!$CJ$108),"")</f>
        <v/>
      </c>
      <c r="CK108" t="str">
        <f ca="1">IFERROR(IF(0=LEN(ReferenceData!$CK$108),"",ReferenceData!$CK$108),"")</f>
        <v/>
      </c>
    </row>
    <row r="109" spans="1:89">
      <c r="A109" t="str">
        <f>IFERROR(IF(0=LEN(ReferenceData!$A$109),"",ReferenceData!$A$109),"")</f>
        <v>AFFO/股(季度)</v>
      </c>
      <c r="B109" t="str">
        <f>IFERROR(IF(0=LEN(ReferenceData!$B$109),"",ReferenceData!$B$109),"")</f>
        <v/>
      </c>
      <c r="C109" t="str">
        <f>IFERROR(IF(0=LEN(ReferenceData!$C$109),"",ReferenceData!$C$109),"")</f>
        <v/>
      </c>
      <c r="D109" t="str">
        <f>IFERROR(IF(0=LEN(ReferenceData!$D$109),"",ReferenceData!$D$109),"")</f>
        <v/>
      </c>
      <c r="E109" t="str">
        <f>IFERROR(IF(0=LEN(ReferenceData!$E$109),"",ReferenceData!$E$109),"")</f>
        <v>Sum</v>
      </c>
      <c r="F109" t="str">
        <f ca="1">IFERROR(IF(0=LEN(ReferenceData!$F$109),"",ReferenceData!$F$109),"")</f>
        <v/>
      </c>
      <c r="G109" t="str">
        <f ca="1">IFERROR(IF(0=LEN(ReferenceData!$G$109),"",ReferenceData!$G$109),"")</f>
        <v/>
      </c>
      <c r="H109" t="str">
        <f ca="1">IFERROR(IF(0=LEN(ReferenceData!$H$109),"",ReferenceData!$H$109),"")</f>
        <v/>
      </c>
      <c r="I109">
        <f ca="1">IFERROR(IF(0=LEN(ReferenceData!$I$109),"",ReferenceData!$I$109),"")</f>
        <v>9.8568108639999998</v>
      </c>
      <c r="J109" t="str">
        <f ca="1">IFERROR(IF(0=LEN(ReferenceData!$J$109),"",ReferenceData!$J$109),"")</f>
        <v/>
      </c>
      <c r="K109" t="str">
        <f ca="1">IFERROR(IF(0=LEN(ReferenceData!$K$109),"",ReferenceData!$K$109),"")</f>
        <v/>
      </c>
      <c r="L109">
        <f ca="1">IFERROR(IF(0=LEN(ReferenceData!$L$109),"",ReferenceData!$L$109),"")</f>
        <v>9.6749235440000003</v>
      </c>
      <c r="M109" t="str">
        <f ca="1">IFERROR(IF(0=LEN(ReferenceData!$M$109),"",ReferenceData!$M$109),"")</f>
        <v/>
      </c>
      <c r="N109" t="str">
        <f ca="1">IFERROR(IF(0=LEN(ReferenceData!$N$109),"",ReferenceData!$N$109),"")</f>
        <v/>
      </c>
      <c r="O109">
        <f ca="1">IFERROR(IF(0=LEN(ReferenceData!$O$109),"",ReferenceData!$O$109),"")</f>
        <v>9.6150511310000013</v>
      </c>
      <c r="P109" t="str">
        <f ca="1">IFERROR(IF(0=LEN(ReferenceData!$P$109),"",ReferenceData!$P$109),"")</f>
        <v/>
      </c>
      <c r="Q109" t="str">
        <f ca="1">IFERROR(IF(0=LEN(ReferenceData!$Q$109),"",ReferenceData!$Q$109),"")</f>
        <v/>
      </c>
      <c r="R109">
        <f ca="1">IFERROR(IF(0=LEN(ReferenceData!$R$109),"",ReferenceData!$R$109),"")</f>
        <v>9.4147013770000001</v>
      </c>
      <c r="S109" t="str">
        <f ca="1">IFERROR(IF(0=LEN(ReferenceData!$S$109),"",ReferenceData!$S$109),"")</f>
        <v/>
      </c>
      <c r="T109" t="str">
        <f ca="1">IFERROR(IF(0=LEN(ReferenceData!$T$109),"",ReferenceData!$T$109),"")</f>
        <v/>
      </c>
      <c r="U109">
        <f ca="1">IFERROR(IF(0=LEN(ReferenceData!$U$109),"",ReferenceData!$U$109),"")</f>
        <v>9.1681651280000001</v>
      </c>
      <c r="V109" t="str">
        <f ca="1">IFERROR(IF(0=LEN(ReferenceData!$V$109),"",ReferenceData!$V$109),"")</f>
        <v/>
      </c>
      <c r="W109" t="str">
        <f ca="1">IFERROR(IF(0=LEN(ReferenceData!$W$109),"",ReferenceData!$W$109),"")</f>
        <v/>
      </c>
      <c r="X109">
        <f ca="1">IFERROR(IF(0=LEN(ReferenceData!$X$109),"",ReferenceData!$X$109),"")</f>
        <v>9.376449479999998</v>
      </c>
      <c r="Y109" t="str">
        <f ca="1">IFERROR(IF(0=LEN(ReferenceData!$Y$109),"",ReferenceData!$Y$109),"")</f>
        <v/>
      </c>
      <c r="Z109" t="str">
        <f ca="1">IFERROR(IF(0=LEN(ReferenceData!$Z$109),"",ReferenceData!$Z$109),"")</f>
        <v/>
      </c>
      <c r="AA109">
        <f ca="1">IFERROR(IF(0=LEN(ReferenceData!$AA$109),"",ReferenceData!$AA$109),"")</f>
        <v>9.3247603100000021</v>
      </c>
      <c r="AB109" t="str">
        <f ca="1">IFERROR(IF(0=LEN(ReferenceData!$AB$109),"",ReferenceData!$AB$109),"")</f>
        <v/>
      </c>
      <c r="AC109" t="str">
        <f ca="1">IFERROR(IF(0=LEN(ReferenceData!$AC$109),"",ReferenceData!$AC$109),"")</f>
        <v/>
      </c>
      <c r="AD109">
        <f ca="1">IFERROR(IF(0=LEN(ReferenceData!$AD$109),"",ReferenceData!$AD$109),"")</f>
        <v>9.1246518040000009</v>
      </c>
      <c r="AE109" t="str">
        <f ca="1">IFERROR(IF(0=LEN(ReferenceData!$AE$109),"",ReferenceData!$AE$109),"")</f>
        <v/>
      </c>
      <c r="AF109" t="str">
        <f ca="1">IFERROR(IF(0=LEN(ReferenceData!$AF$109),"",ReferenceData!$AF$109),"")</f>
        <v/>
      </c>
      <c r="AG109">
        <f ca="1">IFERROR(IF(0=LEN(ReferenceData!$AG$109),"",ReferenceData!$AG$109),"")</f>
        <v>9.2840621490000004</v>
      </c>
      <c r="AH109" t="str">
        <f ca="1">IFERROR(IF(0=LEN(ReferenceData!$AH$109),"",ReferenceData!$AH$109),"")</f>
        <v/>
      </c>
      <c r="AI109" t="str">
        <f ca="1">IFERROR(IF(0=LEN(ReferenceData!$AI$109),"",ReferenceData!$AI$109),"")</f>
        <v/>
      </c>
      <c r="AJ109">
        <f ca="1">IFERROR(IF(0=LEN(ReferenceData!$AJ$109),"",ReferenceData!$AJ$109),"")</f>
        <v>8.9162840020000012</v>
      </c>
      <c r="AK109" t="str">
        <f ca="1">IFERROR(IF(0=LEN(ReferenceData!$AK$109),"",ReferenceData!$AK$109),"")</f>
        <v/>
      </c>
      <c r="AL109" t="str">
        <f ca="1">IFERROR(IF(0=LEN(ReferenceData!$AL$109),"",ReferenceData!$AL$109),"")</f>
        <v/>
      </c>
      <c r="AM109">
        <f ca="1">IFERROR(IF(0=LEN(ReferenceData!$AM$109),"",ReferenceData!$AM$109),"")</f>
        <v>8.7029488619999995</v>
      </c>
      <c r="AN109" t="str">
        <f ca="1">IFERROR(IF(0=LEN(ReferenceData!$AN$109),"",ReferenceData!$AN$109),"")</f>
        <v/>
      </c>
      <c r="AO109" t="str">
        <f ca="1">IFERROR(IF(0=LEN(ReferenceData!$AO$109),"",ReferenceData!$AO$109),"")</f>
        <v/>
      </c>
      <c r="AP109">
        <f ca="1">IFERROR(IF(0=LEN(ReferenceData!$AP$109),"",ReferenceData!$AP$109),"")</f>
        <v>8.242504297</v>
      </c>
      <c r="AQ109" t="str">
        <f ca="1">IFERROR(IF(0=LEN(ReferenceData!$AQ$109),"",ReferenceData!$AQ$109),"")</f>
        <v/>
      </c>
      <c r="AR109" t="str">
        <f ca="1">IFERROR(IF(0=LEN(ReferenceData!$AR$109),"",ReferenceData!$AR$109),"")</f>
        <v/>
      </c>
      <c r="AS109">
        <f ca="1">IFERROR(IF(0=LEN(ReferenceData!$AS$109),"",ReferenceData!$AS$109),"")</f>
        <v>8.2750138349999993</v>
      </c>
      <c r="AT109" t="str">
        <f ca="1">IFERROR(IF(0=LEN(ReferenceData!$AT$109),"",ReferenceData!$AT$109),"")</f>
        <v/>
      </c>
      <c r="AU109" t="str">
        <f ca="1">IFERROR(IF(0=LEN(ReferenceData!$AU$109),"",ReferenceData!$AU$109),"")</f>
        <v/>
      </c>
      <c r="AV109">
        <f ca="1">IFERROR(IF(0=LEN(ReferenceData!$AV$109),"",ReferenceData!$AV$109),"")</f>
        <v>7.6563861030000009</v>
      </c>
      <c r="AW109" t="str">
        <f ca="1">IFERROR(IF(0=LEN(ReferenceData!$AW$109),"",ReferenceData!$AW$109),"")</f>
        <v/>
      </c>
      <c r="AX109" t="str">
        <f ca="1">IFERROR(IF(0=LEN(ReferenceData!$AX$109),"",ReferenceData!$AX$109),"")</f>
        <v/>
      </c>
      <c r="AY109">
        <f ca="1">IFERROR(IF(0=LEN(ReferenceData!$AY$109),"",ReferenceData!$AY$109),"")</f>
        <v>7.3908676839999998</v>
      </c>
      <c r="AZ109" t="str">
        <f ca="1">IFERROR(IF(0=LEN(ReferenceData!$AZ$109),"",ReferenceData!$AZ$109),"")</f>
        <v/>
      </c>
      <c r="BA109" t="str">
        <f ca="1">IFERROR(IF(0=LEN(ReferenceData!$BA$109),"",ReferenceData!$BA$109),"")</f>
        <v/>
      </c>
      <c r="BB109">
        <f ca="1">IFERROR(IF(0=LEN(ReferenceData!$BB$109),"",ReferenceData!$BB$109),"")</f>
        <v>7.5449386760000001</v>
      </c>
      <c r="BC109" t="str">
        <f ca="1">IFERROR(IF(0=LEN(ReferenceData!$BC$109),"",ReferenceData!$BC$109),"")</f>
        <v/>
      </c>
      <c r="BD109" t="str">
        <f ca="1">IFERROR(IF(0=LEN(ReferenceData!$BD$109),"",ReferenceData!$BD$109),"")</f>
        <v/>
      </c>
      <c r="BE109">
        <f ca="1">IFERROR(IF(0=LEN(ReferenceData!$BE$109),"",ReferenceData!$BE$109),"")</f>
        <v>7.6636438789999994</v>
      </c>
      <c r="BF109" t="str">
        <f ca="1">IFERROR(IF(0=LEN(ReferenceData!$BF$109),"",ReferenceData!$BF$109),"")</f>
        <v/>
      </c>
      <c r="BG109" t="str">
        <f ca="1">IFERROR(IF(0=LEN(ReferenceData!$BG$109),"",ReferenceData!$BG$109),"")</f>
        <v/>
      </c>
      <c r="BH109">
        <f ca="1">IFERROR(IF(0=LEN(ReferenceData!$BH$109),"",ReferenceData!$BH$109),"")</f>
        <v>7.4418697249999992</v>
      </c>
      <c r="BI109" t="str">
        <f ca="1">IFERROR(IF(0=LEN(ReferenceData!$BI$109),"",ReferenceData!$BI$109),"")</f>
        <v/>
      </c>
      <c r="BJ109" t="str">
        <f ca="1">IFERROR(IF(0=LEN(ReferenceData!$BJ$109),"",ReferenceData!$BJ$109),"")</f>
        <v/>
      </c>
      <c r="BK109">
        <f ca="1">IFERROR(IF(0=LEN(ReferenceData!$BK$109),"",ReferenceData!$BK$109),"")</f>
        <v>7.4270459800000008</v>
      </c>
      <c r="BL109" t="str">
        <f ca="1">IFERROR(IF(0=LEN(ReferenceData!$BL$109),"",ReferenceData!$BL$109),"")</f>
        <v/>
      </c>
      <c r="BM109" t="str">
        <f ca="1">IFERROR(IF(0=LEN(ReferenceData!$BM$109),"",ReferenceData!$BM$109),"")</f>
        <v/>
      </c>
      <c r="BN109">
        <f ca="1">IFERROR(IF(0=LEN(ReferenceData!$BN$109),"",ReferenceData!$BN$109),"")</f>
        <v>6.983185368</v>
      </c>
      <c r="BO109" t="str">
        <f ca="1">IFERROR(IF(0=LEN(ReferenceData!$BO$109),"",ReferenceData!$BO$109),"")</f>
        <v/>
      </c>
      <c r="BP109" t="str">
        <f ca="1">IFERROR(IF(0=LEN(ReferenceData!$BP$109),"",ReferenceData!$BP$109),"")</f>
        <v/>
      </c>
      <c r="BQ109">
        <f ca="1">IFERROR(IF(0=LEN(ReferenceData!$BQ$109),"",ReferenceData!$BQ$109),"")</f>
        <v>6.9647095520000004</v>
      </c>
      <c r="BR109" t="str">
        <f ca="1">IFERROR(IF(0=LEN(ReferenceData!$BR$109),"",ReferenceData!$BR$109),"")</f>
        <v/>
      </c>
      <c r="BS109" t="str">
        <f ca="1">IFERROR(IF(0=LEN(ReferenceData!$BS$109),"",ReferenceData!$BS$109),"")</f>
        <v/>
      </c>
      <c r="BT109">
        <f ca="1">IFERROR(IF(0=LEN(ReferenceData!$BT$109),"",ReferenceData!$BT$109),"")</f>
        <v>6.8068560519999997</v>
      </c>
      <c r="BU109" t="str">
        <f ca="1">IFERROR(IF(0=LEN(ReferenceData!$BU$109),"",ReferenceData!$BU$109),"")</f>
        <v/>
      </c>
      <c r="BV109" t="str">
        <f ca="1">IFERROR(IF(0=LEN(ReferenceData!$BV$109),"",ReferenceData!$BV$109),"")</f>
        <v/>
      </c>
      <c r="BW109">
        <f ca="1">IFERROR(IF(0=LEN(ReferenceData!$BW$109),"",ReferenceData!$BW$109),"")</f>
        <v>6.6095891160000004</v>
      </c>
      <c r="BX109" t="str">
        <f ca="1">IFERROR(IF(0=LEN(ReferenceData!$BX$109),"",ReferenceData!$BX$109),"")</f>
        <v/>
      </c>
      <c r="BY109" t="str">
        <f ca="1">IFERROR(IF(0=LEN(ReferenceData!$BY$109),"",ReferenceData!$BY$109),"")</f>
        <v/>
      </c>
      <c r="BZ109">
        <f ca="1">IFERROR(IF(0=LEN(ReferenceData!$BZ$109),"",ReferenceData!$BZ$109),"")</f>
        <v>6.2812961200000004</v>
      </c>
      <c r="CA109" t="str">
        <f ca="1">IFERROR(IF(0=LEN(ReferenceData!$CA$109),"",ReferenceData!$CA$109),"")</f>
        <v/>
      </c>
      <c r="CB109" t="str">
        <f ca="1">IFERROR(IF(0=LEN(ReferenceData!$CB$109),"",ReferenceData!$CB$109),"")</f>
        <v/>
      </c>
      <c r="CC109">
        <f ca="1">IFERROR(IF(0=LEN(ReferenceData!$CC$109),"",ReferenceData!$CC$109),"")</f>
        <v>6.1145801749999995</v>
      </c>
      <c r="CD109" t="str">
        <f ca="1">IFERROR(IF(0=LEN(ReferenceData!$CD$109),"",ReferenceData!$CD$109),"")</f>
        <v/>
      </c>
      <c r="CE109" t="str">
        <f ca="1">IFERROR(IF(0=LEN(ReferenceData!$CE$109),"",ReferenceData!$CE$109),"")</f>
        <v/>
      </c>
      <c r="CF109">
        <f ca="1">IFERROR(IF(0=LEN(ReferenceData!$CF$109),"",ReferenceData!$CF$109),"")</f>
        <v>5.7235872880000009</v>
      </c>
      <c r="CG109" t="str">
        <f ca="1">IFERROR(IF(0=LEN(ReferenceData!$CG$109),"",ReferenceData!$CG$109),"")</f>
        <v/>
      </c>
      <c r="CH109" t="str">
        <f ca="1">IFERROR(IF(0=LEN(ReferenceData!$CH$109),"",ReferenceData!$CH$109),"")</f>
        <v/>
      </c>
      <c r="CI109">
        <f ca="1">IFERROR(IF(0=LEN(ReferenceData!$CI$109),"",ReferenceData!$CI$109),"")</f>
        <v>5.071319248</v>
      </c>
      <c r="CJ109" t="str">
        <f ca="1">IFERROR(IF(0=LEN(ReferenceData!$CJ$109),"",ReferenceData!$CJ$109),"")</f>
        <v/>
      </c>
      <c r="CK109" t="str">
        <f ca="1">IFERROR(IF(0=LEN(ReferenceData!$CK$109),"",ReferenceData!$CK$109),"")</f>
        <v/>
      </c>
    </row>
    <row r="110" spans="1:89">
      <c r="A110" t="str">
        <f>IFERROR(IF(0=LEN(ReferenceData!$A$110),"",ReferenceData!$A$110),"")</f>
        <v xml:space="preserve">    Apartment Investment &amp; Managem</v>
      </c>
      <c r="B110" t="str">
        <f>IFERROR(IF(0=LEN(ReferenceData!$B$110),"",ReferenceData!$B$110),"")</f>
        <v>AIV US Equity</v>
      </c>
      <c r="C110" t="str">
        <f>IFERROR(IF(0=LEN(ReferenceData!$C$110),"",ReferenceData!$C$110),"")</f>
        <v>F0581</v>
      </c>
      <c r="D110" t="str">
        <f>IFERROR(IF(0=LEN(ReferenceData!$D$110),"",ReferenceData!$D$110),"")</f>
        <v>ADJUSTED_FFOPS</v>
      </c>
      <c r="E110" t="str">
        <f>IFERROR(IF(0=LEN(ReferenceData!$E$110),"",ReferenceData!$E$110),"")</f>
        <v>动态</v>
      </c>
      <c r="F110" t="str">
        <f ca="1">IFERROR(IF(0=LEN(ReferenceData!$F$110),"",ReferenceData!$F$110),"")</f>
        <v/>
      </c>
      <c r="G110" t="str">
        <f ca="1">IFERROR(IF(0=LEN(ReferenceData!$G$110),"",ReferenceData!$G$110),"")</f>
        <v/>
      </c>
      <c r="H110" t="str">
        <f ca="1">IFERROR(IF(0=LEN(ReferenceData!$H$110),"",ReferenceData!$H$110),"")</f>
        <v/>
      </c>
      <c r="I110">
        <f ca="1">IFERROR(IF(0=LEN(ReferenceData!$I$110),"",ReferenceData!$I$110),"")</f>
        <v>0.63046443699999999</v>
      </c>
      <c r="J110" t="str">
        <f ca="1">IFERROR(IF(0=LEN(ReferenceData!$J$110),"",ReferenceData!$J$110),"")</f>
        <v/>
      </c>
      <c r="K110" t="str">
        <f ca="1">IFERROR(IF(0=LEN(ReferenceData!$K$110),"",ReferenceData!$K$110),"")</f>
        <v/>
      </c>
      <c r="L110">
        <f ca="1">IFERROR(IF(0=LEN(ReferenceData!$L$110),"",ReferenceData!$L$110),"")</f>
        <v>0.62749786399999996</v>
      </c>
      <c r="M110" t="str">
        <f ca="1">IFERROR(IF(0=LEN(ReferenceData!$M$110),"",ReferenceData!$M$110),"")</f>
        <v/>
      </c>
      <c r="N110" t="str">
        <f ca="1">IFERROR(IF(0=LEN(ReferenceData!$N$110),"",ReferenceData!$N$110),"")</f>
        <v/>
      </c>
      <c r="O110">
        <f ca="1">IFERROR(IF(0=LEN(ReferenceData!$O$110),"",ReferenceData!$O$110),"")</f>
        <v>0.60834636099999995</v>
      </c>
      <c r="P110" t="str">
        <f ca="1">IFERROR(IF(0=LEN(ReferenceData!$P$110),"",ReferenceData!$P$110),"")</f>
        <v/>
      </c>
      <c r="Q110" t="str">
        <f ca="1">IFERROR(IF(0=LEN(ReferenceData!$Q$110),"",ReferenceData!$Q$110),"")</f>
        <v/>
      </c>
      <c r="R110">
        <f ca="1">IFERROR(IF(0=LEN(ReferenceData!$R$110),"",ReferenceData!$R$110),"")</f>
        <v>0.58101866599999996</v>
      </c>
      <c r="S110" t="str">
        <f ca="1">IFERROR(IF(0=LEN(ReferenceData!$S$110),"",ReferenceData!$S$110),"")</f>
        <v/>
      </c>
      <c r="T110" t="str">
        <f ca="1">IFERROR(IF(0=LEN(ReferenceData!$T$110),"",ReferenceData!$T$110),"")</f>
        <v/>
      </c>
      <c r="U110">
        <f ca="1">IFERROR(IF(0=LEN(ReferenceData!$U$110),"",ReferenceData!$U$110),"")</f>
        <v>0.60169924600000002</v>
      </c>
      <c r="V110" t="str">
        <f ca="1">IFERROR(IF(0=LEN(ReferenceData!$V$110),"",ReferenceData!$V$110),"")</f>
        <v/>
      </c>
      <c r="W110" t="str">
        <f ca="1">IFERROR(IF(0=LEN(ReferenceData!$W$110),"",ReferenceData!$W$110),"")</f>
        <v/>
      </c>
      <c r="X110">
        <f ca="1">IFERROR(IF(0=LEN(ReferenceData!$X$110),"",ReferenceData!$X$110),"")</f>
        <v>0.55258198300000005</v>
      </c>
      <c r="Y110" t="str">
        <f ca="1">IFERROR(IF(0=LEN(ReferenceData!$Y$110),"",ReferenceData!$Y$110),"")</f>
        <v/>
      </c>
      <c r="Z110" t="str">
        <f ca="1">IFERROR(IF(0=LEN(ReferenceData!$Z$110),"",ReferenceData!$Z$110),"")</f>
        <v/>
      </c>
      <c r="AA110">
        <f ca="1">IFERROR(IF(0=LEN(ReferenceData!$AA$110),"",ReferenceData!$AA$110),"")</f>
        <v>0.59089372600000001</v>
      </c>
      <c r="AB110" t="str">
        <f ca="1">IFERROR(IF(0=LEN(ReferenceData!$AB$110),"",ReferenceData!$AB$110),"")</f>
        <v/>
      </c>
      <c r="AC110" t="str">
        <f ca="1">IFERROR(IF(0=LEN(ReferenceData!$AC$110),"",ReferenceData!$AC$110),"")</f>
        <v/>
      </c>
      <c r="AD110">
        <f ca="1">IFERROR(IF(0=LEN(ReferenceData!$AD$110),"",ReferenceData!$AD$110),"")</f>
        <v>0.57187237800000001</v>
      </c>
      <c r="AE110" t="str">
        <f ca="1">IFERROR(IF(0=LEN(ReferenceData!$AE$110),"",ReferenceData!$AE$110),"")</f>
        <v/>
      </c>
      <c r="AF110" t="str">
        <f ca="1">IFERROR(IF(0=LEN(ReferenceData!$AF$110),"",ReferenceData!$AF$110),"")</f>
        <v/>
      </c>
      <c r="AG110">
        <f ca="1">IFERROR(IF(0=LEN(ReferenceData!$AG$110),"",ReferenceData!$AG$110),"")</f>
        <v>0.58281477299999995</v>
      </c>
      <c r="AH110" t="str">
        <f ca="1">IFERROR(IF(0=LEN(ReferenceData!$AH$110),"",ReferenceData!$AH$110),"")</f>
        <v/>
      </c>
      <c r="AI110" t="str">
        <f ca="1">IFERROR(IF(0=LEN(ReferenceData!$AI$110),"",ReferenceData!$AI$110),"")</f>
        <v/>
      </c>
      <c r="AJ110">
        <f ca="1">IFERROR(IF(0=LEN(ReferenceData!$AJ$110),"",ReferenceData!$AJ$110),"")</f>
        <v>0.565265884</v>
      </c>
      <c r="AK110" t="str">
        <f ca="1">IFERROR(IF(0=LEN(ReferenceData!$AK$110),"",ReferenceData!$AK$110),"")</f>
        <v/>
      </c>
      <c r="AL110" t="str">
        <f ca="1">IFERROR(IF(0=LEN(ReferenceData!$AL$110),"",ReferenceData!$AL$110),"")</f>
        <v/>
      </c>
      <c r="AM110">
        <f ca="1">IFERROR(IF(0=LEN(ReferenceData!$AM$110),"",ReferenceData!$AM$110),"")</f>
        <v>0.55839542399999997</v>
      </c>
      <c r="AN110" t="str">
        <f ca="1">IFERROR(IF(0=LEN(ReferenceData!$AN$110),"",ReferenceData!$AN$110),"")</f>
        <v/>
      </c>
      <c r="AO110" t="str">
        <f ca="1">IFERROR(IF(0=LEN(ReferenceData!$AO$110),"",ReferenceData!$AO$110),"")</f>
        <v/>
      </c>
      <c r="AP110">
        <f ca="1">IFERROR(IF(0=LEN(ReferenceData!$AP$110),"",ReferenceData!$AP$110),"")</f>
        <v>0.51831446000000003</v>
      </c>
      <c r="AQ110" t="str">
        <f ca="1">IFERROR(IF(0=LEN(ReferenceData!$AQ$110),"",ReferenceData!$AQ$110),"")</f>
        <v/>
      </c>
      <c r="AR110" t="str">
        <f ca="1">IFERROR(IF(0=LEN(ReferenceData!$AR$110),"",ReferenceData!$AR$110),"")</f>
        <v/>
      </c>
      <c r="AS110">
        <f ca="1">IFERROR(IF(0=LEN(ReferenceData!$AS$110),"",ReferenceData!$AS$110),"")</f>
        <v>0.53888866099999999</v>
      </c>
      <c r="AT110" t="str">
        <f ca="1">IFERROR(IF(0=LEN(ReferenceData!$AT$110),"",ReferenceData!$AT$110),"")</f>
        <v/>
      </c>
      <c r="AU110" t="str">
        <f ca="1">IFERROR(IF(0=LEN(ReferenceData!$AU$110),"",ReferenceData!$AU$110),"")</f>
        <v/>
      </c>
      <c r="AV110">
        <f ca="1">IFERROR(IF(0=LEN(ReferenceData!$AV$110),"",ReferenceData!$AV$110),"")</f>
        <v>0.50506488500000002</v>
      </c>
      <c r="AW110" t="str">
        <f ca="1">IFERROR(IF(0=LEN(ReferenceData!$AW$110),"",ReferenceData!$AW$110),"")</f>
        <v/>
      </c>
      <c r="AX110" t="str">
        <f ca="1">IFERROR(IF(0=LEN(ReferenceData!$AX$110),"",ReferenceData!$AX$110),"")</f>
        <v/>
      </c>
      <c r="AY110">
        <f ca="1">IFERROR(IF(0=LEN(ReferenceData!$AY$110),"",ReferenceData!$AY$110),"")</f>
        <v>0.52058088199999997</v>
      </c>
      <c r="AZ110" t="str">
        <f ca="1">IFERROR(IF(0=LEN(ReferenceData!$AZ$110),"",ReferenceData!$AZ$110),"")</f>
        <v/>
      </c>
      <c r="BA110" t="str">
        <f ca="1">IFERROR(IF(0=LEN(ReferenceData!$BA$110),"",ReferenceData!$BA$110),"")</f>
        <v/>
      </c>
      <c r="BB110">
        <f ca="1">IFERROR(IF(0=LEN(ReferenceData!$BB$110),"",ReferenceData!$BB$110),"")</f>
        <v>0.50268051400000002</v>
      </c>
      <c r="BC110" t="str">
        <f ca="1">IFERROR(IF(0=LEN(ReferenceData!$BC$110),"",ReferenceData!$BC$110),"")</f>
        <v/>
      </c>
      <c r="BD110" t="str">
        <f ca="1">IFERROR(IF(0=LEN(ReferenceData!$BD$110),"",ReferenceData!$BD$110),"")</f>
        <v/>
      </c>
      <c r="BE110">
        <f ca="1">IFERROR(IF(0=LEN(ReferenceData!$BE$110),"",ReferenceData!$BE$110),"")</f>
        <v>0.566093238</v>
      </c>
      <c r="BF110" t="str">
        <f ca="1">IFERROR(IF(0=LEN(ReferenceData!$BF$110),"",ReferenceData!$BF$110),"")</f>
        <v/>
      </c>
      <c r="BG110" t="str">
        <f ca="1">IFERROR(IF(0=LEN(ReferenceData!$BG$110),"",ReferenceData!$BG$110),"")</f>
        <v/>
      </c>
      <c r="BH110">
        <f ca="1">IFERROR(IF(0=LEN(ReferenceData!$BH$110),"",ReferenceData!$BH$110),"")</f>
        <v>0.50443450599999995</v>
      </c>
      <c r="BI110" t="str">
        <f ca="1">IFERROR(IF(0=LEN(ReferenceData!$BI$110),"",ReferenceData!$BI$110),"")</f>
        <v/>
      </c>
      <c r="BJ110" t="str">
        <f ca="1">IFERROR(IF(0=LEN(ReferenceData!$BJ$110),"",ReferenceData!$BJ$110),"")</f>
        <v/>
      </c>
      <c r="BK110">
        <f ca="1">IFERROR(IF(0=LEN(ReferenceData!$BK$110),"",ReferenceData!$BK$110),"")</f>
        <v>0.48798001000000002</v>
      </c>
      <c r="BL110" t="str">
        <f ca="1">IFERROR(IF(0=LEN(ReferenceData!$BL$110),"",ReferenceData!$BL$110),"")</f>
        <v/>
      </c>
      <c r="BM110" t="str">
        <f ca="1">IFERROR(IF(0=LEN(ReferenceData!$BM$110),"",ReferenceData!$BM$110),"")</f>
        <v/>
      </c>
      <c r="BN110">
        <f ca="1">IFERROR(IF(0=LEN(ReferenceData!$BN$110),"",ReferenceData!$BN$110),"")</f>
        <v>0.48245408899999997</v>
      </c>
      <c r="BO110" t="str">
        <f ca="1">IFERROR(IF(0=LEN(ReferenceData!$BO$110),"",ReferenceData!$BO$110),"")</f>
        <v/>
      </c>
      <c r="BP110" t="str">
        <f ca="1">IFERROR(IF(0=LEN(ReferenceData!$BP$110),"",ReferenceData!$BP$110),"")</f>
        <v/>
      </c>
      <c r="BQ110">
        <f ca="1">IFERROR(IF(0=LEN(ReferenceData!$BQ$110),"",ReferenceData!$BQ$110),"")</f>
        <v>0.51661764600000004</v>
      </c>
      <c r="BR110" t="str">
        <f ca="1">IFERROR(IF(0=LEN(ReferenceData!$BR$110),"",ReferenceData!$BR$110),"")</f>
        <v/>
      </c>
      <c r="BS110" t="str">
        <f ca="1">IFERROR(IF(0=LEN(ReferenceData!$BS$110),"",ReferenceData!$BS$110),"")</f>
        <v/>
      </c>
      <c r="BT110">
        <f ca="1">IFERROR(IF(0=LEN(ReferenceData!$BT$110),"",ReferenceData!$BT$110),"")</f>
        <v>0.455288419</v>
      </c>
      <c r="BU110" t="str">
        <f ca="1">IFERROR(IF(0=LEN(ReferenceData!$BU$110),"",ReferenceData!$BU$110),"")</f>
        <v/>
      </c>
      <c r="BV110" t="str">
        <f ca="1">IFERROR(IF(0=LEN(ReferenceData!$BV$110),"",ReferenceData!$BV$110),"")</f>
        <v/>
      </c>
      <c r="BW110">
        <f ca="1">IFERROR(IF(0=LEN(ReferenceData!$BW$110),"",ReferenceData!$BW$110),"")</f>
        <v>0.45549148299999997</v>
      </c>
      <c r="BX110" t="str">
        <f ca="1">IFERROR(IF(0=LEN(ReferenceData!$BX$110),"",ReferenceData!$BX$110),"")</f>
        <v/>
      </c>
      <c r="BY110" t="str">
        <f ca="1">IFERROR(IF(0=LEN(ReferenceData!$BY$110),"",ReferenceData!$BY$110),"")</f>
        <v/>
      </c>
      <c r="BZ110">
        <f ca="1">IFERROR(IF(0=LEN(ReferenceData!$BZ$110),"",ReferenceData!$BZ$110),"")</f>
        <v>0.40025978499999998</v>
      </c>
      <c r="CA110" t="str">
        <f ca="1">IFERROR(IF(0=LEN(ReferenceData!$CA$110),"",ReferenceData!$CA$110),"")</f>
        <v/>
      </c>
      <c r="CB110" t="str">
        <f ca="1">IFERROR(IF(0=LEN(ReferenceData!$CB$110),"",ReferenceData!$CB$110),"")</f>
        <v/>
      </c>
      <c r="CC110">
        <f ca="1">IFERROR(IF(0=LEN(ReferenceData!$CC$110),"",ReferenceData!$CC$110),"")</f>
        <v>0.41793703399999999</v>
      </c>
      <c r="CD110" t="str">
        <f ca="1">IFERROR(IF(0=LEN(ReferenceData!$CD$110),"",ReferenceData!$CD$110),"")</f>
        <v/>
      </c>
      <c r="CE110" t="str">
        <f ca="1">IFERROR(IF(0=LEN(ReferenceData!$CE$110),"",ReferenceData!$CE$110),"")</f>
        <v/>
      </c>
      <c r="CF110">
        <f ca="1">IFERROR(IF(0=LEN(ReferenceData!$CF$110),"",ReferenceData!$CF$110),"")</f>
        <v>0.412123974</v>
      </c>
      <c r="CG110" t="str">
        <f ca="1">IFERROR(IF(0=LEN(ReferenceData!$CG$110),"",ReferenceData!$CG$110),"")</f>
        <v/>
      </c>
      <c r="CH110" t="str">
        <f ca="1">IFERROR(IF(0=LEN(ReferenceData!$CH$110),"",ReferenceData!$CH$110),"")</f>
        <v/>
      </c>
      <c r="CI110">
        <f ca="1">IFERROR(IF(0=LEN(ReferenceData!$CI$110),"",ReferenceData!$CI$110),"")</f>
        <v>0.26996083199999998</v>
      </c>
      <c r="CJ110" t="str">
        <f ca="1">IFERROR(IF(0=LEN(ReferenceData!$CJ$110),"",ReferenceData!$CJ$110),"")</f>
        <v/>
      </c>
      <c r="CK110" t="str">
        <f ca="1">IFERROR(IF(0=LEN(ReferenceData!$CK$110),"",ReferenceData!$CK$110),"")</f>
        <v/>
      </c>
    </row>
    <row r="111" spans="1:89">
      <c r="A111" t="str">
        <f>IFERROR(IF(0=LEN(ReferenceData!$A$111),"",ReferenceData!$A$111),"")</f>
        <v xml:space="preserve">    AvalonBay Communities Inc</v>
      </c>
      <c r="B111" t="str">
        <f>IFERROR(IF(0=LEN(ReferenceData!$B$111),"",ReferenceData!$B$111),"")</f>
        <v>AVB US Equity</v>
      </c>
      <c r="C111" t="str">
        <f>IFERROR(IF(0=LEN(ReferenceData!$C$111),"",ReferenceData!$C$111),"")</f>
        <v>F0581</v>
      </c>
      <c r="D111" t="str">
        <f>IFERROR(IF(0=LEN(ReferenceData!$D$111),"",ReferenceData!$D$111),"")</f>
        <v>ADJUSTED_FFOPS</v>
      </c>
      <c r="E111" t="str">
        <f>IFERROR(IF(0=LEN(ReferenceData!$E$111),"",ReferenceData!$E$111),"")</f>
        <v>动态</v>
      </c>
      <c r="F111" t="str">
        <f ca="1">IFERROR(IF(0=LEN(ReferenceData!$F$111),"",ReferenceData!$F$111),"")</f>
        <v/>
      </c>
      <c r="G111" t="str">
        <f ca="1">IFERROR(IF(0=LEN(ReferenceData!$G$111),"",ReferenceData!$G$111),"")</f>
        <v/>
      </c>
      <c r="H111" t="str">
        <f ca="1">IFERROR(IF(0=LEN(ReferenceData!$H$111),"",ReferenceData!$H$111),"")</f>
        <v/>
      </c>
      <c r="I111">
        <f ca="1">IFERROR(IF(0=LEN(ReferenceData!$I$111),"",ReferenceData!$I$111),"")</f>
        <v>2.2487169589999998</v>
      </c>
      <c r="J111" t="str">
        <f ca="1">IFERROR(IF(0=LEN(ReferenceData!$J$111),"",ReferenceData!$J$111),"")</f>
        <v/>
      </c>
      <c r="K111" t="str">
        <f ca="1">IFERROR(IF(0=LEN(ReferenceData!$K$111),"",ReferenceData!$K$111),"")</f>
        <v/>
      </c>
      <c r="L111">
        <f ca="1">IFERROR(IF(0=LEN(ReferenceData!$L$111),"",ReferenceData!$L$111),"")</f>
        <v>2.193079505</v>
      </c>
      <c r="M111" t="str">
        <f ca="1">IFERROR(IF(0=LEN(ReferenceData!$M$111),"",ReferenceData!$M$111),"")</f>
        <v/>
      </c>
      <c r="N111" t="str">
        <f ca="1">IFERROR(IF(0=LEN(ReferenceData!$N$111),"",ReferenceData!$N$111),"")</f>
        <v/>
      </c>
      <c r="O111">
        <f ca="1">IFERROR(IF(0=LEN(ReferenceData!$O$111),"",ReferenceData!$O$111),"")</f>
        <v>2.087156571</v>
      </c>
      <c r="P111" t="str">
        <f ca="1">IFERROR(IF(0=LEN(ReferenceData!$P$111),"",ReferenceData!$P$111),"")</f>
        <v/>
      </c>
      <c r="Q111" t="str">
        <f ca="1">IFERROR(IF(0=LEN(ReferenceData!$Q$111),"",ReferenceData!$Q$111),"")</f>
        <v/>
      </c>
      <c r="R111">
        <f ca="1">IFERROR(IF(0=LEN(ReferenceData!$R$111),"",ReferenceData!$R$111),"")</f>
        <v>2.0895034159999999</v>
      </c>
      <c r="S111" t="str">
        <f ca="1">IFERROR(IF(0=LEN(ReferenceData!$S$111),"",ReferenceData!$S$111),"")</f>
        <v/>
      </c>
      <c r="T111" t="str">
        <f ca="1">IFERROR(IF(0=LEN(ReferenceData!$T$111),"",ReferenceData!$T$111),"")</f>
        <v/>
      </c>
      <c r="U111">
        <f ca="1">IFERROR(IF(0=LEN(ReferenceData!$U$111),"",ReferenceData!$U$111),"")</f>
        <v>2.1171086629999998</v>
      </c>
      <c r="V111" t="str">
        <f ca="1">IFERROR(IF(0=LEN(ReferenceData!$V$111),"",ReferenceData!$V$111),"")</f>
        <v/>
      </c>
      <c r="W111" t="str">
        <f ca="1">IFERROR(IF(0=LEN(ReferenceData!$W$111),"",ReferenceData!$W$111),"")</f>
        <v/>
      </c>
      <c r="X111">
        <f ca="1">IFERROR(IF(0=LEN(ReferenceData!$X$111),"",ReferenceData!$X$111),"")</f>
        <v>2.0705257079999999</v>
      </c>
      <c r="Y111" t="str">
        <f ca="1">IFERROR(IF(0=LEN(ReferenceData!$Y$111),"",ReferenceData!$Y$111),"")</f>
        <v/>
      </c>
      <c r="Z111" t="str">
        <f ca="1">IFERROR(IF(0=LEN(ReferenceData!$Z$111),"",ReferenceData!$Z$111),"")</f>
        <v/>
      </c>
      <c r="AA111">
        <f ca="1">IFERROR(IF(0=LEN(ReferenceData!$AA$111),"",ReferenceData!$AA$111),"")</f>
        <v>2.026037493</v>
      </c>
      <c r="AB111" t="str">
        <f ca="1">IFERROR(IF(0=LEN(ReferenceData!$AB$111),"",ReferenceData!$AB$111),"")</f>
        <v/>
      </c>
      <c r="AC111" t="str">
        <f ca="1">IFERROR(IF(0=LEN(ReferenceData!$AC$111),"",ReferenceData!$AC$111),"")</f>
        <v/>
      </c>
      <c r="AD111">
        <f ca="1">IFERROR(IF(0=LEN(ReferenceData!$AD$111),"",ReferenceData!$AD$111),"")</f>
        <v>1.972834435</v>
      </c>
      <c r="AE111" t="str">
        <f ca="1">IFERROR(IF(0=LEN(ReferenceData!$AE$111),"",ReferenceData!$AE$111),"")</f>
        <v/>
      </c>
      <c r="AF111" t="str">
        <f ca="1">IFERROR(IF(0=LEN(ReferenceData!$AF$111),"",ReferenceData!$AF$111),"")</f>
        <v/>
      </c>
      <c r="AG111">
        <f ca="1">IFERROR(IF(0=LEN(ReferenceData!$AG$111),"",ReferenceData!$AG$111),"")</f>
        <v>1.9880713539999999</v>
      </c>
      <c r="AH111" t="str">
        <f ca="1">IFERROR(IF(0=LEN(ReferenceData!$AH$111),"",ReferenceData!$AH$111),"")</f>
        <v/>
      </c>
      <c r="AI111" t="str">
        <f ca="1">IFERROR(IF(0=LEN(ReferenceData!$AI$111),"",ReferenceData!$AI$111),"")</f>
        <v/>
      </c>
      <c r="AJ111">
        <f ca="1">IFERROR(IF(0=LEN(ReferenceData!$AJ$111),"",ReferenceData!$AJ$111),"")</f>
        <v>1.9282026219999999</v>
      </c>
      <c r="AK111" t="str">
        <f ca="1">IFERROR(IF(0=LEN(ReferenceData!$AK$111),"",ReferenceData!$AK$111),"")</f>
        <v/>
      </c>
      <c r="AL111" t="str">
        <f ca="1">IFERROR(IF(0=LEN(ReferenceData!$AL$111),"",ReferenceData!$AL$111),"")</f>
        <v/>
      </c>
      <c r="AM111">
        <f ca="1">IFERROR(IF(0=LEN(ReferenceData!$AM$111),"",ReferenceData!$AM$111),"")</f>
        <v>1.8669523530000001</v>
      </c>
      <c r="AN111" t="str">
        <f ca="1">IFERROR(IF(0=LEN(ReferenceData!$AN$111),"",ReferenceData!$AN$111),"")</f>
        <v/>
      </c>
      <c r="AO111" t="str">
        <f ca="1">IFERROR(IF(0=LEN(ReferenceData!$AO$111),"",ReferenceData!$AO$111),"")</f>
        <v/>
      </c>
      <c r="AP111">
        <f ca="1">IFERROR(IF(0=LEN(ReferenceData!$AP$111),"",ReferenceData!$AP$111),"")</f>
        <v>1.754448236</v>
      </c>
      <c r="AQ111" t="str">
        <f ca="1">IFERROR(IF(0=LEN(ReferenceData!$AQ$111),"",ReferenceData!$AQ$111),"")</f>
        <v/>
      </c>
      <c r="AR111" t="str">
        <f ca="1">IFERROR(IF(0=LEN(ReferenceData!$AR$111),"",ReferenceData!$AR$111),"")</f>
        <v/>
      </c>
      <c r="AS111">
        <f ca="1">IFERROR(IF(0=LEN(ReferenceData!$AS$111),"",ReferenceData!$AS$111),"")</f>
        <v>1.735582588</v>
      </c>
      <c r="AT111" t="str">
        <f ca="1">IFERROR(IF(0=LEN(ReferenceData!$AT$111),"",ReferenceData!$AT$111),"")</f>
        <v/>
      </c>
      <c r="AU111" t="str">
        <f ca="1">IFERROR(IF(0=LEN(ReferenceData!$AU$111),"",ReferenceData!$AU$111),"")</f>
        <v/>
      </c>
      <c r="AV111">
        <f ca="1">IFERROR(IF(0=LEN(ReferenceData!$AV$111),"",ReferenceData!$AV$111),"")</f>
        <v>1.727108764</v>
      </c>
      <c r="AW111" t="str">
        <f ca="1">IFERROR(IF(0=LEN(ReferenceData!$AW$111),"",ReferenceData!$AW$111),"")</f>
        <v/>
      </c>
      <c r="AX111" t="str">
        <f ca="1">IFERROR(IF(0=LEN(ReferenceData!$AX$111),"",ReferenceData!$AX$111),"")</f>
        <v/>
      </c>
      <c r="AY111">
        <f ca="1">IFERROR(IF(0=LEN(ReferenceData!$AY$111),"",ReferenceData!$AY$111),"")</f>
        <v>1.698609228</v>
      </c>
      <c r="AZ111" t="str">
        <f ca="1">IFERROR(IF(0=LEN(ReferenceData!$AZ$111),"",ReferenceData!$AZ$111),"")</f>
        <v/>
      </c>
      <c r="BA111" t="str">
        <f ca="1">IFERROR(IF(0=LEN(ReferenceData!$BA$111),"",ReferenceData!$BA$111),"")</f>
        <v/>
      </c>
      <c r="BB111">
        <f ca="1">IFERROR(IF(0=LEN(ReferenceData!$BB$111),"",ReferenceData!$BB$111),"")</f>
        <v>1.625802054</v>
      </c>
      <c r="BC111" t="str">
        <f ca="1">IFERROR(IF(0=LEN(ReferenceData!$BC$111),"",ReferenceData!$BC$111),"")</f>
        <v/>
      </c>
      <c r="BD111" t="str">
        <f ca="1">IFERROR(IF(0=LEN(ReferenceData!$BD$111),"",ReferenceData!$BD$111),"")</f>
        <v/>
      </c>
      <c r="BE111">
        <f ca="1">IFERROR(IF(0=LEN(ReferenceData!$BE$111),"",ReferenceData!$BE$111),"")</f>
        <v>1.605552385</v>
      </c>
      <c r="BF111" t="str">
        <f ca="1">IFERROR(IF(0=LEN(ReferenceData!$BF$111),"",ReferenceData!$BF$111),"")</f>
        <v/>
      </c>
      <c r="BG111" t="str">
        <f ca="1">IFERROR(IF(0=LEN(ReferenceData!$BG$111),"",ReferenceData!$BG$111),"")</f>
        <v/>
      </c>
      <c r="BH111">
        <f ca="1">IFERROR(IF(0=LEN(ReferenceData!$BH$111),"",ReferenceData!$BH$111),"")</f>
        <v>1.628550959</v>
      </c>
      <c r="BI111" t="str">
        <f ca="1">IFERROR(IF(0=LEN(ReferenceData!$BI$111),"",ReferenceData!$BI$111),"")</f>
        <v/>
      </c>
      <c r="BJ111" t="str">
        <f ca="1">IFERROR(IF(0=LEN(ReferenceData!$BJ$111),"",ReferenceData!$BJ$111),"")</f>
        <v/>
      </c>
      <c r="BK111">
        <f ca="1">IFERROR(IF(0=LEN(ReferenceData!$BK$111),"",ReferenceData!$BK$111),"")</f>
        <v>1.615859835</v>
      </c>
      <c r="BL111" t="str">
        <f ca="1">IFERROR(IF(0=LEN(ReferenceData!$BL$111),"",ReferenceData!$BL$111),"")</f>
        <v/>
      </c>
      <c r="BM111" t="str">
        <f ca="1">IFERROR(IF(0=LEN(ReferenceData!$BM$111),"",ReferenceData!$BM$111),"")</f>
        <v/>
      </c>
      <c r="BN111">
        <f ca="1">IFERROR(IF(0=LEN(ReferenceData!$BN$111),"",ReferenceData!$BN$111),"")</f>
        <v>1.3602736289999999</v>
      </c>
      <c r="BO111" t="str">
        <f ca="1">IFERROR(IF(0=LEN(ReferenceData!$BO$111),"",ReferenceData!$BO$111),"")</f>
        <v/>
      </c>
      <c r="BP111" t="str">
        <f ca="1">IFERROR(IF(0=LEN(ReferenceData!$BP$111),"",ReferenceData!$BP$111),"")</f>
        <v/>
      </c>
      <c r="BQ111">
        <f ca="1">IFERROR(IF(0=LEN(ReferenceData!$BQ$111),"",ReferenceData!$BQ$111),"")</f>
        <v>1.269583694</v>
      </c>
      <c r="BR111" t="str">
        <f ca="1">IFERROR(IF(0=LEN(ReferenceData!$BR$111),"",ReferenceData!$BR$111),"")</f>
        <v/>
      </c>
      <c r="BS111" t="str">
        <f ca="1">IFERROR(IF(0=LEN(ReferenceData!$BS$111),"",ReferenceData!$BS$111),"")</f>
        <v/>
      </c>
      <c r="BT111">
        <f ca="1">IFERROR(IF(0=LEN(ReferenceData!$BT$111),"",ReferenceData!$BT$111),"")</f>
        <v>1.437493489</v>
      </c>
      <c r="BU111" t="str">
        <f ca="1">IFERROR(IF(0=LEN(ReferenceData!$BU$111),"",ReferenceData!$BU$111),"")</f>
        <v/>
      </c>
      <c r="BV111" t="str">
        <f ca="1">IFERROR(IF(0=LEN(ReferenceData!$BV$111),"",ReferenceData!$BV$111),"")</f>
        <v/>
      </c>
      <c r="BW111">
        <f ca="1">IFERROR(IF(0=LEN(ReferenceData!$BW$111),"",ReferenceData!$BW$111),"")</f>
        <v>1.3429266559999999</v>
      </c>
      <c r="BX111" t="str">
        <f ca="1">IFERROR(IF(0=LEN(ReferenceData!$BX$111),"",ReferenceData!$BX$111),"")</f>
        <v/>
      </c>
      <c r="BY111" t="str">
        <f ca="1">IFERROR(IF(0=LEN(ReferenceData!$BY$111),"",ReferenceData!$BY$111),"")</f>
        <v/>
      </c>
      <c r="BZ111">
        <f ca="1">IFERROR(IF(0=LEN(ReferenceData!$BZ$111),"",ReferenceData!$BZ$111),"")</f>
        <v>1.2751299659999999</v>
      </c>
      <c r="CA111" t="str">
        <f ca="1">IFERROR(IF(0=LEN(ReferenceData!$CA$111),"",ReferenceData!$CA$111),"")</f>
        <v/>
      </c>
      <c r="CB111" t="str">
        <f ca="1">IFERROR(IF(0=LEN(ReferenceData!$CB$111),"",ReferenceData!$CB$111),"")</f>
        <v/>
      </c>
      <c r="CC111">
        <f ca="1">IFERROR(IF(0=LEN(ReferenceData!$CC$111),"",ReferenceData!$CC$111),"")</f>
        <v>1.2649595570000001</v>
      </c>
      <c r="CD111" t="str">
        <f ca="1">IFERROR(IF(0=LEN(ReferenceData!$CD$111),"",ReferenceData!$CD$111),"")</f>
        <v/>
      </c>
      <c r="CE111" t="str">
        <f ca="1">IFERROR(IF(0=LEN(ReferenceData!$CE$111),"",ReferenceData!$CE$111),"")</f>
        <v/>
      </c>
      <c r="CF111">
        <f ca="1">IFERROR(IF(0=LEN(ReferenceData!$CF$111),"",ReferenceData!$CF$111),"")</f>
        <v>1.169470118</v>
      </c>
      <c r="CG111" t="str">
        <f ca="1">IFERROR(IF(0=LEN(ReferenceData!$CG$111),"",ReferenceData!$CG$111),"")</f>
        <v/>
      </c>
      <c r="CH111" t="str">
        <f ca="1">IFERROR(IF(0=LEN(ReferenceData!$CH$111),"",ReferenceData!$CH$111),"")</f>
        <v/>
      </c>
      <c r="CI111">
        <f ca="1">IFERROR(IF(0=LEN(ReferenceData!$CI$111),"",ReferenceData!$CI$111),"")</f>
        <v>1.1427300659999999</v>
      </c>
      <c r="CJ111" t="str">
        <f ca="1">IFERROR(IF(0=LEN(ReferenceData!$CJ$111),"",ReferenceData!$CJ$111),"")</f>
        <v/>
      </c>
      <c r="CK111" t="str">
        <f ca="1">IFERROR(IF(0=LEN(ReferenceData!$CK$111),"",ReferenceData!$CK$111),"")</f>
        <v/>
      </c>
    </row>
    <row r="112" spans="1:89">
      <c r="A112" t="str">
        <f>IFERROR(IF(0=LEN(ReferenceData!$A$112),"",ReferenceData!$A$112),"")</f>
        <v xml:space="preserve">    Camden Property Trust</v>
      </c>
      <c r="B112" t="str">
        <f>IFERROR(IF(0=LEN(ReferenceData!$B$112),"",ReferenceData!$B$112),"")</f>
        <v>CPT US Equity</v>
      </c>
      <c r="C112" t="str">
        <f>IFERROR(IF(0=LEN(ReferenceData!$C$112),"",ReferenceData!$C$112),"")</f>
        <v>F0581</v>
      </c>
      <c r="D112" t="str">
        <f>IFERROR(IF(0=LEN(ReferenceData!$D$112),"",ReferenceData!$D$112),"")</f>
        <v>ADJUSTED_FFOPS</v>
      </c>
      <c r="E112" t="str">
        <f>IFERROR(IF(0=LEN(ReferenceData!$E$112),"",ReferenceData!$E$112),"")</f>
        <v>动态</v>
      </c>
      <c r="F112" t="str">
        <f ca="1">IFERROR(IF(0=LEN(ReferenceData!$F$112),"",ReferenceData!$F$112),"")</f>
        <v/>
      </c>
      <c r="G112" t="str">
        <f ca="1">IFERROR(IF(0=LEN(ReferenceData!$G$112),"",ReferenceData!$G$112),"")</f>
        <v/>
      </c>
      <c r="H112" t="str">
        <f ca="1">IFERROR(IF(0=LEN(ReferenceData!$H$112),"",ReferenceData!$H$112),"")</f>
        <v/>
      </c>
      <c r="I112">
        <f ca="1">IFERROR(IF(0=LEN(ReferenceData!$I$112),"",ReferenceData!$I$112),"")</f>
        <v>1.1801211519999999</v>
      </c>
      <c r="J112" t="str">
        <f ca="1">IFERROR(IF(0=LEN(ReferenceData!$J$112),"",ReferenceData!$J$112),"")</f>
        <v/>
      </c>
      <c r="K112" t="str">
        <f ca="1">IFERROR(IF(0=LEN(ReferenceData!$K$112),"",ReferenceData!$K$112),"")</f>
        <v/>
      </c>
      <c r="L112">
        <f ca="1">IFERROR(IF(0=LEN(ReferenceData!$L$112),"",ReferenceData!$L$112),"")</f>
        <v>1.108214926</v>
      </c>
      <c r="M112" t="str">
        <f ca="1">IFERROR(IF(0=LEN(ReferenceData!$M$112),"",ReferenceData!$M$112),"")</f>
        <v/>
      </c>
      <c r="N112" t="str">
        <f ca="1">IFERROR(IF(0=LEN(ReferenceData!$N$112),"",ReferenceData!$N$112),"")</f>
        <v/>
      </c>
      <c r="O112">
        <f ca="1">IFERROR(IF(0=LEN(ReferenceData!$O$112),"",ReferenceData!$O$112),"")</f>
        <v>1.150446705</v>
      </c>
      <c r="P112" t="str">
        <f ca="1">IFERROR(IF(0=LEN(ReferenceData!$P$112),"",ReferenceData!$P$112),"")</f>
        <v/>
      </c>
      <c r="Q112" t="str">
        <f ca="1">IFERROR(IF(0=LEN(ReferenceData!$Q$112),"",ReferenceData!$Q$112),"")</f>
        <v/>
      </c>
      <c r="R112">
        <f ca="1">IFERROR(IF(0=LEN(ReferenceData!$R$112),"",ReferenceData!$R$112),"")</f>
        <v>1.0904714820000001</v>
      </c>
      <c r="S112" t="str">
        <f ca="1">IFERROR(IF(0=LEN(ReferenceData!$S$112),"",ReferenceData!$S$112),"")</f>
        <v/>
      </c>
      <c r="T112" t="str">
        <f ca="1">IFERROR(IF(0=LEN(ReferenceData!$T$112),"",ReferenceData!$T$112),"")</f>
        <v/>
      </c>
      <c r="U112">
        <f ca="1">IFERROR(IF(0=LEN(ReferenceData!$U$112),"",ReferenceData!$U$112),"")</f>
        <v>1.1481408959999999</v>
      </c>
      <c r="V112" t="str">
        <f ca="1">IFERROR(IF(0=LEN(ReferenceData!$V$112),"",ReferenceData!$V$112),"")</f>
        <v/>
      </c>
      <c r="W112" t="str">
        <f ca="1">IFERROR(IF(0=LEN(ReferenceData!$W$112),"",ReferenceData!$W$112),"")</f>
        <v/>
      </c>
      <c r="X112">
        <f ca="1">IFERROR(IF(0=LEN(ReferenceData!$X$112),"",ReferenceData!$X$112),"")</f>
        <v>1.134176995</v>
      </c>
      <c r="Y112" t="str">
        <f ca="1">IFERROR(IF(0=LEN(ReferenceData!$Y$112),"",ReferenceData!$Y$112),"")</f>
        <v/>
      </c>
      <c r="Z112" t="str">
        <f ca="1">IFERROR(IF(0=LEN(ReferenceData!$Z$112),"",ReferenceData!$Z$112),"")</f>
        <v/>
      </c>
      <c r="AA112">
        <f ca="1">IFERROR(IF(0=LEN(ReferenceData!$AA$112),"",ReferenceData!$AA$112),"")</f>
        <v>1.1506762720000001</v>
      </c>
      <c r="AB112" t="str">
        <f ca="1">IFERROR(IF(0=LEN(ReferenceData!$AB$112),"",ReferenceData!$AB$112),"")</f>
        <v/>
      </c>
      <c r="AC112" t="str">
        <f ca="1">IFERROR(IF(0=LEN(ReferenceData!$AC$112),"",ReferenceData!$AC$112),"")</f>
        <v/>
      </c>
      <c r="AD112">
        <f ca="1">IFERROR(IF(0=LEN(ReferenceData!$AD$112),"",ReferenceData!$AD$112),"")</f>
        <v>1.202166104</v>
      </c>
      <c r="AE112" t="str">
        <f ca="1">IFERROR(IF(0=LEN(ReferenceData!$AE$112),"",ReferenceData!$AE$112),"")</f>
        <v/>
      </c>
      <c r="AF112" t="str">
        <f ca="1">IFERROR(IF(0=LEN(ReferenceData!$AF$112),"",ReferenceData!$AF$112),"")</f>
        <v/>
      </c>
      <c r="AG112">
        <f ca="1">IFERROR(IF(0=LEN(ReferenceData!$AG$112),"",ReferenceData!$AG$112),"")</f>
        <v>1.1975913090000001</v>
      </c>
      <c r="AH112" t="str">
        <f ca="1">IFERROR(IF(0=LEN(ReferenceData!$AH$112),"",ReferenceData!$AH$112),"")</f>
        <v/>
      </c>
      <c r="AI112" t="str">
        <f ca="1">IFERROR(IF(0=LEN(ReferenceData!$AI$112),"",ReferenceData!$AI$112),"")</f>
        <v/>
      </c>
      <c r="AJ112">
        <f ca="1">IFERROR(IF(0=LEN(ReferenceData!$AJ$112),"",ReferenceData!$AJ$112),"")</f>
        <v>1.1412915079999999</v>
      </c>
      <c r="AK112" t="str">
        <f ca="1">IFERROR(IF(0=LEN(ReferenceData!$AK$112),"",ReferenceData!$AK$112),"")</f>
        <v/>
      </c>
      <c r="AL112" t="str">
        <f ca="1">IFERROR(IF(0=LEN(ReferenceData!$AL$112),"",ReferenceData!$AL$112),"")</f>
        <v/>
      </c>
      <c r="AM112">
        <f ca="1">IFERROR(IF(0=LEN(ReferenceData!$AM$112),"",ReferenceData!$AM$112),"")</f>
        <v>1.117180144</v>
      </c>
      <c r="AN112" t="str">
        <f ca="1">IFERROR(IF(0=LEN(ReferenceData!$AN$112),"",ReferenceData!$AN$112),"")</f>
        <v/>
      </c>
      <c r="AO112" t="str">
        <f ca="1">IFERROR(IF(0=LEN(ReferenceData!$AO$112),"",ReferenceData!$AO$112),"")</f>
        <v/>
      </c>
      <c r="AP112">
        <f ca="1">IFERROR(IF(0=LEN(ReferenceData!$AP$112),"",ReferenceData!$AP$112),"")</f>
        <v>1.0794631610000001</v>
      </c>
      <c r="AQ112" t="str">
        <f ca="1">IFERROR(IF(0=LEN(ReferenceData!$AQ$112),"",ReferenceData!$AQ$112),"")</f>
        <v/>
      </c>
      <c r="AR112" t="str">
        <f ca="1">IFERROR(IF(0=LEN(ReferenceData!$AR$112),"",ReferenceData!$AR$112),"")</f>
        <v/>
      </c>
      <c r="AS112">
        <f ca="1">IFERROR(IF(0=LEN(ReferenceData!$AS$112),"",ReferenceData!$AS$112),"")</f>
        <v>1.1020154870000001</v>
      </c>
      <c r="AT112" t="str">
        <f ca="1">IFERROR(IF(0=LEN(ReferenceData!$AT$112),"",ReferenceData!$AT$112),"")</f>
        <v/>
      </c>
      <c r="AU112" t="str">
        <f ca="1">IFERROR(IF(0=LEN(ReferenceData!$AU$112),"",ReferenceData!$AU$112),"")</f>
        <v/>
      </c>
      <c r="AV112">
        <f ca="1">IFERROR(IF(0=LEN(ReferenceData!$AV$112),"",ReferenceData!$AV$112),"")</f>
        <v>1.0714846469999999</v>
      </c>
      <c r="AW112" t="str">
        <f ca="1">IFERROR(IF(0=LEN(ReferenceData!$AW$112),"",ReferenceData!$AW$112),"")</f>
        <v/>
      </c>
      <c r="AX112" t="str">
        <f ca="1">IFERROR(IF(0=LEN(ReferenceData!$AX$112),"",ReferenceData!$AX$112),"")</f>
        <v/>
      </c>
      <c r="AY112">
        <f ca="1">IFERROR(IF(0=LEN(ReferenceData!$AY$112),"",ReferenceData!$AY$112),"")</f>
        <v>1.0423393809999999</v>
      </c>
      <c r="AZ112" t="str">
        <f ca="1">IFERROR(IF(0=LEN(ReferenceData!$AZ$112),"",ReferenceData!$AZ$112),"")</f>
        <v/>
      </c>
      <c r="BA112" t="str">
        <f ca="1">IFERROR(IF(0=LEN(ReferenceData!$BA$112),"",ReferenceData!$BA$112),"")</f>
        <v/>
      </c>
      <c r="BB112">
        <f ca="1">IFERROR(IF(0=LEN(ReferenceData!$BB$112),"",ReferenceData!$BB$112),"")</f>
        <v>1.0502947389999999</v>
      </c>
      <c r="BC112" t="str">
        <f ca="1">IFERROR(IF(0=LEN(ReferenceData!$BC$112),"",ReferenceData!$BC$112),"")</f>
        <v/>
      </c>
      <c r="BD112" t="str">
        <f ca="1">IFERROR(IF(0=LEN(ReferenceData!$BD$112),"",ReferenceData!$BD$112),"")</f>
        <v/>
      </c>
      <c r="BE112">
        <f ca="1">IFERROR(IF(0=LEN(ReferenceData!$BE$112),"",ReferenceData!$BE$112),"")</f>
        <v>1.0795570999999999</v>
      </c>
      <c r="BF112" t="str">
        <f ca="1">IFERROR(IF(0=LEN(ReferenceData!$BF$112),"",ReferenceData!$BF$112),"")</f>
        <v/>
      </c>
      <c r="BG112" t="str">
        <f ca="1">IFERROR(IF(0=LEN(ReferenceData!$BG$112),"",ReferenceData!$BG$112),"")</f>
        <v/>
      </c>
      <c r="BH112">
        <f ca="1">IFERROR(IF(0=LEN(ReferenceData!$BH$112),"",ReferenceData!$BH$112),"")</f>
        <v>1.03928643</v>
      </c>
      <c r="BI112" t="str">
        <f ca="1">IFERROR(IF(0=LEN(ReferenceData!$BI$112),"",ReferenceData!$BI$112),"")</f>
        <v/>
      </c>
      <c r="BJ112" t="str">
        <f ca="1">IFERROR(IF(0=LEN(ReferenceData!$BJ$112),"",ReferenceData!$BJ$112),"")</f>
        <v/>
      </c>
      <c r="BK112">
        <f ca="1">IFERROR(IF(0=LEN(ReferenceData!$BK$112),"",ReferenceData!$BK$112),"")</f>
        <v>1.02108131</v>
      </c>
      <c r="BL112" t="str">
        <f ca="1">IFERROR(IF(0=LEN(ReferenceData!$BL$112),"",ReferenceData!$BL$112),"")</f>
        <v/>
      </c>
      <c r="BM112" t="str">
        <f ca="1">IFERROR(IF(0=LEN(ReferenceData!$BM$112),"",ReferenceData!$BM$112),"")</f>
        <v/>
      </c>
      <c r="BN112">
        <f ca="1">IFERROR(IF(0=LEN(ReferenceData!$BN$112),"",ReferenceData!$BN$112),"")</f>
        <v>0.96360047999999998</v>
      </c>
      <c r="BO112" t="str">
        <f ca="1">IFERROR(IF(0=LEN(ReferenceData!$BO$112),"",ReferenceData!$BO$112),"")</f>
        <v/>
      </c>
      <c r="BP112" t="str">
        <f ca="1">IFERROR(IF(0=LEN(ReferenceData!$BP$112),"",ReferenceData!$BP$112),"")</f>
        <v/>
      </c>
      <c r="BQ112">
        <f ca="1">IFERROR(IF(0=LEN(ReferenceData!$BQ$112),"",ReferenceData!$BQ$112),"")</f>
        <v>0.96558078899999999</v>
      </c>
      <c r="BR112" t="str">
        <f ca="1">IFERROR(IF(0=LEN(ReferenceData!$BR$112),"",ReferenceData!$BR$112),"")</f>
        <v/>
      </c>
      <c r="BS112" t="str">
        <f ca="1">IFERROR(IF(0=LEN(ReferenceData!$BS$112),"",ReferenceData!$BS$112),"")</f>
        <v/>
      </c>
      <c r="BT112">
        <f ca="1">IFERROR(IF(0=LEN(ReferenceData!$BT$112),"",ReferenceData!$BT$112),"")</f>
        <v>0.92768375599999997</v>
      </c>
      <c r="BU112" t="str">
        <f ca="1">IFERROR(IF(0=LEN(ReferenceData!$BU$112),"",ReferenceData!$BU$112),"")</f>
        <v/>
      </c>
      <c r="BV112" t="str">
        <f ca="1">IFERROR(IF(0=LEN(ReferenceData!$BV$112),"",ReferenceData!$BV$112),"")</f>
        <v/>
      </c>
      <c r="BW112">
        <f ca="1">IFERROR(IF(0=LEN(ReferenceData!$BW$112),"",ReferenceData!$BW$112),"")</f>
        <v>0.89124751700000004</v>
      </c>
      <c r="BX112" t="str">
        <f ca="1">IFERROR(IF(0=LEN(ReferenceData!$BX$112),"",ReferenceData!$BX$112),"")</f>
        <v/>
      </c>
      <c r="BY112" t="str">
        <f ca="1">IFERROR(IF(0=LEN(ReferenceData!$BY$112),"",ReferenceData!$BY$112),"")</f>
        <v/>
      </c>
      <c r="BZ112">
        <f ca="1">IFERROR(IF(0=LEN(ReferenceData!$BZ$112),"",ReferenceData!$BZ$112),"")</f>
        <v>0.82781968500000003</v>
      </c>
      <c r="CA112" t="str">
        <f ca="1">IFERROR(IF(0=LEN(ReferenceData!$CA$112),"",ReferenceData!$CA$112),"")</f>
        <v/>
      </c>
      <c r="CB112" t="str">
        <f ca="1">IFERROR(IF(0=LEN(ReferenceData!$CB$112),"",ReferenceData!$CB$112),"")</f>
        <v/>
      </c>
      <c r="CC112">
        <f ca="1">IFERROR(IF(0=LEN(ReferenceData!$CC$112),"",ReferenceData!$CC$112),"")</f>
        <v>0.83841928799999998</v>
      </c>
      <c r="CD112" t="str">
        <f ca="1">IFERROR(IF(0=LEN(ReferenceData!$CD$112),"",ReferenceData!$CD$112),"")</f>
        <v/>
      </c>
      <c r="CE112" t="str">
        <f ca="1">IFERROR(IF(0=LEN(ReferenceData!$CE$112),"",ReferenceData!$CE$112),"")</f>
        <v/>
      </c>
      <c r="CF112">
        <f ca="1">IFERROR(IF(0=LEN(ReferenceData!$CF$112),"",ReferenceData!$CF$112),"")</f>
        <v>0.768779251</v>
      </c>
      <c r="CG112" t="str">
        <f ca="1">IFERROR(IF(0=LEN(ReferenceData!$CG$112),"",ReferenceData!$CG$112),"")</f>
        <v/>
      </c>
      <c r="CH112" t="str">
        <f ca="1">IFERROR(IF(0=LEN(ReferenceData!$CH$112),"",ReferenceData!$CH$112),"")</f>
        <v/>
      </c>
      <c r="CI112">
        <f ca="1">IFERROR(IF(0=LEN(ReferenceData!$CI$112),"",ReferenceData!$CI$112),"")</f>
        <v>0.40187757400000002</v>
      </c>
      <c r="CJ112" t="str">
        <f ca="1">IFERROR(IF(0=LEN(ReferenceData!$CJ$112),"",ReferenceData!$CJ$112),"")</f>
        <v/>
      </c>
      <c r="CK112" t="str">
        <f ca="1">IFERROR(IF(0=LEN(ReferenceData!$CK$112),"",ReferenceData!$CK$112),"")</f>
        <v/>
      </c>
    </row>
    <row r="113" spans="1:89">
      <c r="A113" t="str">
        <f>IFERROR(IF(0=LEN(ReferenceData!$A$113),"",ReferenceData!$A$113),"")</f>
        <v xml:space="preserve">    Equity Residential</v>
      </c>
      <c r="B113" t="str">
        <f>IFERROR(IF(0=LEN(ReferenceData!$B$113),"",ReferenceData!$B$113),"")</f>
        <v>EQR US Equity</v>
      </c>
      <c r="C113" t="str">
        <f>IFERROR(IF(0=LEN(ReferenceData!$C$113),"",ReferenceData!$C$113),"")</f>
        <v>F0581</v>
      </c>
      <c r="D113" t="str">
        <f>IFERROR(IF(0=LEN(ReferenceData!$D$113),"",ReferenceData!$D$113),"")</f>
        <v>ADJUSTED_FFOPS</v>
      </c>
      <c r="E113" t="str">
        <f>IFERROR(IF(0=LEN(ReferenceData!$E$113),"",ReferenceData!$E$113),"")</f>
        <v>动态</v>
      </c>
      <c r="F113" t="str">
        <f ca="1">IFERROR(IF(0=LEN(ReferenceData!$F$113),"",ReferenceData!$F$113),"")</f>
        <v/>
      </c>
      <c r="G113" t="str">
        <f ca="1">IFERROR(IF(0=LEN(ReferenceData!$G$113),"",ReferenceData!$G$113),"")</f>
        <v/>
      </c>
      <c r="H113" t="str">
        <f ca="1">IFERROR(IF(0=LEN(ReferenceData!$H$113),"",ReferenceData!$H$113),"")</f>
        <v/>
      </c>
      <c r="I113">
        <f ca="1">IFERROR(IF(0=LEN(ReferenceData!$I$113),"",ReferenceData!$I$113),"")</f>
        <v>0.82689341000000005</v>
      </c>
      <c r="J113" t="str">
        <f ca="1">IFERROR(IF(0=LEN(ReferenceData!$J$113),"",ReferenceData!$J$113),"")</f>
        <v/>
      </c>
      <c r="K113" t="str">
        <f ca="1">IFERROR(IF(0=LEN(ReferenceData!$K$113),"",ReferenceData!$K$113),"")</f>
        <v/>
      </c>
      <c r="L113">
        <f ca="1">IFERROR(IF(0=LEN(ReferenceData!$L$113),"",ReferenceData!$L$113),"")</f>
        <v>0.79603598399999997</v>
      </c>
      <c r="M113" t="str">
        <f ca="1">IFERROR(IF(0=LEN(ReferenceData!$M$113),"",ReferenceData!$M$113),"")</f>
        <v/>
      </c>
      <c r="N113" t="str">
        <f ca="1">IFERROR(IF(0=LEN(ReferenceData!$N$113),"",ReferenceData!$N$113),"")</f>
        <v/>
      </c>
      <c r="O113">
        <f ca="1">IFERROR(IF(0=LEN(ReferenceData!$O$113),"",ReferenceData!$O$113),"")</f>
        <v>0.76795699900000003</v>
      </c>
      <c r="P113" t="str">
        <f ca="1">IFERROR(IF(0=LEN(ReferenceData!$P$113),"",ReferenceData!$P$113),"")</f>
        <v/>
      </c>
      <c r="Q113" t="str">
        <f ca="1">IFERROR(IF(0=LEN(ReferenceData!$Q$113),"",ReferenceData!$Q$113),"")</f>
        <v/>
      </c>
      <c r="R113">
        <f ca="1">IFERROR(IF(0=LEN(ReferenceData!$R$113),"",ReferenceData!$R$113),"")</f>
        <v>0.74218112400000003</v>
      </c>
      <c r="S113" t="str">
        <f ca="1">IFERROR(IF(0=LEN(ReferenceData!$S$113),"",ReferenceData!$S$113),"")</f>
        <v/>
      </c>
      <c r="T113" t="str">
        <f ca="1">IFERROR(IF(0=LEN(ReferenceData!$T$113),"",ReferenceData!$T$113),"")</f>
        <v/>
      </c>
      <c r="U113">
        <f ca="1">IFERROR(IF(0=LEN(ReferenceData!$U$113),"",ReferenceData!$U$113),"")</f>
        <v>0.79248939399999996</v>
      </c>
      <c r="V113" t="str">
        <f ca="1">IFERROR(IF(0=LEN(ReferenceData!$V$113),"",ReferenceData!$V$113),"")</f>
        <v/>
      </c>
      <c r="W113" t="str">
        <f ca="1">IFERROR(IF(0=LEN(ReferenceData!$W$113),"",ReferenceData!$W$113),"")</f>
        <v/>
      </c>
      <c r="X113">
        <f ca="1">IFERROR(IF(0=LEN(ReferenceData!$X$113),"",ReferenceData!$X$113),"")</f>
        <v>0.77722537899999999</v>
      </c>
      <c r="Y113" t="str">
        <f ca="1">IFERROR(IF(0=LEN(ReferenceData!$Y$113),"",ReferenceData!$Y$113),"")</f>
        <v/>
      </c>
      <c r="Z113" t="str">
        <f ca="1">IFERROR(IF(0=LEN(ReferenceData!$Z$113),"",ReferenceData!$Z$113),"")</f>
        <v/>
      </c>
      <c r="AA113">
        <f ca="1">IFERROR(IF(0=LEN(ReferenceData!$AA$113),"",ReferenceData!$AA$113),"")</f>
        <v>0.75997277900000004</v>
      </c>
      <c r="AB113" t="str">
        <f ca="1">IFERROR(IF(0=LEN(ReferenceData!$AB$113),"",ReferenceData!$AB$113),"")</f>
        <v/>
      </c>
      <c r="AC113" t="str">
        <f ca="1">IFERROR(IF(0=LEN(ReferenceData!$AC$113),"",ReferenceData!$AC$113),"")</f>
        <v/>
      </c>
      <c r="AD113">
        <f ca="1">IFERROR(IF(0=LEN(ReferenceData!$AD$113),"",ReferenceData!$AD$113),"")</f>
        <v>0.75732191299999996</v>
      </c>
      <c r="AE113" t="str">
        <f ca="1">IFERROR(IF(0=LEN(ReferenceData!$AE$113),"",ReferenceData!$AE$113),"")</f>
        <v/>
      </c>
      <c r="AF113" t="str">
        <f ca="1">IFERROR(IF(0=LEN(ReferenceData!$AF$113),"",ReferenceData!$AF$113),"")</f>
        <v/>
      </c>
      <c r="AG113">
        <f ca="1">IFERROR(IF(0=LEN(ReferenceData!$AG$113),"",ReferenceData!$AG$113),"")</f>
        <v>0.92611352999999996</v>
      </c>
      <c r="AH113" t="str">
        <f ca="1">IFERROR(IF(0=LEN(ReferenceData!$AH$113),"",ReferenceData!$AH$113),"")</f>
        <v/>
      </c>
      <c r="AI113" t="str">
        <f ca="1">IFERROR(IF(0=LEN(ReferenceData!$AI$113),"",ReferenceData!$AI$113),"")</f>
        <v/>
      </c>
      <c r="AJ113">
        <f ca="1">IFERROR(IF(0=LEN(ReferenceData!$AJ$113),"",ReferenceData!$AJ$113),"")</f>
        <v>0.894657323</v>
      </c>
      <c r="AK113" t="str">
        <f ca="1">IFERROR(IF(0=LEN(ReferenceData!$AK$113),"",ReferenceData!$AK$113),"")</f>
        <v/>
      </c>
      <c r="AL113" t="str">
        <f ca="1">IFERROR(IF(0=LEN(ReferenceData!$AL$113),"",ReferenceData!$AL$113),"")</f>
        <v/>
      </c>
      <c r="AM113">
        <f ca="1">IFERROR(IF(0=LEN(ReferenceData!$AM$113),"",ReferenceData!$AM$113),"")</f>
        <v>0.85484545000000001</v>
      </c>
      <c r="AN113" t="str">
        <f ca="1">IFERROR(IF(0=LEN(ReferenceData!$AN$113),"",ReferenceData!$AN$113),"")</f>
        <v/>
      </c>
      <c r="AO113" t="str">
        <f ca="1">IFERROR(IF(0=LEN(ReferenceData!$AO$113),"",ReferenceData!$AO$113),"")</f>
        <v/>
      </c>
      <c r="AP113">
        <f ca="1">IFERROR(IF(0=LEN(ReferenceData!$AP$113),"",ReferenceData!$AP$113),"")</f>
        <v>0.78617084800000003</v>
      </c>
      <c r="AQ113" t="str">
        <f ca="1">IFERROR(IF(0=LEN(ReferenceData!$AQ$113),"",ReferenceData!$AQ$113),"")</f>
        <v/>
      </c>
      <c r="AR113" t="str">
        <f ca="1">IFERROR(IF(0=LEN(ReferenceData!$AR$113),"",ReferenceData!$AR$113),"")</f>
        <v/>
      </c>
      <c r="AS113">
        <f ca="1">IFERROR(IF(0=LEN(ReferenceData!$AS$113),"",ReferenceData!$AS$113),"")</f>
        <v>0.85964379800000001</v>
      </c>
      <c r="AT113" t="str">
        <f ca="1">IFERROR(IF(0=LEN(ReferenceData!$AT$113),"",ReferenceData!$AT$113),"")</f>
        <v/>
      </c>
      <c r="AU113" t="str">
        <f ca="1">IFERROR(IF(0=LEN(ReferenceData!$AU$113),"",ReferenceData!$AU$113),"")</f>
        <v/>
      </c>
      <c r="AV113">
        <f ca="1">IFERROR(IF(0=LEN(ReferenceData!$AV$113),"",ReferenceData!$AV$113),"")</f>
        <v>0.81808897400000002</v>
      </c>
      <c r="AW113" t="str">
        <f ca="1">IFERROR(IF(0=LEN(ReferenceData!$AW$113),"",ReferenceData!$AW$113),"")</f>
        <v/>
      </c>
      <c r="AX113" t="str">
        <f ca="1">IFERROR(IF(0=LEN(ReferenceData!$AX$113),"",ReferenceData!$AX$113),"")</f>
        <v/>
      </c>
      <c r="AY113">
        <f ca="1">IFERROR(IF(0=LEN(ReferenceData!$AY$113),"",ReferenceData!$AY$113),"")</f>
        <v>0.78459262100000005</v>
      </c>
      <c r="AZ113" t="str">
        <f ca="1">IFERROR(IF(0=LEN(ReferenceData!$AZ$113),"",ReferenceData!$AZ$113),"")</f>
        <v/>
      </c>
      <c r="BA113" t="str">
        <f ca="1">IFERROR(IF(0=LEN(ReferenceData!$BA$113),"",ReferenceData!$BA$113),"")</f>
        <v/>
      </c>
      <c r="BB113">
        <f ca="1">IFERROR(IF(0=LEN(ReferenceData!$BB$113),"",ReferenceData!$BB$113),"")</f>
        <v>0.70580843000000004</v>
      </c>
      <c r="BC113" t="str">
        <f ca="1">IFERROR(IF(0=LEN(ReferenceData!$BC$113),"",ReferenceData!$BC$113),"")</f>
        <v/>
      </c>
      <c r="BD113" t="str">
        <f ca="1">IFERROR(IF(0=LEN(ReferenceData!$BD$113),"",ReferenceData!$BD$113),"")</f>
        <v/>
      </c>
      <c r="BE113">
        <f ca="1">IFERROR(IF(0=LEN(ReferenceData!$BE$113),"",ReferenceData!$BE$113),"")</f>
        <v>0.76871175400000002</v>
      </c>
      <c r="BF113" t="str">
        <f ca="1">IFERROR(IF(0=LEN(ReferenceData!$BF$113),"",ReferenceData!$BF$113),"")</f>
        <v/>
      </c>
      <c r="BG113" t="str">
        <f ca="1">IFERROR(IF(0=LEN(ReferenceData!$BG$113),"",ReferenceData!$BG$113),"")</f>
        <v/>
      </c>
      <c r="BH113">
        <f ca="1">IFERROR(IF(0=LEN(ReferenceData!$BH$113),"",ReferenceData!$BH$113),"")</f>
        <v>0.73083379699999995</v>
      </c>
      <c r="BI113" t="str">
        <f ca="1">IFERROR(IF(0=LEN(ReferenceData!$BI$113),"",ReferenceData!$BI$113),"")</f>
        <v/>
      </c>
      <c r="BJ113" t="str">
        <f ca="1">IFERROR(IF(0=LEN(ReferenceData!$BJ$113),"",ReferenceData!$BJ$113),"")</f>
        <v/>
      </c>
      <c r="BK113">
        <f ca="1">IFERROR(IF(0=LEN(ReferenceData!$BK$113),"",ReferenceData!$BK$113),"")</f>
        <v>0.710989333</v>
      </c>
      <c r="BL113" t="str">
        <f ca="1">IFERROR(IF(0=LEN(ReferenceData!$BL$113),"",ReferenceData!$BL$113),"")</f>
        <v/>
      </c>
      <c r="BM113" t="str">
        <f ca="1">IFERROR(IF(0=LEN(ReferenceData!$BM$113),"",ReferenceData!$BM$113),"")</f>
        <v/>
      </c>
      <c r="BN113">
        <f ca="1">IFERROR(IF(0=LEN(ReferenceData!$BN$113),"",ReferenceData!$BN$113),"")</f>
        <v>0.63951693200000004</v>
      </c>
      <c r="BO113" t="str">
        <f ca="1">IFERROR(IF(0=LEN(ReferenceData!$BO$113),"",ReferenceData!$BO$113),"")</f>
        <v/>
      </c>
      <c r="BP113" t="str">
        <f ca="1">IFERROR(IF(0=LEN(ReferenceData!$BP$113),"",ReferenceData!$BP$113),"")</f>
        <v/>
      </c>
      <c r="BQ113">
        <f ca="1">IFERROR(IF(0=LEN(ReferenceData!$BQ$113),"",ReferenceData!$BQ$113),"")</f>
        <v>0.74560389800000004</v>
      </c>
      <c r="BR113" t="str">
        <f ca="1">IFERROR(IF(0=LEN(ReferenceData!$BR$113),"",ReferenceData!$BR$113),"")</f>
        <v/>
      </c>
      <c r="BS113" t="str">
        <f ca="1">IFERROR(IF(0=LEN(ReferenceData!$BS$113),"",ReferenceData!$BS$113),"")</f>
        <v/>
      </c>
      <c r="BT113">
        <f ca="1">IFERROR(IF(0=LEN(ReferenceData!$BT$113),"",ReferenceData!$BT$113),"")</f>
        <v>0.72941873999999995</v>
      </c>
      <c r="BU113" t="str">
        <f ca="1">IFERROR(IF(0=LEN(ReferenceData!$BU$113),"",ReferenceData!$BU$113),"")</f>
        <v/>
      </c>
      <c r="BV113" t="str">
        <f ca="1">IFERROR(IF(0=LEN(ReferenceData!$BV$113),"",ReferenceData!$BV$113),"")</f>
        <v/>
      </c>
      <c r="BW113">
        <f ca="1">IFERROR(IF(0=LEN(ReferenceData!$BW$113),"",ReferenceData!$BW$113),"")</f>
        <v>0.67686243899999998</v>
      </c>
      <c r="BX113" t="str">
        <f ca="1">IFERROR(IF(0=LEN(ReferenceData!$BX$113),"",ReferenceData!$BX$113),"")</f>
        <v/>
      </c>
      <c r="BY113" t="str">
        <f ca="1">IFERROR(IF(0=LEN(ReferenceData!$BY$113),"",ReferenceData!$BY$113),"")</f>
        <v/>
      </c>
      <c r="BZ113">
        <f ca="1">IFERROR(IF(0=LEN(ReferenceData!$BZ$113),"",ReferenceData!$BZ$113),"")</f>
        <v>0.608612759</v>
      </c>
      <c r="CA113" t="str">
        <f ca="1">IFERROR(IF(0=LEN(ReferenceData!$CA$113),"",ReferenceData!$CA$113),"")</f>
        <v/>
      </c>
      <c r="CB113" t="str">
        <f ca="1">IFERROR(IF(0=LEN(ReferenceData!$CB$113),"",ReferenceData!$CB$113),"")</f>
        <v/>
      </c>
      <c r="CC113">
        <f ca="1">IFERROR(IF(0=LEN(ReferenceData!$CC$113),"",ReferenceData!$CC$113),"")</f>
        <v>0.65433871300000002</v>
      </c>
      <c r="CD113" t="str">
        <f ca="1">IFERROR(IF(0=LEN(ReferenceData!$CD$113),"",ReferenceData!$CD$113),"")</f>
        <v/>
      </c>
      <c r="CE113" t="str">
        <f ca="1">IFERROR(IF(0=LEN(ReferenceData!$CE$113),"",ReferenceData!$CE$113),"")</f>
        <v/>
      </c>
      <c r="CF113">
        <f ca="1">IFERROR(IF(0=LEN(ReferenceData!$CF$113),"",ReferenceData!$CF$113),"")</f>
        <v>0.61726930999999996</v>
      </c>
      <c r="CG113" t="str">
        <f ca="1">IFERROR(IF(0=LEN(ReferenceData!$CG$113),"",ReferenceData!$CG$113),"")</f>
        <v/>
      </c>
      <c r="CH113" t="str">
        <f ca="1">IFERROR(IF(0=LEN(ReferenceData!$CH$113),"",ReferenceData!$CH$113),"")</f>
        <v/>
      </c>
      <c r="CI113">
        <f ca="1">IFERROR(IF(0=LEN(ReferenceData!$CI$113),"",ReferenceData!$CI$113),"")</f>
        <v>0.59807046100000005</v>
      </c>
      <c r="CJ113" t="str">
        <f ca="1">IFERROR(IF(0=LEN(ReferenceData!$CJ$113),"",ReferenceData!$CJ$113),"")</f>
        <v/>
      </c>
      <c r="CK113" t="str">
        <f ca="1">IFERROR(IF(0=LEN(ReferenceData!$CK$113),"",ReferenceData!$CK$113),"")</f>
        <v/>
      </c>
    </row>
    <row r="114" spans="1:89">
      <c r="A114" t="str">
        <f>IFERROR(IF(0=LEN(ReferenceData!$A$114),"",ReferenceData!$A$114),"")</f>
        <v xml:space="preserve">    Essex Property Trust Inc</v>
      </c>
      <c r="B114" t="str">
        <f>IFERROR(IF(0=LEN(ReferenceData!$B$114),"",ReferenceData!$B$114),"")</f>
        <v>ESS US Equity</v>
      </c>
      <c r="C114" t="str">
        <f>IFERROR(IF(0=LEN(ReferenceData!$C$114),"",ReferenceData!$C$114),"")</f>
        <v>F0581</v>
      </c>
      <c r="D114" t="str">
        <f>IFERROR(IF(0=LEN(ReferenceData!$D$114),"",ReferenceData!$D$114),"")</f>
        <v>ADJUSTED_FFOPS</v>
      </c>
      <c r="E114" t="str">
        <f>IFERROR(IF(0=LEN(ReferenceData!$E$114),"",ReferenceData!$E$114),"")</f>
        <v>动态</v>
      </c>
      <c r="F114" t="str">
        <f ca="1">IFERROR(IF(0=LEN(ReferenceData!$F$114),"",ReferenceData!$F$114),"")</f>
        <v/>
      </c>
      <c r="G114" t="str">
        <f ca="1">IFERROR(IF(0=LEN(ReferenceData!$G$114),"",ReferenceData!$G$114),"")</f>
        <v/>
      </c>
      <c r="H114" t="str">
        <f ca="1">IFERROR(IF(0=LEN(ReferenceData!$H$114),"",ReferenceData!$H$114),"")</f>
        <v/>
      </c>
      <c r="I114">
        <f ca="1">IFERROR(IF(0=LEN(ReferenceData!$I$114),"",ReferenceData!$I$114),"")</f>
        <v>3.0110267070000001</v>
      </c>
      <c r="J114" t="str">
        <f ca="1">IFERROR(IF(0=LEN(ReferenceData!$J$114),"",ReferenceData!$J$114),"")</f>
        <v/>
      </c>
      <c r="K114" t="str">
        <f ca="1">IFERROR(IF(0=LEN(ReferenceData!$K$114),"",ReferenceData!$K$114),"")</f>
        <v/>
      </c>
      <c r="L114">
        <f ca="1">IFERROR(IF(0=LEN(ReferenceData!$L$114),"",ReferenceData!$L$114),"")</f>
        <v>2.9846710270000001</v>
      </c>
      <c r="M114" t="str">
        <f ca="1">IFERROR(IF(0=LEN(ReferenceData!$M$114),"",ReferenceData!$M$114),"")</f>
        <v/>
      </c>
      <c r="N114" t="str">
        <f ca="1">IFERROR(IF(0=LEN(ReferenceData!$N$114),"",ReferenceData!$N$114),"")</f>
        <v/>
      </c>
      <c r="O114">
        <f ca="1">IFERROR(IF(0=LEN(ReferenceData!$O$114),"",ReferenceData!$O$114),"")</f>
        <v>2.9724600790000002</v>
      </c>
      <c r="P114" t="str">
        <f ca="1">IFERROR(IF(0=LEN(ReferenceData!$P$114),"",ReferenceData!$P$114),"")</f>
        <v/>
      </c>
      <c r="Q114" t="str">
        <f ca="1">IFERROR(IF(0=LEN(ReferenceData!$Q$114),"",ReferenceData!$Q$114),"")</f>
        <v/>
      </c>
      <c r="R114">
        <f ca="1">IFERROR(IF(0=LEN(ReferenceData!$R$114),"",ReferenceData!$R$114),"")</f>
        <v>2.937976285</v>
      </c>
      <c r="S114" t="str">
        <f ca="1">IFERROR(IF(0=LEN(ReferenceData!$S$114),"",ReferenceData!$S$114),"")</f>
        <v/>
      </c>
      <c r="T114" t="str">
        <f ca="1">IFERROR(IF(0=LEN(ReferenceData!$T$114),"",ReferenceData!$T$114),"")</f>
        <v/>
      </c>
      <c r="U114">
        <f ca="1">IFERROR(IF(0=LEN(ReferenceData!$U$114),"",ReferenceData!$U$114),"")</f>
        <v>2.8095570529999998</v>
      </c>
      <c r="V114" t="str">
        <f ca="1">IFERROR(IF(0=LEN(ReferenceData!$V$114),"",ReferenceData!$V$114),"")</f>
        <v/>
      </c>
      <c r="W114" t="str">
        <f ca="1">IFERROR(IF(0=LEN(ReferenceData!$W$114),"",ReferenceData!$W$114),"")</f>
        <v/>
      </c>
      <c r="X114">
        <f ca="1">IFERROR(IF(0=LEN(ReferenceData!$X$114),"",ReferenceData!$X$114),"")</f>
        <v>2.8054828879999998</v>
      </c>
      <c r="Y114" t="str">
        <f ca="1">IFERROR(IF(0=LEN(ReferenceData!$Y$114),"",ReferenceData!$Y$114),"")</f>
        <v/>
      </c>
      <c r="Z114" t="str">
        <f ca="1">IFERROR(IF(0=LEN(ReferenceData!$Z$114),"",ReferenceData!$Z$114),"")</f>
        <v/>
      </c>
      <c r="AA114">
        <f ca="1">IFERROR(IF(0=LEN(ReferenceData!$AA$114),"",ReferenceData!$AA$114),"")</f>
        <v>2.7421872810000001</v>
      </c>
      <c r="AB114" t="str">
        <f ca="1">IFERROR(IF(0=LEN(ReferenceData!$AB$114),"",ReferenceData!$AB$114),"")</f>
        <v/>
      </c>
      <c r="AC114" t="str">
        <f ca="1">IFERROR(IF(0=LEN(ReferenceData!$AC$114),"",ReferenceData!$AC$114),"")</f>
        <v/>
      </c>
      <c r="AD114">
        <f ca="1">IFERROR(IF(0=LEN(ReferenceData!$AD$114),"",ReferenceData!$AD$114),"")</f>
        <v>2.6775427710000002</v>
      </c>
      <c r="AE114" t="str">
        <f ca="1">IFERROR(IF(0=LEN(ReferenceData!$AE$114),"",ReferenceData!$AE$114),"")</f>
        <v/>
      </c>
      <c r="AF114" t="str">
        <f ca="1">IFERROR(IF(0=LEN(ReferenceData!$AF$114),"",ReferenceData!$AF$114),"")</f>
        <v/>
      </c>
      <c r="AG114">
        <f ca="1">IFERROR(IF(0=LEN(ReferenceData!$AG$114),"",ReferenceData!$AG$114),"")</f>
        <v>2.630234352</v>
      </c>
      <c r="AH114" t="str">
        <f ca="1">IFERROR(IF(0=LEN(ReferenceData!$AH$114),"",ReferenceData!$AH$114),"")</f>
        <v/>
      </c>
      <c r="AI114" t="str">
        <f ca="1">IFERROR(IF(0=LEN(ReferenceData!$AI$114),"",ReferenceData!$AI$114),"")</f>
        <v/>
      </c>
      <c r="AJ114">
        <f ca="1">IFERROR(IF(0=LEN(ReferenceData!$AJ$114),"",ReferenceData!$AJ$114),"")</f>
        <v>2.4940148309999999</v>
      </c>
      <c r="AK114" t="str">
        <f ca="1">IFERROR(IF(0=LEN(ReferenceData!$AK$114),"",ReferenceData!$AK$114),"")</f>
        <v/>
      </c>
      <c r="AL114" t="str">
        <f ca="1">IFERROR(IF(0=LEN(ReferenceData!$AL$114),"",ReferenceData!$AL$114),"")</f>
        <v/>
      </c>
      <c r="AM114">
        <f ca="1">IFERROR(IF(0=LEN(ReferenceData!$AM$114),"",ReferenceData!$AM$114),"")</f>
        <v>2.4005820349999998</v>
      </c>
      <c r="AN114" t="str">
        <f ca="1">IFERROR(IF(0=LEN(ReferenceData!$AN$114),"",ReferenceData!$AN$114),"")</f>
        <v/>
      </c>
      <c r="AO114" t="str">
        <f ca="1">IFERROR(IF(0=LEN(ReferenceData!$AO$114),"",ReferenceData!$AO$114),"")</f>
        <v/>
      </c>
      <c r="AP114">
        <f ca="1">IFERROR(IF(0=LEN(ReferenceData!$AP$114),"",ReferenceData!$AP$114),"")</f>
        <v>2.290143976</v>
      </c>
      <c r="AQ114" t="str">
        <f ca="1">IFERROR(IF(0=LEN(ReferenceData!$AQ$114),"",ReferenceData!$AQ$114),"")</f>
        <v/>
      </c>
      <c r="AR114" t="str">
        <f ca="1">IFERROR(IF(0=LEN(ReferenceData!$AR$114),"",ReferenceData!$AR$114),"")</f>
        <v/>
      </c>
      <c r="AS114">
        <f ca="1">IFERROR(IF(0=LEN(ReferenceData!$AS$114),"",ReferenceData!$AS$114),"")</f>
        <v>2.2397877350000002</v>
      </c>
      <c r="AT114" t="str">
        <f ca="1">IFERROR(IF(0=LEN(ReferenceData!$AT$114),"",ReferenceData!$AT$114),"")</f>
        <v/>
      </c>
      <c r="AU114" t="str">
        <f ca="1">IFERROR(IF(0=LEN(ReferenceData!$AU$114),"",ReferenceData!$AU$114),"")</f>
        <v/>
      </c>
      <c r="AV114">
        <f ca="1">IFERROR(IF(0=LEN(ReferenceData!$AV$114),"",ReferenceData!$AV$114),"")</f>
        <v>2.1630626749999999</v>
      </c>
      <c r="AW114" t="str">
        <f ca="1">IFERROR(IF(0=LEN(ReferenceData!$AW$114),"",ReferenceData!$AW$114),"")</f>
        <v/>
      </c>
      <c r="AX114" t="str">
        <f ca="1">IFERROR(IF(0=LEN(ReferenceData!$AX$114),"",ReferenceData!$AX$114),"")</f>
        <v/>
      </c>
      <c r="AY114">
        <f ca="1">IFERROR(IF(0=LEN(ReferenceData!$AY$114),"",ReferenceData!$AY$114),"")</f>
        <v>2.084494984</v>
      </c>
      <c r="AZ114" t="str">
        <f ca="1">IFERROR(IF(0=LEN(ReferenceData!$AZ$114),"",ReferenceData!$AZ$114),"")</f>
        <v/>
      </c>
      <c r="BA114" t="str">
        <f ca="1">IFERROR(IF(0=LEN(ReferenceData!$BA$114),"",ReferenceData!$BA$114),"")</f>
        <v/>
      </c>
      <c r="BB114">
        <f ca="1">IFERROR(IF(0=LEN(ReferenceData!$BB$114),"",ReferenceData!$BB$114),"")</f>
        <v>2.0160015649999998</v>
      </c>
      <c r="BC114" t="str">
        <f ca="1">IFERROR(IF(0=LEN(ReferenceData!$BC$114),"",ReferenceData!$BC$114),"")</f>
        <v/>
      </c>
      <c r="BD114" t="str">
        <f ca="1">IFERROR(IF(0=LEN(ReferenceData!$BD$114),"",ReferenceData!$BD$114),"")</f>
        <v/>
      </c>
      <c r="BE114">
        <f ca="1">IFERROR(IF(0=LEN(ReferenceData!$BE$114),"",ReferenceData!$BE$114),"")</f>
        <v>1.943610617</v>
      </c>
      <c r="BF114" t="str">
        <f ca="1">IFERROR(IF(0=LEN(ReferenceData!$BF$114),"",ReferenceData!$BF$114),"")</f>
        <v/>
      </c>
      <c r="BG114" t="str">
        <f ca="1">IFERROR(IF(0=LEN(ReferenceData!$BG$114),"",ReferenceData!$BG$114),"")</f>
        <v/>
      </c>
      <c r="BH114">
        <f ca="1">IFERROR(IF(0=LEN(ReferenceData!$BH$114),"",ReferenceData!$BH$114),"")</f>
        <v>1.910271021</v>
      </c>
      <c r="BI114" t="str">
        <f ca="1">IFERROR(IF(0=LEN(ReferenceData!$BI$114),"",ReferenceData!$BI$114),"")</f>
        <v/>
      </c>
      <c r="BJ114" t="str">
        <f ca="1">IFERROR(IF(0=LEN(ReferenceData!$BJ$114),"",ReferenceData!$BJ$114),"")</f>
        <v/>
      </c>
      <c r="BK114">
        <f ca="1">IFERROR(IF(0=LEN(ReferenceData!$BK$114),"",ReferenceData!$BK$114),"")</f>
        <v>1.875510274</v>
      </c>
      <c r="BL114" t="str">
        <f ca="1">IFERROR(IF(0=LEN(ReferenceData!$BL$114),"",ReferenceData!$BL$114),"")</f>
        <v/>
      </c>
      <c r="BM114" t="str">
        <f ca="1">IFERROR(IF(0=LEN(ReferenceData!$BM$114),"",ReferenceData!$BM$114),"")</f>
        <v/>
      </c>
      <c r="BN114">
        <f ca="1">IFERROR(IF(0=LEN(ReferenceData!$BN$114),"",ReferenceData!$BN$114),"")</f>
        <v>1.867411274</v>
      </c>
      <c r="BO114" t="str">
        <f ca="1">IFERROR(IF(0=LEN(ReferenceData!$BO$114),"",ReferenceData!$BO$114),"")</f>
        <v/>
      </c>
      <c r="BP114" t="str">
        <f ca="1">IFERROR(IF(0=LEN(ReferenceData!$BP$114),"",ReferenceData!$BP$114),"")</f>
        <v/>
      </c>
      <c r="BQ114">
        <f ca="1">IFERROR(IF(0=LEN(ReferenceData!$BQ$114),"",ReferenceData!$BQ$114),"")</f>
        <v>1.808296197</v>
      </c>
      <c r="BR114" t="str">
        <f ca="1">IFERROR(IF(0=LEN(ReferenceData!$BR$114),"",ReferenceData!$BR$114),"")</f>
        <v/>
      </c>
      <c r="BS114" t="str">
        <f ca="1">IFERROR(IF(0=LEN(ReferenceData!$BS$114),"",ReferenceData!$BS$114),"")</f>
        <v/>
      </c>
      <c r="BT114">
        <f ca="1">IFERROR(IF(0=LEN(ReferenceData!$BT$114),"",ReferenceData!$BT$114),"")</f>
        <v>1.7079311589999999</v>
      </c>
      <c r="BU114" t="str">
        <f ca="1">IFERROR(IF(0=LEN(ReferenceData!$BU$114),"",ReferenceData!$BU$114),"")</f>
        <v/>
      </c>
      <c r="BV114" t="str">
        <f ca="1">IFERROR(IF(0=LEN(ReferenceData!$BV$114),"",ReferenceData!$BV$114),"")</f>
        <v/>
      </c>
      <c r="BW114">
        <f ca="1">IFERROR(IF(0=LEN(ReferenceData!$BW$114),"",ReferenceData!$BW$114),"")</f>
        <v>1.718624932</v>
      </c>
      <c r="BX114" t="str">
        <f ca="1">IFERROR(IF(0=LEN(ReferenceData!$BX$114),"",ReferenceData!$BX$114),"")</f>
        <v/>
      </c>
      <c r="BY114" t="str">
        <f ca="1">IFERROR(IF(0=LEN(ReferenceData!$BY$114),"",ReferenceData!$BY$114),"")</f>
        <v/>
      </c>
      <c r="BZ114">
        <f ca="1">IFERROR(IF(0=LEN(ReferenceData!$BZ$114),"",ReferenceData!$BZ$114),"")</f>
        <v>1.6332825879999999</v>
      </c>
      <c r="CA114" t="str">
        <f ca="1">IFERROR(IF(0=LEN(ReferenceData!$CA$114),"",ReferenceData!$CA$114),"")</f>
        <v/>
      </c>
      <c r="CB114" t="str">
        <f ca="1">IFERROR(IF(0=LEN(ReferenceData!$CB$114),"",ReferenceData!$CB$114),"")</f>
        <v/>
      </c>
      <c r="CC114">
        <f ca="1">IFERROR(IF(0=LEN(ReferenceData!$CC$114),"",ReferenceData!$CC$114),"")</f>
        <v>1.506164238</v>
      </c>
      <c r="CD114" t="str">
        <f ca="1">IFERROR(IF(0=LEN(ReferenceData!$CD$114),"",ReferenceData!$CD$114),"")</f>
        <v/>
      </c>
      <c r="CE114" t="str">
        <f ca="1">IFERROR(IF(0=LEN(ReferenceData!$CE$114),"",ReferenceData!$CE$114),"")</f>
        <v/>
      </c>
      <c r="CF114">
        <f ca="1">IFERROR(IF(0=LEN(ReferenceData!$CF$114),"",ReferenceData!$CF$114),"")</f>
        <v>1.4159322489999999</v>
      </c>
      <c r="CG114" t="str">
        <f ca="1">IFERROR(IF(0=LEN(ReferenceData!$CG$114),"",ReferenceData!$CG$114),"")</f>
        <v/>
      </c>
      <c r="CH114" t="str">
        <f ca="1">IFERROR(IF(0=LEN(ReferenceData!$CH$114),"",ReferenceData!$CH$114),"")</f>
        <v/>
      </c>
      <c r="CI114">
        <f ca="1">IFERROR(IF(0=LEN(ReferenceData!$CI$114),"",ReferenceData!$CI$114),"")</f>
        <v>1.395512168</v>
      </c>
      <c r="CJ114" t="str">
        <f ca="1">IFERROR(IF(0=LEN(ReferenceData!$CJ$114),"",ReferenceData!$CJ$114),"")</f>
        <v/>
      </c>
      <c r="CK114" t="str">
        <f ca="1">IFERROR(IF(0=LEN(ReferenceData!$CK$114),"",ReferenceData!$CK$114),"")</f>
        <v/>
      </c>
    </row>
    <row r="115" spans="1:89">
      <c r="A115" t="str">
        <f>IFERROR(IF(0=LEN(ReferenceData!$A$115),"",ReferenceData!$A$115),"")</f>
        <v xml:space="preserve">    Mid-America Apartment Communit</v>
      </c>
      <c r="B115" t="str">
        <f>IFERROR(IF(0=LEN(ReferenceData!$B$115),"",ReferenceData!$B$115),"")</f>
        <v>MAA US Equity</v>
      </c>
      <c r="C115" t="str">
        <f>IFERROR(IF(0=LEN(ReferenceData!$C$115),"",ReferenceData!$C$115),"")</f>
        <v>F0581</v>
      </c>
      <c r="D115" t="str">
        <f>IFERROR(IF(0=LEN(ReferenceData!$D$115),"",ReferenceData!$D$115),"")</f>
        <v>ADJUSTED_FFOPS</v>
      </c>
      <c r="E115" t="str">
        <f>IFERROR(IF(0=LEN(ReferenceData!$E$115),"",ReferenceData!$E$115),"")</f>
        <v>动态</v>
      </c>
      <c r="F115" t="str">
        <f ca="1">IFERROR(IF(0=LEN(ReferenceData!$F$115),"",ReferenceData!$F$115),"")</f>
        <v/>
      </c>
      <c r="G115" t="str">
        <f ca="1">IFERROR(IF(0=LEN(ReferenceData!$G$115),"",ReferenceData!$G$115),"")</f>
        <v/>
      </c>
      <c r="H115" t="str">
        <f ca="1">IFERROR(IF(0=LEN(ReferenceData!$H$115),"",ReferenceData!$H$115),"")</f>
        <v/>
      </c>
      <c r="I115">
        <f ca="1">IFERROR(IF(0=LEN(ReferenceData!$I$115),"",ReferenceData!$I$115),"")</f>
        <v>1.482246036</v>
      </c>
      <c r="J115" t="str">
        <f ca="1">IFERROR(IF(0=LEN(ReferenceData!$J$115),"",ReferenceData!$J$115),"")</f>
        <v/>
      </c>
      <c r="K115" t="str">
        <f ca="1">IFERROR(IF(0=LEN(ReferenceData!$K$115),"",ReferenceData!$K$115),"")</f>
        <v/>
      </c>
      <c r="L115">
        <f ca="1">IFERROR(IF(0=LEN(ReferenceData!$L$115),"",ReferenceData!$L$115),"")</f>
        <v>1.495218782</v>
      </c>
      <c r="M115" t="str">
        <f ca="1">IFERROR(IF(0=LEN(ReferenceData!$M$115),"",ReferenceData!$M$115),"")</f>
        <v/>
      </c>
      <c r="N115" t="str">
        <f ca="1">IFERROR(IF(0=LEN(ReferenceData!$N$115),"",ReferenceData!$N$115),"")</f>
        <v/>
      </c>
      <c r="O115">
        <f ca="1">IFERROR(IF(0=LEN(ReferenceData!$O$115),"",ReferenceData!$O$115),"")</f>
        <v>1.48043517</v>
      </c>
      <c r="P115" t="str">
        <f ca="1">IFERROR(IF(0=LEN(ReferenceData!$P$115),"",ReferenceData!$P$115),"")</f>
        <v/>
      </c>
      <c r="Q115" t="str">
        <f ca="1">IFERROR(IF(0=LEN(ReferenceData!$Q$115),"",ReferenceData!$Q$115),"")</f>
        <v/>
      </c>
      <c r="R115">
        <f ca="1">IFERROR(IF(0=LEN(ReferenceData!$R$115),"",ReferenceData!$R$115),"")</f>
        <v>1.457420078</v>
      </c>
      <c r="S115" t="str">
        <f ca="1">IFERROR(IF(0=LEN(ReferenceData!$S$115),"",ReferenceData!$S$115),"")</f>
        <v/>
      </c>
      <c r="T115" t="str">
        <f ca="1">IFERROR(IF(0=LEN(ReferenceData!$T$115),"",ReferenceData!$T$115),"")</f>
        <v/>
      </c>
      <c r="U115">
        <f ca="1">IFERROR(IF(0=LEN(ReferenceData!$U$115),"",ReferenceData!$U$115),"")</f>
        <v>1.125801048</v>
      </c>
      <c r="V115" t="str">
        <f ca="1">IFERROR(IF(0=LEN(ReferenceData!$V$115),"",ReferenceData!$V$115),"")</f>
        <v/>
      </c>
      <c r="W115" t="str">
        <f ca="1">IFERROR(IF(0=LEN(ReferenceData!$W$115),"",ReferenceData!$W$115),"")</f>
        <v/>
      </c>
      <c r="X115">
        <f ca="1">IFERROR(IF(0=LEN(ReferenceData!$X$115),"",ReferenceData!$X$115),"")</f>
        <v>1.487596462</v>
      </c>
      <c r="Y115" t="str">
        <f ca="1">IFERROR(IF(0=LEN(ReferenceData!$Y$115),"",ReferenceData!$Y$115),"")</f>
        <v/>
      </c>
      <c r="Z115" t="str">
        <f ca="1">IFERROR(IF(0=LEN(ReferenceData!$Z$115),"",ReferenceData!$Z$115),"")</f>
        <v/>
      </c>
      <c r="AA115">
        <f ca="1">IFERROR(IF(0=LEN(ReferenceData!$AA$115),"",ReferenceData!$AA$115),"")</f>
        <v>1.5368006620000001</v>
      </c>
      <c r="AB115" t="str">
        <f ca="1">IFERROR(IF(0=LEN(ReferenceData!$AB$115),"",ReferenceData!$AB$115),"")</f>
        <v/>
      </c>
      <c r="AC115" t="str">
        <f ca="1">IFERROR(IF(0=LEN(ReferenceData!$AC$115),"",ReferenceData!$AC$115),"")</f>
        <v/>
      </c>
      <c r="AD115">
        <f ca="1">IFERROR(IF(0=LEN(ReferenceData!$AD$115),"",ReferenceData!$AD$115),"")</f>
        <v>1.4379882939999999</v>
      </c>
      <c r="AE115" t="str">
        <f ca="1">IFERROR(IF(0=LEN(ReferenceData!$AE$115),"",ReferenceData!$AE$115),"")</f>
        <v/>
      </c>
      <c r="AF115" t="str">
        <f ca="1">IFERROR(IF(0=LEN(ReferenceData!$AF$115),"",ReferenceData!$AF$115),"")</f>
        <v/>
      </c>
      <c r="AG115">
        <f ca="1">IFERROR(IF(0=LEN(ReferenceData!$AG$115),"",ReferenceData!$AG$115),"")</f>
        <v>1.4515670949999999</v>
      </c>
      <c r="AH115" t="str">
        <f ca="1">IFERROR(IF(0=LEN(ReferenceData!$AH$115),"",ReferenceData!$AH$115),"")</f>
        <v/>
      </c>
      <c r="AI115" t="str">
        <f ca="1">IFERROR(IF(0=LEN(ReferenceData!$AI$115),"",ReferenceData!$AI$115),"")</f>
        <v/>
      </c>
      <c r="AJ115">
        <f ca="1">IFERROR(IF(0=LEN(ReferenceData!$AJ$115),"",ReferenceData!$AJ$115),"")</f>
        <v>1.3810529229999999</v>
      </c>
      <c r="AK115" t="str">
        <f ca="1">IFERROR(IF(0=LEN(ReferenceData!$AK$115),"",ReferenceData!$AK$115),"")</f>
        <v/>
      </c>
      <c r="AL115" t="str">
        <f ca="1">IFERROR(IF(0=LEN(ReferenceData!$AL$115),"",ReferenceData!$AL$115),"")</f>
        <v/>
      </c>
      <c r="AM115">
        <f ca="1">IFERROR(IF(0=LEN(ReferenceData!$AM$115),"",ReferenceData!$AM$115),"")</f>
        <v>1.3569131430000001</v>
      </c>
      <c r="AN115" t="str">
        <f ca="1">IFERROR(IF(0=LEN(ReferenceData!$AN$115),"",ReferenceData!$AN$115),"")</f>
        <v/>
      </c>
      <c r="AO115" t="str">
        <f ca="1">IFERROR(IF(0=LEN(ReferenceData!$AO$115),"",ReferenceData!$AO$115),"")</f>
        <v/>
      </c>
      <c r="AP115">
        <f ca="1">IFERROR(IF(0=LEN(ReferenceData!$AP$115),"",ReferenceData!$AP$115),"")</f>
        <v>1.323384399</v>
      </c>
      <c r="AQ115" t="str">
        <f ca="1">IFERROR(IF(0=LEN(ReferenceData!$AQ$115),"",ReferenceData!$AQ$115),"")</f>
        <v/>
      </c>
      <c r="AR115" t="str">
        <f ca="1">IFERROR(IF(0=LEN(ReferenceData!$AR$115),"",ReferenceData!$AR$115),"")</f>
        <v/>
      </c>
      <c r="AS115">
        <f ca="1">IFERROR(IF(0=LEN(ReferenceData!$AS$115),"",ReferenceData!$AS$115),"")</f>
        <v>1.3173003109999999</v>
      </c>
      <c r="AT115" t="str">
        <f ca="1">IFERROR(IF(0=LEN(ReferenceData!$AT$115),"",ReferenceData!$AT$115),"")</f>
        <v/>
      </c>
      <c r="AU115" t="str">
        <f ca="1">IFERROR(IF(0=LEN(ReferenceData!$AU$115),"",ReferenceData!$AU$115),"")</f>
        <v/>
      </c>
      <c r="AV115">
        <f ca="1">IFERROR(IF(0=LEN(ReferenceData!$AV$115),"",ReferenceData!$AV$115),"")</f>
        <v>1.2788542650000001</v>
      </c>
      <c r="AW115" t="str">
        <f ca="1">IFERROR(IF(0=LEN(ReferenceData!$AW$115),"",ReferenceData!$AW$115),"")</f>
        <v/>
      </c>
      <c r="AX115" t="str">
        <f ca="1">IFERROR(IF(0=LEN(ReferenceData!$AX$115),"",ReferenceData!$AX$115),"")</f>
        <v/>
      </c>
      <c r="AY115">
        <f ca="1">IFERROR(IF(0=LEN(ReferenceData!$AY$115),"",ReferenceData!$AY$115),"")</f>
        <v>1.183022268</v>
      </c>
      <c r="AZ115" t="str">
        <f ca="1">IFERROR(IF(0=LEN(ReferenceData!$AZ$115),"",ReferenceData!$AZ$115),"")</f>
        <v/>
      </c>
      <c r="BA115" t="str">
        <f ca="1">IFERROR(IF(0=LEN(ReferenceData!$BA$115),"",ReferenceData!$BA$115),"")</f>
        <v/>
      </c>
      <c r="BB115">
        <f ca="1">IFERROR(IF(0=LEN(ReferenceData!$BB$115),"",ReferenceData!$BB$115),"")</f>
        <v>1.2064543809999999</v>
      </c>
      <c r="BC115" t="str">
        <f ca="1">IFERROR(IF(0=LEN(ReferenceData!$BC$115),"",ReferenceData!$BC$115),"")</f>
        <v/>
      </c>
      <c r="BD115" t="str">
        <f ca="1">IFERROR(IF(0=LEN(ReferenceData!$BD$115),"",ReferenceData!$BD$115),"")</f>
        <v/>
      </c>
      <c r="BE115">
        <f ca="1">IFERROR(IF(0=LEN(ReferenceData!$BE$115),"",ReferenceData!$BE$115),"")</f>
        <v>1.2008344399999999</v>
      </c>
      <c r="BF115" t="str">
        <f ca="1">IFERROR(IF(0=LEN(ReferenceData!$BF$115),"",ReferenceData!$BF$115),"")</f>
        <v/>
      </c>
      <c r="BG115" t="str">
        <f ca="1">IFERROR(IF(0=LEN(ReferenceData!$BG$115),"",ReferenceData!$BG$115),"")</f>
        <v/>
      </c>
      <c r="BH115">
        <f ca="1">IFERROR(IF(0=LEN(ReferenceData!$BH$115),"",ReferenceData!$BH$115),"")</f>
        <v>1.247024412</v>
      </c>
      <c r="BI115" t="str">
        <f ca="1">IFERROR(IF(0=LEN(ReferenceData!$BI$115),"",ReferenceData!$BI$115),"")</f>
        <v/>
      </c>
      <c r="BJ115" t="str">
        <f ca="1">IFERROR(IF(0=LEN(ReferenceData!$BJ$115),"",ReferenceData!$BJ$115),"")</f>
        <v/>
      </c>
      <c r="BK115">
        <f ca="1">IFERROR(IF(0=LEN(ReferenceData!$BK$115),"",ReferenceData!$BK$115),"")</f>
        <v>1.277815285</v>
      </c>
      <c r="BL115" t="str">
        <f ca="1">IFERROR(IF(0=LEN(ReferenceData!$BL$115),"",ReferenceData!$BL$115),"")</f>
        <v/>
      </c>
      <c r="BM115" t="str">
        <f ca="1">IFERROR(IF(0=LEN(ReferenceData!$BM$115),"",ReferenceData!$BM$115),"")</f>
        <v/>
      </c>
      <c r="BN115">
        <f ca="1">IFERROR(IF(0=LEN(ReferenceData!$BN$115),"",ReferenceData!$BN$115),"")</f>
        <v>1.249677229</v>
      </c>
      <c r="BO115" t="str">
        <f ca="1">IFERROR(IF(0=LEN(ReferenceData!$BO$115),"",ReferenceData!$BO$115),"")</f>
        <v/>
      </c>
      <c r="BP115" t="str">
        <f ca="1">IFERROR(IF(0=LEN(ReferenceData!$BP$115),"",ReferenceData!$BP$115),"")</f>
        <v/>
      </c>
      <c r="BQ115">
        <f ca="1">IFERROR(IF(0=LEN(ReferenceData!$BQ$115),"",ReferenceData!$BQ$115),"")</f>
        <v>1.21273842</v>
      </c>
      <c r="BR115" t="str">
        <f ca="1">IFERROR(IF(0=LEN(ReferenceData!$BR$115),"",ReferenceData!$BR$115),"")</f>
        <v/>
      </c>
      <c r="BS115" t="str">
        <f ca="1">IFERROR(IF(0=LEN(ReferenceData!$BS$115),"",ReferenceData!$BS$115),"")</f>
        <v/>
      </c>
      <c r="BT115">
        <f ca="1">IFERROR(IF(0=LEN(ReferenceData!$BT$115),"",ReferenceData!$BT$115),"")</f>
        <v>1.140371579</v>
      </c>
      <c r="BU115" t="str">
        <f ca="1">IFERROR(IF(0=LEN(ReferenceData!$BU$115),"",ReferenceData!$BU$115),"")</f>
        <v/>
      </c>
      <c r="BV115" t="str">
        <f ca="1">IFERROR(IF(0=LEN(ReferenceData!$BV$115),"",ReferenceData!$BV$115),"")</f>
        <v/>
      </c>
      <c r="BW115">
        <f ca="1">IFERROR(IF(0=LEN(ReferenceData!$BW$115),"",ReferenceData!$BW$115),"")</f>
        <v>1.1258190130000001</v>
      </c>
      <c r="BX115" t="str">
        <f ca="1">IFERROR(IF(0=LEN(ReferenceData!$BX$115),"",ReferenceData!$BX$115),"")</f>
        <v/>
      </c>
      <c r="BY115" t="str">
        <f ca="1">IFERROR(IF(0=LEN(ReferenceData!$BY$115),"",ReferenceData!$BY$115),"")</f>
        <v/>
      </c>
      <c r="BZ115">
        <f ca="1">IFERROR(IF(0=LEN(ReferenceData!$BZ$115),"",ReferenceData!$BZ$115),"")</f>
        <v>1.1180222900000001</v>
      </c>
      <c r="CA115" t="str">
        <f ca="1">IFERROR(IF(0=LEN(ReferenceData!$CA$115),"",ReferenceData!$CA$115),"")</f>
        <v/>
      </c>
      <c r="CB115" t="str">
        <f ca="1">IFERROR(IF(0=LEN(ReferenceData!$CB$115),"",ReferenceData!$CB$115),"")</f>
        <v/>
      </c>
      <c r="CC115">
        <f ca="1">IFERROR(IF(0=LEN(ReferenceData!$CC$115),"",ReferenceData!$CC$115),"")</f>
        <v>1.0736532620000001</v>
      </c>
      <c r="CD115" t="str">
        <f ca="1">IFERROR(IF(0=LEN(ReferenceData!$CD$115),"",ReferenceData!$CD$115),"")</f>
        <v/>
      </c>
      <c r="CE115" t="str">
        <f ca="1">IFERROR(IF(0=LEN(ReferenceData!$CE$115),"",ReferenceData!$CE$115),"")</f>
        <v/>
      </c>
      <c r="CF115">
        <f ca="1">IFERROR(IF(0=LEN(ReferenceData!$CF$115),"",ReferenceData!$CF$115),"")</f>
        <v>0.99867684499999998</v>
      </c>
      <c r="CG115" t="str">
        <f ca="1">IFERROR(IF(0=LEN(ReferenceData!$CG$115),"",ReferenceData!$CG$115),"")</f>
        <v/>
      </c>
      <c r="CH115" t="str">
        <f ca="1">IFERROR(IF(0=LEN(ReferenceData!$CH$115),"",ReferenceData!$CH$115),"")</f>
        <v/>
      </c>
      <c r="CI115">
        <f ca="1">IFERROR(IF(0=LEN(ReferenceData!$CI$115),"",ReferenceData!$CI$115),"")</f>
        <v>0.92939906999999999</v>
      </c>
      <c r="CJ115" t="str">
        <f ca="1">IFERROR(IF(0=LEN(ReferenceData!$CJ$115),"",ReferenceData!$CJ$115),"")</f>
        <v/>
      </c>
      <c r="CK115" t="str">
        <f ca="1">IFERROR(IF(0=LEN(ReferenceData!$CK$115),"",ReferenceData!$CK$115),"")</f>
        <v/>
      </c>
    </row>
    <row r="116" spans="1:89">
      <c r="A116" t="str">
        <f>IFERROR(IF(0=LEN(ReferenceData!$A$116),"",ReferenceData!$A$116),"")</f>
        <v xml:space="preserve">    Monogram Residential Trust Inc</v>
      </c>
      <c r="B116" t="str">
        <f>IFERROR(IF(0=LEN(ReferenceData!$B$116),"",ReferenceData!$B$116),"")</f>
        <v>MORE US Equity</v>
      </c>
      <c r="C116" t="str">
        <f>IFERROR(IF(0=LEN(ReferenceData!$C$116),"",ReferenceData!$C$116),"")</f>
        <v>F0581</v>
      </c>
      <c r="D116" t="str">
        <f>IFERROR(IF(0=LEN(ReferenceData!$D$116),"",ReferenceData!$D$116),"")</f>
        <v>ADJUSTED_FFOPS</v>
      </c>
      <c r="E116" t="str">
        <f>IFERROR(IF(0=LEN(ReferenceData!$E$116),"",ReferenceData!$E$116),"")</f>
        <v>动态</v>
      </c>
      <c r="F116" t="str">
        <f ca="1">IFERROR(IF(0=LEN(ReferenceData!$F$116),"",ReferenceData!$F$116),"")</f>
        <v/>
      </c>
      <c r="G116" t="str">
        <f ca="1">IFERROR(IF(0=LEN(ReferenceData!$G$116),"",ReferenceData!$G$116),"")</f>
        <v/>
      </c>
      <c r="H116" t="str">
        <f ca="1">IFERROR(IF(0=LEN(ReferenceData!$H$116),"",ReferenceData!$H$116),"")</f>
        <v/>
      </c>
      <c r="I116" t="str">
        <f ca="1">IFERROR(IF(0=LEN(ReferenceData!$I$116),"",ReferenceData!$I$116),"")</f>
        <v/>
      </c>
      <c r="J116" t="str">
        <f ca="1">IFERROR(IF(0=LEN(ReferenceData!$J$116),"",ReferenceData!$J$116),"")</f>
        <v/>
      </c>
      <c r="K116" t="str">
        <f ca="1">IFERROR(IF(0=LEN(ReferenceData!$K$116),"",ReferenceData!$K$116),"")</f>
        <v/>
      </c>
      <c r="L116" t="str">
        <f ca="1">IFERROR(IF(0=LEN(ReferenceData!$L$116),"",ReferenceData!$L$116),"")</f>
        <v/>
      </c>
      <c r="M116" t="str">
        <f ca="1">IFERROR(IF(0=LEN(ReferenceData!$M$116),"",ReferenceData!$M$116),"")</f>
        <v/>
      </c>
      <c r="N116" t="str">
        <f ca="1">IFERROR(IF(0=LEN(ReferenceData!$N$116),"",ReferenceData!$N$116),"")</f>
        <v/>
      </c>
      <c r="O116">
        <f ca="1">IFERROR(IF(0=LEN(ReferenceData!$O$116),"",ReferenceData!$O$116),"")</f>
        <v>7.8097502999999999E-2</v>
      </c>
      <c r="P116" t="str">
        <f ca="1">IFERROR(IF(0=LEN(ReferenceData!$P$116),"",ReferenceData!$P$116),"")</f>
        <v/>
      </c>
      <c r="Q116" t="str">
        <f ca="1">IFERROR(IF(0=LEN(ReferenceData!$Q$116),"",ReferenceData!$Q$116),"")</f>
        <v/>
      </c>
      <c r="R116">
        <f ca="1">IFERROR(IF(0=LEN(ReferenceData!$R$116),"",ReferenceData!$R$116),"")</f>
        <v>6.4320619999999995E-2</v>
      </c>
      <c r="S116" t="str">
        <f ca="1">IFERROR(IF(0=LEN(ReferenceData!$S$116),"",ReferenceData!$S$116),"")</f>
        <v/>
      </c>
      <c r="T116" t="str">
        <f ca="1">IFERROR(IF(0=LEN(ReferenceData!$T$116),"",ReferenceData!$T$116),"")</f>
        <v/>
      </c>
      <c r="U116">
        <f ca="1">IFERROR(IF(0=LEN(ReferenceData!$U$116),"",ReferenceData!$U$116),"")</f>
        <v>0.11473816100000001</v>
      </c>
      <c r="V116" t="str">
        <f ca="1">IFERROR(IF(0=LEN(ReferenceData!$V$116),"",ReferenceData!$V$116),"")</f>
        <v/>
      </c>
      <c r="W116" t="str">
        <f ca="1">IFERROR(IF(0=LEN(ReferenceData!$W$116),"",ReferenceData!$W$116),"")</f>
        <v/>
      </c>
      <c r="X116">
        <f ca="1">IFERROR(IF(0=LEN(ReferenceData!$X$116),"",ReferenceData!$X$116),"")</f>
        <v>9.6570812000000006E-2</v>
      </c>
      <c r="Y116" t="str">
        <f ca="1">IFERROR(IF(0=LEN(ReferenceData!$Y$116),"",ReferenceData!$Y$116),"")</f>
        <v/>
      </c>
      <c r="Z116" t="str">
        <f ca="1">IFERROR(IF(0=LEN(ReferenceData!$Z$116),"",ReferenceData!$Z$116),"")</f>
        <v/>
      </c>
      <c r="AA116">
        <f ca="1">IFERROR(IF(0=LEN(ReferenceData!$AA$116),"",ReferenceData!$AA$116),"")</f>
        <v>7.2350835000000002E-2</v>
      </c>
      <c r="AB116" t="str">
        <f ca="1">IFERROR(IF(0=LEN(ReferenceData!$AB$116),"",ReferenceData!$AB$116),"")</f>
        <v/>
      </c>
      <c r="AC116" t="str">
        <f ca="1">IFERROR(IF(0=LEN(ReferenceData!$AC$116),"",ReferenceData!$AC$116),"")</f>
        <v/>
      </c>
      <c r="AD116">
        <f ca="1">IFERROR(IF(0=LEN(ReferenceData!$AD$116),"",ReferenceData!$AD$116),"")</f>
        <v>7.5283921000000004E-2</v>
      </c>
      <c r="AE116" t="str">
        <f ca="1">IFERROR(IF(0=LEN(ReferenceData!$AE$116),"",ReferenceData!$AE$116),"")</f>
        <v/>
      </c>
      <c r="AF116" t="str">
        <f ca="1">IFERROR(IF(0=LEN(ReferenceData!$AF$116),"",ReferenceData!$AF$116),"")</f>
        <v/>
      </c>
      <c r="AG116">
        <f ca="1">IFERROR(IF(0=LEN(ReferenceData!$AG$116),"",ReferenceData!$AG$116),"")</f>
        <v>8.3194317000000004E-2</v>
      </c>
      <c r="AH116" t="str">
        <f ca="1">IFERROR(IF(0=LEN(ReferenceData!$AH$116),"",ReferenceData!$AH$116),"")</f>
        <v/>
      </c>
      <c r="AI116" t="str">
        <f ca="1">IFERROR(IF(0=LEN(ReferenceData!$AI$116),"",ReferenceData!$AI$116),"")</f>
        <v/>
      </c>
      <c r="AJ116">
        <f ca="1">IFERROR(IF(0=LEN(ReferenceData!$AJ$116),"",ReferenceData!$AJ$116),"")</f>
        <v>8.8607292000000004E-2</v>
      </c>
      <c r="AK116" t="str">
        <f ca="1">IFERROR(IF(0=LEN(ReferenceData!$AK$116),"",ReferenceData!$AK$116),"")</f>
        <v/>
      </c>
      <c r="AL116" t="str">
        <f ca="1">IFERROR(IF(0=LEN(ReferenceData!$AL$116),"",ReferenceData!$AL$116),"")</f>
        <v/>
      </c>
      <c r="AM116">
        <f ca="1">IFERROR(IF(0=LEN(ReferenceData!$AM$116),"",ReferenceData!$AM$116),"")</f>
        <v>0.12830588200000001</v>
      </c>
      <c r="AN116" t="str">
        <f ca="1">IFERROR(IF(0=LEN(ReferenceData!$AN$116),"",ReferenceData!$AN$116),"")</f>
        <v/>
      </c>
      <c r="AO116" t="str">
        <f ca="1">IFERROR(IF(0=LEN(ReferenceData!$AO$116),"",ReferenceData!$AO$116),"")</f>
        <v/>
      </c>
      <c r="AP116">
        <f ca="1">IFERROR(IF(0=LEN(ReferenceData!$AP$116),"",ReferenceData!$AP$116),"")</f>
        <v>9.0424895000000005E-2</v>
      </c>
      <c r="AQ116" t="str">
        <f ca="1">IFERROR(IF(0=LEN(ReferenceData!$AQ$116),"",ReferenceData!$AQ$116),"")</f>
        <v/>
      </c>
      <c r="AR116" t="str">
        <f ca="1">IFERROR(IF(0=LEN(ReferenceData!$AR$116),"",ReferenceData!$AR$116),"")</f>
        <v/>
      </c>
      <c r="AS116">
        <f ca="1">IFERROR(IF(0=LEN(ReferenceData!$AS$116),"",ReferenceData!$AS$116),"")</f>
        <v>9.1715661000000004E-2</v>
      </c>
      <c r="AT116" t="str">
        <f ca="1">IFERROR(IF(0=LEN(ReferenceData!$AT$116),"",ReferenceData!$AT$116),"")</f>
        <v/>
      </c>
      <c r="AU116" t="str">
        <f ca="1">IFERROR(IF(0=LEN(ReferenceData!$AU$116),"",ReferenceData!$AU$116),"")</f>
        <v/>
      </c>
      <c r="AV116">
        <f ca="1">IFERROR(IF(0=LEN(ReferenceData!$AV$116),"",ReferenceData!$AV$116),"")</f>
        <v>9.2721893E-2</v>
      </c>
      <c r="AW116" t="str">
        <f ca="1">IFERROR(IF(0=LEN(ReferenceData!$AW$116),"",ReferenceData!$AW$116),"")</f>
        <v/>
      </c>
      <c r="AX116" t="str">
        <f ca="1">IFERROR(IF(0=LEN(ReferenceData!$AX$116),"",ReferenceData!$AX$116),"")</f>
        <v/>
      </c>
      <c r="AY116">
        <f ca="1">IFERROR(IF(0=LEN(ReferenceData!$AY$116),"",ReferenceData!$AY$116),"")</f>
        <v>7.7228320000000003E-2</v>
      </c>
      <c r="AZ116" t="str">
        <f ca="1">IFERROR(IF(0=LEN(ReferenceData!$AZ$116),"",ReferenceData!$AZ$116),"")</f>
        <v/>
      </c>
      <c r="BA116" t="str">
        <f ca="1">IFERROR(IF(0=LEN(ReferenceData!$BA$116),"",ReferenceData!$BA$116),"")</f>
        <v/>
      </c>
      <c r="BB116">
        <f ca="1">IFERROR(IF(0=LEN(ReferenceData!$BB$116),"",ReferenceData!$BB$116),"")</f>
        <v>8.0106572000000001E-2</v>
      </c>
      <c r="BC116" t="str">
        <f ca="1">IFERROR(IF(0=LEN(ReferenceData!$BC$116),"",ReferenceData!$BC$116),"")</f>
        <v/>
      </c>
      <c r="BD116" t="str">
        <f ca="1">IFERROR(IF(0=LEN(ReferenceData!$BD$116),"",ReferenceData!$BD$116),"")</f>
        <v/>
      </c>
      <c r="BE116">
        <f ca="1">IFERROR(IF(0=LEN(ReferenceData!$BE$116),"",ReferenceData!$BE$116),"")</f>
        <v>0.13418536</v>
      </c>
      <c r="BF116" t="str">
        <f ca="1">IFERROR(IF(0=LEN(ReferenceData!$BF$116),"",ReferenceData!$BF$116),"")</f>
        <v/>
      </c>
      <c r="BG116" t="str">
        <f ca="1">IFERROR(IF(0=LEN(ReferenceData!$BG$116),"",ReferenceData!$BG$116),"")</f>
        <v/>
      </c>
      <c r="BH116">
        <f ca="1">IFERROR(IF(0=LEN(ReferenceData!$BH$116),"",ReferenceData!$BH$116),"")</f>
        <v>2.5458851000000001E-2</v>
      </c>
      <c r="BI116" t="str">
        <f ca="1">IFERROR(IF(0=LEN(ReferenceData!$BI$116),"",ReferenceData!$BI$116),"")</f>
        <v/>
      </c>
      <c r="BJ116" t="str">
        <f ca="1">IFERROR(IF(0=LEN(ReferenceData!$BJ$116),"",ReferenceData!$BJ$116),"")</f>
        <v/>
      </c>
      <c r="BK116">
        <f ca="1">IFERROR(IF(0=LEN(ReferenceData!$BK$116),"",ReferenceData!$BK$116),"")</f>
        <v>8.2889283999999994E-2</v>
      </c>
      <c r="BL116" t="str">
        <f ca="1">IFERROR(IF(0=LEN(ReferenceData!$BL$116),"",ReferenceData!$BL$116),"")</f>
        <v/>
      </c>
      <c r="BM116" t="str">
        <f ca="1">IFERROR(IF(0=LEN(ReferenceData!$BM$116),"",ReferenceData!$BM$116),"")</f>
        <v/>
      </c>
      <c r="BN116">
        <f ca="1">IFERROR(IF(0=LEN(ReferenceData!$BN$116),"",ReferenceData!$BN$116),"")</f>
        <v>8.1499108000000001E-2</v>
      </c>
      <c r="BO116" t="str">
        <f ca="1">IFERROR(IF(0=LEN(ReferenceData!$BO$116),"",ReferenceData!$BO$116),"")</f>
        <v/>
      </c>
      <c r="BP116" t="str">
        <f ca="1">IFERROR(IF(0=LEN(ReferenceData!$BP$116),"",ReferenceData!$BP$116),"")</f>
        <v/>
      </c>
      <c r="BQ116">
        <f ca="1">IFERROR(IF(0=LEN(ReferenceData!$BQ$116),"",ReferenceData!$BQ$116),"")</f>
        <v>7.3083779000000001E-2</v>
      </c>
      <c r="BR116" t="str">
        <f ca="1">IFERROR(IF(0=LEN(ReferenceData!$BR$116),"",ReferenceData!$BR$116),"")</f>
        <v/>
      </c>
      <c r="BS116" t="str">
        <f ca="1">IFERROR(IF(0=LEN(ReferenceData!$BS$116),"",ReferenceData!$BS$116),"")</f>
        <v/>
      </c>
      <c r="BT116">
        <f ca="1">IFERROR(IF(0=LEN(ReferenceData!$BT$116),"",ReferenceData!$BT$116),"")</f>
        <v>5.6490384999999997E-2</v>
      </c>
      <c r="BU116" t="str">
        <f ca="1">IFERROR(IF(0=LEN(ReferenceData!$BU$116),"",ReferenceData!$BU$116),"")</f>
        <v/>
      </c>
      <c r="BV116" t="str">
        <f ca="1">IFERROR(IF(0=LEN(ReferenceData!$BV$116),"",ReferenceData!$BV$116),"")</f>
        <v/>
      </c>
      <c r="BW116">
        <f ca="1">IFERROR(IF(0=LEN(ReferenceData!$BW$116),"",ReferenceData!$BW$116),"")</f>
        <v>5.3743961E-2</v>
      </c>
      <c r="BX116" t="str">
        <f ca="1">IFERROR(IF(0=LEN(ReferenceData!$BX$116),"",ReferenceData!$BX$116),"")</f>
        <v/>
      </c>
      <c r="BY116" t="str">
        <f ca="1">IFERROR(IF(0=LEN(ReferenceData!$BY$116),"",ReferenceData!$BY$116),"")</f>
        <v/>
      </c>
      <c r="BZ116">
        <f ca="1">IFERROR(IF(0=LEN(ReferenceData!$BZ$116),"",ReferenceData!$BZ$116),"")</f>
        <v>5.8358662999999998E-2</v>
      </c>
      <c r="CA116" t="str">
        <f ca="1">IFERROR(IF(0=LEN(ReferenceData!$CA$116),"",ReferenceData!$CA$116),"")</f>
        <v/>
      </c>
      <c r="CB116" t="str">
        <f ca="1">IFERROR(IF(0=LEN(ReferenceData!$CB$116),"",ReferenceData!$CB$116),"")</f>
        <v/>
      </c>
      <c r="CC116" t="str">
        <f ca="1">IFERROR(IF(0=LEN(ReferenceData!$CC$116),"",ReferenceData!$CC$116),"")</f>
        <v/>
      </c>
      <c r="CD116" t="str">
        <f ca="1">IFERROR(IF(0=LEN(ReferenceData!$CD$116),"",ReferenceData!$CD$116),"")</f>
        <v/>
      </c>
      <c r="CE116" t="str">
        <f ca="1">IFERROR(IF(0=LEN(ReferenceData!$CE$116),"",ReferenceData!$CE$116),"")</f>
        <v/>
      </c>
      <c r="CF116" t="str">
        <f ca="1">IFERROR(IF(0=LEN(ReferenceData!$CF$116),"",ReferenceData!$CF$116),"")</f>
        <v/>
      </c>
      <c r="CG116" t="str">
        <f ca="1">IFERROR(IF(0=LEN(ReferenceData!$CG$116),"",ReferenceData!$CG$116),"")</f>
        <v/>
      </c>
      <c r="CH116" t="str">
        <f ca="1">IFERROR(IF(0=LEN(ReferenceData!$CH$116),"",ReferenceData!$CH$116),"")</f>
        <v/>
      </c>
      <c r="CI116" t="str">
        <f ca="1">IFERROR(IF(0=LEN(ReferenceData!$CI$116),"",ReferenceData!$CI$116),"")</f>
        <v/>
      </c>
      <c r="CJ116" t="str">
        <f ca="1">IFERROR(IF(0=LEN(ReferenceData!$CJ$116),"",ReferenceData!$CJ$116),"")</f>
        <v/>
      </c>
      <c r="CK116" t="str">
        <f ca="1">IFERROR(IF(0=LEN(ReferenceData!$CK$116),"",ReferenceData!$CK$116),"")</f>
        <v/>
      </c>
    </row>
    <row r="117" spans="1:89">
      <c r="A117" t="str">
        <f>IFERROR(IF(0=LEN(ReferenceData!$A$117),"",ReferenceData!$A$117),"")</f>
        <v xml:space="preserve">    UDR Inc</v>
      </c>
      <c r="B117" t="str">
        <f>IFERROR(IF(0=LEN(ReferenceData!$B$117),"",ReferenceData!$B$117),"")</f>
        <v>UDR US Equity</v>
      </c>
      <c r="C117" t="str">
        <f>IFERROR(IF(0=LEN(ReferenceData!$C$117),"",ReferenceData!$C$117),"")</f>
        <v>F0581</v>
      </c>
      <c r="D117" t="str">
        <f>IFERROR(IF(0=LEN(ReferenceData!$D$117),"",ReferenceData!$D$117),"")</f>
        <v>ADJUSTED_FFOPS</v>
      </c>
      <c r="E117" t="str">
        <f>IFERROR(IF(0=LEN(ReferenceData!$E$117),"",ReferenceData!$E$117),"")</f>
        <v>动态</v>
      </c>
      <c r="F117" t="str">
        <f ca="1">IFERROR(IF(0=LEN(ReferenceData!$F$117),"",ReferenceData!$F$117),"")</f>
        <v/>
      </c>
      <c r="G117" t="str">
        <f ca="1">IFERROR(IF(0=LEN(ReferenceData!$G$117),"",ReferenceData!$G$117),"")</f>
        <v/>
      </c>
      <c r="H117" t="str">
        <f ca="1">IFERROR(IF(0=LEN(ReferenceData!$H$117),"",ReferenceData!$H$117),"")</f>
        <v/>
      </c>
      <c r="I117">
        <f ca="1">IFERROR(IF(0=LEN(ReferenceData!$I$117),"",ReferenceData!$I$117),"")</f>
        <v>0.47734216299999999</v>
      </c>
      <c r="J117" t="str">
        <f ca="1">IFERROR(IF(0=LEN(ReferenceData!$J$117),"",ReferenceData!$J$117),"")</f>
        <v/>
      </c>
      <c r="K117" t="str">
        <f ca="1">IFERROR(IF(0=LEN(ReferenceData!$K$117),"",ReferenceData!$K$117),"")</f>
        <v/>
      </c>
      <c r="L117">
        <f ca="1">IFERROR(IF(0=LEN(ReferenceData!$L$117),"",ReferenceData!$L$117),"")</f>
        <v>0.47020545600000002</v>
      </c>
      <c r="M117" t="str">
        <f ca="1">IFERROR(IF(0=LEN(ReferenceData!$M$117),"",ReferenceData!$M$117),"")</f>
        <v/>
      </c>
      <c r="N117" t="str">
        <f ca="1">IFERROR(IF(0=LEN(ReferenceData!$N$117),"",ReferenceData!$N$117),"")</f>
        <v/>
      </c>
      <c r="O117">
        <f ca="1">IFERROR(IF(0=LEN(ReferenceData!$O$117),"",ReferenceData!$O$117),"")</f>
        <v>0.47015174300000001</v>
      </c>
      <c r="P117" t="str">
        <f ca="1">IFERROR(IF(0=LEN(ReferenceData!$P$117),"",ReferenceData!$P$117),"")</f>
        <v/>
      </c>
      <c r="Q117" t="str">
        <f ca="1">IFERROR(IF(0=LEN(ReferenceData!$Q$117),"",ReferenceData!$Q$117),"")</f>
        <v/>
      </c>
      <c r="R117">
        <f ca="1">IFERROR(IF(0=LEN(ReferenceData!$R$117),"",ReferenceData!$R$117),"")</f>
        <v>0.45180970599999998</v>
      </c>
      <c r="S117" t="str">
        <f ca="1">IFERROR(IF(0=LEN(ReferenceData!$S$117),"",ReferenceData!$S$117),"")</f>
        <v/>
      </c>
      <c r="T117" t="str">
        <f ca="1">IFERROR(IF(0=LEN(ReferenceData!$T$117),"",ReferenceData!$T$117),"")</f>
        <v/>
      </c>
      <c r="U117">
        <f ca="1">IFERROR(IF(0=LEN(ReferenceData!$U$117),"",ReferenceData!$U$117),"")</f>
        <v>0.45863066699999999</v>
      </c>
      <c r="V117" t="str">
        <f ca="1">IFERROR(IF(0=LEN(ReferenceData!$V$117),"",ReferenceData!$V$117),"")</f>
        <v/>
      </c>
      <c r="W117" t="str">
        <f ca="1">IFERROR(IF(0=LEN(ReferenceData!$W$117),"",ReferenceData!$W$117),"")</f>
        <v/>
      </c>
      <c r="X117">
        <f ca="1">IFERROR(IF(0=LEN(ReferenceData!$X$117),"",ReferenceData!$X$117),"")</f>
        <v>0.452289253</v>
      </c>
      <c r="Y117" t="str">
        <f ca="1">IFERROR(IF(0=LEN(ReferenceData!$Y$117),"",ReferenceData!$Y$117),"")</f>
        <v/>
      </c>
      <c r="Z117" t="str">
        <f ca="1">IFERROR(IF(0=LEN(ReferenceData!$Z$117),"",ReferenceData!$Z$117),"")</f>
        <v/>
      </c>
      <c r="AA117">
        <f ca="1">IFERROR(IF(0=LEN(ReferenceData!$AA$117),"",ReferenceData!$AA$117),"")</f>
        <v>0.44584126200000002</v>
      </c>
      <c r="AB117" t="str">
        <f ca="1">IFERROR(IF(0=LEN(ReferenceData!$AB$117),"",ReferenceData!$AB$117),"")</f>
        <v/>
      </c>
      <c r="AC117" t="str">
        <f ca="1">IFERROR(IF(0=LEN(ReferenceData!$AC$117),"",ReferenceData!$AC$117),"")</f>
        <v/>
      </c>
      <c r="AD117">
        <f ca="1">IFERROR(IF(0=LEN(ReferenceData!$AD$117),"",ReferenceData!$AD$117),"")</f>
        <v>0.42964198799999997</v>
      </c>
      <c r="AE117" t="str">
        <f ca="1">IFERROR(IF(0=LEN(ReferenceData!$AE$117),"",ReferenceData!$AE$117),"")</f>
        <v/>
      </c>
      <c r="AF117" t="str">
        <f ca="1">IFERROR(IF(0=LEN(ReferenceData!$AF$117),"",ReferenceData!$AF$117),"")</f>
        <v/>
      </c>
      <c r="AG117">
        <f ca="1">IFERROR(IF(0=LEN(ReferenceData!$AG$117),"",ReferenceData!$AG$117),"")</f>
        <v>0.42447541900000002</v>
      </c>
      <c r="AH117" t="str">
        <f ca="1">IFERROR(IF(0=LEN(ReferenceData!$AH$117),"",ReferenceData!$AH$117),"")</f>
        <v/>
      </c>
      <c r="AI117" t="str">
        <f ca="1">IFERROR(IF(0=LEN(ReferenceData!$AI$117),"",ReferenceData!$AI$117),"")</f>
        <v/>
      </c>
      <c r="AJ117">
        <f ca="1">IFERROR(IF(0=LEN(ReferenceData!$AJ$117),"",ReferenceData!$AJ$117),"")</f>
        <v>0.42319161900000002</v>
      </c>
      <c r="AK117" t="str">
        <f ca="1">IFERROR(IF(0=LEN(ReferenceData!$AK$117),"",ReferenceData!$AK$117),"")</f>
        <v/>
      </c>
      <c r="AL117" t="str">
        <f ca="1">IFERROR(IF(0=LEN(ReferenceData!$AL$117),"",ReferenceData!$AL$117),"")</f>
        <v/>
      </c>
      <c r="AM117">
        <f ca="1">IFERROR(IF(0=LEN(ReferenceData!$AM$117),"",ReferenceData!$AM$117),"")</f>
        <v>0.419774431</v>
      </c>
      <c r="AN117" t="str">
        <f ca="1">IFERROR(IF(0=LEN(ReferenceData!$AN$117),"",ReferenceData!$AN$117),"")</f>
        <v/>
      </c>
      <c r="AO117" t="str">
        <f ca="1">IFERROR(IF(0=LEN(ReferenceData!$AO$117),"",ReferenceData!$AO$117),"")</f>
        <v/>
      </c>
      <c r="AP117">
        <f ca="1">IFERROR(IF(0=LEN(ReferenceData!$AP$117),"",ReferenceData!$AP$117),"")</f>
        <v>0.40015432200000001</v>
      </c>
      <c r="AQ117" t="str">
        <f ca="1">IFERROR(IF(0=LEN(ReferenceData!$AQ$117),"",ReferenceData!$AQ$117),"")</f>
        <v/>
      </c>
      <c r="AR117" t="str">
        <f ca="1">IFERROR(IF(0=LEN(ReferenceData!$AR$117),"",ReferenceData!$AR$117),"")</f>
        <v/>
      </c>
      <c r="AS117">
        <f ca="1">IFERROR(IF(0=LEN(ReferenceData!$AS$117),"",ReferenceData!$AS$117),"")</f>
        <v>0.39007959399999997</v>
      </c>
      <c r="AT117" t="str">
        <f ca="1">IFERROR(IF(0=LEN(ReferenceData!$AT$117),"",ReferenceData!$AT$117),"")</f>
        <v/>
      </c>
      <c r="AU117" t="str">
        <f ca="1">IFERROR(IF(0=LEN(ReferenceData!$AU$117),"",ReferenceData!$AU$117),"")</f>
        <v/>
      </c>
      <c r="AV117" t="str">
        <f ca="1">IFERROR(IF(0=LEN(ReferenceData!$AV$117),"",ReferenceData!$AV$117),"")</f>
        <v/>
      </c>
      <c r="AW117" t="str">
        <f ca="1">IFERROR(IF(0=LEN(ReferenceData!$AW$117),"",ReferenceData!$AW$117),"")</f>
        <v/>
      </c>
      <c r="AX117" t="str">
        <f ca="1">IFERROR(IF(0=LEN(ReferenceData!$AX$117),"",ReferenceData!$AX$117),"")</f>
        <v/>
      </c>
      <c r="AY117" t="str">
        <f ca="1">IFERROR(IF(0=LEN(ReferenceData!$AY$117),"",ReferenceData!$AY$117),"")</f>
        <v/>
      </c>
      <c r="AZ117" t="str">
        <f ca="1">IFERROR(IF(0=LEN(ReferenceData!$AZ$117),"",ReferenceData!$AZ$117),"")</f>
        <v/>
      </c>
      <c r="BA117" t="str">
        <f ca="1">IFERROR(IF(0=LEN(ReferenceData!$BA$117),"",ReferenceData!$BA$117),"")</f>
        <v/>
      </c>
      <c r="BB117">
        <f ca="1">IFERROR(IF(0=LEN(ReferenceData!$BB$117),"",ReferenceData!$BB$117),"")</f>
        <v>0.35779042100000003</v>
      </c>
      <c r="BC117" t="str">
        <f ca="1">IFERROR(IF(0=LEN(ReferenceData!$BC$117),"",ReferenceData!$BC$117),"")</f>
        <v/>
      </c>
      <c r="BD117" t="str">
        <f ca="1">IFERROR(IF(0=LEN(ReferenceData!$BD$117),"",ReferenceData!$BD$117),"")</f>
        <v/>
      </c>
      <c r="BE117">
        <f ca="1">IFERROR(IF(0=LEN(ReferenceData!$BE$117),"",ReferenceData!$BE$117),"")</f>
        <v>0.36509898499999999</v>
      </c>
      <c r="BF117" t="str">
        <f ca="1">IFERROR(IF(0=LEN(ReferenceData!$BF$117),"",ReferenceData!$BF$117),"")</f>
        <v/>
      </c>
      <c r="BG117" t="str">
        <f ca="1">IFERROR(IF(0=LEN(ReferenceData!$BG$117),"",ReferenceData!$BG$117),"")</f>
        <v/>
      </c>
      <c r="BH117">
        <f ca="1">IFERROR(IF(0=LEN(ReferenceData!$BH$117),"",ReferenceData!$BH$117),"")</f>
        <v>0.35600974899999999</v>
      </c>
      <c r="BI117" t="str">
        <f ca="1">IFERROR(IF(0=LEN(ReferenceData!$BI$117),"",ReferenceData!$BI$117),"")</f>
        <v/>
      </c>
      <c r="BJ117" t="str">
        <f ca="1">IFERROR(IF(0=LEN(ReferenceData!$BJ$117),"",ReferenceData!$BJ$117),"")</f>
        <v/>
      </c>
      <c r="BK117">
        <f ca="1">IFERROR(IF(0=LEN(ReferenceData!$BK$117),"",ReferenceData!$BK$117),"")</f>
        <v>0.35492064899999998</v>
      </c>
      <c r="BL117" t="str">
        <f ca="1">IFERROR(IF(0=LEN(ReferenceData!$BL$117),"",ReferenceData!$BL$117),"")</f>
        <v/>
      </c>
      <c r="BM117" t="str">
        <f ca="1">IFERROR(IF(0=LEN(ReferenceData!$BM$117),"",ReferenceData!$BM$117),"")</f>
        <v/>
      </c>
      <c r="BN117">
        <f ca="1">IFERROR(IF(0=LEN(ReferenceData!$BN$117),"",ReferenceData!$BN$117),"")</f>
        <v>0.33875262699999997</v>
      </c>
      <c r="BO117" t="str">
        <f ca="1">IFERROR(IF(0=LEN(ReferenceData!$BO$117),"",ReferenceData!$BO$117),"")</f>
        <v/>
      </c>
      <c r="BP117" t="str">
        <f ca="1">IFERROR(IF(0=LEN(ReferenceData!$BP$117),"",ReferenceData!$BP$117),"")</f>
        <v/>
      </c>
      <c r="BQ117">
        <f ca="1">IFERROR(IF(0=LEN(ReferenceData!$BQ$117),"",ReferenceData!$BQ$117),"")</f>
        <v>0.37320512900000002</v>
      </c>
      <c r="BR117" t="str">
        <f ca="1">IFERROR(IF(0=LEN(ReferenceData!$BR$117),"",ReferenceData!$BR$117),"")</f>
        <v/>
      </c>
      <c r="BS117" t="str">
        <f ca="1">IFERROR(IF(0=LEN(ReferenceData!$BS$117),"",ReferenceData!$BS$117),"")</f>
        <v/>
      </c>
      <c r="BT117">
        <f ca="1">IFERROR(IF(0=LEN(ReferenceData!$BT$117),"",ReferenceData!$BT$117),"")</f>
        <v>0.35217852500000002</v>
      </c>
      <c r="BU117" t="str">
        <f ca="1">IFERROR(IF(0=LEN(ReferenceData!$BU$117),"",ReferenceData!$BU$117),"")</f>
        <v/>
      </c>
      <c r="BV117" t="str">
        <f ca="1">IFERROR(IF(0=LEN(ReferenceData!$BV$117),"",ReferenceData!$BV$117),"")</f>
        <v/>
      </c>
      <c r="BW117">
        <f ca="1">IFERROR(IF(0=LEN(ReferenceData!$BW$117),"",ReferenceData!$BW$117),"")</f>
        <v>0.34487311500000001</v>
      </c>
      <c r="BX117" t="str">
        <f ca="1">IFERROR(IF(0=LEN(ReferenceData!$BX$117),"",ReferenceData!$BX$117),"")</f>
        <v/>
      </c>
      <c r="BY117" t="str">
        <f ca="1">IFERROR(IF(0=LEN(ReferenceData!$BY$117),"",ReferenceData!$BY$117),"")</f>
        <v/>
      </c>
      <c r="BZ117">
        <f ca="1">IFERROR(IF(0=LEN(ReferenceData!$BZ$117),"",ReferenceData!$BZ$117),"")</f>
        <v>0.35981038399999998</v>
      </c>
      <c r="CA117" t="str">
        <f ca="1">IFERROR(IF(0=LEN(ReferenceData!$CA$117),"",ReferenceData!$CA$117),"")</f>
        <v/>
      </c>
      <c r="CB117" t="str">
        <f ca="1">IFERROR(IF(0=LEN(ReferenceData!$CB$117),"",ReferenceData!$CB$117),"")</f>
        <v/>
      </c>
      <c r="CC117">
        <f ca="1">IFERROR(IF(0=LEN(ReferenceData!$CC$117),"",ReferenceData!$CC$117),"")</f>
        <v>0.35910808300000002</v>
      </c>
      <c r="CD117" t="str">
        <f ca="1">IFERROR(IF(0=LEN(ReferenceData!$CD$117),"",ReferenceData!$CD$117),"")</f>
        <v/>
      </c>
      <c r="CE117" t="str">
        <f ca="1">IFERROR(IF(0=LEN(ReferenceData!$CE$117),"",ReferenceData!$CE$117),"")</f>
        <v/>
      </c>
      <c r="CF117">
        <f ca="1">IFERROR(IF(0=LEN(ReferenceData!$CF$117),"",ReferenceData!$CF$117),"")</f>
        <v>0.34133554100000002</v>
      </c>
      <c r="CG117" t="str">
        <f ca="1">IFERROR(IF(0=LEN(ReferenceData!$CG$117),"",ReferenceData!$CG$117),"")</f>
        <v/>
      </c>
      <c r="CH117" t="str">
        <f ca="1">IFERROR(IF(0=LEN(ReferenceData!$CH$117),"",ReferenceData!$CH$117),"")</f>
        <v/>
      </c>
      <c r="CI117">
        <f ca="1">IFERROR(IF(0=LEN(ReferenceData!$CI$117),"",ReferenceData!$CI$117),"")</f>
        <v>0.33376907700000003</v>
      </c>
      <c r="CJ117" t="str">
        <f ca="1">IFERROR(IF(0=LEN(ReferenceData!$CJ$117),"",ReferenceData!$CJ$117),"")</f>
        <v/>
      </c>
      <c r="CK117" t="str">
        <f ca="1">IFERROR(IF(0=LEN(ReferenceData!$CK$117),"",ReferenceData!$CK$117),"")</f>
        <v/>
      </c>
    </row>
    <row r="118" spans="1:89">
      <c r="A118" t="str">
        <f>IFERROR(IF(0=LEN(ReferenceData!$A$118),"",ReferenceData!$A$118),"")</f>
        <v>每股AFFO TTM</v>
      </c>
      <c r="B118" t="str">
        <f>IFERROR(IF(0=LEN(ReferenceData!$B$118),"",ReferenceData!$B$118),"")</f>
        <v>BRFREITV Index</v>
      </c>
      <c r="C118" t="str">
        <f>IFERROR(IF(0=LEN(ReferenceData!$C$118),"",ReferenceData!$C$118),"")</f>
        <v/>
      </c>
      <c r="D118" t="str">
        <f>IFERROR(IF(0=LEN(ReferenceData!$D$118),"",ReferenceData!$D$118),"")</f>
        <v/>
      </c>
      <c r="E118" t="str">
        <f>IFERROR(IF(0=LEN(ReferenceData!$E$118),"",ReferenceData!$E$118),"")</f>
        <v>Sum</v>
      </c>
      <c r="F118" t="str">
        <f ca="1">IFERROR(IF(0=LEN(ReferenceData!$F$118),"",ReferenceData!$F$118),"")</f>
        <v/>
      </c>
      <c r="G118" t="str">
        <f ca="1">IFERROR(IF(0=LEN(ReferenceData!$G$118),"",ReferenceData!$G$118),"")</f>
        <v/>
      </c>
      <c r="H118" t="str">
        <f ca="1">IFERROR(IF(0=LEN(ReferenceData!$H$118),"",ReferenceData!$H$118),"")</f>
        <v/>
      </c>
      <c r="I118">
        <f ca="1">IFERROR(IF(0=LEN(ReferenceData!$I$118),"",ReferenceData!$I$118),"")</f>
        <v>38.419068797000001</v>
      </c>
      <c r="J118" t="str">
        <f ca="1">IFERROR(IF(0=LEN(ReferenceData!$J$118),"",ReferenceData!$J$118),"")</f>
        <v/>
      </c>
      <c r="K118" t="str">
        <f ca="1">IFERROR(IF(0=LEN(ReferenceData!$K$118),"",ReferenceData!$K$118),"")</f>
        <v/>
      </c>
      <c r="L118">
        <f ca="1">IFERROR(IF(0=LEN(ReferenceData!$L$118),"",ReferenceData!$L$118),"")</f>
        <v>37.615684894000005</v>
      </c>
      <c r="M118" t="str">
        <f ca="1">IFERROR(IF(0=LEN(ReferenceData!$M$118),"",ReferenceData!$M$118),"")</f>
        <v/>
      </c>
      <c r="N118" t="str">
        <f ca="1">IFERROR(IF(0=LEN(ReferenceData!$N$118),"",ReferenceData!$N$118),"")</f>
        <v/>
      </c>
      <c r="O118">
        <f ca="1">IFERROR(IF(0=LEN(ReferenceData!$O$118),"",ReferenceData!$O$118),"")</f>
        <v>37.220640014999994</v>
      </c>
      <c r="P118" t="str">
        <f ca="1">IFERROR(IF(0=LEN(ReferenceData!$P$118),"",ReferenceData!$P$118),"")</f>
        <v/>
      </c>
      <c r="Q118" t="str">
        <f ca="1">IFERROR(IF(0=LEN(ReferenceData!$Q$118),"",ReferenceData!$Q$118),"")</f>
        <v/>
      </c>
      <c r="R118">
        <f ca="1">IFERROR(IF(0=LEN(ReferenceData!$R$118),"",ReferenceData!$R$118),"")</f>
        <v>36.936095871999996</v>
      </c>
      <c r="S118" t="str">
        <f ca="1">IFERROR(IF(0=LEN(ReferenceData!$S$118),"",ReferenceData!$S$118),"")</f>
        <v/>
      </c>
      <c r="T118" t="str">
        <f ca="1">IFERROR(IF(0=LEN(ReferenceData!$T$118),"",ReferenceData!$T$118),"")</f>
        <v/>
      </c>
      <c r="U118">
        <f ca="1">IFERROR(IF(0=LEN(ReferenceData!$U$118),"",ReferenceData!$U$118),"")</f>
        <v>36.635082990000001</v>
      </c>
      <c r="V118" t="str">
        <f ca="1">IFERROR(IF(0=LEN(ReferenceData!$V$118),"",ReferenceData!$V$118),"")</f>
        <v/>
      </c>
      <c r="W118" t="str">
        <f ca="1">IFERROR(IF(0=LEN(ReferenceData!$W$118),"",ReferenceData!$W$118),"")</f>
        <v/>
      </c>
      <c r="X118">
        <f ca="1">IFERROR(IF(0=LEN(ReferenceData!$X$118),"",ReferenceData!$X$118),"")</f>
        <v>36.782523855999997</v>
      </c>
      <c r="Y118" t="str">
        <f ca="1">IFERROR(IF(0=LEN(ReferenceData!$Y$118),"",ReferenceData!$Y$118),"")</f>
        <v/>
      </c>
      <c r="Z118" t="str">
        <f ca="1">IFERROR(IF(0=LEN(ReferenceData!$Z$118),"",ReferenceData!$Z$118),"")</f>
        <v/>
      </c>
      <c r="AA118">
        <f ca="1">IFERROR(IF(0=LEN(ReferenceData!$AA$118),"",ReferenceData!$AA$118),"")</f>
        <v>36.330321894999997</v>
      </c>
      <c r="AB118" t="str">
        <f ca="1">IFERROR(IF(0=LEN(ReferenceData!$AB$118),"",ReferenceData!$AB$118),"")</f>
        <v/>
      </c>
      <c r="AC118" t="str">
        <f ca="1">IFERROR(IF(0=LEN(ReferenceData!$AC$118),"",ReferenceData!$AC$118),"")</f>
        <v/>
      </c>
      <c r="AD118">
        <f ca="1">IFERROR(IF(0=LEN(ReferenceData!$AD$118),"",ReferenceData!$AD$118),"")</f>
        <v>35.652555404999994</v>
      </c>
      <c r="AE118" t="str">
        <f ca="1">IFERROR(IF(0=LEN(ReferenceData!$AE$118),"",ReferenceData!$AE$118),"")</f>
        <v/>
      </c>
      <c r="AF118" t="str">
        <f ca="1">IFERROR(IF(0=LEN(ReferenceData!$AF$118),"",ReferenceData!$AF$118),"")</f>
        <v/>
      </c>
      <c r="AG118">
        <f ca="1">IFERROR(IF(0=LEN(ReferenceData!$AG$118),"",ReferenceData!$AG$118),"")</f>
        <v>34.755266921</v>
      </c>
      <c r="AH118" t="str">
        <f ca="1">IFERROR(IF(0=LEN(ReferenceData!$AH$118),"",ReferenceData!$AH$118),"")</f>
        <v/>
      </c>
      <c r="AI118" t="str">
        <f ca="1">IFERROR(IF(0=LEN(ReferenceData!$AI$118),"",ReferenceData!$AI$118),"")</f>
        <v/>
      </c>
      <c r="AJ118">
        <f ca="1">IFERROR(IF(0=LEN(ReferenceData!$AJ$118),"",ReferenceData!$AJ$118),"")</f>
        <v>33.737697264000005</v>
      </c>
      <c r="AK118" t="str">
        <f ca="1">IFERROR(IF(0=LEN(ReferenceData!$AK$118),"",ReferenceData!$AK$118),"")</f>
        <v/>
      </c>
      <c r="AL118" t="str">
        <f ca="1">IFERROR(IF(0=LEN(ReferenceData!$AL$118),"",ReferenceData!$AL$118),"")</f>
        <v/>
      </c>
      <c r="AM118">
        <f ca="1">IFERROR(IF(0=LEN(ReferenceData!$AM$118),"",ReferenceData!$AM$118),"")</f>
        <v>31.263676416999999</v>
      </c>
      <c r="AN118" t="str">
        <f ca="1">IFERROR(IF(0=LEN(ReferenceData!$AN$118),"",ReferenceData!$AN$118),"")</f>
        <v/>
      </c>
      <c r="AO118" t="str">
        <f ca="1">IFERROR(IF(0=LEN(ReferenceData!$AO$118),"",ReferenceData!$AO$118),"")</f>
        <v/>
      </c>
      <c r="AP118">
        <f ca="1">IFERROR(IF(0=LEN(ReferenceData!$AP$118),"",ReferenceData!$AP$118),"")</f>
        <v>30.422447233000003</v>
      </c>
      <c r="AQ118" t="str">
        <f ca="1">IFERROR(IF(0=LEN(ReferenceData!$AQ$118),"",ReferenceData!$AQ$118),"")</f>
        <v/>
      </c>
      <c r="AR118" t="str">
        <f ca="1">IFERROR(IF(0=LEN(ReferenceData!$AR$118),"",ReferenceData!$AR$118),"")</f>
        <v/>
      </c>
      <c r="AS118">
        <f ca="1">IFERROR(IF(0=LEN(ReferenceData!$AS$118),"",ReferenceData!$AS$118),"")</f>
        <v>29.777563835999999</v>
      </c>
      <c r="AT118" t="str">
        <f ca="1">IFERROR(IF(0=LEN(ReferenceData!$AT$118),"",ReferenceData!$AT$118),"")</f>
        <v/>
      </c>
      <c r="AU118" t="str">
        <f ca="1">IFERROR(IF(0=LEN(ReferenceData!$AU$118),"",ReferenceData!$AU$118),"")</f>
        <v/>
      </c>
      <c r="AV118">
        <f ca="1">IFERROR(IF(0=LEN(ReferenceData!$AV$118),"",ReferenceData!$AV$118),"")</f>
        <v>29.148704792</v>
      </c>
      <c r="AW118" t="str">
        <f ca="1">IFERROR(IF(0=LEN(ReferenceData!$AW$118),"",ReferenceData!$AW$118),"")</f>
        <v/>
      </c>
      <c r="AX118" t="str">
        <f ca="1">IFERROR(IF(0=LEN(ReferenceData!$AX$118),"",ReferenceData!$AX$118),"")</f>
        <v/>
      </c>
      <c r="AY118">
        <f ca="1">IFERROR(IF(0=LEN(ReferenceData!$AY$118),"",ReferenceData!$AY$118),"")</f>
        <v>28.645441708</v>
      </c>
      <c r="AZ118" t="str">
        <f ca="1">IFERROR(IF(0=LEN(ReferenceData!$AZ$118),"",ReferenceData!$AZ$118),"")</f>
        <v/>
      </c>
      <c r="BA118" t="str">
        <f ca="1">IFERROR(IF(0=LEN(ReferenceData!$BA$118),"",ReferenceData!$BA$118),"")</f>
        <v/>
      </c>
      <c r="BB118">
        <f ca="1">IFERROR(IF(0=LEN(ReferenceData!$BB$118),"",ReferenceData!$BB$118),"")</f>
        <v>29.754858192999997</v>
      </c>
      <c r="BC118" t="str">
        <f ca="1">IFERROR(IF(0=LEN(ReferenceData!$BC$118),"",ReferenceData!$BC$118),"")</f>
        <v/>
      </c>
      <c r="BD118" t="str">
        <f ca="1">IFERROR(IF(0=LEN(ReferenceData!$BD$118),"",ReferenceData!$BD$118),"")</f>
        <v/>
      </c>
      <c r="BE118">
        <f ca="1">IFERROR(IF(0=LEN(ReferenceData!$BE$118),"",ReferenceData!$BE$118),"")</f>
        <v>29.191712349999996</v>
      </c>
      <c r="BF118" t="str">
        <f ca="1">IFERROR(IF(0=LEN(ReferenceData!$BF$118),"",ReferenceData!$BF$118),"")</f>
        <v/>
      </c>
      <c r="BG118" t="str">
        <f ca="1">IFERROR(IF(0=LEN(ReferenceData!$BG$118),"",ReferenceData!$BG$118),"")</f>
        <v/>
      </c>
      <c r="BH118">
        <f ca="1">IFERROR(IF(0=LEN(ReferenceData!$BH$118),"",ReferenceData!$BH$118),"")</f>
        <v>28.553879603999999</v>
      </c>
      <c r="BI118" t="str">
        <f ca="1">IFERROR(IF(0=LEN(ReferenceData!$BI$118),"",ReferenceData!$BI$118),"")</f>
        <v/>
      </c>
      <c r="BJ118" t="str">
        <f ca="1">IFERROR(IF(0=LEN(ReferenceData!$BJ$118),"",ReferenceData!$BJ$118),"")</f>
        <v/>
      </c>
      <c r="BK118">
        <f ca="1">IFERROR(IF(0=LEN(ReferenceData!$BK$118),"",ReferenceData!$BK$118),"")</f>
        <v>27.887834397999999</v>
      </c>
      <c r="BL118" t="str">
        <f ca="1">IFERROR(IF(0=LEN(ReferenceData!$BL$118),"",ReferenceData!$BL$118),"")</f>
        <v/>
      </c>
      <c r="BM118" t="str">
        <f ca="1">IFERROR(IF(0=LEN(ReferenceData!$BM$118),"",ReferenceData!$BM$118),"")</f>
        <v/>
      </c>
      <c r="BN118">
        <f ca="1">IFERROR(IF(0=LEN(ReferenceData!$BN$118),"",ReferenceData!$BN$118),"")</f>
        <v>27.099522855000004</v>
      </c>
      <c r="BO118" t="str">
        <f ca="1">IFERROR(IF(0=LEN(ReferenceData!$BO$118),"",ReferenceData!$BO$118),"")</f>
        <v/>
      </c>
      <c r="BP118" t="str">
        <f ca="1">IFERROR(IF(0=LEN(ReferenceData!$BP$118),"",ReferenceData!$BP$118),"")</f>
        <v/>
      </c>
      <c r="BQ118">
        <f ca="1">IFERROR(IF(0=LEN(ReferenceData!$BQ$118),"",ReferenceData!$BQ$118),"")</f>
        <v>26.420774051999999</v>
      </c>
      <c r="BR118" t="str">
        <f ca="1">IFERROR(IF(0=LEN(ReferenceData!$BR$118),"",ReferenceData!$BR$118),"")</f>
        <v/>
      </c>
      <c r="BS118" t="str">
        <f ca="1">IFERROR(IF(0=LEN(ReferenceData!$BS$118),"",ReferenceData!$BS$118),"")</f>
        <v/>
      </c>
      <c r="BT118">
        <f ca="1">IFERROR(IF(0=LEN(ReferenceData!$BT$118),"",ReferenceData!$BT$118),"")</f>
        <v>25.643728453000001</v>
      </c>
      <c r="BU118" t="str">
        <f ca="1">IFERROR(IF(0=LEN(ReferenceData!$BU$118),"",ReferenceData!$BU$118),"")</f>
        <v/>
      </c>
      <c r="BV118" t="str">
        <f ca="1">IFERROR(IF(0=LEN(ReferenceData!$BV$118),"",ReferenceData!$BV$118),"")</f>
        <v/>
      </c>
      <c r="BW118">
        <f ca="1">IFERROR(IF(0=LEN(ReferenceData!$BW$118),"",ReferenceData!$BW$118),"")</f>
        <v>24.616950072999998</v>
      </c>
      <c r="BX118" t="str">
        <f ca="1">IFERROR(IF(0=LEN(ReferenceData!$BX$118),"",ReferenceData!$BX$118),"")</f>
        <v/>
      </c>
      <c r="BY118" t="str">
        <f ca="1">IFERROR(IF(0=LEN(ReferenceData!$BY$118),"",ReferenceData!$BY$118),"")</f>
        <v/>
      </c>
      <c r="BZ118">
        <f ca="1">IFERROR(IF(0=LEN(ReferenceData!$BZ$118),"",ReferenceData!$BZ$118),"")</f>
        <v>23.132424165000003</v>
      </c>
      <c r="CA118" t="str">
        <f ca="1">IFERROR(IF(0=LEN(ReferenceData!$CA$118),"",ReferenceData!$CA$118),"")</f>
        <v/>
      </c>
      <c r="CB118" t="str">
        <f ca="1">IFERROR(IF(0=LEN(ReferenceData!$CB$118),"",ReferenceData!$CB$118),"")</f>
        <v/>
      </c>
      <c r="CC118">
        <f ca="1">IFERROR(IF(0=LEN(ReferenceData!$CC$118),"",ReferenceData!$CC$118),"")</f>
        <v>22.257974672</v>
      </c>
      <c r="CD118" t="str">
        <f ca="1">IFERROR(IF(0=LEN(ReferenceData!$CD$118),"",ReferenceData!$CD$118),"")</f>
        <v/>
      </c>
      <c r="CE118" t="str">
        <f ca="1">IFERROR(IF(0=LEN(ReferenceData!$CE$118),"",ReferenceData!$CE$118),"")</f>
        <v/>
      </c>
      <c r="CF118">
        <f ca="1">IFERROR(IF(0=LEN(ReferenceData!$CF$118),"",ReferenceData!$CF$118),"")</f>
        <v>21.406242661</v>
      </c>
      <c r="CG118" t="str">
        <f ca="1">IFERROR(IF(0=LEN(ReferenceData!$CG$118),"",ReferenceData!$CG$118),"")</f>
        <v/>
      </c>
      <c r="CH118" t="str">
        <f ca="1">IFERROR(IF(0=LEN(ReferenceData!$CH$118),"",ReferenceData!$CH$118),"")</f>
        <v/>
      </c>
      <c r="CI118">
        <f ca="1">IFERROR(IF(0=LEN(ReferenceData!$CI$118),"",ReferenceData!$CI$118),"")</f>
        <v>20.678147512000002</v>
      </c>
      <c r="CJ118" t="str">
        <f ca="1">IFERROR(IF(0=LEN(ReferenceData!$CJ$118),"",ReferenceData!$CJ$118),"")</f>
        <v/>
      </c>
      <c r="CK118" t="str">
        <f ca="1">IFERROR(IF(0=LEN(ReferenceData!$CK$118),"",ReferenceData!$CK$118),"")</f>
        <v/>
      </c>
    </row>
    <row r="119" spans="1:89">
      <c r="A119" t="str">
        <f>IFERROR(IF(0=LEN(ReferenceData!$A$119),"",ReferenceData!$A$119),"")</f>
        <v xml:space="preserve">    公寓投资与管理</v>
      </c>
      <c r="B119" t="str">
        <f>IFERROR(IF(0=LEN(ReferenceData!$B$119),"",ReferenceData!$B$119),"")</f>
        <v>AIV US Equity</v>
      </c>
      <c r="C119" t="str">
        <f>IFERROR(IF(0=LEN(ReferenceData!$C$119),"",ReferenceData!$C$119),"")</f>
        <v>F0894</v>
      </c>
      <c r="D119" t="str">
        <f>IFERROR(IF(0=LEN(ReferenceData!$D$119),"",ReferenceData!$D$119),"")</f>
        <v>TRAILING_12_MONTHS_AFFOPS</v>
      </c>
      <c r="E119" t="str">
        <f>IFERROR(IF(0=LEN(ReferenceData!$E$119),"",ReferenceData!$E$119),"")</f>
        <v>动态</v>
      </c>
      <c r="F119" t="str">
        <f ca="1">IFERROR(IF(0=LEN(ReferenceData!$F$119),"",ReferenceData!$F$119),"")</f>
        <v/>
      </c>
      <c r="G119" t="str">
        <f ca="1">IFERROR(IF(0=LEN(ReferenceData!$G$119),"",ReferenceData!$G$119),"")</f>
        <v/>
      </c>
      <c r="H119" t="str">
        <f ca="1">IFERROR(IF(0=LEN(ReferenceData!$H$119),"",ReferenceData!$H$119),"")</f>
        <v/>
      </c>
      <c r="I119">
        <f ca="1">IFERROR(IF(0=LEN(ReferenceData!$I$119),"",ReferenceData!$I$119),"")</f>
        <v>2.4473273290000002</v>
      </c>
      <c r="J119" t="str">
        <f ca="1">IFERROR(IF(0=LEN(ReferenceData!$J$119),"",ReferenceData!$J$119),"")</f>
        <v/>
      </c>
      <c r="K119" t="str">
        <f ca="1">IFERROR(IF(0=LEN(ReferenceData!$K$119),"",ReferenceData!$K$119),"")</f>
        <v/>
      </c>
      <c r="L119">
        <f ca="1">IFERROR(IF(0=LEN(ReferenceData!$L$119),"",ReferenceData!$L$119),"")</f>
        <v>2.418562138</v>
      </c>
      <c r="M119" t="str">
        <f ca="1">IFERROR(IF(0=LEN(ReferenceData!$M$119),"",ReferenceData!$M$119),"")</f>
        <v/>
      </c>
      <c r="N119" t="str">
        <f ca="1">IFERROR(IF(0=LEN(ReferenceData!$N$119),"",ReferenceData!$N$119),"")</f>
        <v/>
      </c>
      <c r="O119">
        <f ca="1">IFERROR(IF(0=LEN(ReferenceData!$O$119),"",ReferenceData!$O$119),"")</f>
        <v>2.343646256</v>
      </c>
      <c r="P119" t="str">
        <f ca="1">IFERROR(IF(0=LEN(ReferenceData!$P$119),"",ReferenceData!$P$119),"")</f>
        <v/>
      </c>
      <c r="Q119" t="str">
        <f ca="1">IFERROR(IF(0=LEN(ReferenceData!$Q$119),"",ReferenceData!$Q$119),"")</f>
        <v/>
      </c>
      <c r="R119">
        <f ca="1">IFERROR(IF(0=LEN(ReferenceData!$R$119),"",ReferenceData!$R$119),"")</f>
        <v>2.3261936209999998</v>
      </c>
      <c r="S119" t="str">
        <f ca="1">IFERROR(IF(0=LEN(ReferenceData!$S$119),"",ReferenceData!$S$119),"")</f>
        <v/>
      </c>
      <c r="T119" t="str">
        <f ca="1">IFERROR(IF(0=LEN(ReferenceData!$T$119),"",ReferenceData!$T$119),"")</f>
        <v/>
      </c>
      <c r="U119">
        <f ca="1">IFERROR(IF(0=LEN(ReferenceData!$U$119),"",ReferenceData!$U$119),"")</f>
        <v>2.3170473330000001</v>
      </c>
      <c r="V119" t="str">
        <f ca="1">IFERROR(IF(0=LEN(ReferenceData!$V$119),"",ReferenceData!$V$119),"")</f>
        <v/>
      </c>
      <c r="W119" t="str">
        <f ca="1">IFERROR(IF(0=LEN(ReferenceData!$W$119),"",ReferenceData!$W$119),"")</f>
        <v/>
      </c>
      <c r="X119">
        <f ca="1">IFERROR(IF(0=LEN(ReferenceData!$X$119),"",ReferenceData!$X$119),"")</f>
        <v>2.2981628600000001</v>
      </c>
      <c r="Y119" t="str">
        <f ca="1">IFERROR(IF(0=LEN(ReferenceData!$Y$119),"",ReferenceData!$Y$119),"")</f>
        <v/>
      </c>
      <c r="Z119" t="str">
        <f ca="1">IFERROR(IF(0=LEN(ReferenceData!$Z$119),"",ReferenceData!$Z$119),"")</f>
        <v/>
      </c>
      <c r="AA119">
        <f ca="1">IFERROR(IF(0=LEN(ReferenceData!$AA$119),"",ReferenceData!$AA$119),"")</f>
        <v>2.3108467610000001</v>
      </c>
      <c r="AB119" t="str">
        <f ca="1">IFERROR(IF(0=LEN(ReferenceData!$AB$119),"",ReferenceData!$AB$119),"")</f>
        <v/>
      </c>
      <c r="AC119" t="str">
        <f ca="1">IFERROR(IF(0=LEN(ReferenceData!$AC$119),"",ReferenceData!$AC$119),"")</f>
        <v/>
      </c>
      <c r="AD119">
        <f ca="1">IFERROR(IF(0=LEN(ReferenceData!$AD$119),"",ReferenceData!$AD$119),"")</f>
        <v>2.278348459</v>
      </c>
      <c r="AE119" t="str">
        <f ca="1">IFERROR(IF(0=LEN(ReferenceData!$AE$119),"",ReferenceData!$AE$119),"")</f>
        <v/>
      </c>
      <c r="AF119" t="str">
        <f ca="1">IFERROR(IF(0=LEN(ReferenceData!$AF$119),"",ReferenceData!$AF$119),"")</f>
        <v/>
      </c>
      <c r="AG119">
        <f ca="1">IFERROR(IF(0=LEN(ReferenceData!$AG$119),"",ReferenceData!$AG$119),"")</f>
        <v>2.224790541</v>
      </c>
      <c r="AH119" t="str">
        <f ca="1">IFERROR(IF(0=LEN(ReferenceData!$AH$119),"",ReferenceData!$AH$119),"")</f>
        <v/>
      </c>
      <c r="AI119" t="str">
        <f ca="1">IFERROR(IF(0=LEN(ReferenceData!$AI$119),"",ReferenceData!$AI$119),"")</f>
        <v/>
      </c>
      <c r="AJ119">
        <f ca="1">IFERROR(IF(0=LEN(ReferenceData!$AJ$119),"",ReferenceData!$AJ$119),"")</f>
        <v>2.1808644290000001</v>
      </c>
      <c r="AK119" t="str">
        <f ca="1">IFERROR(IF(0=LEN(ReferenceData!$AK$119),"",ReferenceData!$AK$119),"")</f>
        <v/>
      </c>
      <c r="AL119" t="str">
        <f ca="1">IFERROR(IF(0=LEN(ReferenceData!$AL$119),"",ReferenceData!$AL$119),"")</f>
        <v/>
      </c>
      <c r="AM119">
        <f ca="1">IFERROR(IF(0=LEN(ReferenceData!$AM$119),"",ReferenceData!$AM$119),"")</f>
        <v>2.1206634310000001</v>
      </c>
      <c r="AN119" t="str">
        <f ca="1">IFERROR(IF(0=LEN(ReferenceData!$AN$119),"",ReferenceData!$AN$119),"")</f>
        <v/>
      </c>
      <c r="AO119" t="str">
        <f ca="1">IFERROR(IF(0=LEN(ReferenceData!$AO$119),"",ReferenceData!$AO$119),"")</f>
        <v/>
      </c>
      <c r="AP119">
        <f ca="1">IFERROR(IF(0=LEN(ReferenceData!$AP$119),"",ReferenceData!$AP$119),"")</f>
        <v>2.082848888</v>
      </c>
      <c r="AQ119" t="str">
        <f ca="1">IFERROR(IF(0=LEN(ReferenceData!$AQ$119),"",ReferenceData!$AQ$119),"")</f>
        <v/>
      </c>
      <c r="AR119" t="str">
        <f ca="1">IFERROR(IF(0=LEN(ReferenceData!$AR$119),"",ReferenceData!$AR$119),"")</f>
        <v/>
      </c>
      <c r="AS119">
        <f ca="1">IFERROR(IF(0=LEN(ReferenceData!$AS$119),"",ReferenceData!$AS$119),"")</f>
        <v>2.0672149420000001</v>
      </c>
      <c r="AT119" t="str">
        <f ca="1">IFERROR(IF(0=LEN(ReferenceData!$AT$119),"",ReferenceData!$AT$119),"")</f>
        <v/>
      </c>
      <c r="AU119" t="str">
        <f ca="1">IFERROR(IF(0=LEN(ReferenceData!$AU$119),"",ReferenceData!$AU$119),"")</f>
        <v/>
      </c>
      <c r="AV119">
        <f ca="1">IFERROR(IF(0=LEN(ReferenceData!$AV$119),"",ReferenceData!$AV$119),"")</f>
        <v>2.0944195190000001</v>
      </c>
      <c r="AW119" t="str">
        <f ca="1">IFERROR(IF(0=LEN(ReferenceData!$AW$119),"",ReferenceData!$AW$119),"")</f>
        <v/>
      </c>
      <c r="AX119" t="str">
        <f ca="1">IFERROR(IF(0=LEN(ReferenceData!$AX$119),"",ReferenceData!$AX$119),"")</f>
        <v/>
      </c>
      <c r="AY119">
        <f ca="1">IFERROR(IF(0=LEN(ReferenceData!$AY$119),"",ReferenceData!$AY$119),"")</f>
        <v>2.0937891400000002</v>
      </c>
      <c r="AZ119" t="str">
        <f ca="1">IFERROR(IF(0=LEN(ReferenceData!$AZ$119),"",ReferenceData!$AZ$119),"")</f>
        <v/>
      </c>
      <c r="BA119" t="str">
        <f ca="1">IFERROR(IF(0=LEN(ReferenceData!$BA$119),"",ReferenceData!$BA$119),"")</f>
        <v/>
      </c>
      <c r="BB119">
        <f ca="1">IFERROR(IF(0=LEN(ReferenceData!$BB$119),"",ReferenceData!$BB$119),"")</f>
        <v>2.061188268</v>
      </c>
      <c r="BC119" t="str">
        <f ca="1">IFERROR(IF(0=LEN(ReferenceData!$BC$119),"",ReferenceData!$BC$119),"")</f>
        <v/>
      </c>
      <c r="BD119" t="str">
        <f ca="1">IFERROR(IF(0=LEN(ReferenceData!$BD$119),"",ReferenceData!$BD$119),"")</f>
        <v/>
      </c>
      <c r="BE119">
        <f ca="1">IFERROR(IF(0=LEN(ReferenceData!$BE$119),"",ReferenceData!$BE$119),"")</f>
        <v>2.0409618429999998</v>
      </c>
      <c r="BF119" t="str">
        <f ca="1">IFERROR(IF(0=LEN(ReferenceData!$BF$119),"",ReferenceData!$BF$119),"")</f>
        <v/>
      </c>
      <c r="BG119" t="str">
        <f ca="1">IFERROR(IF(0=LEN(ReferenceData!$BG$119),"",ReferenceData!$BG$119),"")</f>
        <v/>
      </c>
      <c r="BH119">
        <f ca="1">IFERROR(IF(0=LEN(ReferenceData!$BH$119),"",ReferenceData!$BH$119),"")</f>
        <v>1.991486251</v>
      </c>
      <c r="BI119" t="str">
        <f ca="1">IFERROR(IF(0=LEN(ReferenceData!$BI$119),"",ReferenceData!$BI$119),"")</f>
        <v/>
      </c>
      <c r="BJ119" t="str">
        <f ca="1">IFERROR(IF(0=LEN(ReferenceData!$BJ$119),"",ReferenceData!$BJ$119),"")</f>
        <v/>
      </c>
      <c r="BK119">
        <f ca="1">IFERROR(IF(0=LEN(ReferenceData!$BK$119),"",ReferenceData!$BK$119),"")</f>
        <v>1.942340164</v>
      </c>
      <c r="BL119" t="str">
        <f ca="1">IFERROR(IF(0=LEN(ReferenceData!$BL$119),"",ReferenceData!$BL$119),"")</f>
        <v/>
      </c>
      <c r="BM119" t="str">
        <f ca="1">IFERROR(IF(0=LEN(ReferenceData!$BM$119),"",ReferenceData!$BM$119),"")</f>
        <v/>
      </c>
      <c r="BN119">
        <f ca="1">IFERROR(IF(0=LEN(ReferenceData!$BN$119),"",ReferenceData!$BN$119),"")</f>
        <v>1.909851637</v>
      </c>
      <c r="BO119" t="str">
        <f ca="1">IFERROR(IF(0=LEN(ReferenceData!$BO$119),"",ReferenceData!$BO$119),"")</f>
        <v/>
      </c>
      <c r="BP119" t="str">
        <f ca="1">IFERROR(IF(0=LEN(ReferenceData!$BP$119),"",ReferenceData!$BP$119),"")</f>
        <v/>
      </c>
      <c r="BQ119">
        <f ca="1">IFERROR(IF(0=LEN(ReferenceData!$BQ$119),"",ReferenceData!$BQ$119),"")</f>
        <v>1.8276573330000001</v>
      </c>
      <c r="BR119" t="str">
        <f ca="1">IFERROR(IF(0=LEN(ReferenceData!$BR$119),"",ReferenceData!$BR$119),"")</f>
        <v/>
      </c>
      <c r="BS119" t="str">
        <f ca="1">IFERROR(IF(0=LEN(ReferenceData!$BS$119),"",ReferenceData!$BS$119),"")</f>
        <v/>
      </c>
      <c r="BT119">
        <f ca="1">IFERROR(IF(0=LEN(ReferenceData!$BT$119),"",ReferenceData!$BT$119),"")</f>
        <v>1.728976721</v>
      </c>
      <c r="BU119" t="str">
        <f ca="1">IFERROR(IF(0=LEN(ReferenceData!$BU$119),"",ReferenceData!$BU$119),"")</f>
        <v/>
      </c>
      <c r="BV119" t="str">
        <f ca="1">IFERROR(IF(0=LEN(ReferenceData!$BV$119),"",ReferenceData!$BV$119),"")</f>
        <v/>
      </c>
      <c r="BW119">
        <f ca="1">IFERROR(IF(0=LEN(ReferenceData!$BW$119),"",ReferenceData!$BW$119),"")</f>
        <v>1.6858122769999999</v>
      </c>
      <c r="BX119" t="str">
        <f ca="1">IFERROR(IF(0=LEN(ReferenceData!$BX$119),"",ReferenceData!$BX$119),"")</f>
        <v/>
      </c>
      <c r="BY119" t="str">
        <f ca="1">IFERROR(IF(0=LEN(ReferenceData!$BY$119),"",ReferenceData!$BY$119),"")</f>
        <v/>
      </c>
      <c r="BZ119">
        <f ca="1">IFERROR(IF(0=LEN(ReferenceData!$BZ$119),"",ReferenceData!$BZ$119),"")</f>
        <v>1.500281625</v>
      </c>
      <c r="CA119" t="str">
        <f ca="1">IFERROR(IF(0=LEN(ReferenceData!$CA$119),"",ReferenceData!$CA$119),"")</f>
        <v/>
      </c>
      <c r="CB119" t="str">
        <f ca="1">IFERROR(IF(0=LEN(ReferenceData!$CB$119),"",ReferenceData!$CB$119),"")</f>
        <v/>
      </c>
      <c r="CC119">
        <f ca="1">IFERROR(IF(0=LEN(ReferenceData!$CC$119),"",ReferenceData!$CC$119),"")</f>
        <v>1.4889296169999999</v>
      </c>
      <c r="CD119" t="str">
        <f ca="1">IFERROR(IF(0=LEN(ReferenceData!$CD$119),"",ReferenceData!$CD$119),"")</f>
        <v/>
      </c>
      <c r="CE119" t="str">
        <f ca="1">IFERROR(IF(0=LEN(ReferenceData!$CE$119),"",ReferenceData!$CE$119),"")</f>
        <v/>
      </c>
      <c r="CF119">
        <f ca="1">IFERROR(IF(0=LEN(ReferenceData!$CF$119),"",ReferenceData!$CF$119),"")</f>
        <v>1.4584010599999999</v>
      </c>
      <c r="CG119" t="str">
        <f ca="1">IFERROR(IF(0=LEN(ReferenceData!$CG$119),"",ReferenceData!$CG$119),"")</f>
        <v/>
      </c>
      <c r="CH119" t="str">
        <f ca="1">IFERROR(IF(0=LEN(ReferenceData!$CH$119),"",ReferenceData!$CH$119),"")</f>
        <v/>
      </c>
      <c r="CI119">
        <f ca="1">IFERROR(IF(0=LEN(ReferenceData!$CI$119),"",ReferenceData!$CI$119),"")</f>
        <v>1.446045783</v>
      </c>
      <c r="CJ119" t="str">
        <f ca="1">IFERROR(IF(0=LEN(ReferenceData!$CJ$119),"",ReferenceData!$CJ$119),"")</f>
        <v/>
      </c>
      <c r="CK119" t="str">
        <f ca="1">IFERROR(IF(0=LEN(ReferenceData!$CK$119),"",ReferenceData!$CK$119),"")</f>
        <v/>
      </c>
    </row>
    <row r="120" spans="1:89">
      <c r="A120" t="str">
        <f>IFERROR(IF(0=LEN(ReferenceData!$A$120),"",ReferenceData!$A$120),"")</f>
        <v xml:space="preserve">    AvalonBay社区股份有限公司</v>
      </c>
      <c r="B120" t="str">
        <f>IFERROR(IF(0=LEN(ReferenceData!$B$120),"",ReferenceData!$B$120),"")</f>
        <v>AVB US Equity</v>
      </c>
      <c r="C120" t="str">
        <f>IFERROR(IF(0=LEN(ReferenceData!$C$120),"",ReferenceData!$C$120),"")</f>
        <v>F0894</v>
      </c>
      <c r="D120" t="str">
        <f>IFERROR(IF(0=LEN(ReferenceData!$D$120),"",ReferenceData!$D$120),"")</f>
        <v>TRAILING_12_MONTHS_AFFOPS</v>
      </c>
      <c r="E120" t="str">
        <f>IFERROR(IF(0=LEN(ReferenceData!$E$120),"",ReferenceData!$E$120),"")</f>
        <v>动态</v>
      </c>
      <c r="F120" t="str">
        <f ca="1">IFERROR(IF(0=LEN(ReferenceData!$F$120),"",ReferenceData!$F$120),"")</f>
        <v/>
      </c>
      <c r="G120" t="str">
        <f ca="1">IFERROR(IF(0=LEN(ReferenceData!$G$120),"",ReferenceData!$G$120),"")</f>
        <v/>
      </c>
      <c r="H120" t="str">
        <f ca="1">IFERROR(IF(0=LEN(ReferenceData!$H$120),"",ReferenceData!$H$120),"")</f>
        <v/>
      </c>
      <c r="I120">
        <f ca="1">IFERROR(IF(0=LEN(ReferenceData!$I$120),"",ReferenceData!$I$120),"")</f>
        <v>8.6184564510000001</v>
      </c>
      <c r="J120" t="str">
        <f ca="1">IFERROR(IF(0=LEN(ReferenceData!$J$120),"",ReferenceData!$J$120),"")</f>
        <v/>
      </c>
      <c r="K120" t="str">
        <f ca="1">IFERROR(IF(0=LEN(ReferenceData!$K$120),"",ReferenceData!$K$120),"")</f>
        <v/>
      </c>
      <c r="L120">
        <f ca="1">IFERROR(IF(0=LEN(ReferenceData!$L$120),"",ReferenceData!$L$120),"")</f>
        <v>8.4868481550000006</v>
      </c>
      <c r="M120" t="str">
        <f ca="1">IFERROR(IF(0=LEN(ReferenceData!$M$120),"",ReferenceData!$M$120),"")</f>
        <v/>
      </c>
      <c r="N120" t="str">
        <f ca="1">IFERROR(IF(0=LEN(ReferenceData!$N$120),"",ReferenceData!$N$120),"")</f>
        <v/>
      </c>
      <c r="O120">
        <f ca="1">IFERROR(IF(0=LEN(ReferenceData!$O$120),"",ReferenceData!$O$120),"")</f>
        <v>8.3642943580000004</v>
      </c>
      <c r="P120" t="str">
        <f ca="1">IFERROR(IF(0=LEN(ReferenceData!$P$120),"",ReferenceData!$P$120),"")</f>
        <v/>
      </c>
      <c r="Q120" t="str">
        <f ca="1">IFERROR(IF(0=LEN(ReferenceData!$Q$120),"",ReferenceData!$Q$120),"")</f>
        <v/>
      </c>
      <c r="R120">
        <f ca="1">IFERROR(IF(0=LEN(ReferenceData!$R$120),"",ReferenceData!$R$120),"")</f>
        <v>8.3031752809999997</v>
      </c>
      <c r="S120" t="str">
        <f ca="1">IFERROR(IF(0=LEN(ReferenceData!$S$120),"",ReferenceData!$S$120),"")</f>
        <v/>
      </c>
      <c r="T120" t="str">
        <f ca="1">IFERROR(IF(0=LEN(ReferenceData!$T$120),"",ReferenceData!$T$120),"")</f>
        <v/>
      </c>
      <c r="U120">
        <f ca="1">IFERROR(IF(0=LEN(ReferenceData!$U$120),"",ReferenceData!$U$120),"")</f>
        <v>8.1865062989999995</v>
      </c>
      <c r="V120" t="str">
        <f ca="1">IFERROR(IF(0=LEN(ReferenceData!$V$120),"",ReferenceData!$V$120),"")</f>
        <v/>
      </c>
      <c r="W120" t="str">
        <f ca="1">IFERROR(IF(0=LEN(ReferenceData!$W$120),"",ReferenceData!$W$120),"")</f>
        <v/>
      </c>
      <c r="X120">
        <f ca="1">IFERROR(IF(0=LEN(ReferenceData!$X$120),"",ReferenceData!$X$120),"")</f>
        <v>8.0574689900000003</v>
      </c>
      <c r="Y120" t="str">
        <f ca="1">IFERROR(IF(0=LEN(ReferenceData!$Y$120),"",ReferenceData!$Y$120),"")</f>
        <v/>
      </c>
      <c r="Z120" t="str">
        <f ca="1">IFERROR(IF(0=LEN(ReferenceData!$Z$120),"",ReferenceData!$Z$120),"")</f>
        <v/>
      </c>
      <c r="AA120">
        <f ca="1">IFERROR(IF(0=LEN(ReferenceData!$AA$120),"",ReferenceData!$AA$120),"")</f>
        <v>7.915145903</v>
      </c>
      <c r="AB120" t="str">
        <f ca="1">IFERROR(IF(0=LEN(ReferenceData!$AB$120),"",ReferenceData!$AB$120),"")</f>
        <v/>
      </c>
      <c r="AC120" t="str">
        <f ca="1">IFERROR(IF(0=LEN(ReferenceData!$AC$120),"",ReferenceData!$AC$120),"")</f>
        <v/>
      </c>
      <c r="AD120">
        <f ca="1">IFERROR(IF(0=LEN(ReferenceData!$AD$120),"",ReferenceData!$AD$120),"")</f>
        <v>7.7560607629999998</v>
      </c>
      <c r="AE120" t="str">
        <f ca="1">IFERROR(IF(0=LEN(ReferenceData!$AE$120),"",ReferenceData!$AE$120),"")</f>
        <v/>
      </c>
      <c r="AF120" t="str">
        <f ca="1">IFERROR(IF(0=LEN(ReferenceData!$AF$120),"",ReferenceData!$AF$120),"")</f>
        <v/>
      </c>
      <c r="AG120">
        <f ca="1">IFERROR(IF(0=LEN(ReferenceData!$AG$120),"",ReferenceData!$AG$120),"")</f>
        <v>7.5376745639999996</v>
      </c>
      <c r="AH120" t="str">
        <f ca="1">IFERROR(IF(0=LEN(ReferenceData!$AH$120),"",ReferenceData!$AH$120),"")</f>
        <v/>
      </c>
      <c r="AI120" t="str">
        <f ca="1">IFERROR(IF(0=LEN(ReferenceData!$AI$120),"",ReferenceData!$AI$120),"")</f>
        <v/>
      </c>
      <c r="AJ120">
        <f ca="1">IFERROR(IF(0=LEN(ReferenceData!$AJ$120),"",ReferenceData!$AJ$120),"")</f>
        <v>7.2851857979999997</v>
      </c>
      <c r="AK120" t="str">
        <f ca="1">IFERROR(IF(0=LEN(ReferenceData!$AK$120),"",ReferenceData!$AK$120),"")</f>
        <v/>
      </c>
      <c r="AL120" t="str">
        <f ca="1">IFERROR(IF(0=LEN(ReferenceData!$AL$120),"",ReferenceData!$AL$120),"")</f>
        <v/>
      </c>
      <c r="AM120">
        <f ca="1">IFERROR(IF(0=LEN(ReferenceData!$AM$120),"",ReferenceData!$AM$120),"")</f>
        <v>7.0840919400000004</v>
      </c>
      <c r="AN120" t="str">
        <f ca="1">IFERROR(IF(0=LEN(ReferenceData!$AN$120),"",ReferenceData!$AN$120),"")</f>
        <v/>
      </c>
      <c r="AO120" t="str">
        <f ca="1">IFERROR(IF(0=LEN(ReferenceData!$AO$120),"",ReferenceData!$AO$120),"")</f>
        <v/>
      </c>
      <c r="AP120">
        <f ca="1">IFERROR(IF(0=LEN(ReferenceData!$AP$120),"",ReferenceData!$AP$120),"")</f>
        <v>6.9157488159999998</v>
      </c>
      <c r="AQ120" t="str">
        <f ca="1">IFERROR(IF(0=LEN(ReferenceData!$AQ$120),"",ReferenceData!$AQ$120),"")</f>
        <v/>
      </c>
      <c r="AR120" t="str">
        <f ca="1">IFERROR(IF(0=LEN(ReferenceData!$AR$120),"",ReferenceData!$AR$120),"")</f>
        <v/>
      </c>
      <c r="AS120">
        <f ca="1">IFERROR(IF(0=LEN(ReferenceData!$AS$120),"",ReferenceData!$AS$120),"")</f>
        <v>6.787102634</v>
      </c>
      <c r="AT120" t="str">
        <f ca="1">IFERROR(IF(0=LEN(ReferenceData!$AT$120),"",ReferenceData!$AT$120),"")</f>
        <v/>
      </c>
      <c r="AU120" t="str">
        <f ca="1">IFERROR(IF(0=LEN(ReferenceData!$AU$120),"",ReferenceData!$AU$120),"")</f>
        <v/>
      </c>
      <c r="AV120">
        <f ca="1">IFERROR(IF(0=LEN(ReferenceData!$AV$120),"",ReferenceData!$AV$120),"")</f>
        <v>6.6570724309999996</v>
      </c>
      <c r="AW120" t="str">
        <f ca="1">IFERROR(IF(0=LEN(ReferenceData!$AW$120),"",ReferenceData!$AW$120),"")</f>
        <v/>
      </c>
      <c r="AX120" t="str">
        <f ca="1">IFERROR(IF(0=LEN(ReferenceData!$AX$120),"",ReferenceData!$AX$120),"")</f>
        <v/>
      </c>
      <c r="AY120">
        <f ca="1">IFERROR(IF(0=LEN(ReferenceData!$AY$120),"",ReferenceData!$AY$120),"")</f>
        <v>6.558514626</v>
      </c>
      <c r="AZ120" t="str">
        <f ca="1">IFERROR(IF(0=LEN(ReferenceData!$AZ$120),"",ReferenceData!$AZ$120),"")</f>
        <v/>
      </c>
      <c r="BA120" t="str">
        <f ca="1">IFERROR(IF(0=LEN(ReferenceData!$BA$120),"",ReferenceData!$BA$120),"")</f>
        <v/>
      </c>
      <c r="BB120">
        <f ca="1">IFERROR(IF(0=LEN(ReferenceData!$BB$120),"",ReferenceData!$BB$120),"")</f>
        <v>6.4757652319999996</v>
      </c>
      <c r="BC120" t="str">
        <f ca="1">IFERROR(IF(0=LEN(ReferenceData!$BC$120),"",ReferenceData!$BC$120),"")</f>
        <v/>
      </c>
      <c r="BD120" t="str">
        <f ca="1">IFERROR(IF(0=LEN(ReferenceData!$BD$120),"",ReferenceData!$BD$120),"")</f>
        <v/>
      </c>
      <c r="BE120">
        <f ca="1">IFERROR(IF(0=LEN(ReferenceData!$BE$120),"",ReferenceData!$BE$120),"")</f>
        <v>6.2102368080000003</v>
      </c>
      <c r="BF120" t="str">
        <f ca="1">IFERROR(IF(0=LEN(ReferenceData!$BF$120),"",ReferenceData!$BF$120),"")</f>
        <v/>
      </c>
      <c r="BG120" t="str">
        <f ca="1">IFERROR(IF(0=LEN(ReferenceData!$BG$120),"",ReferenceData!$BG$120),"")</f>
        <v/>
      </c>
      <c r="BH120">
        <f ca="1">IFERROR(IF(0=LEN(ReferenceData!$BH$120),"",ReferenceData!$BH$120),"")</f>
        <v>5.8742681169999997</v>
      </c>
      <c r="BI120" t="str">
        <f ca="1">IFERROR(IF(0=LEN(ReferenceData!$BI$120),"",ReferenceData!$BI$120),"")</f>
        <v/>
      </c>
      <c r="BJ120" t="str">
        <f ca="1">IFERROR(IF(0=LEN(ReferenceData!$BJ$120),"",ReferenceData!$BJ$120),"")</f>
        <v/>
      </c>
      <c r="BK120">
        <f ca="1">IFERROR(IF(0=LEN(ReferenceData!$BK$120),"",ReferenceData!$BK$120),"")</f>
        <v>5.6832106470000001</v>
      </c>
      <c r="BL120" t="str">
        <f ca="1">IFERROR(IF(0=LEN(ReferenceData!$BL$120),"",ReferenceData!$BL$120),"")</f>
        <v/>
      </c>
      <c r="BM120" t="str">
        <f ca="1">IFERROR(IF(0=LEN(ReferenceData!$BM$120),"",ReferenceData!$BM$120),"")</f>
        <v/>
      </c>
      <c r="BN120">
        <f ca="1">IFERROR(IF(0=LEN(ReferenceData!$BN$120),"",ReferenceData!$BN$120),"")</f>
        <v>5.4102774680000003</v>
      </c>
      <c r="BO120" t="str">
        <f ca="1">IFERROR(IF(0=LEN(ReferenceData!$BO$120),"",ReferenceData!$BO$120),"")</f>
        <v/>
      </c>
      <c r="BP120" t="str">
        <f ca="1">IFERROR(IF(0=LEN(ReferenceData!$BP$120),"",ReferenceData!$BP$120),"")</f>
        <v/>
      </c>
      <c r="BQ120">
        <f ca="1">IFERROR(IF(0=LEN(ReferenceData!$BQ$120),"",ReferenceData!$BQ$120),"")</f>
        <v>5.3251338050000001</v>
      </c>
      <c r="BR120" t="str">
        <f ca="1">IFERROR(IF(0=LEN(ReferenceData!$BR$120),"",ReferenceData!$BR$120),"")</f>
        <v/>
      </c>
      <c r="BS120" t="str">
        <f ca="1">IFERROR(IF(0=LEN(ReferenceData!$BS$120),"",ReferenceData!$BS$120),"")</f>
        <v/>
      </c>
      <c r="BT120">
        <f ca="1">IFERROR(IF(0=LEN(ReferenceData!$BT$120),"",ReferenceData!$BT$120),"")</f>
        <v>5.3205096679999997</v>
      </c>
      <c r="BU120" t="str">
        <f ca="1">IFERROR(IF(0=LEN(ReferenceData!$BU$120),"",ReferenceData!$BU$120),"")</f>
        <v/>
      </c>
      <c r="BV120" t="str">
        <f ca="1">IFERROR(IF(0=LEN(ReferenceData!$BV$120),"",ReferenceData!$BV$120),"")</f>
        <v/>
      </c>
      <c r="BW120">
        <f ca="1">IFERROR(IF(0=LEN(ReferenceData!$BW$120),"",ReferenceData!$BW$120),"")</f>
        <v>5.0524862969999997</v>
      </c>
      <c r="BX120" t="str">
        <f ca="1">IFERROR(IF(0=LEN(ReferenceData!$BX$120),"",ReferenceData!$BX$120),"")</f>
        <v/>
      </c>
      <c r="BY120" t="str">
        <f ca="1">IFERROR(IF(0=LEN(ReferenceData!$BY$120),"",ReferenceData!$BY$120),"")</f>
        <v/>
      </c>
      <c r="BZ120">
        <f ca="1">IFERROR(IF(0=LEN(ReferenceData!$BZ$120),"",ReferenceData!$BZ$120),"")</f>
        <v>4.8522897069999997</v>
      </c>
      <c r="CA120" t="str">
        <f ca="1">IFERROR(IF(0=LEN(ReferenceData!$CA$120),"",ReferenceData!$CA$120),"")</f>
        <v/>
      </c>
      <c r="CB120" t="str">
        <f ca="1">IFERROR(IF(0=LEN(ReferenceData!$CB$120),"",ReferenceData!$CB$120),"")</f>
        <v/>
      </c>
      <c r="CC120">
        <f ca="1">IFERROR(IF(0=LEN(ReferenceData!$CC$120),"",ReferenceData!$CC$120),"")</f>
        <v>4.6523856690000001</v>
      </c>
      <c r="CD120" t="str">
        <f ca="1">IFERROR(IF(0=LEN(ReferenceData!$CD$120),"",ReferenceData!$CD$120),"")</f>
        <v/>
      </c>
      <c r="CE120" t="str">
        <f ca="1">IFERROR(IF(0=LEN(ReferenceData!$CE$120),"",ReferenceData!$CE$120),"")</f>
        <v/>
      </c>
      <c r="CF120">
        <f ca="1">IFERROR(IF(0=LEN(ReferenceData!$CF$120),"",ReferenceData!$CF$120),"")</f>
        <v>4.3954037269999997</v>
      </c>
      <c r="CG120" t="str">
        <f ca="1">IFERROR(IF(0=LEN(ReferenceData!$CG$120),"",ReferenceData!$CG$120),"")</f>
        <v/>
      </c>
      <c r="CH120" t="str">
        <f ca="1">IFERROR(IF(0=LEN(ReferenceData!$CH$120),"",ReferenceData!$CH$120),"")</f>
        <v/>
      </c>
      <c r="CI120">
        <f ca="1">IFERROR(IF(0=LEN(ReferenceData!$CI$120),"",ReferenceData!$CI$120),"")</f>
        <v>4.2106984929999998</v>
      </c>
      <c r="CJ120" t="str">
        <f ca="1">IFERROR(IF(0=LEN(ReferenceData!$CJ$120),"",ReferenceData!$CJ$120),"")</f>
        <v/>
      </c>
      <c r="CK120" t="str">
        <f ca="1">IFERROR(IF(0=LEN(ReferenceData!$CK$120),"",ReferenceData!$CK$120),"")</f>
        <v/>
      </c>
    </row>
    <row r="121" spans="1:89">
      <c r="A121" t="str">
        <f>IFERROR(IF(0=LEN(ReferenceData!$A$121),"",ReferenceData!$A$121),"")</f>
        <v xml:space="preserve">    Camden 房地产信托公司</v>
      </c>
      <c r="B121" t="str">
        <f>IFERROR(IF(0=LEN(ReferenceData!$B$121),"",ReferenceData!$B$121),"")</f>
        <v>CPT US Equity</v>
      </c>
      <c r="C121" t="str">
        <f>IFERROR(IF(0=LEN(ReferenceData!$C$121),"",ReferenceData!$C$121),"")</f>
        <v>F0894</v>
      </c>
      <c r="D121" t="str">
        <f>IFERROR(IF(0=LEN(ReferenceData!$D$121),"",ReferenceData!$D$121),"")</f>
        <v>TRAILING_12_MONTHS_AFFOPS</v>
      </c>
      <c r="E121" t="str">
        <f>IFERROR(IF(0=LEN(ReferenceData!$E$121),"",ReferenceData!$E$121),"")</f>
        <v>动态</v>
      </c>
      <c r="F121" t="str">
        <f ca="1">IFERROR(IF(0=LEN(ReferenceData!$F$121),"",ReferenceData!$F$121),"")</f>
        <v/>
      </c>
      <c r="G121" t="str">
        <f ca="1">IFERROR(IF(0=LEN(ReferenceData!$G$121),"",ReferenceData!$G$121),"")</f>
        <v/>
      </c>
      <c r="H121" t="str">
        <f ca="1">IFERROR(IF(0=LEN(ReferenceData!$H$121),"",ReferenceData!$H$121),"")</f>
        <v/>
      </c>
      <c r="I121">
        <f ca="1">IFERROR(IF(0=LEN(ReferenceData!$I$121),"",ReferenceData!$I$121),"")</f>
        <v>4.5292542649999996</v>
      </c>
      <c r="J121" t="str">
        <f ca="1">IFERROR(IF(0=LEN(ReferenceData!$J$121),"",ReferenceData!$J$121),"")</f>
        <v/>
      </c>
      <c r="K121" t="str">
        <f ca="1">IFERROR(IF(0=LEN(ReferenceData!$K$121),"",ReferenceData!$K$121),"")</f>
        <v/>
      </c>
      <c r="L121">
        <f ca="1">IFERROR(IF(0=LEN(ReferenceData!$L$121),"",ReferenceData!$L$121),"")</f>
        <v>4.4972740089999999</v>
      </c>
      <c r="M121" t="str">
        <f ca="1">IFERROR(IF(0=LEN(ReferenceData!$M$121),"",ReferenceData!$M$121),"")</f>
        <v/>
      </c>
      <c r="N121" t="str">
        <f ca="1">IFERROR(IF(0=LEN(ReferenceData!$N$121),"",ReferenceData!$N$121),"")</f>
        <v/>
      </c>
      <c r="O121">
        <f ca="1">IFERROR(IF(0=LEN(ReferenceData!$O$121),"",ReferenceData!$O$121),"")</f>
        <v>4.523236077</v>
      </c>
      <c r="P121" t="str">
        <f ca="1">IFERROR(IF(0=LEN(ReferenceData!$P$121),"",ReferenceData!$P$121),"")</f>
        <v/>
      </c>
      <c r="Q121" t="str">
        <f ca="1">IFERROR(IF(0=LEN(ReferenceData!$Q$121),"",ReferenceData!$Q$121),"")</f>
        <v/>
      </c>
      <c r="R121">
        <f ca="1">IFERROR(IF(0=LEN(ReferenceData!$R$121),"",ReferenceData!$R$121),"")</f>
        <v>4.5234656449999999</v>
      </c>
      <c r="S121" t="str">
        <f ca="1">IFERROR(IF(0=LEN(ReferenceData!$S$121),"",ReferenceData!$S$121),"")</f>
        <v/>
      </c>
      <c r="T121" t="str">
        <f ca="1">IFERROR(IF(0=LEN(ReferenceData!$T$121),"",ReferenceData!$T$121),"")</f>
        <v/>
      </c>
      <c r="U121">
        <f ca="1">IFERROR(IF(0=LEN(ReferenceData!$U$121),"",ReferenceData!$U$121),"")</f>
        <v>4.6351602669999998</v>
      </c>
      <c r="V121" t="str">
        <f ca="1">IFERROR(IF(0=LEN(ReferenceData!$V$121),"",ReferenceData!$V$121),"")</f>
        <v/>
      </c>
      <c r="W121" t="str">
        <f ca="1">IFERROR(IF(0=LEN(ReferenceData!$W$121),"",ReferenceData!$W$121),"")</f>
        <v/>
      </c>
      <c r="X121">
        <f ca="1">IFERROR(IF(0=LEN(ReferenceData!$X$121),"",ReferenceData!$X$121),"")</f>
        <v>4.6846106809999997</v>
      </c>
      <c r="Y121" t="str">
        <f ca="1">IFERROR(IF(0=LEN(ReferenceData!$Y$121),"",ReferenceData!$Y$121),"")</f>
        <v/>
      </c>
      <c r="Z121" t="str">
        <f ca="1">IFERROR(IF(0=LEN(ReferenceData!$Z$121),"",ReferenceData!$Z$121),"")</f>
        <v/>
      </c>
      <c r="AA121">
        <f ca="1">IFERROR(IF(0=LEN(ReferenceData!$AA$121),"",ReferenceData!$AA$121),"")</f>
        <v>4.691725194</v>
      </c>
      <c r="AB121" t="str">
        <f ca="1">IFERROR(IF(0=LEN(ReferenceData!$AB$121),"",ReferenceData!$AB$121),"")</f>
        <v/>
      </c>
      <c r="AC121" t="str">
        <f ca="1">IFERROR(IF(0=LEN(ReferenceData!$AC$121),"",ReferenceData!$AC$121),"")</f>
        <v/>
      </c>
      <c r="AD121">
        <f ca="1">IFERROR(IF(0=LEN(ReferenceData!$AD$121),"",ReferenceData!$AD$121),"")</f>
        <v>4.6582290659999996</v>
      </c>
      <c r="AE121" t="str">
        <f ca="1">IFERROR(IF(0=LEN(ReferenceData!$AE$121),"",ReferenceData!$AE$121),"")</f>
        <v/>
      </c>
      <c r="AF121" t="str">
        <f ca="1">IFERROR(IF(0=LEN(ReferenceData!$AF$121),"",ReferenceData!$AF$121),"")</f>
        <v/>
      </c>
      <c r="AG121">
        <f ca="1">IFERROR(IF(0=LEN(ReferenceData!$AG$121),"",ReferenceData!$AG$121),"")</f>
        <v>4.5355261220000003</v>
      </c>
      <c r="AH121" t="str">
        <f ca="1">IFERROR(IF(0=LEN(ReferenceData!$AH$121),"",ReferenceData!$AH$121),"")</f>
        <v/>
      </c>
      <c r="AI121" t="str">
        <f ca="1">IFERROR(IF(0=LEN(ReferenceData!$AI$121),"",ReferenceData!$AI$121),"")</f>
        <v/>
      </c>
      <c r="AJ121">
        <f ca="1">IFERROR(IF(0=LEN(ReferenceData!$AJ$121),"",ReferenceData!$AJ$121),"")</f>
        <v>4.4399502999999996</v>
      </c>
      <c r="AK121" t="str">
        <f ca="1">IFERROR(IF(0=LEN(ReferenceData!$AK$121),"",ReferenceData!$AK$121),"")</f>
        <v/>
      </c>
      <c r="AL121" t="str">
        <f ca="1">IFERROR(IF(0=LEN(ReferenceData!$AL$121),"",ReferenceData!$AL$121),"")</f>
        <v/>
      </c>
      <c r="AM121">
        <f ca="1">IFERROR(IF(0=LEN(ReferenceData!$AM$121),"",ReferenceData!$AM$121),"")</f>
        <v>4.3701434389999996</v>
      </c>
      <c r="AN121" t="str">
        <f ca="1">IFERROR(IF(0=LEN(ReferenceData!$AN$121),"",ReferenceData!$AN$121),"")</f>
        <v/>
      </c>
      <c r="AO121" t="str">
        <f ca="1">IFERROR(IF(0=LEN(ReferenceData!$AO$121),"",ReferenceData!$AO$121),"")</f>
        <v/>
      </c>
      <c r="AP121">
        <f ca="1">IFERROR(IF(0=LEN(ReferenceData!$AP$121),"",ReferenceData!$AP$121),"")</f>
        <v>4.2953026760000004</v>
      </c>
      <c r="AQ121" t="str">
        <f ca="1">IFERROR(IF(0=LEN(ReferenceData!$AQ$121),"",ReferenceData!$AQ$121),"")</f>
        <v/>
      </c>
      <c r="AR121" t="str">
        <f ca="1">IFERROR(IF(0=LEN(ReferenceData!$AR$121),"",ReferenceData!$AR$121),"")</f>
        <v/>
      </c>
      <c r="AS121">
        <f ca="1">IFERROR(IF(0=LEN(ReferenceData!$AS$121),"",ReferenceData!$AS$121),"")</f>
        <v>4.2661342539999998</v>
      </c>
      <c r="AT121" t="str">
        <f ca="1">IFERROR(IF(0=LEN(ReferenceData!$AT$121),"",ReferenceData!$AT$121),"")</f>
        <v/>
      </c>
      <c r="AU121" t="str">
        <f ca="1">IFERROR(IF(0=LEN(ReferenceData!$AU$121),"",ReferenceData!$AU$121),"")</f>
        <v/>
      </c>
      <c r="AV121">
        <f ca="1">IFERROR(IF(0=LEN(ReferenceData!$AV$121),"",ReferenceData!$AV$121),"")</f>
        <v>4.2436758680000004</v>
      </c>
      <c r="AW121" t="str">
        <f ca="1">IFERROR(IF(0=LEN(ReferenceData!$AW$121),"",ReferenceData!$AW$121),"")</f>
        <v/>
      </c>
      <c r="AX121" t="str">
        <f ca="1">IFERROR(IF(0=LEN(ReferenceData!$AX$121),"",ReferenceData!$AX$121),"")</f>
        <v/>
      </c>
      <c r="AY121">
        <f ca="1">IFERROR(IF(0=LEN(ReferenceData!$AY$121),"",ReferenceData!$AY$121),"")</f>
        <v>4.211477651</v>
      </c>
      <c r="AZ121" t="str">
        <f ca="1">IFERROR(IF(0=LEN(ReferenceData!$AZ$121),"",ReferenceData!$AZ$121),"")</f>
        <v/>
      </c>
      <c r="BA121" t="str">
        <f ca="1">IFERROR(IF(0=LEN(ReferenceData!$BA$121),"",ReferenceData!$BA$121),"")</f>
        <v/>
      </c>
      <c r="BB121">
        <f ca="1">IFERROR(IF(0=LEN(ReferenceData!$BB$121),"",ReferenceData!$BB$121),"")</f>
        <v>4.1902195799999999</v>
      </c>
      <c r="BC121" t="str">
        <f ca="1">IFERROR(IF(0=LEN(ReferenceData!$BC$121),"",ReferenceData!$BC$121),"")</f>
        <v/>
      </c>
      <c r="BD121" t="str">
        <f ca="1">IFERROR(IF(0=LEN(ReferenceData!$BD$121),"",ReferenceData!$BD$121),"")</f>
        <v/>
      </c>
      <c r="BE121">
        <f ca="1">IFERROR(IF(0=LEN(ReferenceData!$BE$121),"",ReferenceData!$BE$121),"")</f>
        <v>4.1035253210000002</v>
      </c>
      <c r="BF121" t="str">
        <f ca="1">IFERROR(IF(0=LEN(ReferenceData!$BF$121),"",ReferenceData!$BF$121),"")</f>
        <v/>
      </c>
      <c r="BG121" t="str">
        <f ca="1">IFERROR(IF(0=LEN(ReferenceData!$BG$121),"",ReferenceData!$BG$121),"")</f>
        <v/>
      </c>
      <c r="BH121">
        <f ca="1">IFERROR(IF(0=LEN(ReferenceData!$BH$121),"",ReferenceData!$BH$121),"")</f>
        <v>3.9895490100000002</v>
      </c>
      <c r="BI121" t="str">
        <f ca="1">IFERROR(IF(0=LEN(ReferenceData!$BI$121),"",ReferenceData!$BI$121),"")</f>
        <v/>
      </c>
      <c r="BJ121" t="str">
        <f ca="1">IFERROR(IF(0=LEN(ReferenceData!$BJ$121),"",ReferenceData!$BJ$121),"")</f>
        <v/>
      </c>
      <c r="BK121">
        <f ca="1">IFERROR(IF(0=LEN(ReferenceData!$BK$121),"",ReferenceData!$BK$121),"")</f>
        <v>3.8779463359999999</v>
      </c>
      <c r="BL121" t="str">
        <f ca="1">IFERROR(IF(0=LEN(ReferenceData!$BL$121),"",ReferenceData!$BL$121),"")</f>
        <v/>
      </c>
      <c r="BM121" t="str">
        <f ca="1">IFERROR(IF(0=LEN(ReferenceData!$BM$121),"",ReferenceData!$BM$121),"")</f>
        <v/>
      </c>
      <c r="BN121">
        <f ca="1">IFERROR(IF(0=LEN(ReferenceData!$BN$121),"",ReferenceData!$BN$121),"")</f>
        <v>3.7481125419999999</v>
      </c>
      <c r="BO121" t="str">
        <f ca="1">IFERROR(IF(0=LEN(ReferenceData!$BO$121),"",ReferenceData!$BO$121),"")</f>
        <v/>
      </c>
      <c r="BP121" t="str">
        <f ca="1">IFERROR(IF(0=LEN(ReferenceData!$BP$121),"",ReferenceData!$BP$121),"")</f>
        <v/>
      </c>
      <c r="BQ121">
        <f ca="1">IFERROR(IF(0=LEN(ReferenceData!$BQ$121),"",ReferenceData!$BQ$121),"")</f>
        <v>3.6123317469999998</v>
      </c>
      <c r="BR121" t="str">
        <f ca="1">IFERROR(IF(0=LEN(ReferenceData!$BR$121),"",ReferenceData!$BR$121),"")</f>
        <v/>
      </c>
      <c r="BS121" t="str">
        <f ca="1">IFERROR(IF(0=LEN(ReferenceData!$BS$121),"",ReferenceData!$BS$121),"")</f>
        <v/>
      </c>
      <c r="BT121">
        <f ca="1">IFERROR(IF(0=LEN(ReferenceData!$BT$121),"",ReferenceData!$BT$121),"")</f>
        <v>3.485170246</v>
      </c>
      <c r="BU121" t="str">
        <f ca="1">IFERROR(IF(0=LEN(ReferenceData!$BU$121),"",ReferenceData!$BU$121),"")</f>
        <v/>
      </c>
      <c r="BV121" t="str">
        <f ca="1">IFERROR(IF(0=LEN(ReferenceData!$BV$121),"",ReferenceData!$BV$121),"")</f>
        <v/>
      </c>
      <c r="BW121">
        <f ca="1">IFERROR(IF(0=LEN(ReferenceData!$BW$121),"",ReferenceData!$BW$121),"")</f>
        <v>3.3262657400000002</v>
      </c>
      <c r="BX121" t="str">
        <f ca="1">IFERROR(IF(0=LEN(ReferenceData!$BX$121),"",ReferenceData!$BX$121),"")</f>
        <v/>
      </c>
      <c r="BY121" t="str">
        <f ca="1">IFERROR(IF(0=LEN(ReferenceData!$BY$121),"",ReferenceData!$BY$121),"")</f>
        <v/>
      </c>
      <c r="BZ121">
        <f ca="1">IFERROR(IF(0=LEN(ReferenceData!$BZ$121),"",ReferenceData!$BZ$121),"")</f>
        <v>2.8368957969999999</v>
      </c>
      <c r="CA121" t="str">
        <f ca="1">IFERROR(IF(0=LEN(ReferenceData!$CA$121),"",ReferenceData!$CA$121),"")</f>
        <v/>
      </c>
      <c r="CB121" t="str">
        <f ca="1">IFERROR(IF(0=LEN(ReferenceData!$CB$121),"",ReferenceData!$CB$121),"")</f>
        <v/>
      </c>
      <c r="CC121">
        <f ca="1">IFERROR(IF(0=LEN(ReferenceData!$CC$121),"",ReferenceData!$CC$121),"")</f>
        <v>2.7303808140000001</v>
      </c>
      <c r="CD121" t="str">
        <f ca="1">IFERROR(IF(0=LEN(ReferenceData!$CD$121),"",ReferenceData!$CD$121),"")</f>
        <v/>
      </c>
      <c r="CE121" t="str">
        <f ca="1">IFERROR(IF(0=LEN(ReferenceData!$CE$121),"",ReferenceData!$CE$121),"")</f>
        <v/>
      </c>
      <c r="CF121">
        <f ca="1">IFERROR(IF(0=LEN(ReferenceData!$CF$121),"",ReferenceData!$CF$121),"")</f>
        <v>2.6360405</v>
      </c>
      <c r="CG121" t="str">
        <f ca="1">IFERROR(IF(0=LEN(ReferenceData!$CG$121),"",ReferenceData!$CG$121),"")</f>
        <v/>
      </c>
      <c r="CH121" t="str">
        <f ca="1">IFERROR(IF(0=LEN(ReferenceData!$CH$121),"",ReferenceData!$CH$121),"")</f>
        <v/>
      </c>
      <c r="CI121">
        <f ca="1">IFERROR(IF(0=LEN(ReferenceData!$CI$121),"",ReferenceData!$CI$121),"")</f>
        <v>2.515369545</v>
      </c>
      <c r="CJ121" t="str">
        <f ca="1">IFERROR(IF(0=LEN(ReferenceData!$CJ$121),"",ReferenceData!$CJ$121),"")</f>
        <v/>
      </c>
      <c r="CK121" t="str">
        <f ca="1">IFERROR(IF(0=LEN(ReferenceData!$CK$121),"",ReferenceData!$CK$121),"")</f>
        <v/>
      </c>
    </row>
    <row r="122" spans="1:89">
      <c r="A122" t="str">
        <f>IFERROR(IF(0=LEN(ReferenceData!$A$122),"",ReferenceData!$A$122),"")</f>
        <v xml:space="preserve">    公寓物业权益信托</v>
      </c>
      <c r="B122" t="str">
        <f>IFERROR(IF(0=LEN(ReferenceData!$B$122),"",ReferenceData!$B$122),"")</f>
        <v>EQR US Equity</v>
      </c>
      <c r="C122" t="str">
        <f>IFERROR(IF(0=LEN(ReferenceData!$C$122),"",ReferenceData!$C$122),"")</f>
        <v>F0894</v>
      </c>
      <c r="D122" t="str">
        <f>IFERROR(IF(0=LEN(ReferenceData!$D$122),"",ReferenceData!$D$122),"")</f>
        <v>TRAILING_12_MONTHS_AFFOPS</v>
      </c>
      <c r="E122" t="str">
        <f>IFERROR(IF(0=LEN(ReferenceData!$E$122),"",ReferenceData!$E$122),"")</f>
        <v>动态</v>
      </c>
      <c r="F122" t="str">
        <f ca="1">IFERROR(IF(0=LEN(ReferenceData!$F$122),"",ReferenceData!$F$122),"")</f>
        <v/>
      </c>
      <c r="G122" t="str">
        <f ca="1">IFERROR(IF(0=LEN(ReferenceData!$G$122),"",ReferenceData!$G$122),"")</f>
        <v/>
      </c>
      <c r="H122" t="str">
        <f ca="1">IFERROR(IF(0=LEN(ReferenceData!$H$122),"",ReferenceData!$H$122),"")</f>
        <v/>
      </c>
      <c r="I122">
        <f ca="1">IFERROR(IF(0=LEN(ReferenceData!$I$122),"",ReferenceData!$I$122),"")</f>
        <v>3.1330675179999998</v>
      </c>
      <c r="J122" t="str">
        <f ca="1">IFERROR(IF(0=LEN(ReferenceData!$J$122),"",ReferenceData!$J$122),"")</f>
        <v/>
      </c>
      <c r="K122" t="str">
        <f ca="1">IFERROR(IF(0=LEN(ReferenceData!$K$122),"",ReferenceData!$K$122),"")</f>
        <v/>
      </c>
      <c r="L122">
        <f ca="1">IFERROR(IF(0=LEN(ReferenceData!$L$122),"",ReferenceData!$L$122),"")</f>
        <v>3.0986635009999999</v>
      </c>
      <c r="M122" t="str">
        <f ca="1">IFERROR(IF(0=LEN(ReferenceData!$M$122),"",ReferenceData!$M$122),"")</f>
        <v/>
      </c>
      <c r="N122" t="str">
        <f ca="1">IFERROR(IF(0=LEN(ReferenceData!$N$122),"",ReferenceData!$N$122),"")</f>
        <v/>
      </c>
      <c r="O122">
        <f ca="1">IFERROR(IF(0=LEN(ReferenceData!$O$122),"",ReferenceData!$O$122),"")</f>
        <v>3.0798528969999999</v>
      </c>
      <c r="P122" t="str">
        <f ca="1">IFERROR(IF(0=LEN(ReferenceData!$P$122),"",ReferenceData!$P$122),"")</f>
        <v/>
      </c>
      <c r="Q122" t="str">
        <f ca="1">IFERROR(IF(0=LEN(ReferenceData!$Q$122),"",ReferenceData!$Q$122),"")</f>
        <v/>
      </c>
      <c r="R122">
        <f ca="1">IFERROR(IF(0=LEN(ReferenceData!$R$122),"",ReferenceData!$R$122),"")</f>
        <v>3.0718686769999999</v>
      </c>
      <c r="S122" t="str">
        <f ca="1">IFERROR(IF(0=LEN(ReferenceData!$S$122),"",ReferenceData!$S$122),"")</f>
        <v/>
      </c>
      <c r="T122" t="str">
        <f ca="1">IFERROR(IF(0=LEN(ReferenceData!$T$122),"",ReferenceData!$T$122),"")</f>
        <v/>
      </c>
      <c r="U122">
        <f ca="1">IFERROR(IF(0=LEN(ReferenceData!$U$122),"",ReferenceData!$U$122),"")</f>
        <v>3.087009466</v>
      </c>
      <c r="V122" t="str">
        <f ca="1">IFERROR(IF(0=LEN(ReferenceData!$V$122),"",ReferenceData!$V$122),"")</f>
        <v/>
      </c>
      <c r="W122" t="str">
        <f ca="1">IFERROR(IF(0=LEN(ReferenceData!$W$122),"",ReferenceData!$W$122),"")</f>
        <v/>
      </c>
      <c r="X122">
        <f ca="1">IFERROR(IF(0=LEN(ReferenceData!$X$122),"",ReferenceData!$X$122),"")</f>
        <v>3.2206336019999999</v>
      </c>
      <c r="Y122" t="str">
        <f ca="1">IFERROR(IF(0=LEN(ReferenceData!$Y$122),"",ReferenceData!$Y$122),"")</f>
        <v/>
      </c>
      <c r="Z122" t="str">
        <f ca="1">IFERROR(IF(0=LEN(ReferenceData!$Z$122),"",ReferenceData!$Z$122),"")</f>
        <v/>
      </c>
      <c r="AA122">
        <f ca="1">IFERROR(IF(0=LEN(ReferenceData!$AA$122),"",ReferenceData!$AA$122),"")</f>
        <v>3.3380655460000002</v>
      </c>
      <c r="AB122" t="str">
        <f ca="1">IFERROR(IF(0=LEN(ReferenceData!$AB$122),"",ReferenceData!$AB$122),"")</f>
        <v/>
      </c>
      <c r="AC122" t="str">
        <f ca="1">IFERROR(IF(0=LEN(ReferenceData!$AC$122),"",ReferenceData!$AC$122),"")</f>
        <v/>
      </c>
      <c r="AD122">
        <f ca="1">IFERROR(IF(0=LEN(ReferenceData!$AD$122),"",ReferenceData!$AD$122),"")</f>
        <v>3.4329382160000002</v>
      </c>
      <c r="AE122" t="str">
        <f ca="1">IFERROR(IF(0=LEN(ReferenceData!$AE$122),"",ReferenceData!$AE$122),"")</f>
        <v/>
      </c>
      <c r="AF122" t="str">
        <f ca="1">IFERROR(IF(0=LEN(ReferenceData!$AF$122),"",ReferenceData!$AF$122),"")</f>
        <v/>
      </c>
      <c r="AG122">
        <f ca="1">IFERROR(IF(0=LEN(ReferenceData!$AG$122),"",ReferenceData!$AG$122),"")</f>
        <v>3.4617871509999998</v>
      </c>
      <c r="AH122" t="str">
        <f ca="1">IFERROR(IF(0=LEN(ReferenceData!$AH$122),"",ReferenceData!$AH$122),"")</f>
        <v/>
      </c>
      <c r="AI122" t="str">
        <f ca="1">IFERROR(IF(0=LEN(ReferenceData!$AI$122),"",ReferenceData!$AI$122),"")</f>
        <v/>
      </c>
      <c r="AJ122">
        <f ca="1">IFERROR(IF(0=LEN(ReferenceData!$AJ$122),"",ReferenceData!$AJ$122),"")</f>
        <v>3.3953174179999999</v>
      </c>
      <c r="AK122" t="str">
        <f ca="1">IFERROR(IF(0=LEN(ReferenceData!$AK$122),"",ReferenceData!$AK$122),"")</f>
        <v/>
      </c>
      <c r="AL122" t="str">
        <f ca="1">IFERROR(IF(0=LEN(ReferenceData!$AL$122),"",ReferenceData!$AL$122),"")</f>
        <v/>
      </c>
      <c r="AM122">
        <f ca="1">IFERROR(IF(0=LEN(ReferenceData!$AM$122),"",ReferenceData!$AM$122),"")</f>
        <v>3.3187490689999999</v>
      </c>
      <c r="AN122" t="str">
        <f ca="1">IFERROR(IF(0=LEN(ReferenceData!$AN$122),"",ReferenceData!$AN$122),"")</f>
        <v/>
      </c>
      <c r="AO122" t="str">
        <f ca="1">IFERROR(IF(0=LEN(ReferenceData!$AO$122),"",ReferenceData!$AO$122),"")</f>
        <v/>
      </c>
      <c r="AP122">
        <f ca="1">IFERROR(IF(0=LEN(ReferenceData!$AP$122),"",ReferenceData!$AP$122),"")</f>
        <v>3.2484962400000001</v>
      </c>
      <c r="AQ122" t="str">
        <f ca="1">IFERROR(IF(0=LEN(ReferenceData!$AQ$122),"",ReferenceData!$AQ$122),"")</f>
        <v/>
      </c>
      <c r="AR122" t="str">
        <f ca="1">IFERROR(IF(0=LEN(ReferenceData!$AR$122),"",ReferenceData!$AR$122),"")</f>
        <v/>
      </c>
      <c r="AS122">
        <f ca="1">IFERROR(IF(0=LEN(ReferenceData!$AS$122),"",ReferenceData!$AS$122),"")</f>
        <v>3.1681338220000002</v>
      </c>
      <c r="AT122" t="str">
        <f ca="1">IFERROR(IF(0=LEN(ReferenceData!$AT$122),"",ReferenceData!$AT$122),"")</f>
        <v/>
      </c>
      <c r="AU122" t="str">
        <f ca="1">IFERROR(IF(0=LEN(ReferenceData!$AU$122),"",ReferenceData!$AU$122),"")</f>
        <v/>
      </c>
      <c r="AV122">
        <f ca="1">IFERROR(IF(0=LEN(ReferenceData!$AV$122),"",ReferenceData!$AV$122),"")</f>
        <v>3.0772017790000001</v>
      </c>
      <c r="AW122" t="str">
        <f ca="1">IFERROR(IF(0=LEN(ReferenceData!$AW$122),"",ReferenceData!$AW$122),"")</f>
        <v/>
      </c>
      <c r="AX122" t="str">
        <f ca="1">IFERROR(IF(0=LEN(ReferenceData!$AX$122),"",ReferenceData!$AX$122),"")</f>
        <v/>
      </c>
      <c r="AY122">
        <f ca="1">IFERROR(IF(0=LEN(ReferenceData!$AY$122),"",ReferenceData!$AY$122),"")</f>
        <v>2.9899466019999998</v>
      </c>
      <c r="AZ122" t="str">
        <f ca="1">IFERROR(IF(0=LEN(ReferenceData!$AZ$122),"",ReferenceData!$AZ$122),"")</f>
        <v/>
      </c>
      <c r="BA122" t="str">
        <f ca="1">IFERROR(IF(0=LEN(ReferenceData!$BA$122),"",ReferenceData!$BA$122),"")</f>
        <v/>
      </c>
      <c r="BB122">
        <f ca="1">IFERROR(IF(0=LEN(ReferenceData!$BB$122),"",ReferenceData!$BB$122),"")</f>
        <v>2.916343313</v>
      </c>
      <c r="BC122" t="str">
        <f ca="1">IFERROR(IF(0=LEN(ReferenceData!$BC$122),"",ReferenceData!$BC$122),"")</f>
        <v/>
      </c>
      <c r="BD122" t="str">
        <f ca="1">IFERROR(IF(0=LEN(ReferenceData!$BD$122),"",ReferenceData!$BD$122),"")</f>
        <v/>
      </c>
      <c r="BE122">
        <f ca="1">IFERROR(IF(0=LEN(ReferenceData!$BE$122),"",ReferenceData!$BE$122),"")</f>
        <v>2.850051815</v>
      </c>
      <c r="BF122" t="str">
        <f ca="1">IFERROR(IF(0=LEN(ReferenceData!$BF$122),"",ReferenceData!$BF$122),"")</f>
        <v/>
      </c>
      <c r="BG122" t="str">
        <f ca="1">IFERROR(IF(0=LEN(ReferenceData!$BG$122),"",ReferenceData!$BG$122),"")</f>
        <v/>
      </c>
      <c r="BH122">
        <f ca="1">IFERROR(IF(0=LEN(ReferenceData!$BH$122),"",ReferenceData!$BH$122),"")</f>
        <v>2.8269439589999998</v>
      </c>
      <c r="BI122" t="str">
        <f ca="1">IFERROR(IF(0=LEN(ReferenceData!$BI$122),"",ReferenceData!$BI$122),"")</f>
        <v/>
      </c>
      <c r="BJ122" t="str">
        <f ca="1">IFERROR(IF(0=LEN(ReferenceData!$BJ$122),"",ReferenceData!$BJ$122),"")</f>
        <v/>
      </c>
      <c r="BK122">
        <f ca="1">IFERROR(IF(0=LEN(ReferenceData!$BK$122),"",ReferenceData!$BK$122),"")</f>
        <v>2.8255289029999999</v>
      </c>
      <c r="BL122" t="str">
        <f ca="1">IFERROR(IF(0=LEN(ReferenceData!$BL$122),"",ReferenceData!$BL$122),"")</f>
        <v/>
      </c>
      <c r="BM122" t="str">
        <f ca="1">IFERROR(IF(0=LEN(ReferenceData!$BM$122),"",ReferenceData!$BM$122),"")</f>
        <v/>
      </c>
      <c r="BN122">
        <f ca="1">IFERROR(IF(0=LEN(ReferenceData!$BN$122),"",ReferenceData!$BN$122),"")</f>
        <v>2.791402009</v>
      </c>
      <c r="BO122" t="str">
        <f ca="1">IFERROR(IF(0=LEN(ReferenceData!$BO$122),"",ReferenceData!$BO$122),"")</f>
        <v/>
      </c>
      <c r="BP122" t="str">
        <f ca="1">IFERROR(IF(0=LEN(ReferenceData!$BP$122),"",ReferenceData!$BP$122),"")</f>
        <v/>
      </c>
      <c r="BQ122">
        <f ca="1">IFERROR(IF(0=LEN(ReferenceData!$BQ$122),"",ReferenceData!$BQ$122),"")</f>
        <v>2.7604978359999999</v>
      </c>
      <c r="BR122" t="str">
        <f ca="1">IFERROR(IF(0=LEN(ReferenceData!$BR$122),"",ReferenceData!$BR$122),"")</f>
        <v/>
      </c>
      <c r="BS122" t="str">
        <f ca="1">IFERROR(IF(0=LEN(ReferenceData!$BS$122),"",ReferenceData!$BS$122),"")</f>
        <v/>
      </c>
      <c r="BT122">
        <f ca="1">IFERROR(IF(0=LEN(ReferenceData!$BT$122),"",ReferenceData!$BT$122),"")</f>
        <v>2.6692326510000002</v>
      </c>
      <c r="BU122" t="str">
        <f ca="1">IFERROR(IF(0=LEN(ReferenceData!$BU$122),"",ReferenceData!$BU$122),"")</f>
        <v/>
      </c>
      <c r="BV122" t="str">
        <f ca="1">IFERROR(IF(0=LEN(ReferenceData!$BV$122),"",ReferenceData!$BV$122),"")</f>
        <v/>
      </c>
      <c r="BW122">
        <f ca="1">IFERROR(IF(0=LEN(ReferenceData!$BW$122),"",ReferenceData!$BW$122),"")</f>
        <v>2.5570832210000001</v>
      </c>
      <c r="BX122" t="str">
        <f ca="1">IFERROR(IF(0=LEN(ReferenceData!$BX$122),"",ReferenceData!$BX$122),"")</f>
        <v/>
      </c>
      <c r="BY122" t="str">
        <f ca="1">IFERROR(IF(0=LEN(ReferenceData!$BY$122),"",ReferenceData!$BY$122),"")</f>
        <v/>
      </c>
      <c r="BZ122">
        <f ca="1">IFERROR(IF(0=LEN(ReferenceData!$BZ$122),"",ReferenceData!$BZ$122),"")</f>
        <v>2.4782912430000001</v>
      </c>
      <c r="CA122" t="str">
        <f ca="1">IFERROR(IF(0=LEN(ReferenceData!$CA$122),"",ReferenceData!$CA$122),"")</f>
        <v/>
      </c>
      <c r="CB122" t="str">
        <f ca="1">IFERROR(IF(0=LEN(ReferenceData!$CB$122),"",ReferenceData!$CB$122),"")</f>
        <v/>
      </c>
      <c r="CC122">
        <f ca="1">IFERROR(IF(0=LEN(ReferenceData!$CC$122),"",ReferenceData!$CC$122),"")</f>
        <v>2.434012214</v>
      </c>
      <c r="CD122" t="str">
        <f ca="1">IFERROR(IF(0=LEN(ReferenceData!$CD$122),"",ReferenceData!$CD$122),"")</f>
        <v/>
      </c>
      <c r="CE122" t="str">
        <f ca="1">IFERROR(IF(0=LEN(ReferenceData!$CE$122),"",ReferenceData!$CE$122),"")</f>
        <v/>
      </c>
      <c r="CF122">
        <f ca="1">IFERROR(IF(0=LEN(ReferenceData!$CF$122),"",ReferenceData!$CF$122),"")</f>
        <v>2.3868984040000001</v>
      </c>
      <c r="CG122" t="str">
        <f ca="1">IFERROR(IF(0=LEN(ReferenceData!$CG$122),"",ReferenceData!$CG$122),"")</f>
        <v/>
      </c>
      <c r="CH122" t="str">
        <f ca="1">IFERROR(IF(0=LEN(ReferenceData!$CH$122),"",ReferenceData!$CH$122),"")</f>
        <v/>
      </c>
      <c r="CI122">
        <f ca="1">IFERROR(IF(0=LEN(ReferenceData!$CI$122),"",ReferenceData!$CI$122),"")</f>
        <v>2.344019082</v>
      </c>
      <c r="CJ122" t="str">
        <f ca="1">IFERROR(IF(0=LEN(ReferenceData!$CJ$122),"",ReferenceData!$CJ$122),"")</f>
        <v/>
      </c>
      <c r="CK122" t="str">
        <f ca="1">IFERROR(IF(0=LEN(ReferenceData!$CK$122),"",ReferenceData!$CK$122),"")</f>
        <v/>
      </c>
    </row>
    <row r="123" spans="1:89">
      <c r="A123" t="str">
        <f>IFERROR(IF(0=LEN(ReferenceData!$A$123),"",ReferenceData!$A$123),"")</f>
        <v xml:space="preserve">    埃塞克斯房地产信托公司</v>
      </c>
      <c r="B123" t="str">
        <f>IFERROR(IF(0=LEN(ReferenceData!$B$123),"",ReferenceData!$B$123),"")</f>
        <v>ESS US Equity</v>
      </c>
      <c r="C123" t="str">
        <f>IFERROR(IF(0=LEN(ReferenceData!$C$123),"",ReferenceData!$C$123),"")</f>
        <v>F0894</v>
      </c>
      <c r="D123" t="str">
        <f>IFERROR(IF(0=LEN(ReferenceData!$D$123),"",ReferenceData!$D$123),"")</f>
        <v>TRAILING_12_MONTHS_AFFOPS</v>
      </c>
      <c r="E123" t="str">
        <f>IFERROR(IF(0=LEN(ReferenceData!$E$123),"",ReferenceData!$E$123),"")</f>
        <v>动态</v>
      </c>
      <c r="F123" t="str">
        <f ca="1">IFERROR(IF(0=LEN(ReferenceData!$F$123),"",ReferenceData!$F$123),"")</f>
        <v/>
      </c>
      <c r="G123" t="str">
        <f ca="1">IFERROR(IF(0=LEN(ReferenceData!$G$123),"",ReferenceData!$G$123),"")</f>
        <v/>
      </c>
      <c r="H123" t="str">
        <f ca="1">IFERROR(IF(0=LEN(ReferenceData!$H$123),"",ReferenceData!$H$123),"")</f>
        <v/>
      </c>
      <c r="I123">
        <f ca="1">IFERROR(IF(0=LEN(ReferenceData!$I$123),"",ReferenceData!$I$123),"")</f>
        <v>11.906134099999999</v>
      </c>
      <c r="J123" t="str">
        <f ca="1">IFERROR(IF(0=LEN(ReferenceData!$J$123),"",ReferenceData!$J$123),"")</f>
        <v/>
      </c>
      <c r="K123" t="str">
        <f ca="1">IFERROR(IF(0=LEN(ReferenceData!$K$123),"",ReferenceData!$K$123),"")</f>
        <v/>
      </c>
      <c r="L123">
        <f ca="1">IFERROR(IF(0=LEN(ReferenceData!$L$123),"",ReferenceData!$L$123),"")</f>
        <v>11.70466444</v>
      </c>
      <c r="M123" t="str">
        <f ca="1">IFERROR(IF(0=LEN(ReferenceData!$M$123),"",ReferenceData!$M$123),"")</f>
        <v/>
      </c>
      <c r="N123" t="str">
        <f ca="1">IFERROR(IF(0=LEN(ReferenceData!$N$123),"",ReferenceData!$N$123),"")</f>
        <v/>
      </c>
      <c r="O123">
        <f ca="1">IFERROR(IF(0=LEN(ReferenceData!$O$123),"",ReferenceData!$O$123),"")</f>
        <v>11.525476299999999</v>
      </c>
      <c r="P123" t="str">
        <f ca="1">IFERROR(IF(0=LEN(ReferenceData!$P$123),"",ReferenceData!$P$123),"")</f>
        <v/>
      </c>
      <c r="Q123" t="str">
        <f ca="1">IFERROR(IF(0=LEN(ReferenceData!$Q$123),"",ReferenceData!$Q$123),"")</f>
        <v/>
      </c>
      <c r="R123">
        <f ca="1">IFERROR(IF(0=LEN(ReferenceData!$R$123),"",ReferenceData!$R$123),"")</f>
        <v>11.29520351</v>
      </c>
      <c r="S123" t="str">
        <f ca="1">IFERROR(IF(0=LEN(ReferenceData!$S$123),"",ReferenceData!$S$123),"")</f>
        <v/>
      </c>
      <c r="T123" t="str">
        <f ca="1">IFERROR(IF(0=LEN(ReferenceData!$T$123),"",ReferenceData!$T$123),"")</f>
        <v/>
      </c>
      <c r="U123">
        <f ca="1">IFERROR(IF(0=LEN(ReferenceData!$U$123),"",ReferenceData!$U$123),"")</f>
        <v>11.034769989999999</v>
      </c>
      <c r="V123" t="str">
        <f ca="1">IFERROR(IF(0=LEN(ReferenceData!$V$123),"",ReferenceData!$V$123),"")</f>
        <v/>
      </c>
      <c r="W123" t="str">
        <f ca="1">IFERROR(IF(0=LEN(ReferenceData!$W$123),"",ReferenceData!$W$123),"")</f>
        <v/>
      </c>
      <c r="X123">
        <f ca="1">IFERROR(IF(0=LEN(ReferenceData!$X$123),"",ReferenceData!$X$123),"")</f>
        <v>10.855447290000001</v>
      </c>
      <c r="Y123" t="str">
        <f ca="1">IFERROR(IF(0=LEN(ReferenceData!$Y$123),"",ReferenceData!$Y$123),"")</f>
        <v/>
      </c>
      <c r="Z123" t="str">
        <f ca="1">IFERROR(IF(0=LEN(ReferenceData!$Z$123),"",ReferenceData!$Z$123),"")</f>
        <v/>
      </c>
      <c r="AA123">
        <f ca="1">IFERROR(IF(0=LEN(ReferenceData!$AA$123),"",ReferenceData!$AA$123),"")</f>
        <v>10.54397923</v>
      </c>
      <c r="AB123" t="str">
        <f ca="1">IFERROR(IF(0=LEN(ReferenceData!$AB$123),"",ReferenceData!$AB$123),"")</f>
        <v/>
      </c>
      <c r="AC123" t="str">
        <f ca="1">IFERROR(IF(0=LEN(ReferenceData!$AC$123),"",ReferenceData!$AC$123),"")</f>
        <v/>
      </c>
      <c r="AD123">
        <f ca="1">IFERROR(IF(0=LEN(ReferenceData!$AD$123),"",ReferenceData!$AD$123),"")</f>
        <v>10.20237399</v>
      </c>
      <c r="AE123" t="str">
        <f ca="1">IFERROR(IF(0=LEN(ReferenceData!$AE$123),"",ReferenceData!$AE$123),"")</f>
        <v/>
      </c>
      <c r="AF123" t="str">
        <f ca="1">IFERROR(IF(0=LEN(ReferenceData!$AF$123),"",ReferenceData!$AF$123),"")</f>
        <v/>
      </c>
      <c r="AG123">
        <f ca="1">IFERROR(IF(0=LEN(ReferenceData!$AG$123),"",ReferenceData!$AG$123),"")</f>
        <v>9.8149751930000004</v>
      </c>
      <c r="AH123" t="str">
        <f ca="1">IFERROR(IF(0=LEN(ReferenceData!$AH$123),"",ReferenceData!$AH$123),"")</f>
        <v/>
      </c>
      <c r="AI123" t="str">
        <f ca="1">IFERROR(IF(0=LEN(ReferenceData!$AI$123),"",ReferenceData!$AI$123),"")</f>
        <v/>
      </c>
      <c r="AJ123">
        <f ca="1">IFERROR(IF(0=LEN(ReferenceData!$AJ$123),"",ReferenceData!$AJ$123),"")</f>
        <v>9.4245285770000002</v>
      </c>
      <c r="AK123" t="str">
        <f ca="1">IFERROR(IF(0=LEN(ReferenceData!$AK$123),"",ReferenceData!$AK$123),"")</f>
        <v/>
      </c>
      <c r="AL123" t="str">
        <f ca="1">IFERROR(IF(0=LEN(ReferenceData!$AL$123),"",ReferenceData!$AL$123),"")</f>
        <v/>
      </c>
      <c r="AM123">
        <f ca="1">IFERROR(IF(0=LEN(ReferenceData!$AM$123),"",ReferenceData!$AM$123),"")</f>
        <v>9.0935764209999999</v>
      </c>
      <c r="AN123" t="str">
        <f ca="1">IFERROR(IF(0=LEN(ReferenceData!$AN$123),"",ReferenceData!$AN$123),"")</f>
        <v/>
      </c>
      <c r="AO123" t="str">
        <f ca="1">IFERROR(IF(0=LEN(ReferenceData!$AO$123),"",ReferenceData!$AO$123),"")</f>
        <v/>
      </c>
      <c r="AP123">
        <f ca="1">IFERROR(IF(0=LEN(ReferenceData!$AP$123),"",ReferenceData!$AP$123),"")</f>
        <v>8.7774893699999996</v>
      </c>
      <c r="AQ123" t="str">
        <f ca="1">IFERROR(IF(0=LEN(ReferenceData!$AQ$123),"",ReferenceData!$AQ$123),"")</f>
        <v/>
      </c>
      <c r="AR123" t="str">
        <f ca="1">IFERROR(IF(0=LEN(ReferenceData!$AR$123),"",ReferenceData!$AR$123),"")</f>
        <v/>
      </c>
      <c r="AS123">
        <f ca="1">IFERROR(IF(0=LEN(ReferenceData!$AS$123),"",ReferenceData!$AS$123),"")</f>
        <v>8.5033469589999999</v>
      </c>
      <c r="AT123" t="str">
        <f ca="1">IFERROR(IF(0=LEN(ReferenceData!$AT$123),"",ReferenceData!$AT$123),"")</f>
        <v/>
      </c>
      <c r="AU123" t="str">
        <f ca="1">IFERROR(IF(0=LEN(ReferenceData!$AU$123),"",ReferenceData!$AU$123),"")</f>
        <v/>
      </c>
      <c r="AV123">
        <f ca="1">IFERROR(IF(0=LEN(ReferenceData!$AV$123),"",ReferenceData!$AV$123),"")</f>
        <v>8.2071698410000007</v>
      </c>
      <c r="AW123" t="str">
        <f ca="1">IFERROR(IF(0=LEN(ReferenceData!$AW$123),"",ReferenceData!$AW$123),"")</f>
        <v/>
      </c>
      <c r="AX123" t="str">
        <f ca="1">IFERROR(IF(0=LEN(ReferenceData!$AX$123),"",ReferenceData!$AX$123),"")</f>
        <v/>
      </c>
      <c r="AY123">
        <f ca="1">IFERROR(IF(0=LEN(ReferenceData!$AY$123),"",ReferenceData!$AY$123),"")</f>
        <v>7.9543781879999997</v>
      </c>
      <c r="AZ123" t="str">
        <f ca="1">IFERROR(IF(0=LEN(ReferenceData!$AZ$123),"",ReferenceData!$AZ$123),"")</f>
        <v/>
      </c>
      <c r="BA123" t="str">
        <f ca="1">IFERROR(IF(0=LEN(ReferenceData!$BA$123),"",ReferenceData!$BA$123),"")</f>
        <v/>
      </c>
      <c r="BB123">
        <f ca="1">IFERROR(IF(0=LEN(ReferenceData!$BB$123),"",ReferenceData!$BB$123),"")</f>
        <v>7.7453934770000004</v>
      </c>
      <c r="BC123" t="str">
        <f ca="1">IFERROR(IF(0=LEN(ReferenceData!$BC$123),"",ReferenceData!$BC$123),"")</f>
        <v/>
      </c>
      <c r="BD123" t="str">
        <f ca="1">IFERROR(IF(0=LEN(ReferenceData!$BD$123),"",ReferenceData!$BD$123),"")</f>
        <v/>
      </c>
      <c r="BE123">
        <f ca="1">IFERROR(IF(0=LEN(ReferenceData!$BE$123),"",ReferenceData!$BE$123),"")</f>
        <v>7.5968031859999998</v>
      </c>
      <c r="BF123" t="str">
        <f ca="1">IFERROR(IF(0=LEN(ReferenceData!$BF$123),"",ReferenceData!$BF$123),"")</f>
        <v/>
      </c>
      <c r="BG123" t="str">
        <f ca="1">IFERROR(IF(0=LEN(ReferenceData!$BG$123),"",ReferenceData!$BG$123),"")</f>
        <v/>
      </c>
      <c r="BH123">
        <f ca="1">IFERROR(IF(0=LEN(ReferenceData!$BH$123),"",ReferenceData!$BH$123),"")</f>
        <v>7.4614887669999996</v>
      </c>
      <c r="BI123" t="str">
        <f ca="1">IFERROR(IF(0=LEN(ReferenceData!$BI$123),"",ReferenceData!$BI$123),"")</f>
        <v/>
      </c>
      <c r="BJ123" t="str">
        <f ca="1">IFERROR(IF(0=LEN(ReferenceData!$BJ$123),"",ReferenceData!$BJ$123),"")</f>
        <v/>
      </c>
      <c r="BK123">
        <f ca="1">IFERROR(IF(0=LEN(ReferenceData!$BK$123),"",ReferenceData!$BK$123),"")</f>
        <v>7.259148905</v>
      </c>
      <c r="BL123" t="str">
        <f ca="1">IFERROR(IF(0=LEN(ReferenceData!$BL$123),"",ReferenceData!$BL$123),"")</f>
        <v/>
      </c>
      <c r="BM123" t="str">
        <f ca="1">IFERROR(IF(0=LEN(ReferenceData!$BM$123),"",ReferenceData!$BM$123),"")</f>
        <v/>
      </c>
      <c r="BN123">
        <f ca="1">IFERROR(IF(0=LEN(ReferenceData!$BN$123),"",ReferenceData!$BN$123),"")</f>
        <v>7.1022635630000002</v>
      </c>
      <c r="BO123" t="str">
        <f ca="1">IFERROR(IF(0=LEN(ReferenceData!$BO$123),"",ReferenceData!$BO$123),"")</f>
        <v/>
      </c>
      <c r="BP123" t="str">
        <f ca="1">IFERROR(IF(0=LEN(ReferenceData!$BP$123),"",ReferenceData!$BP$123),"")</f>
        <v/>
      </c>
      <c r="BQ123">
        <f ca="1">IFERROR(IF(0=LEN(ReferenceData!$BQ$123),"",ReferenceData!$BQ$123),"")</f>
        <v>6.8681348770000001</v>
      </c>
      <c r="BR123" t="str">
        <f ca="1">IFERROR(IF(0=LEN(ReferenceData!$BR$123),"",ReferenceData!$BR$123),"")</f>
        <v/>
      </c>
      <c r="BS123" t="str">
        <f ca="1">IFERROR(IF(0=LEN(ReferenceData!$BS$123),"",ReferenceData!$BS$123),"")</f>
        <v/>
      </c>
      <c r="BT123">
        <f ca="1">IFERROR(IF(0=LEN(ReferenceData!$BT$123),"",ReferenceData!$BT$123),"")</f>
        <v>6.5660029169999996</v>
      </c>
      <c r="BU123" t="str">
        <f ca="1">IFERROR(IF(0=LEN(ReferenceData!$BU$123),"",ReferenceData!$BU$123),"")</f>
        <v/>
      </c>
      <c r="BV123" t="str">
        <f ca="1">IFERROR(IF(0=LEN(ReferenceData!$BV$123),"",ReferenceData!$BV$123),"")</f>
        <v/>
      </c>
      <c r="BW123">
        <f ca="1">IFERROR(IF(0=LEN(ReferenceData!$BW$123),"",ReferenceData!$BW$123),"")</f>
        <v>6.2740040060000002</v>
      </c>
      <c r="BX123" t="str">
        <f ca="1">IFERROR(IF(0=LEN(ReferenceData!$BX$123),"",ReferenceData!$BX$123),"")</f>
        <v/>
      </c>
      <c r="BY123" t="str">
        <f ca="1">IFERROR(IF(0=LEN(ReferenceData!$BY$123),"",ReferenceData!$BY$123),"")</f>
        <v/>
      </c>
      <c r="BZ123">
        <f ca="1">IFERROR(IF(0=LEN(ReferenceData!$BZ$123),"",ReferenceData!$BZ$123),"")</f>
        <v>5.950891242</v>
      </c>
      <c r="CA123" t="str">
        <f ca="1">IFERROR(IF(0=LEN(ReferenceData!$CA$123),"",ReferenceData!$CA$123),"")</f>
        <v/>
      </c>
      <c r="CB123" t="str">
        <f ca="1">IFERROR(IF(0=LEN(ReferenceData!$CB$123),"",ReferenceData!$CB$123),"")</f>
        <v/>
      </c>
      <c r="CC123">
        <f ca="1">IFERROR(IF(0=LEN(ReferenceData!$CC$123),"",ReferenceData!$CC$123),"")</f>
        <v>5.6280702199999997</v>
      </c>
      <c r="CD123" t="str">
        <f ca="1">IFERROR(IF(0=LEN(ReferenceData!$CD$123),"",ReferenceData!$CD$123),"")</f>
        <v/>
      </c>
      <c r="CE123" t="str">
        <f ca="1">IFERROR(IF(0=LEN(ReferenceData!$CE$123),"",ReferenceData!$CE$123),"")</f>
        <v/>
      </c>
      <c r="CF123">
        <f ca="1">IFERROR(IF(0=LEN(ReferenceData!$CF$123),"",ReferenceData!$CF$123),"")</f>
        <v>5.3967111259999996</v>
      </c>
      <c r="CG123" t="str">
        <f ca="1">IFERROR(IF(0=LEN(ReferenceData!$CG$123),"",ReferenceData!$CG$123),"")</f>
        <v/>
      </c>
      <c r="CH123" t="str">
        <f ca="1">IFERROR(IF(0=LEN(ReferenceData!$CH$123),"",ReferenceData!$CH$123),"")</f>
        <v/>
      </c>
      <c r="CI123">
        <f ca="1">IFERROR(IF(0=LEN(ReferenceData!$CI$123),"",ReferenceData!$CI$123),"")</f>
        <v>5.2392432080000004</v>
      </c>
      <c r="CJ123" t="str">
        <f ca="1">IFERROR(IF(0=LEN(ReferenceData!$CJ$123),"",ReferenceData!$CJ$123),"")</f>
        <v/>
      </c>
      <c r="CK123" t="str">
        <f ca="1">IFERROR(IF(0=LEN(ReferenceData!$CK$123),"",ReferenceData!$CK$123),"")</f>
        <v/>
      </c>
    </row>
    <row r="124" spans="1:89">
      <c r="A124" t="str">
        <f>IFERROR(IF(0=LEN(ReferenceData!$A$124),"",ReferenceData!$A$124),"")</f>
        <v xml:space="preserve">    Mid-America Apartment Communities股份有限公司</v>
      </c>
      <c r="B124" t="str">
        <f>IFERROR(IF(0=LEN(ReferenceData!$B$124),"",ReferenceData!$B$124),"")</f>
        <v>MAA US Equity</v>
      </c>
      <c r="C124" t="str">
        <f>IFERROR(IF(0=LEN(ReferenceData!$C$124),"",ReferenceData!$C$124),"")</f>
        <v>F0894</v>
      </c>
      <c r="D124" t="str">
        <f>IFERROR(IF(0=LEN(ReferenceData!$D$124),"",ReferenceData!$D$124),"")</f>
        <v>TRAILING_12_MONTHS_AFFOPS</v>
      </c>
      <c r="E124" t="str">
        <f>IFERROR(IF(0=LEN(ReferenceData!$E$124),"",ReferenceData!$E$124),"")</f>
        <v>动态</v>
      </c>
      <c r="F124" t="str">
        <f ca="1">IFERROR(IF(0=LEN(ReferenceData!$F$124),"",ReferenceData!$F$124),"")</f>
        <v/>
      </c>
      <c r="G124" t="str">
        <f ca="1">IFERROR(IF(0=LEN(ReferenceData!$G$124),"",ReferenceData!$G$124),"")</f>
        <v/>
      </c>
      <c r="H124" t="str">
        <f ca="1">IFERROR(IF(0=LEN(ReferenceData!$H$124),"",ReferenceData!$H$124),"")</f>
        <v/>
      </c>
      <c r="I124">
        <f ca="1">IFERROR(IF(0=LEN(ReferenceData!$I$124),"",ReferenceData!$I$124),"")</f>
        <v>5.9153200650000004</v>
      </c>
      <c r="J124" t="str">
        <f ca="1">IFERROR(IF(0=LEN(ReferenceData!$J$124),"",ReferenceData!$J$124),"")</f>
        <v/>
      </c>
      <c r="K124" t="str">
        <f ca="1">IFERROR(IF(0=LEN(ReferenceData!$K$124),"",ReferenceData!$K$124),"")</f>
        <v/>
      </c>
      <c r="L124">
        <f ca="1">IFERROR(IF(0=LEN(ReferenceData!$L$124),"",ReferenceData!$L$124),"")</f>
        <v>5.5588750779999998</v>
      </c>
      <c r="M124" t="str">
        <f ca="1">IFERROR(IF(0=LEN(ReferenceData!$M$124),"",ReferenceData!$M$124),"")</f>
        <v/>
      </c>
      <c r="N124" t="str">
        <f ca="1">IFERROR(IF(0=LEN(ReferenceData!$N$124),"",ReferenceData!$N$124),"")</f>
        <v/>
      </c>
      <c r="O124">
        <f ca="1">IFERROR(IF(0=LEN(ReferenceData!$O$124),"",ReferenceData!$O$124),"")</f>
        <v>5.5512527580000004</v>
      </c>
      <c r="P124" t="str">
        <f ca="1">IFERROR(IF(0=LEN(ReferenceData!$P$124),"",ReferenceData!$P$124),"")</f>
        <v/>
      </c>
      <c r="Q124" t="str">
        <f ca="1">IFERROR(IF(0=LEN(ReferenceData!$Q$124),"",ReferenceData!$Q$124),"")</f>
        <v/>
      </c>
      <c r="R124">
        <f ca="1">IFERROR(IF(0=LEN(ReferenceData!$R$124),"",ReferenceData!$R$124),"")</f>
        <v>5.6076182499999998</v>
      </c>
      <c r="S124" t="str">
        <f ca="1">IFERROR(IF(0=LEN(ReferenceData!$S$124),"",ReferenceData!$S$124),"")</f>
        <v/>
      </c>
      <c r="T124" t="str">
        <f ca="1">IFERROR(IF(0=LEN(ReferenceData!$T$124),"",ReferenceData!$T$124),"")</f>
        <v/>
      </c>
      <c r="U124">
        <f ca="1">IFERROR(IF(0=LEN(ReferenceData!$U$124),"",ReferenceData!$U$124),"")</f>
        <v>5.5881864649999997</v>
      </c>
      <c r="V124" t="str">
        <f ca="1">IFERROR(IF(0=LEN(ReferenceData!$V$124),"",ReferenceData!$V$124),"")</f>
        <v/>
      </c>
      <c r="W124" t="str">
        <f ca="1">IFERROR(IF(0=LEN(ReferenceData!$W$124),"",ReferenceData!$W$124),"")</f>
        <v/>
      </c>
      <c r="X124">
        <f ca="1">IFERROR(IF(0=LEN(ReferenceData!$X$124),"",ReferenceData!$X$124),"")</f>
        <v>5.9139525119999998</v>
      </c>
      <c r="Y124" t="str">
        <f ca="1">IFERROR(IF(0=LEN(ReferenceData!$Y$124),"",ReferenceData!$Y$124),"")</f>
        <v/>
      </c>
      <c r="Z124" t="str">
        <f ca="1">IFERROR(IF(0=LEN(ReferenceData!$Z$124),"",ReferenceData!$Z$124),"")</f>
        <v/>
      </c>
      <c r="AA124">
        <f ca="1">IFERROR(IF(0=LEN(ReferenceData!$AA$124),"",ReferenceData!$AA$124),"")</f>
        <v>5.8074089730000003</v>
      </c>
      <c r="AB124" t="str">
        <f ca="1">IFERROR(IF(0=LEN(ReferenceData!$AB$124),"",ReferenceData!$AB$124),"")</f>
        <v/>
      </c>
      <c r="AC124" t="str">
        <f ca="1">IFERROR(IF(0=LEN(ReferenceData!$AC$124),"",ReferenceData!$AC$124),"")</f>
        <v/>
      </c>
      <c r="AD124">
        <f ca="1">IFERROR(IF(0=LEN(ReferenceData!$AD$124),"",ReferenceData!$AD$124),"")</f>
        <v>5.627521454</v>
      </c>
      <c r="AE124" t="str">
        <f ca="1">IFERROR(IF(0=LEN(ReferenceData!$AE$124),"",ReferenceData!$AE$124),"")</f>
        <v/>
      </c>
      <c r="AF124" t="str">
        <f ca="1">IFERROR(IF(0=LEN(ReferenceData!$AF$124),"",ReferenceData!$AF$124),"")</f>
        <v/>
      </c>
      <c r="AG124">
        <f ca="1">IFERROR(IF(0=LEN(ReferenceData!$AG$124),"",ReferenceData!$AG$124),"")</f>
        <v>5.5129175589999999</v>
      </c>
      <c r="AH124" t="str">
        <f ca="1">IFERROR(IF(0=LEN(ReferenceData!$AH$124),"",ReferenceData!$AH$124),"")</f>
        <v/>
      </c>
      <c r="AI124" t="str">
        <f ca="1">IFERROR(IF(0=LEN(ReferenceData!$AI$124),"",ReferenceData!$AI$124),"")</f>
        <v/>
      </c>
      <c r="AJ124">
        <f ca="1">IFERROR(IF(0=LEN(ReferenceData!$AJ$124),"",ReferenceData!$AJ$124),"")</f>
        <v>5.3786507749999997</v>
      </c>
      <c r="AK124" t="str">
        <f ca="1">IFERROR(IF(0=LEN(ReferenceData!$AK$124),"",ReferenceData!$AK$124),"")</f>
        <v/>
      </c>
      <c r="AL124" t="str">
        <f ca="1">IFERROR(IF(0=LEN(ReferenceData!$AL$124),"",ReferenceData!$AL$124),"")</f>
        <v/>
      </c>
      <c r="AM124">
        <f ca="1">IFERROR(IF(0=LEN(ReferenceData!$AM$124),"",ReferenceData!$AM$124),"")</f>
        <v>5.2764521169999998</v>
      </c>
      <c r="AN124" t="str">
        <f ca="1">IFERROR(IF(0=LEN(ReferenceData!$AN$124),"",ReferenceData!$AN$124),"")</f>
        <v/>
      </c>
      <c r="AO124" t="str">
        <f ca="1">IFERROR(IF(0=LEN(ReferenceData!$AO$124),"",ReferenceData!$AO$124),"")</f>
        <v/>
      </c>
      <c r="AP124">
        <f ca="1">IFERROR(IF(0=LEN(ReferenceData!$AP$124),"",ReferenceData!$AP$124),"")</f>
        <v>5.1025612430000002</v>
      </c>
      <c r="AQ124" t="str">
        <f ca="1">IFERROR(IF(0=LEN(ReferenceData!$AQ$124),"",ReferenceData!$AQ$124),"")</f>
        <v/>
      </c>
      <c r="AR124" t="str">
        <f ca="1">IFERROR(IF(0=LEN(ReferenceData!$AR$124),"",ReferenceData!$AR$124),"")</f>
        <v/>
      </c>
      <c r="AS124">
        <f ca="1">IFERROR(IF(0=LEN(ReferenceData!$AS$124),"",ReferenceData!$AS$124),"")</f>
        <v>4.9856312249999997</v>
      </c>
      <c r="AT124" t="str">
        <f ca="1">IFERROR(IF(0=LEN(ReferenceData!$AT$124),"",ReferenceData!$AT$124),"")</f>
        <v/>
      </c>
      <c r="AU124" t="str">
        <f ca="1">IFERROR(IF(0=LEN(ReferenceData!$AU$124),"",ReferenceData!$AU$124),"")</f>
        <v/>
      </c>
      <c r="AV124">
        <f ca="1">IFERROR(IF(0=LEN(ReferenceData!$AV$124),"",ReferenceData!$AV$124),"")</f>
        <v>4.8691653539999997</v>
      </c>
      <c r="AW124" t="str">
        <f ca="1">IFERROR(IF(0=LEN(ReferenceData!$AW$124),"",ReferenceData!$AW$124),"")</f>
        <v/>
      </c>
      <c r="AX124" t="str">
        <f ca="1">IFERROR(IF(0=LEN(ReferenceData!$AX$124),"",ReferenceData!$AX$124),"")</f>
        <v/>
      </c>
      <c r="AY124">
        <f ca="1">IFERROR(IF(0=LEN(ReferenceData!$AY$124),"",ReferenceData!$AY$124),"")</f>
        <v>4.8373355010000001</v>
      </c>
      <c r="AZ124" t="str">
        <f ca="1">IFERROR(IF(0=LEN(ReferenceData!$AZ$124),"",ReferenceData!$AZ$124),"")</f>
        <v/>
      </c>
      <c r="BA124" t="str">
        <f ca="1">IFERROR(IF(0=LEN(ReferenceData!$BA$124),"",ReferenceData!$BA$124),"")</f>
        <v/>
      </c>
      <c r="BB124">
        <f ca="1">IFERROR(IF(0=LEN(ReferenceData!$BB$124),"",ReferenceData!$BB$124),"")</f>
        <v>4.9321285179999999</v>
      </c>
      <c r="BC124" t="str">
        <f ca="1">IFERROR(IF(0=LEN(ReferenceData!$BC$124),"",ReferenceData!$BC$124),"")</f>
        <v/>
      </c>
      <c r="BD124" t="str">
        <f ca="1">IFERROR(IF(0=LEN(ReferenceData!$BD$124),"",ReferenceData!$BD$124),"")</f>
        <v/>
      </c>
      <c r="BE124">
        <f ca="1">IFERROR(IF(0=LEN(ReferenceData!$BE$124),"",ReferenceData!$BE$124),"")</f>
        <v>4.9753513659999999</v>
      </c>
      <c r="BF124" t="str">
        <f ca="1">IFERROR(IF(0=LEN(ReferenceData!$BF$124),"",ReferenceData!$BF$124),"")</f>
        <v/>
      </c>
      <c r="BG124" t="str">
        <f ca="1">IFERROR(IF(0=LEN(ReferenceData!$BG$124),"",ReferenceData!$BG$124),"")</f>
        <v/>
      </c>
      <c r="BH124">
        <f ca="1">IFERROR(IF(0=LEN(ReferenceData!$BH$124),"",ReferenceData!$BH$124),"")</f>
        <v>4.9872553460000004</v>
      </c>
      <c r="BI124" t="str">
        <f ca="1">IFERROR(IF(0=LEN(ReferenceData!$BI$124),"",ReferenceData!$BI$124),"")</f>
        <v/>
      </c>
      <c r="BJ124" t="str">
        <f ca="1">IFERROR(IF(0=LEN(ReferenceData!$BJ$124),"",ReferenceData!$BJ$124),"")</f>
        <v/>
      </c>
      <c r="BK124">
        <f ca="1">IFERROR(IF(0=LEN(ReferenceData!$BK$124),"",ReferenceData!$BK$124),"")</f>
        <v>4.8806025130000004</v>
      </c>
      <c r="BL124" t="str">
        <f ca="1">IFERROR(IF(0=LEN(ReferenceData!$BL$124),"",ReferenceData!$BL$124),"")</f>
        <v/>
      </c>
      <c r="BM124" t="str">
        <f ca="1">IFERROR(IF(0=LEN(ReferenceData!$BM$124),"",ReferenceData!$BM$124),"")</f>
        <v/>
      </c>
      <c r="BN124">
        <f ca="1">IFERROR(IF(0=LEN(ReferenceData!$BN$124),"",ReferenceData!$BN$124),"")</f>
        <v>4.7286062400000004</v>
      </c>
      <c r="BO124" t="str">
        <f ca="1">IFERROR(IF(0=LEN(ReferenceData!$BO$124),"",ReferenceData!$BO$124),"")</f>
        <v/>
      </c>
      <c r="BP124" t="str">
        <f ca="1">IFERROR(IF(0=LEN(ReferenceData!$BP$124),"",ReferenceData!$BP$124),"")</f>
        <v/>
      </c>
      <c r="BQ124">
        <f ca="1">IFERROR(IF(0=LEN(ReferenceData!$BQ$124),"",ReferenceData!$BQ$124),"")</f>
        <v>4.5969513009999998</v>
      </c>
      <c r="BR124" t="str">
        <f ca="1">IFERROR(IF(0=LEN(ReferenceData!$BR$124),"",ReferenceData!$BR$124),"")</f>
        <v/>
      </c>
      <c r="BS124" t="str">
        <f ca="1">IFERROR(IF(0=LEN(ReferenceData!$BS$124),"",ReferenceData!$BS$124),"")</f>
        <v/>
      </c>
      <c r="BT124">
        <f ca="1">IFERROR(IF(0=LEN(ReferenceData!$BT$124),"",ReferenceData!$BT$124),"")</f>
        <v>4.4578661430000004</v>
      </c>
      <c r="BU124" t="str">
        <f ca="1">IFERROR(IF(0=LEN(ReferenceData!$BU$124),"",ReferenceData!$BU$124),"")</f>
        <v/>
      </c>
      <c r="BV124" t="str">
        <f ca="1">IFERROR(IF(0=LEN(ReferenceData!$BV$124),"",ReferenceData!$BV$124),"")</f>
        <v/>
      </c>
      <c r="BW124">
        <f ca="1">IFERROR(IF(0=LEN(ReferenceData!$BW$124),"",ReferenceData!$BW$124),"")</f>
        <v>4.3161714089999998</v>
      </c>
      <c r="BX124" t="str">
        <f ca="1">IFERROR(IF(0=LEN(ReferenceData!$BX$124),"",ReferenceData!$BX$124),"")</f>
        <v/>
      </c>
      <c r="BY124" t="str">
        <f ca="1">IFERROR(IF(0=LEN(ReferenceData!$BY$124),"",ReferenceData!$BY$124),"")</f>
        <v/>
      </c>
      <c r="BZ124">
        <f ca="1">IFERROR(IF(0=LEN(ReferenceData!$BZ$124),"",ReferenceData!$BZ$124),"")</f>
        <v>4.1197514660000003</v>
      </c>
      <c r="CA124" t="str">
        <f ca="1">IFERROR(IF(0=LEN(ReferenceData!$CA$124),"",ReferenceData!$CA$124),"")</f>
        <v/>
      </c>
      <c r="CB124" t="str">
        <f ca="1">IFERROR(IF(0=LEN(ReferenceData!$CB$124),"",ReferenceData!$CB$124),"")</f>
        <v/>
      </c>
      <c r="CC124">
        <f ca="1">IFERROR(IF(0=LEN(ReferenceData!$CC$124),"",ReferenceData!$CC$124),"")</f>
        <v>3.978644541</v>
      </c>
      <c r="CD124" t="str">
        <f ca="1">IFERROR(IF(0=LEN(ReferenceData!$CD$124),"",ReferenceData!$CD$124),"")</f>
        <v/>
      </c>
      <c r="CE124" t="str">
        <f ca="1">IFERROR(IF(0=LEN(ReferenceData!$CE$124),"",ReferenceData!$CE$124),"")</f>
        <v/>
      </c>
      <c r="CF124">
        <f ca="1">IFERROR(IF(0=LEN(ReferenceData!$CF$124),"",ReferenceData!$CF$124),"")</f>
        <v>3.8506648299999999</v>
      </c>
      <c r="CG124" t="str">
        <f ca="1">IFERROR(IF(0=LEN(ReferenceData!$CG$124),"",ReferenceData!$CG$124),"")</f>
        <v/>
      </c>
      <c r="CH124" t="str">
        <f ca="1">IFERROR(IF(0=LEN(ReferenceData!$CH$124),"",ReferenceData!$CH$124),"")</f>
        <v/>
      </c>
      <c r="CI124">
        <f ca="1">IFERROR(IF(0=LEN(ReferenceData!$CI$124),"",ReferenceData!$CI$124),"")</f>
        <v>3.6985126479999999</v>
      </c>
      <c r="CJ124" t="str">
        <f ca="1">IFERROR(IF(0=LEN(ReferenceData!$CJ$124),"",ReferenceData!$CJ$124),"")</f>
        <v/>
      </c>
      <c r="CK124" t="str">
        <f ca="1">IFERROR(IF(0=LEN(ReferenceData!$CK$124),"",ReferenceData!$CK$124),"")</f>
        <v/>
      </c>
    </row>
    <row r="125" spans="1:89">
      <c r="A125" t="str">
        <f>IFERROR(IF(0=LEN(ReferenceData!$A$125),"",ReferenceData!$A$125),"")</f>
        <v xml:space="preserve">    UDR 公司</v>
      </c>
      <c r="B125" t="str">
        <f>IFERROR(IF(0=LEN(ReferenceData!$B$125),"",ReferenceData!$B$125),"")</f>
        <v>UDR US Equity</v>
      </c>
      <c r="C125" t="str">
        <f>IFERROR(IF(0=LEN(ReferenceData!$C$125),"",ReferenceData!$C$125),"")</f>
        <v>F0894</v>
      </c>
      <c r="D125" t="str">
        <f>IFERROR(IF(0=LEN(ReferenceData!$D$125),"",ReferenceData!$D$125),"")</f>
        <v>TRAILING_12_MONTHS_AFFOPS</v>
      </c>
      <c r="E125" t="str">
        <f>IFERROR(IF(0=LEN(ReferenceData!$E$125),"",ReferenceData!$E$125),"")</f>
        <v>动态</v>
      </c>
      <c r="F125" t="str">
        <f ca="1">IFERROR(IF(0=LEN(ReferenceData!$F$125),"",ReferenceData!$F$125),"")</f>
        <v/>
      </c>
      <c r="G125" t="str">
        <f ca="1">IFERROR(IF(0=LEN(ReferenceData!$G$125),"",ReferenceData!$G$125),"")</f>
        <v/>
      </c>
      <c r="H125" t="str">
        <f ca="1">IFERROR(IF(0=LEN(ReferenceData!$H$125),"",ReferenceData!$H$125),"")</f>
        <v/>
      </c>
      <c r="I125">
        <f ca="1">IFERROR(IF(0=LEN(ReferenceData!$I$125),"",ReferenceData!$I$125),"")</f>
        <v>1.869509069</v>
      </c>
      <c r="J125" t="str">
        <f ca="1">IFERROR(IF(0=LEN(ReferenceData!$J$125),"",ReferenceData!$J$125),"")</f>
        <v/>
      </c>
      <c r="K125" t="str">
        <f ca="1">IFERROR(IF(0=LEN(ReferenceData!$K$125),"",ReferenceData!$K$125),"")</f>
        <v/>
      </c>
      <c r="L125">
        <f ca="1">IFERROR(IF(0=LEN(ReferenceData!$L$125),"",ReferenceData!$L$125),"")</f>
        <v>1.8507975729999999</v>
      </c>
      <c r="M125" t="str">
        <f ca="1">IFERROR(IF(0=LEN(ReferenceData!$M$125),"",ReferenceData!$M$125),"")</f>
        <v/>
      </c>
      <c r="N125" t="str">
        <f ca="1">IFERROR(IF(0=LEN(ReferenceData!$N$125),"",ReferenceData!$N$125),"")</f>
        <v/>
      </c>
      <c r="O125">
        <f ca="1">IFERROR(IF(0=LEN(ReferenceData!$O$125),"",ReferenceData!$O$125),"")</f>
        <v>1.8328813690000001</v>
      </c>
      <c r="P125" t="str">
        <f ca="1">IFERROR(IF(0=LEN(ReferenceData!$P$125),"",ReferenceData!$P$125),"")</f>
        <v/>
      </c>
      <c r="Q125" t="str">
        <f ca="1">IFERROR(IF(0=LEN(ReferenceData!$Q$125),"",ReferenceData!$Q$125),"")</f>
        <v/>
      </c>
      <c r="R125">
        <f ca="1">IFERROR(IF(0=LEN(ReferenceData!$R$125),"",ReferenceData!$R$125),"")</f>
        <v>1.808570888</v>
      </c>
      <c r="S125" t="str">
        <f ca="1">IFERROR(IF(0=LEN(ReferenceData!$S$125),"",ReferenceData!$S$125),"")</f>
        <v/>
      </c>
      <c r="T125" t="str">
        <f ca="1">IFERROR(IF(0=LEN(ReferenceData!$T$125),"",ReferenceData!$T$125),"")</f>
        <v/>
      </c>
      <c r="U125">
        <f ca="1">IFERROR(IF(0=LEN(ReferenceData!$U$125),"",ReferenceData!$U$125),"")</f>
        <v>1.78640317</v>
      </c>
      <c r="V125" t="str">
        <f ca="1">IFERROR(IF(0=LEN(ReferenceData!$V$125),"",ReferenceData!$V$125),"")</f>
        <v/>
      </c>
      <c r="W125" t="str">
        <f ca="1">IFERROR(IF(0=LEN(ReferenceData!$W$125),"",ReferenceData!$W$125),"")</f>
        <v/>
      </c>
      <c r="X125">
        <f ca="1">IFERROR(IF(0=LEN(ReferenceData!$X$125),"",ReferenceData!$X$125),"")</f>
        <v>1.7522479209999999</v>
      </c>
      <c r="Y125" t="str">
        <f ca="1">IFERROR(IF(0=LEN(ReferenceData!$Y$125),"",ReferenceData!$Y$125),"")</f>
        <v/>
      </c>
      <c r="Z125" t="str">
        <f ca="1">IFERROR(IF(0=LEN(ReferenceData!$Z$125),"",ReferenceData!$Z$125),"")</f>
        <v/>
      </c>
      <c r="AA125">
        <f ca="1">IFERROR(IF(0=LEN(ReferenceData!$AA$125),"",ReferenceData!$AA$125),"")</f>
        <v>1.723150288</v>
      </c>
      <c r="AB125" t="str">
        <f ca="1">IFERROR(IF(0=LEN(ReferenceData!$AB$125),"",ReferenceData!$AB$125),"")</f>
        <v/>
      </c>
      <c r="AC125" t="str">
        <f ca="1">IFERROR(IF(0=LEN(ReferenceData!$AC$125),"",ReferenceData!$AC$125),"")</f>
        <v/>
      </c>
      <c r="AD125">
        <f ca="1">IFERROR(IF(0=LEN(ReferenceData!$AD$125),"",ReferenceData!$AD$125),"")</f>
        <v>1.697083457</v>
      </c>
      <c r="AE125" t="str">
        <f ca="1">IFERROR(IF(0=LEN(ReferenceData!$AE$125),"",ReferenceData!$AE$125),"")</f>
        <v/>
      </c>
      <c r="AF125" t="str">
        <f ca="1">IFERROR(IF(0=LEN(ReferenceData!$AF$125),"",ReferenceData!$AF$125),"")</f>
        <v/>
      </c>
      <c r="AG125">
        <f ca="1">IFERROR(IF(0=LEN(ReferenceData!$AG$125),"",ReferenceData!$AG$125),"")</f>
        <v>1.6675957910000001</v>
      </c>
      <c r="AH125" t="str">
        <f ca="1">IFERROR(IF(0=LEN(ReferenceData!$AH$125),"",ReferenceData!$AH$125),"")</f>
        <v/>
      </c>
      <c r="AI125" t="str">
        <f ca="1">IFERROR(IF(0=LEN(ReferenceData!$AI$125),"",ReferenceData!$AI$125),"")</f>
        <v/>
      </c>
      <c r="AJ125">
        <f ca="1">IFERROR(IF(0=LEN(ReferenceData!$AJ$125),"",ReferenceData!$AJ$125),"")</f>
        <v>1.6331999669999999</v>
      </c>
      <c r="AK125" t="str">
        <f ca="1">IFERROR(IF(0=LEN(ReferenceData!$AK$125),"",ReferenceData!$AK$125),"")</f>
        <v/>
      </c>
      <c r="AL125" t="str">
        <f ca="1">IFERROR(IF(0=LEN(ReferenceData!$AL$125),"",ReferenceData!$AL$125),"")</f>
        <v/>
      </c>
      <c r="AM125" t="str">
        <f ca="1">IFERROR(IF(0=LEN(ReferenceData!$AM$125),"",ReferenceData!$AM$125),"")</f>
        <v/>
      </c>
      <c r="AN125" t="str">
        <f ca="1">IFERROR(IF(0=LEN(ReferenceData!$AN$125),"",ReferenceData!$AN$125),"")</f>
        <v/>
      </c>
      <c r="AO125" t="str">
        <f ca="1">IFERROR(IF(0=LEN(ReferenceData!$AO$125),"",ReferenceData!$AO$125),"")</f>
        <v/>
      </c>
      <c r="AP125" t="str">
        <f ca="1">IFERROR(IF(0=LEN(ReferenceData!$AP$125),"",ReferenceData!$AP$125),"")</f>
        <v/>
      </c>
      <c r="AQ125" t="str">
        <f ca="1">IFERROR(IF(0=LEN(ReferenceData!$AQ$125),"",ReferenceData!$AQ$125),"")</f>
        <v/>
      </c>
      <c r="AR125" t="str">
        <f ca="1">IFERROR(IF(0=LEN(ReferenceData!$AR$125),"",ReferenceData!$AR$125),"")</f>
        <v/>
      </c>
      <c r="AS125" t="str">
        <f ca="1">IFERROR(IF(0=LEN(ReferenceData!$AS$125),"",ReferenceData!$AS$125),"")</f>
        <v/>
      </c>
      <c r="AT125" t="str">
        <f ca="1">IFERROR(IF(0=LEN(ReferenceData!$AT$125),"",ReferenceData!$AT$125),"")</f>
        <v/>
      </c>
      <c r="AU125" t="str">
        <f ca="1">IFERROR(IF(0=LEN(ReferenceData!$AU$125),"",ReferenceData!$AU$125),"")</f>
        <v/>
      </c>
      <c r="AV125" t="str">
        <f ca="1">IFERROR(IF(0=LEN(ReferenceData!$AV$125),"",ReferenceData!$AV$125),"")</f>
        <v/>
      </c>
      <c r="AW125" t="str">
        <f ca="1">IFERROR(IF(0=LEN(ReferenceData!$AW$125),"",ReferenceData!$AW$125),"")</f>
        <v/>
      </c>
      <c r="AX125" t="str">
        <f ca="1">IFERROR(IF(0=LEN(ReferenceData!$AX$125),"",ReferenceData!$AX$125),"")</f>
        <v/>
      </c>
      <c r="AY125" t="str">
        <f ca="1">IFERROR(IF(0=LEN(ReferenceData!$AY$125),"",ReferenceData!$AY$125),"")</f>
        <v/>
      </c>
      <c r="AZ125" t="str">
        <f ca="1">IFERROR(IF(0=LEN(ReferenceData!$AZ$125),"",ReferenceData!$AZ$125),"")</f>
        <v/>
      </c>
      <c r="BA125" t="str">
        <f ca="1">IFERROR(IF(0=LEN(ReferenceData!$BA$125),"",ReferenceData!$BA$125),"")</f>
        <v/>
      </c>
      <c r="BB125">
        <f ca="1">IFERROR(IF(0=LEN(ReferenceData!$BB$125),"",ReferenceData!$BB$125),"")</f>
        <v>1.4338198049999999</v>
      </c>
      <c r="BC125" t="str">
        <f ca="1">IFERROR(IF(0=LEN(ReferenceData!$BC$125),"",ReferenceData!$BC$125),"")</f>
        <v/>
      </c>
      <c r="BD125" t="str">
        <f ca="1">IFERROR(IF(0=LEN(ReferenceData!$BD$125),"",ReferenceData!$BD$125),"")</f>
        <v/>
      </c>
      <c r="BE125">
        <f ca="1">IFERROR(IF(0=LEN(ReferenceData!$BE$125),"",ReferenceData!$BE$125),"")</f>
        <v>1.414782011</v>
      </c>
      <c r="BF125" t="str">
        <f ca="1">IFERROR(IF(0=LEN(ReferenceData!$BF$125),"",ReferenceData!$BF$125),"")</f>
        <v/>
      </c>
      <c r="BG125" t="str">
        <f ca="1">IFERROR(IF(0=LEN(ReferenceData!$BG$125),"",ReferenceData!$BG$125),"")</f>
        <v/>
      </c>
      <c r="BH125">
        <f ca="1">IFERROR(IF(0=LEN(ReferenceData!$BH$125),"",ReferenceData!$BH$125),"")</f>
        <v>1.422888154</v>
      </c>
      <c r="BI125" t="str">
        <f ca="1">IFERROR(IF(0=LEN(ReferenceData!$BI$125),"",ReferenceData!$BI$125),"")</f>
        <v/>
      </c>
      <c r="BJ125" t="str">
        <f ca="1">IFERROR(IF(0=LEN(ReferenceData!$BJ$125),"",ReferenceData!$BJ$125),"")</f>
        <v/>
      </c>
      <c r="BK125">
        <f ca="1">IFERROR(IF(0=LEN(ReferenceData!$BK$125),"",ReferenceData!$BK$125),"")</f>
        <v>1.41905693</v>
      </c>
      <c r="BL125" t="str">
        <f ca="1">IFERROR(IF(0=LEN(ReferenceData!$BL$125),"",ReferenceData!$BL$125),"")</f>
        <v/>
      </c>
      <c r="BM125" t="str">
        <f ca="1">IFERROR(IF(0=LEN(ReferenceData!$BM$125),"",ReferenceData!$BM$125),"")</f>
        <v/>
      </c>
      <c r="BN125">
        <f ca="1">IFERROR(IF(0=LEN(ReferenceData!$BN$125),"",ReferenceData!$BN$125),"")</f>
        <v>1.4090093960000001</v>
      </c>
      <c r="BO125" t="str">
        <f ca="1">IFERROR(IF(0=LEN(ReferenceData!$BO$125),"",ReferenceData!$BO$125),"")</f>
        <v/>
      </c>
      <c r="BP125" t="str">
        <f ca="1">IFERROR(IF(0=LEN(ReferenceData!$BP$125),"",ReferenceData!$BP$125),"")</f>
        <v/>
      </c>
      <c r="BQ125">
        <f ca="1">IFERROR(IF(0=LEN(ReferenceData!$BQ$125),"",ReferenceData!$BQ$125),"")</f>
        <v>1.430067153</v>
      </c>
      <c r="BR125" t="str">
        <f ca="1">IFERROR(IF(0=LEN(ReferenceData!$BR$125),"",ReferenceData!$BR$125),"")</f>
        <v/>
      </c>
      <c r="BS125" t="str">
        <f ca="1">IFERROR(IF(0=LEN(ReferenceData!$BS$125),"",ReferenceData!$BS$125),"")</f>
        <v/>
      </c>
      <c r="BT125">
        <f ca="1">IFERROR(IF(0=LEN(ReferenceData!$BT$125),"",ReferenceData!$BT$125),"")</f>
        <v>1.4159701069999999</v>
      </c>
      <c r="BU125" t="str">
        <f ca="1">IFERROR(IF(0=LEN(ReferenceData!$BU$125),"",ReferenceData!$BU$125),"")</f>
        <v/>
      </c>
      <c r="BV125" t="str">
        <f ca="1">IFERROR(IF(0=LEN(ReferenceData!$BV$125),"",ReferenceData!$BV$125),"")</f>
        <v/>
      </c>
      <c r="BW125">
        <f ca="1">IFERROR(IF(0=LEN(ReferenceData!$BW$125),"",ReferenceData!$BW$125),"")</f>
        <v>1.405127123</v>
      </c>
      <c r="BX125" t="str">
        <f ca="1">IFERROR(IF(0=LEN(ReferenceData!$BX$125),"",ReferenceData!$BX$125),"")</f>
        <v/>
      </c>
      <c r="BY125" t="str">
        <f ca="1">IFERROR(IF(0=LEN(ReferenceData!$BY$125),"",ReferenceData!$BY$125),"")</f>
        <v/>
      </c>
      <c r="BZ125">
        <f ca="1">IFERROR(IF(0=LEN(ReferenceData!$BZ$125),"",ReferenceData!$BZ$125),"")</f>
        <v>1.3940230849999999</v>
      </c>
      <c r="CA125" t="str">
        <f ca="1">IFERROR(IF(0=LEN(ReferenceData!$CA$125),"",ReferenceData!$CA$125),"")</f>
        <v/>
      </c>
      <c r="CB125" t="str">
        <f ca="1">IFERROR(IF(0=LEN(ReferenceData!$CB$125),"",ReferenceData!$CB$125),"")</f>
        <v/>
      </c>
      <c r="CC125">
        <f ca="1">IFERROR(IF(0=LEN(ReferenceData!$CC$125),"",ReferenceData!$CC$125),"")</f>
        <v>1.345551597</v>
      </c>
      <c r="CD125" t="str">
        <f ca="1">IFERROR(IF(0=LEN(ReferenceData!$CD$125),"",ReferenceData!$CD$125),"")</f>
        <v/>
      </c>
      <c r="CE125" t="str">
        <f ca="1">IFERROR(IF(0=LEN(ReferenceData!$CE$125),"",ReferenceData!$CE$125),"")</f>
        <v/>
      </c>
      <c r="CF125">
        <f ca="1">IFERROR(IF(0=LEN(ReferenceData!$CF$125),"",ReferenceData!$CF$125),"")</f>
        <v>1.2821230139999999</v>
      </c>
      <c r="CG125" t="str">
        <f ca="1">IFERROR(IF(0=LEN(ReferenceData!$CG$125),"",ReferenceData!$CG$125),"")</f>
        <v/>
      </c>
      <c r="CH125" t="str">
        <f ca="1">IFERROR(IF(0=LEN(ReferenceData!$CH$125),"",ReferenceData!$CH$125),"")</f>
        <v/>
      </c>
      <c r="CI125">
        <f ca="1">IFERROR(IF(0=LEN(ReferenceData!$CI$125),"",ReferenceData!$CI$125),"")</f>
        <v>1.224258753</v>
      </c>
      <c r="CJ125" t="str">
        <f ca="1">IFERROR(IF(0=LEN(ReferenceData!$CJ$125),"",ReferenceData!$CJ$125),"")</f>
        <v/>
      </c>
      <c r="CK125" t="str">
        <f ca="1">IFERROR(IF(0=LEN(ReferenceData!$CK$125),"",ReferenceData!$CK$125),"")</f>
        <v/>
      </c>
    </row>
    <row r="126" spans="1:89">
      <c r="A126" t="str">
        <f>IFERROR(IF(0=LEN(ReferenceData!$A$126),"",ReferenceData!$A$126),"")</f>
        <v>每股可分配资金(季度)</v>
      </c>
      <c r="B126" t="str">
        <f>IFERROR(IF(0=LEN(ReferenceData!$B$126),"",ReferenceData!$B$126),"")</f>
        <v/>
      </c>
      <c r="C126" t="str">
        <f>IFERROR(IF(0=LEN(ReferenceData!$C$126),"",ReferenceData!$C$126),"")</f>
        <v/>
      </c>
      <c r="D126" t="str">
        <f>IFERROR(IF(0=LEN(ReferenceData!$D$126),"",ReferenceData!$D$126),"")</f>
        <v/>
      </c>
      <c r="E126" t="str">
        <f>IFERROR(IF(0=LEN(ReferenceData!$E$126),"",ReferenceData!$E$126),"")</f>
        <v>Sum</v>
      </c>
      <c r="F126" t="str">
        <f ca="1">IFERROR(IF(0=LEN(ReferenceData!$F$126),"",ReferenceData!$F$126),"")</f>
        <v/>
      </c>
      <c r="G126" t="str">
        <f ca="1">IFERROR(IF(0=LEN(ReferenceData!$G$126),"",ReferenceData!$G$126),"")</f>
        <v/>
      </c>
      <c r="H126" t="str">
        <f ca="1">IFERROR(IF(0=LEN(ReferenceData!$H$126),"",ReferenceData!$H$126),"")</f>
        <v/>
      </c>
      <c r="I126">
        <f ca="1">IFERROR(IF(0=LEN(ReferenceData!$I$126),"",ReferenceData!$I$126),"")</f>
        <v>8.9797917799999993</v>
      </c>
      <c r="J126" t="str">
        <f ca="1">IFERROR(IF(0=LEN(ReferenceData!$J$126),"",ReferenceData!$J$126),"")</f>
        <v/>
      </c>
      <c r="K126" t="str">
        <f ca="1">IFERROR(IF(0=LEN(ReferenceData!$K$126),"",ReferenceData!$K$126),"")</f>
        <v/>
      </c>
      <c r="L126">
        <f ca="1">IFERROR(IF(0=LEN(ReferenceData!$L$126),"",ReferenceData!$L$126),"")</f>
        <v>8.4871066489999993</v>
      </c>
      <c r="M126" t="str">
        <f ca="1">IFERROR(IF(0=LEN(ReferenceData!$M$126),"",ReferenceData!$M$126),"")</f>
        <v/>
      </c>
      <c r="N126" t="str">
        <f ca="1">IFERROR(IF(0=LEN(ReferenceData!$N$126),"",ReferenceData!$N$126),"")</f>
        <v/>
      </c>
      <c r="O126">
        <f ca="1">IFERROR(IF(0=LEN(ReferenceData!$O$126),"",ReferenceData!$O$126),"")</f>
        <v>8.7299577100000008</v>
      </c>
      <c r="P126" t="str">
        <f ca="1">IFERROR(IF(0=LEN(ReferenceData!$P$126),"",ReferenceData!$P$126),"")</f>
        <v/>
      </c>
      <c r="Q126" t="str">
        <f ca="1">IFERROR(IF(0=LEN(ReferenceData!$Q$126),"",ReferenceData!$Q$126),"")</f>
        <v/>
      </c>
      <c r="R126">
        <f ca="1">IFERROR(IF(0=LEN(ReferenceData!$R$126),"",ReferenceData!$R$126),"")</f>
        <v>8.7224136889999997</v>
      </c>
      <c r="S126" t="str">
        <f ca="1">IFERROR(IF(0=LEN(ReferenceData!$S$126),"",ReferenceData!$S$126),"")</f>
        <v/>
      </c>
      <c r="T126" t="str">
        <f ca="1">IFERROR(IF(0=LEN(ReferenceData!$T$126),"",ReferenceData!$T$126),"")</f>
        <v/>
      </c>
      <c r="U126">
        <f ca="1">IFERROR(IF(0=LEN(ReferenceData!$U$126),"",ReferenceData!$U$126),"")</f>
        <v>8.4565194829999992</v>
      </c>
      <c r="V126" t="str">
        <f ca="1">IFERROR(IF(0=LEN(ReferenceData!$V$126),"",ReferenceData!$V$126),"")</f>
        <v/>
      </c>
      <c r="W126" t="str">
        <f ca="1">IFERROR(IF(0=LEN(ReferenceData!$W$126),"",ReferenceData!$W$126),"")</f>
        <v/>
      </c>
      <c r="X126">
        <f ca="1">IFERROR(IF(0=LEN(ReferenceData!$X$126),"",ReferenceData!$X$126),"")</f>
        <v>8.4432680209999997</v>
      </c>
      <c r="Y126" t="str">
        <f ca="1">IFERROR(IF(0=LEN(ReferenceData!$Y$126),"",ReferenceData!$Y$126),"")</f>
        <v/>
      </c>
      <c r="Z126" t="str">
        <f ca="1">IFERROR(IF(0=LEN(ReferenceData!$Z$126),"",ReferenceData!$Z$126),"")</f>
        <v/>
      </c>
      <c r="AA126">
        <f ca="1">IFERROR(IF(0=LEN(ReferenceData!$AA$126),"",ReferenceData!$AA$126),"")</f>
        <v>8.5095980690000008</v>
      </c>
      <c r="AB126" t="str">
        <f ca="1">IFERROR(IF(0=LEN(ReferenceData!$AB$126),"",ReferenceData!$AB$126),"")</f>
        <v/>
      </c>
      <c r="AC126" t="str">
        <f ca="1">IFERROR(IF(0=LEN(ReferenceData!$AC$126),"",ReferenceData!$AC$126),"")</f>
        <v/>
      </c>
      <c r="AD126">
        <f ca="1">IFERROR(IF(0=LEN(ReferenceData!$AD$126),"",ReferenceData!$AD$126),"")</f>
        <v>8.4765674630000021</v>
      </c>
      <c r="AE126" t="str">
        <f ca="1">IFERROR(IF(0=LEN(ReferenceData!$AE$126),"",ReferenceData!$AE$126),"")</f>
        <v/>
      </c>
      <c r="AF126" t="str">
        <f ca="1">IFERROR(IF(0=LEN(ReferenceData!$AF$126),"",ReferenceData!$AF$126),"")</f>
        <v/>
      </c>
      <c r="AG126">
        <f ca="1">IFERROR(IF(0=LEN(ReferenceData!$AG$126),"",ReferenceData!$AG$126),"")</f>
        <v>8.4590970619999997</v>
      </c>
      <c r="AH126" t="str">
        <f ca="1">IFERROR(IF(0=LEN(ReferenceData!$AH$126),"",ReferenceData!$AH$126),"")</f>
        <v/>
      </c>
      <c r="AI126" t="str">
        <f ca="1">IFERROR(IF(0=LEN(ReferenceData!$AI$126),"",ReferenceData!$AI$126),"")</f>
        <v/>
      </c>
      <c r="AJ126">
        <f ca="1">IFERROR(IF(0=LEN(ReferenceData!$AJ$126),"",ReferenceData!$AJ$126),"")</f>
        <v>7.9524780709999989</v>
      </c>
      <c r="AK126" t="str">
        <f ca="1">IFERROR(IF(0=LEN(ReferenceData!$AK$126),"",ReferenceData!$AK$126),"")</f>
        <v/>
      </c>
      <c r="AL126" t="str">
        <f ca="1">IFERROR(IF(0=LEN(ReferenceData!$AL$126),"",ReferenceData!$AL$126),"")</f>
        <v/>
      </c>
      <c r="AM126">
        <f ca="1">IFERROR(IF(0=LEN(ReferenceData!$AM$126),"",ReferenceData!$AM$126),"")</f>
        <v>7.9447071739999995</v>
      </c>
      <c r="AN126" t="str">
        <f ca="1">IFERROR(IF(0=LEN(ReferenceData!$AN$126),"",ReferenceData!$AN$126),"")</f>
        <v/>
      </c>
      <c r="AO126" t="str">
        <f ca="1">IFERROR(IF(0=LEN(ReferenceData!$AO$126),"",ReferenceData!$AO$126),"")</f>
        <v/>
      </c>
      <c r="AP126">
        <f ca="1">IFERROR(IF(0=LEN(ReferenceData!$AP$126),"",ReferenceData!$AP$126),"")</f>
        <v>7.6133527449999994</v>
      </c>
      <c r="AQ126" t="str">
        <f ca="1">IFERROR(IF(0=LEN(ReferenceData!$AQ$126),"",ReferenceData!$AQ$126),"")</f>
        <v/>
      </c>
      <c r="AR126" t="str">
        <f ca="1">IFERROR(IF(0=LEN(ReferenceData!$AR$126),"",ReferenceData!$AR$126),"")</f>
        <v/>
      </c>
      <c r="AS126">
        <f ca="1">IFERROR(IF(0=LEN(ReferenceData!$AS$126),"",ReferenceData!$AS$126),"")</f>
        <v>7.5742624799999998</v>
      </c>
      <c r="AT126" t="str">
        <f ca="1">IFERROR(IF(0=LEN(ReferenceData!$AT$126),"",ReferenceData!$AT$126),"")</f>
        <v/>
      </c>
      <c r="AU126" t="str">
        <f ca="1">IFERROR(IF(0=LEN(ReferenceData!$AU$126),"",ReferenceData!$AU$126),"")</f>
        <v/>
      </c>
      <c r="AV126">
        <f ca="1">IFERROR(IF(0=LEN(ReferenceData!$AV$126),"",ReferenceData!$AV$126),"")</f>
        <v>6.8714916710000002</v>
      </c>
      <c r="AW126" t="str">
        <f ca="1">IFERROR(IF(0=LEN(ReferenceData!$AW$126),"",ReferenceData!$AW$126),"")</f>
        <v/>
      </c>
      <c r="AX126" t="str">
        <f ca="1">IFERROR(IF(0=LEN(ReferenceData!$AX$126),"",ReferenceData!$AX$126),"")</f>
        <v/>
      </c>
      <c r="AY126">
        <f ca="1">IFERROR(IF(0=LEN(ReferenceData!$AY$126),"",ReferenceData!$AY$126),"")</f>
        <v>6.7864867209999993</v>
      </c>
      <c r="AZ126" t="str">
        <f ca="1">IFERROR(IF(0=LEN(ReferenceData!$AZ$126),"",ReferenceData!$AZ$126),"")</f>
        <v/>
      </c>
      <c r="BA126" t="str">
        <f ca="1">IFERROR(IF(0=LEN(ReferenceData!$BA$126),"",ReferenceData!$BA$126),"")</f>
        <v/>
      </c>
      <c r="BB126">
        <f ca="1">IFERROR(IF(0=LEN(ReferenceData!$BB$126),"",ReferenceData!$BB$126),"")</f>
        <v>7.1653340139999999</v>
      </c>
      <c r="BC126" t="str">
        <f ca="1">IFERROR(IF(0=LEN(ReferenceData!$BC$126),"",ReferenceData!$BC$126),"")</f>
        <v/>
      </c>
      <c r="BD126" t="str">
        <f ca="1">IFERROR(IF(0=LEN(ReferenceData!$BD$126),"",ReferenceData!$BD$126),"")</f>
        <v/>
      </c>
      <c r="BE126">
        <f ca="1">IFERROR(IF(0=LEN(ReferenceData!$BE$126),"",ReferenceData!$BE$126),"")</f>
        <v>6.879315783</v>
      </c>
      <c r="BF126" t="str">
        <f ca="1">IFERROR(IF(0=LEN(ReferenceData!$BF$126),"",ReferenceData!$BF$126),"")</f>
        <v/>
      </c>
      <c r="BG126" t="str">
        <f ca="1">IFERROR(IF(0=LEN(ReferenceData!$BG$126),"",ReferenceData!$BG$126),"")</f>
        <v/>
      </c>
      <c r="BH126">
        <f ca="1">IFERROR(IF(0=LEN(ReferenceData!$BH$126),"",ReferenceData!$BH$126),"")</f>
        <v>6.6082325339999999</v>
      </c>
      <c r="BI126" t="str">
        <f ca="1">IFERROR(IF(0=LEN(ReferenceData!$BI$126),"",ReferenceData!$BI$126),"")</f>
        <v/>
      </c>
      <c r="BJ126" t="str">
        <f ca="1">IFERROR(IF(0=LEN(ReferenceData!$BJ$126),"",ReferenceData!$BJ$126),"")</f>
        <v/>
      </c>
      <c r="BK126">
        <f ca="1">IFERROR(IF(0=LEN(ReferenceData!$BK$126),"",ReferenceData!$BK$126),"")</f>
        <v>6.6025087519999994</v>
      </c>
      <c r="BL126" t="str">
        <f ca="1">IFERROR(IF(0=LEN(ReferenceData!$BL$126),"",ReferenceData!$BL$126),"")</f>
        <v/>
      </c>
      <c r="BM126" t="str">
        <f ca="1">IFERROR(IF(0=LEN(ReferenceData!$BM$126),"",ReferenceData!$BM$126),"")</f>
        <v/>
      </c>
      <c r="BN126">
        <f ca="1">IFERROR(IF(0=LEN(ReferenceData!$BN$126),"",ReferenceData!$BN$126),"")</f>
        <v>6.4131284010000007</v>
      </c>
      <c r="BO126" t="str">
        <f ca="1">IFERROR(IF(0=LEN(ReferenceData!$BO$126),"",ReferenceData!$BO$126),"")</f>
        <v/>
      </c>
      <c r="BP126" t="str">
        <f ca="1">IFERROR(IF(0=LEN(ReferenceData!$BP$126),"",ReferenceData!$BP$126),"")</f>
        <v/>
      </c>
      <c r="BQ126">
        <f ca="1">IFERROR(IF(0=LEN(ReferenceData!$BQ$126),"",ReferenceData!$BQ$126),"")</f>
        <v>5.0663644339999996</v>
      </c>
      <c r="BR126" t="str">
        <f ca="1">IFERROR(IF(0=LEN(ReferenceData!$BR$126),"",ReferenceData!$BR$126),"")</f>
        <v/>
      </c>
      <c r="BS126" t="str">
        <f ca="1">IFERROR(IF(0=LEN(ReferenceData!$BS$126),"",ReferenceData!$BS$126),"")</f>
        <v/>
      </c>
      <c r="BT126">
        <f ca="1">IFERROR(IF(0=LEN(ReferenceData!$BT$126),"",ReferenceData!$BT$126),"")</f>
        <v>6.4686356509999996</v>
      </c>
      <c r="BU126" t="str">
        <f ca="1">IFERROR(IF(0=LEN(ReferenceData!$BU$126),"",ReferenceData!$BU$126),"")</f>
        <v/>
      </c>
      <c r="BV126" t="str">
        <f ca="1">IFERROR(IF(0=LEN(ReferenceData!$BV$126),"",ReferenceData!$BV$126),"")</f>
        <v/>
      </c>
      <c r="BW126">
        <f ca="1">IFERROR(IF(0=LEN(ReferenceData!$BW$126),"",ReferenceData!$BW$126),"")</f>
        <v>5.9937112300000006</v>
      </c>
      <c r="BX126" t="str">
        <f ca="1">IFERROR(IF(0=LEN(ReferenceData!$BX$126),"",ReferenceData!$BX$126),"")</f>
        <v/>
      </c>
      <c r="BY126" t="str">
        <f ca="1">IFERROR(IF(0=LEN(ReferenceData!$BY$126),"",ReferenceData!$BY$126),"")</f>
        <v/>
      </c>
      <c r="BZ126">
        <f ca="1">IFERROR(IF(0=LEN(ReferenceData!$BZ$126),"",ReferenceData!$BZ$126),"")</f>
        <v>5.6896019639999995</v>
      </c>
      <c r="CA126" t="str">
        <f ca="1">IFERROR(IF(0=LEN(ReferenceData!$CA$126),"",ReferenceData!$CA$126),"")</f>
        <v/>
      </c>
      <c r="CB126" t="str">
        <f ca="1">IFERROR(IF(0=LEN(ReferenceData!$CB$126),"",ReferenceData!$CB$126),"")</f>
        <v/>
      </c>
      <c r="CC126">
        <f ca="1">IFERROR(IF(0=LEN(ReferenceData!$CC$126),"",ReferenceData!$CC$126),"")</f>
        <v>5.1624059190000002</v>
      </c>
      <c r="CD126" t="str">
        <f ca="1">IFERROR(IF(0=LEN(ReferenceData!$CD$126),"",ReferenceData!$CD$126),"")</f>
        <v/>
      </c>
      <c r="CE126" t="str">
        <f ca="1">IFERROR(IF(0=LEN(ReferenceData!$CE$126),"",ReferenceData!$CE$126),"")</f>
        <v/>
      </c>
      <c r="CF126">
        <f ca="1">IFERROR(IF(0=LEN(ReferenceData!$CF$126),"",ReferenceData!$CF$126),"")</f>
        <v>4.9423960920000001</v>
      </c>
      <c r="CG126" t="str">
        <f ca="1">IFERROR(IF(0=LEN(ReferenceData!$CG$126),"",ReferenceData!$CG$126),"")</f>
        <v/>
      </c>
      <c r="CH126" t="str">
        <f ca="1">IFERROR(IF(0=LEN(ReferenceData!$CH$126),"",ReferenceData!$CH$126),"")</f>
        <v/>
      </c>
      <c r="CI126">
        <f ca="1">IFERROR(IF(0=LEN(ReferenceData!$CI$126),"",ReferenceData!$CI$126),"")</f>
        <v>4.4783789149999995</v>
      </c>
      <c r="CJ126" t="str">
        <f ca="1">IFERROR(IF(0=LEN(ReferenceData!$CJ$126),"",ReferenceData!$CJ$126),"")</f>
        <v/>
      </c>
      <c r="CK126" t="str">
        <f ca="1">IFERROR(IF(0=LEN(ReferenceData!$CK$126),"",ReferenceData!$CK$126),"")</f>
        <v/>
      </c>
    </row>
    <row r="127" spans="1:89">
      <c r="A127" t="str">
        <f>IFERROR(IF(0=LEN(ReferenceData!$A$127),"",ReferenceData!$A$127),"")</f>
        <v xml:space="preserve">    Apartment Investment &amp; Managem</v>
      </c>
      <c r="B127" t="str">
        <f>IFERROR(IF(0=LEN(ReferenceData!$B$127),"",ReferenceData!$B$127),"")</f>
        <v>AIV US Equity</v>
      </c>
      <c r="C127" t="str">
        <f>IFERROR(IF(0=LEN(ReferenceData!$C$127),"",ReferenceData!$C$127),"")</f>
        <v>F0580</v>
      </c>
      <c r="D127" t="str">
        <f>IFERROR(IF(0=LEN(ReferenceData!$D$127),"",ReferenceData!$D$127),"")</f>
        <v>FUNDS_AVAILABLE_FOR_DIST_PER_SH</v>
      </c>
      <c r="E127" t="str">
        <f>IFERROR(IF(0=LEN(ReferenceData!$E$127),"",ReferenceData!$E$127),"")</f>
        <v>动态</v>
      </c>
      <c r="F127" t="str">
        <f ca="1">IFERROR(IF(0=LEN(ReferenceData!$F$127),"",ReferenceData!$F$127),"")</f>
        <v/>
      </c>
      <c r="G127" t="str">
        <f ca="1">IFERROR(IF(0=LEN(ReferenceData!$G$127),"",ReferenceData!$G$127),"")</f>
        <v/>
      </c>
      <c r="H127" t="str">
        <f ca="1">IFERROR(IF(0=LEN(ReferenceData!$H$127),"",ReferenceData!$H$127),"")</f>
        <v/>
      </c>
      <c r="I127">
        <f ca="1">IFERROR(IF(0=LEN(ReferenceData!$I$127),"",ReferenceData!$I$127),"")</f>
        <v>0.56029526100000004</v>
      </c>
      <c r="J127" t="str">
        <f ca="1">IFERROR(IF(0=LEN(ReferenceData!$J$127),"",ReferenceData!$J$127),"")</f>
        <v/>
      </c>
      <c r="K127" t="str">
        <f ca="1">IFERROR(IF(0=LEN(ReferenceData!$K$127),"",ReferenceData!$K$127),"")</f>
        <v/>
      </c>
      <c r="L127">
        <f ca="1">IFERROR(IF(0=LEN(ReferenceData!$L$127),"",ReferenceData!$L$127),"")</f>
        <v>0.53538773500000003</v>
      </c>
      <c r="M127" t="str">
        <f ca="1">IFERROR(IF(0=LEN(ReferenceData!$M$127),"",ReferenceData!$M$127),"")</f>
        <v/>
      </c>
      <c r="N127" t="str">
        <f ca="1">IFERROR(IF(0=LEN(ReferenceData!$N$127),"",ReferenceData!$N$127),"")</f>
        <v/>
      </c>
      <c r="O127">
        <f ca="1">IFERROR(IF(0=LEN(ReferenceData!$O$127),"",ReferenceData!$O$127),"")</f>
        <v>0.51033404599999999</v>
      </c>
      <c r="P127" t="str">
        <f ca="1">IFERROR(IF(0=LEN(ReferenceData!$P$127),"",ReferenceData!$P$127),"")</f>
        <v/>
      </c>
      <c r="Q127" t="str">
        <f ca="1">IFERROR(IF(0=LEN(ReferenceData!$Q$127),"",ReferenceData!$Q$127),"")</f>
        <v/>
      </c>
      <c r="R127">
        <f ca="1">IFERROR(IF(0=LEN(ReferenceData!$R$127),"",ReferenceData!$R$127),"")</f>
        <v>0.51118950699999999</v>
      </c>
      <c r="S127" t="str">
        <f ca="1">IFERROR(IF(0=LEN(ReferenceData!$S$127),"",ReferenceData!$S$127),"")</f>
        <v/>
      </c>
      <c r="T127" t="str">
        <f ca="1">IFERROR(IF(0=LEN(ReferenceData!$T$127),"",ReferenceData!$T$127),"")</f>
        <v/>
      </c>
      <c r="U127">
        <f ca="1">IFERROR(IF(0=LEN(ReferenceData!$U$127),"",ReferenceData!$U$127),"")</f>
        <v>0.50449086499999996</v>
      </c>
      <c r="V127" t="str">
        <f ca="1">IFERROR(IF(0=LEN(ReferenceData!$V$127),"",ReferenceData!$V$127),"")</f>
        <v/>
      </c>
      <c r="W127" t="str">
        <f ca="1">IFERROR(IF(0=LEN(ReferenceData!$W$127),"",ReferenceData!$W$127),"")</f>
        <v/>
      </c>
      <c r="X127">
        <f ca="1">IFERROR(IF(0=LEN(ReferenceData!$X$127),"",ReferenceData!$X$127),"")</f>
        <v>0.45450944599999998</v>
      </c>
      <c r="Y127" t="str">
        <f ca="1">IFERROR(IF(0=LEN(ReferenceData!$Y$127),"",ReferenceData!$Y$127),"")</f>
        <v/>
      </c>
      <c r="Z127" t="str">
        <f ca="1">IFERROR(IF(0=LEN(ReferenceData!$Z$127),"",ReferenceData!$Z$127),"")</f>
        <v/>
      </c>
      <c r="AA127">
        <f ca="1">IFERROR(IF(0=LEN(ReferenceData!$AA$127),"",ReferenceData!$AA$127),"")</f>
        <v>0.49946745100000001</v>
      </c>
      <c r="AB127" t="str">
        <f ca="1">IFERROR(IF(0=LEN(ReferenceData!$AB$127),"",ReferenceData!$AB$127),"")</f>
        <v/>
      </c>
      <c r="AC127" t="str">
        <f ca="1">IFERROR(IF(0=LEN(ReferenceData!$AC$127),"",ReferenceData!$AC$127),"")</f>
        <v/>
      </c>
      <c r="AD127">
        <f ca="1">IFERROR(IF(0=LEN(ReferenceData!$AD$127),"",ReferenceData!$AD$127),"")</f>
        <v>0.50534535000000003</v>
      </c>
      <c r="AE127" t="str">
        <f ca="1">IFERROR(IF(0=LEN(ReferenceData!$AE$127),"",ReferenceData!$AE$127),"")</f>
        <v/>
      </c>
      <c r="AF127" t="str">
        <f ca="1">IFERROR(IF(0=LEN(ReferenceData!$AF$127),"",ReferenceData!$AF$127),"")</f>
        <v/>
      </c>
      <c r="AG127">
        <f ca="1">IFERROR(IF(0=LEN(ReferenceData!$AG$127),"",ReferenceData!$AG$127),"")</f>
        <v>0.47647733599999997</v>
      </c>
      <c r="AH127" t="str">
        <f ca="1">IFERROR(IF(0=LEN(ReferenceData!$AH$127),"",ReferenceData!$AH$127),"")</f>
        <v/>
      </c>
      <c r="AI127" t="str">
        <f ca="1">IFERROR(IF(0=LEN(ReferenceData!$AI$127),"",ReferenceData!$AI$127),"")</f>
        <v/>
      </c>
      <c r="AJ127">
        <f ca="1">IFERROR(IF(0=LEN(ReferenceData!$AJ$127),"",ReferenceData!$AJ$127),"")</f>
        <v>0.47819342599999998</v>
      </c>
      <c r="AK127" t="str">
        <f ca="1">IFERROR(IF(0=LEN(ReferenceData!$AK$127),"",ReferenceData!$AK$127),"")</f>
        <v/>
      </c>
      <c r="AL127" t="str">
        <f ca="1">IFERROR(IF(0=LEN(ReferenceData!$AL$127),"",ReferenceData!$AL$127),"")</f>
        <v/>
      </c>
      <c r="AM127">
        <f ca="1">IFERROR(IF(0=LEN(ReferenceData!$AM$127),"",ReferenceData!$AM$127),"")</f>
        <v>0.46466265699999998</v>
      </c>
      <c r="AN127" t="str">
        <f ca="1">IFERROR(IF(0=LEN(ReferenceData!$AN$127),"",ReferenceData!$AN$127),"")</f>
        <v/>
      </c>
      <c r="AO127" t="str">
        <f ca="1">IFERROR(IF(0=LEN(ReferenceData!$AO$127),"",ReferenceData!$AO$127),"")</f>
        <v/>
      </c>
      <c r="AP127">
        <f ca="1">IFERROR(IF(0=LEN(ReferenceData!$AP$127),"",ReferenceData!$AP$127),"")</f>
        <v>0.45913519200000003</v>
      </c>
      <c r="AQ127" t="str">
        <f ca="1">IFERROR(IF(0=LEN(ReferenceData!$AQ$127),"",ReferenceData!$AQ$127),"")</f>
        <v/>
      </c>
      <c r="AR127" t="str">
        <f ca="1">IFERROR(IF(0=LEN(ReferenceData!$AR$127),"",ReferenceData!$AR$127),"")</f>
        <v/>
      </c>
      <c r="AS127">
        <f ca="1">IFERROR(IF(0=LEN(ReferenceData!$AS$127),"",ReferenceData!$AS$127),"")</f>
        <v>0.42856849800000002</v>
      </c>
      <c r="AT127" t="str">
        <f ca="1">IFERROR(IF(0=LEN(ReferenceData!$AT$127),"",ReferenceData!$AT$127),"")</f>
        <v/>
      </c>
      <c r="AU127" t="str">
        <f ca="1">IFERROR(IF(0=LEN(ReferenceData!$AU$127),"",ReferenceData!$AU$127),"")</f>
        <v/>
      </c>
      <c r="AV127">
        <f ca="1">IFERROR(IF(0=LEN(ReferenceData!$AV$127),"",ReferenceData!$AV$127),"")</f>
        <v>0.39332940900000002</v>
      </c>
      <c r="AW127" t="str">
        <f ca="1">IFERROR(IF(0=LEN(ReferenceData!$AW$127),"",ReferenceData!$AW$127),"")</f>
        <v/>
      </c>
      <c r="AX127" t="str">
        <f ca="1">IFERROR(IF(0=LEN(ReferenceData!$AX$127),"",ReferenceData!$AX$127),"")</f>
        <v/>
      </c>
      <c r="AY127">
        <f ca="1">IFERROR(IF(0=LEN(ReferenceData!$AY$127),"",ReferenceData!$AY$127),"")</f>
        <v>0.43623659999999997</v>
      </c>
      <c r="AZ127" t="str">
        <f ca="1">IFERROR(IF(0=LEN(ReferenceData!$AZ$127),"",ReferenceData!$AZ$127),"")</f>
        <v/>
      </c>
      <c r="BA127" t="str">
        <f ca="1">IFERROR(IF(0=LEN(ReferenceData!$BA$127),"",ReferenceData!$BA$127),"")</f>
        <v/>
      </c>
      <c r="BB127">
        <f ca="1">IFERROR(IF(0=LEN(ReferenceData!$BB$127),"",ReferenceData!$BB$127),"")</f>
        <v>0.42525106200000001</v>
      </c>
      <c r="BC127" t="str">
        <f ca="1">IFERROR(IF(0=LEN(ReferenceData!$BC$127),"",ReferenceData!$BC$127),"")</f>
        <v/>
      </c>
      <c r="BD127" t="str">
        <f ca="1">IFERROR(IF(0=LEN(ReferenceData!$BD$127),"",ReferenceData!$BD$127),"")</f>
        <v/>
      </c>
      <c r="BE127">
        <f ca="1">IFERROR(IF(0=LEN(ReferenceData!$BE$127),"",ReferenceData!$BE$127),"")</f>
        <v>0.429040749</v>
      </c>
      <c r="BF127" t="str">
        <f ca="1">IFERROR(IF(0=LEN(ReferenceData!$BF$127),"",ReferenceData!$BF$127),"")</f>
        <v/>
      </c>
      <c r="BG127" t="str">
        <f ca="1">IFERROR(IF(0=LEN(ReferenceData!$BG$127),"",ReferenceData!$BG$127),"")</f>
        <v/>
      </c>
      <c r="BH127">
        <f ca="1">IFERROR(IF(0=LEN(ReferenceData!$BH$127),"",ReferenceData!$BH$127),"")</f>
        <v>0.35114005599999998</v>
      </c>
      <c r="BI127" t="str">
        <f ca="1">IFERROR(IF(0=LEN(ReferenceData!$BI$127),"",ReferenceData!$BI$127),"")</f>
        <v/>
      </c>
      <c r="BJ127" t="str">
        <f ca="1">IFERROR(IF(0=LEN(ReferenceData!$BJ$127),"",ReferenceData!$BJ$127),"")</f>
        <v/>
      </c>
      <c r="BK127">
        <f ca="1">IFERROR(IF(0=LEN(ReferenceData!$BK$127),"",ReferenceData!$BK$127),"")</f>
        <v>0.36655134099999997</v>
      </c>
      <c r="BL127" t="str">
        <f ca="1">IFERROR(IF(0=LEN(ReferenceData!$BL$127),"",ReferenceData!$BL$127),"")</f>
        <v/>
      </c>
      <c r="BM127" t="str">
        <f ca="1">IFERROR(IF(0=LEN(ReferenceData!$BM$127),"",ReferenceData!$BM$127),"")</f>
        <v/>
      </c>
      <c r="BN127">
        <f ca="1">IFERROR(IF(0=LEN(ReferenceData!$BN$127),"",ReferenceData!$BN$127),"")</f>
        <v>0.37843042900000001</v>
      </c>
      <c r="BO127" t="str">
        <f ca="1">IFERROR(IF(0=LEN(ReferenceData!$BO$127),"",ReferenceData!$BO$127),"")</f>
        <v/>
      </c>
      <c r="BP127" t="str">
        <f ca="1">IFERROR(IF(0=LEN(ReferenceData!$BP$127),"",ReferenceData!$BP$127),"")</f>
        <v/>
      </c>
      <c r="BQ127">
        <f ca="1">IFERROR(IF(0=LEN(ReferenceData!$BQ$127),"",ReferenceData!$BQ$127),"")</f>
        <v>0.37882722499999999</v>
      </c>
      <c r="BR127" t="str">
        <f ca="1">IFERROR(IF(0=LEN(ReferenceData!$BR$127),"",ReferenceData!$BR$127),"")</f>
        <v/>
      </c>
      <c r="BS127" t="str">
        <f ca="1">IFERROR(IF(0=LEN(ReferenceData!$BS$127),"",ReferenceData!$BS$127),"")</f>
        <v/>
      </c>
      <c r="BT127">
        <f ca="1">IFERROR(IF(0=LEN(ReferenceData!$BT$127),"",ReferenceData!$BT$127),"")</f>
        <v>0.32942619499999998</v>
      </c>
      <c r="BU127" t="str">
        <f ca="1">IFERROR(IF(0=LEN(ReferenceData!$BU$127),"",ReferenceData!$BU$127),"")</f>
        <v/>
      </c>
      <c r="BV127" t="str">
        <f ca="1">IFERROR(IF(0=LEN(ReferenceData!$BV$127),"",ReferenceData!$BV$127),"")</f>
        <v/>
      </c>
      <c r="BW127">
        <f ca="1">IFERROR(IF(0=LEN(ReferenceData!$BW$127),"",ReferenceData!$BW$127),"")</f>
        <v>0.33791576400000001</v>
      </c>
      <c r="BX127" t="str">
        <f ca="1">IFERROR(IF(0=LEN(ReferenceData!$BX$127),"",ReferenceData!$BX$127),"")</f>
        <v/>
      </c>
      <c r="BY127" t="str">
        <f ca="1">IFERROR(IF(0=LEN(ReferenceData!$BY$127),"",ReferenceData!$BY$127),"")</f>
        <v/>
      </c>
      <c r="BZ127">
        <f ca="1">IFERROR(IF(0=LEN(ReferenceData!$BZ$127),"",ReferenceData!$BZ$127),"")</f>
        <v>0.290827259</v>
      </c>
      <c r="CA127" t="str">
        <f ca="1">IFERROR(IF(0=LEN(ReferenceData!$CA$127),"",ReferenceData!$CA$127),"")</f>
        <v/>
      </c>
      <c r="CB127" t="str">
        <f ca="1">IFERROR(IF(0=LEN(ReferenceData!$CB$127),"",ReferenceData!$CB$127),"")</f>
        <v/>
      </c>
      <c r="CC127">
        <f ca="1">IFERROR(IF(0=LEN(ReferenceData!$CC$127),"",ReferenceData!$CC$127),"")</f>
        <v>0.201806131</v>
      </c>
      <c r="CD127" t="str">
        <f ca="1">IFERROR(IF(0=LEN(ReferenceData!$CD$127),"",ReferenceData!$CD$127),"")</f>
        <v/>
      </c>
      <c r="CE127" t="str">
        <f ca="1">IFERROR(IF(0=LEN(ReferenceData!$CE$127),"",ReferenceData!$CE$127),"")</f>
        <v/>
      </c>
      <c r="CF127">
        <f ca="1">IFERROR(IF(0=LEN(ReferenceData!$CF$127),"",ReferenceData!$CF$127),"")</f>
        <v>0.244112041</v>
      </c>
      <c r="CG127" t="str">
        <f ca="1">IFERROR(IF(0=LEN(ReferenceData!$CG$127),"",ReferenceData!$CG$127),"")</f>
        <v/>
      </c>
      <c r="CH127" t="str">
        <f ca="1">IFERROR(IF(0=LEN(ReferenceData!$CH$127),"",ReferenceData!$CH$127),"")</f>
        <v/>
      </c>
      <c r="CI127">
        <f ca="1">IFERROR(IF(0=LEN(ReferenceData!$CI$127),"",ReferenceData!$CI$127),"")</f>
        <v>0.13509758599999999</v>
      </c>
      <c r="CJ127" t="str">
        <f ca="1">IFERROR(IF(0=LEN(ReferenceData!$CJ$127),"",ReferenceData!$CJ$127),"")</f>
        <v/>
      </c>
      <c r="CK127" t="str">
        <f ca="1">IFERROR(IF(0=LEN(ReferenceData!$CK$127),"",ReferenceData!$CK$127),"")</f>
        <v/>
      </c>
    </row>
    <row r="128" spans="1:89">
      <c r="A128" t="str">
        <f>IFERROR(IF(0=LEN(ReferenceData!$A$128),"",ReferenceData!$A$128),"")</f>
        <v xml:space="preserve">    AvalonBay Communities Inc</v>
      </c>
      <c r="B128" t="str">
        <f>IFERROR(IF(0=LEN(ReferenceData!$B$128),"",ReferenceData!$B$128),"")</f>
        <v>AVB US Equity</v>
      </c>
      <c r="C128" t="str">
        <f>IFERROR(IF(0=LEN(ReferenceData!$C$128),"",ReferenceData!$C$128),"")</f>
        <v>F0580</v>
      </c>
      <c r="D128" t="str">
        <f>IFERROR(IF(0=LEN(ReferenceData!$D$128),"",ReferenceData!$D$128),"")</f>
        <v>FUNDS_AVAILABLE_FOR_DIST_PER_SH</v>
      </c>
      <c r="E128" t="str">
        <f>IFERROR(IF(0=LEN(ReferenceData!$E$128),"",ReferenceData!$E$128),"")</f>
        <v>动态</v>
      </c>
      <c r="F128" t="str">
        <f ca="1">IFERROR(IF(0=LEN(ReferenceData!$F$128),"",ReferenceData!$F$128),"")</f>
        <v/>
      </c>
      <c r="G128" t="str">
        <f ca="1">IFERROR(IF(0=LEN(ReferenceData!$G$128),"",ReferenceData!$G$128),"")</f>
        <v/>
      </c>
      <c r="H128" t="str">
        <f ca="1">IFERROR(IF(0=LEN(ReferenceData!$H$128),"",ReferenceData!$H$128),"")</f>
        <v/>
      </c>
      <c r="I128">
        <f ca="1">IFERROR(IF(0=LEN(ReferenceData!$I$128),"",ReferenceData!$I$128),"")</f>
        <v>2.1652945159999999</v>
      </c>
      <c r="J128" t="str">
        <f ca="1">IFERROR(IF(0=LEN(ReferenceData!$J$128),"",ReferenceData!$J$128),"")</f>
        <v/>
      </c>
      <c r="K128" t="str">
        <f ca="1">IFERROR(IF(0=LEN(ReferenceData!$K$128),"",ReferenceData!$K$128),"")</f>
        <v/>
      </c>
      <c r="L128">
        <f ca="1">IFERROR(IF(0=LEN(ReferenceData!$L$128),"",ReferenceData!$L$128),"")</f>
        <v>2.1057710329999999</v>
      </c>
      <c r="M128" t="str">
        <f ca="1">IFERROR(IF(0=LEN(ReferenceData!$M$128),"",ReferenceData!$M$128),"")</f>
        <v/>
      </c>
      <c r="N128" t="str">
        <f ca="1">IFERROR(IF(0=LEN(ReferenceData!$N$128),"",ReferenceData!$N$128),"")</f>
        <v/>
      </c>
      <c r="O128">
        <f ca="1">IFERROR(IF(0=LEN(ReferenceData!$O$128),"",ReferenceData!$O$128),"")</f>
        <v>1.996241658</v>
      </c>
      <c r="P128" t="str">
        <f ca="1">IFERROR(IF(0=LEN(ReferenceData!$P$128),"",ReferenceData!$P$128),"")</f>
        <v/>
      </c>
      <c r="Q128" t="str">
        <f ca="1">IFERROR(IF(0=LEN(ReferenceData!$Q$128),"",ReferenceData!$Q$128),"")</f>
        <v/>
      </c>
      <c r="R128">
        <f ca="1">IFERROR(IF(0=LEN(ReferenceData!$R$128),"",ReferenceData!$R$128),"")</f>
        <v>2.010306865</v>
      </c>
      <c r="S128" t="str">
        <f ca="1">IFERROR(IF(0=LEN(ReferenceData!$S$128),"",ReferenceData!$S$128),"")</f>
        <v/>
      </c>
      <c r="T128" t="str">
        <f ca="1">IFERROR(IF(0=LEN(ReferenceData!$T$128),"",ReferenceData!$T$128),"")</f>
        <v/>
      </c>
      <c r="U128">
        <f ca="1">IFERROR(IF(0=LEN(ReferenceData!$U$128),"",ReferenceData!$U$128),"")</f>
        <v>2.0427919999999999</v>
      </c>
      <c r="V128" t="str">
        <f ca="1">IFERROR(IF(0=LEN(ReferenceData!$V$128),"",ReferenceData!$V$128),"")</f>
        <v/>
      </c>
      <c r="W128" t="str">
        <f ca="1">IFERROR(IF(0=LEN(ReferenceData!$W$128),"",ReferenceData!$W$128),"")</f>
        <v/>
      </c>
      <c r="X128">
        <f ca="1">IFERROR(IF(0=LEN(ReferenceData!$X$128),"",ReferenceData!$X$128),"")</f>
        <v>1.9913437899999999</v>
      </c>
      <c r="Y128" t="str">
        <f ca="1">IFERROR(IF(0=LEN(ReferenceData!$Y$128),"",ReferenceData!$Y$128),"")</f>
        <v/>
      </c>
      <c r="Z128" t="str">
        <f ca="1">IFERROR(IF(0=LEN(ReferenceData!$Z$128),"",ReferenceData!$Z$128),"")</f>
        <v/>
      </c>
      <c r="AA128">
        <f ca="1">IFERROR(IF(0=LEN(ReferenceData!$AA$128),"",ReferenceData!$AA$128),"")</f>
        <v>1.937182709</v>
      </c>
      <c r="AB128" t="str">
        <f ca="1">IFERROR(IF(0=LEN(ReferenceData!$AB$128),"",ReferenceData!$AB$128),"")</f>
        <v/>
      </c>
      <c r="AC128" t="str">
        <f ca="1">IFERROR(IF(0=LEN(ReferenceData!$AC$128),"",ReferenceData!$AC$128),"")</f>
        <v/>
      </c>
      <c r="AD128">
        <f ca="1">IFERROR(IF(0=LEN(ReferenceData!$AD$128),"",ReferenceData!$AD$128),"")</f>
        <v>1.8863536030000001</v>
      </c>
      <c r="AE128" t="str">
        <f ca="1">IFERROR(IF(0=LEN(ReferenceData!$AE$128),"",ReferenceData!$AE$128),"")</f>
        <v/>
      </c>
      <c r="AF128" t="str">
        <f ca="1">IFERROR(IF(0=LEN(ReferenceData!$AF$128),"",ReferenceData!$AF$128),"")</f>
        <v/>
      </c>
      <c r="AG128">
        <f ca="1">IFERROR(IF(0=LEN(ReferenceData!$AG$128),"",ReferenceData!$AG$128),"")</f>
        <v>1.904784657</v>
      </c>
      <c r="AH128" t="str">
        <f ca="1">IFERROR(IF(0=LEN(ReferenceData!$AH$128),"",ReferenceData!$AH$128),"")</f>
        <v/>
      </c>
      <c r="AI128" t="str">
        <f ca="1">IFERROR(IF(0=LEN(ReferenceData!$AI$128),"",ReferenceData!$AI$128),"")</f>
        <v/>
      </c>
      <c r="AJ128">
        <f ca="1">IFERROR(IF(0=LEN(ReferenceData!$AJ$128),"",ReferenceData!$AJ$128),"")</f>
        <v>1.8498305390000001</v>
      </c>
      <c r="AK128" t="str">
        <f ca="1">IFERROR(IF(0=LEN(ReferenceData!$AK$128),"",ReferenceData!$AK$128),"")</f>
        <v/>
      </c>
      <c r="AL128" t="str">
        <f ca="1">IFERROR(IF(0=LEN(ReferenceData!$AL$128),"",ReferenceData!$AL$128),"")</f>
        <v/>
      </c>
      <c r="AM128">
        <f ca="1">IFERROR(IF(0=LEN(ReferenceData!$AM$128),"",ReferenceData!$AM$128),"")</f>
        <v>1.782947123</v>
      </c>
      <c r="AN128" t="str">
        <f ca="1">IFERROR(IF(0=LEN(ReferenceData!$AN$128),"",ReferenceData!$AN$128),"")</f>
        <v/>
      </c>
      <c r="AO128" t="str">
        <f ca="1">IFERROR(IF(0=LEN(ReferenceData!$AO$128),"",ReferenceData!$AO$128),"")</f>
        <v/>
      </c>
      <c r="AP128">
        <f ca="1">IFERROR(IF(0=LEN(ReferenceData!$AP$128),"",ReferenceData!$AP$128),"")</f>
        <v>1.6736377419999999</v>
      </c>
      <c r="AQ128" t="str">
        <f ca="1">IFERROR(IF(0=LEN(ReferenceData!$AQ$128),"",ReferenceData!$AQ$128),"")</f>
        <v/>
      </c>
      <c r="AR128" t="str">
        <f ca="1">IFERROR(IF(0=LEN(ReferenceData!$AR$128),"",ReferenceData!$AR$128),"")</f>
        <v/>
      </c>
      <c r="AS128">
        <f ca="1">IFERROR(IF(0=LEN(ReferenceData!$AS$128),"",ReferenceData!$AS$128),"")</f>
        <v>1.644798639</v>
      </c>
      <c r="AT128" t="str">
        <f ca="1">IFERROR(IF(0=LEN(ReferenceData!$AT$128),"",ReferenceData!$AT$128),"")</f>
        <v/>
      </c>
      <c r="AU128" t="str">
        <f ca="1">IFERROR(IF(0=LEN(ReferenceData!$AU$128),"",ReferenceData!$AU$128),"")</f>
        <v/>
      </c>
      <c r="AV128">
        <f ca="1">IFERROR(IF(0=LEN(ReferenceData!$AV$128),"",ReferenceData!$AV$128),"")</f>
        <v>1.660584115</v>
      </c>
      <c r="AW128" t="str">
        <f ca="1">IFERROR(IF(0=LEN(ReferenceData!$AW$128),"",ReferenceData!$AW$128),"")</f>
        <v/>
      </c>
      <c r="AX128" t="str">
        <f ca="1">IFERROR(IF(0=LEN(ReferenceData!$AX$128),"",ReferenceData!$AX$128),"")</f>
        <v/>
      </c>
      <c r="AY128">
        <f ca="1">IFERROR(IF(0=LEN(ReferenceData!$AY$128),"",ReferenceData!$AY$128),"")</f>
        <v>1.635307069</v>
      </c>
      <c r="AZ128" t="str">
        <f ca="1">IFERROR(IF(0=LEN(ReferenceData!$AZ$128),"",ReferenceData!$AZ$128),"")</f>
        <v/>
      </c>
      <c r="BA128" t="str">
        <f ca="1">IFERROR(IF(0=LEN(ReferenceData!$BA$128),"",ReferenceData!$BA$128),"")</f>
        <v/>
      </c>
      <c r="BB128">
        <f ca="1">IFERROR(IF(0=LEN(ReferenceData!$BB$128),"",ReferenceData!$BB$128),"")</f>
        <v>1.561248875</v>
      </c>
      <c r="BC128" t="str">
        <f ca="1">IFERROR(IF(0=LEN(ReferenceData!$BC$128),"",ReferenceData!$BC$128),"")</f>
        <v/>
      </c>
      <c r="BD128" t="str">
        <f ca="1">IFERROR(IF(0=LEN(ReferenceData!$BD$128),"",ReferenceData!$BD$128),"")</f>
        <v/>
      </c>
      <c r="BE128">
        <f ca="1">IFERROR(IF(0=LEN(ReferenceData!$BE$128),"",ReferenceData!$BE$128),"")</f>
        <v>1.50708116</v>
      </c>
      <c r="BF128" t="str">
        <f ca="1">IFERROR(IF(0=LEN(ReferenceData!$BF$128),"",ReferenceData!$BF$128),"")</f>
        <v/>
      </c>
      <c r="BG128" t="str">
        <f ca="1">IFERROR(IF(0=LEN(ReferenceData!$BG$128),"",ReferenceData!$BG$128),"")</f>
        <v/>
      </c>
      <c r="BH128">
        <f ca="1">IFERROR(IF(0=LEN(ReferenceData!$BH$128),"",ReferenceData!$BH$128),"")</f>
        <v>1.5600739450000001</v>
      </c>
      <c r="BI128" t="str">
        <f ca="1">IFERROR(IF(0=LEN(ReferenceData!$BI$128),"",ReferenceData!$BI$128),"")</f>
        <v/>
      </c>
      <c r="BJ128" t="str">
        <f ca="1">IFERROR(IF(0=LEN(ReferenceData!$BJ$128),"",ReferenceData!$BJ$128),"")</f>
        <v/>
      </c>
      <c r="BK128">
        <f ca="1">IFERROR(IF(0=LEN(ReferenceData!$BK$128),"",ReferenceData!$BK$128),"")</f>
        <v>1.549923852</v>
      </c>
      <c r="BL128" t="str">
        <f ca="1">IFERROR(IF(0=LEN(ReferenceData!$BL$128),"",ReferenceData!$BL$128),"")</f>
        <v/>
      </c>
      <c r="BM128" t="str">
        <f ca="1">IFERROR(IF(0=LEN(ReferenceData!$BM$128),"",ReferenceData!$BM$128),"")</f>
        <v/>
      </c>
      <c r="BN128">
        <f ca="1">IFERROR(IF(0=LEN(ReferenceData!$BN$128),"",ReferenceData!$BN$128),"")</f>
        <v>1.2941348779999999</v>
      </c>
      <c r="BO128" t="str">
        <f ca="1">IFERROR(IF(0=LEN(ReferenceData!$BO$128),"",ReferenceData!$BO$128),"")</f>
        <v/>
      </c>
      <c r="BP128" t="str">
        <f ca="1">IFERROR(IF(0=LEN(ReferenceData!$BP$128),"",ReferenceData!$BP$128),"")</f>
        <v/>
      </c>
      <c r="BQ128">
        <f ca="1">IFERROR(IF(0=LEN(ReferenceData!$BQ$128),"",ReferenceData!$BQ$128),"")</f>
        <v>1.206082643</v>
      </c>
      <c r="BR128" t="str">
        <f ca="1">IFERROR(IF(0=LEN(ReferenceData!$BR$128),"",ReferenceData!$BR$128),"")</f>
        <v/>
      </c>
      <c r="BS128" t="str">
        <f ca="1">IFERROR(IF(0=LEN(ReferenceData!$BS$128),"",ReferenceData!$BS$128),"")</f>
        <v/>
      </c>
      <c r="BT128">
        <f ca="1">IFERROR(IF(0=LEN(ReferenceData!$BT$128),"",ReferenceData!$BT$128),"")</f>
        <v>1.369128296</v>
      </c>
      <c r="BU128" t="str">
        <f ca="1">IFERROR(IF(0=LEN(ReferenceData!$BU$128),"",ReferenceData!$BU$128),"")</f>
        <v/>
      </c>
      <c r="BV128" t="str">
        <f ca="1">IFERROR(IF(0=LEN(ReferenceData!$BV$128),"",ReferenceData!$BV$128),"")</f>
        <v/>
      </c>
      <c r="BW128">
        <f ca="1">IFERROR(IF(0=LEN(ReferenceData!$BW$128),"",ReferenceData!$BW$128),"")</f>
        <v>1.273312792</v>
      </c>
      <c r="BX128" t="str">
        <f ca="1">IFERROR(IF(0=LEN(ReferenceData!$BX$128),"",ReferenceData!$BX$128),"")</f>
        <v/>
      </c>
      <c r="BY128" t="str">
        <f ca="1">IFERROR(IF(0=LEN(ReferenceData!$BY$128),"",ReferenceData!$BY$128),"")</f>
        <v/>
      </c>
      <c r="BZ128">
        <f ca="1">IFERROR(IF(0=LEN(ReferenceData!$BZ$128),"",ReferenceData!$BZ$128),"")</f>
        <v>1.205848856</v>
      </c>
      <c r="CA128" t="str">
        <f ca="1">IFERROR(IF(0=LEN(ReferenceData!$CA$128),"",ReferenceData!$CA$128),"")</f>
        <v/>
      </c>
      <c r="CB128" t="str">
        <f ca="1">IFERROR(IF(0=LEN(ReferenceData!$CB$128),"",ReferenceData!$CB$128),"")</f>
        <v/>
      </c>
      <c r="CC128">
        <f ca="1">IFERROR(IF(0=LEN(ReferenceData!$CC$128),"",ReferenceData!$CC$128),"")</f>
        <v>1.200412257</v>
      </c>
      <c r="CD128" t="str">
        <f ca="1">IFERROR(IF(0=LEN(ReferenceData!$CD$128),"",ReferenceData!$CD$128),"")</f>
        <v/>
      </c>
      <c r="CE128" t="str">
        <f ca="1">IFERROR(IF(0=LEN(ReferenceData!$CE$128),"",ReferenceData!$CE$128),"")</f>
        <v/>
      </c>
      <c r="CF128">
        <f ca="1">IFERROR(IF(0=LEN(ReferenceData!$CF$128),"",ReferenceData!$CF$128),"")</f>
        <v>1.1056948090000001</v>
      </c>
      <c r="CG128" t="str">
        <f ca="1">IFERROR(IF(0=LEN(ReferenceData!$CG$128),"",ReferenceData!$CG$128),"")</f>
        <v/>
      </c>
      <c r="CH128" t="str">
        <f ca="1">IFERROR(IF(0=LEN(ReferenceData!$CH$128),"",ReferenceData!$CH$128),"")</f>
        <v/>
      </c>
      <c r="CI128">
        <f ca="1">IFERROR(IF(0=LEN(ReferenceData!$CI$128),"",ReferenceData!$CI$128),"")</f>
        <v>1.074044037</v>
      </c>
      <c r="CJ128" t="str">
        <f ca="1">IFERROR(IF(0=LEN(ReferenceData!$CJ$128),"",ReferenceData!$CJ$128),"")</f>
        <v/>
      </c>
      <c r="CK128" t="str">
        <f ca="1">IFERROR(IF(0=LEN(ReferenceData!$CK$128),"",ReferenceData!$CK$128),"")</f>
        <v/>
      </c>
    </row>
    <row r="129" spans="1:89">
      <c r="A129" t="str">
        <f>IFERROR(IF(0=LEN(ReferenceData!$A$129),"",ReferenceData!$A$129),"")</f>
        <v xml:space="preserve">    Camden Property Trust</v>
      </c>
      <c r="B129" t="str">
        <f>IFERROR(IF(0=LEN(ReferenceData!$B$129),"",ReferenceData!$B$129),"")</f>
        <v>CPT US Equity</v>
      </c>
      <c r="C129" t="str">
        <f>IFERROR(IF(0=LEN(ReferenceData!$C$129),"",ReferenceData!$C$129),"")</f>
        <v>F0580</v>
      </c>
      <c r="D129" t="str">
        <f>IFERROR(IF(0=LEN(ReferenceData!$D$129),"",ReferenceData!$D$129),"")</f>
        <v>FUNDS_AVAILABLE_FOR_DIST_PER_SH</v>
      </c>
      <c r="E129" t="str">
        <f>IFERROR(IF(0=LEN(ReferenceData!$E$129),"",ReferenceData!$E$129),"")</f>
        <v>动态</v>
      </c>
      <c r="F129" t="str">
        <f ca="1">IFERROR(IF(0=LEN(ReferenceData!$F$129),"",ReferenceData!$F$129),"")</f>
        <v/>
      </c>
      <c r="G129" t="str">
        <f ca="1">IFERROR(IF(0=LEN(ReferenceData!$G$129),"",ReferenceData!$G$129),"")</f>
        <v/>
      </c>
      <c r="H129" t="str">
        <f ca="1">IFERROR(IF(0=LEN(ReferenceData!$H$129),"",ReferenceData!$H$129),"")</f>
        <v/>
      </c>
      <c r="I129">
        <f ca="1">IFERROR(IF(0=LEN(ReferenceData!$I$129),"",ReferenceData!$I$129),"")</f>
        <v>0.96601351599999996</v>
      </c>
      <c r="J129" t="str">
        <f ca="1">IFERROR(IF(0=LEN(ReferenceData!$J$129),"",ReferenceData!$J$129),"")</f>
        <v/>
      </c>
      <c r="K129" t="str">
        <f ca="1">IFERROR(IF(0=LEN(ReferenceData!$K$129),"",ReferenceData!$K$129),"")</f>
        <v/>
      </c>
      <c r="L129">
        <f ca="1">IFERROR(IF(0=LEN(ReferenceData!$L$129),"",ReferenceData!$L$129),"")</f>
        <v>0.92020276899999998</v>
      </c>
      <c r="M129" t="str">
        <f ca="1">IFERROR(IF(0=LEN(ReferenceData!$M$129),"",ReferenceData!$M$129),"")</f>
        <v/>
      </c>
      <c r="N129" t="str">
        <f ca="1">IFERROR(IF(0=LEN(ReferenceData!$N$129),"",ReferenceData!$N$129),"")</f>
        <v/>
      </c>
      <c r="O129">
        <f ca="1">IFERROR(IF(0=LEN(ReferenceData!$O$129),"",ReferenceData!$O$129),"")</f>
        <v>0.96834529300000005</v>
      </c>
      <c r="P129" t="str">
        <f ca="1">IFERROR(IF(0=LEN(ReferenceData!$P$129),"",ReferenceData!$P$129),"")</f>
        <v/>
      </c>
      <c r="Q129" t="str">
        <f ca="1">IFERROR(IF(0=LEN(ReferenceData!$Q$129),"",ReferenceData!$Q$129),"")</f>
        <v/>
      </c>
      <c r="R129">
        <f ca="1">IFERROR(IF(0=LEN(ReferenceData!$R$129),"",ReferenceData!$R$129),"")</f>
        <v>0.985135121</v>
      </c>
      <c r="S129" t="str">
        <f ca="1">IFERROR(IF(0=LEN(ReferenceData!$S$129),"",ReferenceData!$S$129),"")</f>
        <v/>
      </c>
      <c r="T129" t="str">
        <f ca="1">IFERROR(IF(0=LEN(ReferenceData!$T$129),"",ReferenceData!$T$129),"")</f>
        <v/>
      </c>
      <c r="U129">
        <f ca="1">IFERROR(IF(0=LEN(ReferenceData!$U$129),"",ReferenceData!$U$129),"")</f>
        <v>0.97979896899999996</v>
      </c>
      <c r="V129" t="str">
        <f ca="1">IFERROR(IF(0=LEN(ReferenceData!$V$129),"",ReferenceData!$V$129),"")</f>
        <v/>
      </c>
      <c r="W129" t="str">
        <f ca="1">IFERROR(IF(0=LEN(ReferenceData!$W$129),"",ReferenceData!$W$129),"")</f>
        <v/>
      </c>
      <c r="X129">
        <f ca="1">IFERROR(IF(0=LEN(ReferenceData!$X$129),"",ReferenceData!$X$129),"")</f>
        <v>0.92475598699999995</v>
      </c>
      <c r="Y129" t="str">
        <f ca="1">IFERROR(IF(0=LEN(ReferenceData!$Y$129),"",ReferenceData!$Y$129),"")</f>
        <v/>
      </c>
      <c r="Z129" t="str">
        <f ca="1">IFERROR(IF(0=LEN(ReferenceData!$Z$129),"",ReferenceData!$Z$129),"")</f>
        <v/>
      </c>
      <c r="AA129">
        <f ca="1">IFERROR(IF(0=LEN(ReferenceData!$AA$129),"",ReferenceData!$AA$129),"")</f>
        <v>0.98644186</v>
      </c>
      <c r="AB129" t="str">
        <f ca="1">IFERROR(IF(0=LEN(ReferenceData!$AB$129),"",ReferenceData!$AB$129),"")</f>
        <v/>
      </c>
      <c r="AC129" t="str">
        <f ca="1">IFERROR(IF(0=LEN(ReferenceData!$AC$129),"",ReferenceData!$AC$129),"")</f>
        <v/>
      </c>
      <c r="AD129">
        <f ca="1">IFERROR(IF(0=LEN(ReferenceData!$AD$129),"",ReferenceData!$AD$129),"")</f>
        <v>1.1006954680000001</v>
      </c>
      <c r="AE129" t="str">
        <f ca="1">IFERROR(IF(0=LEN(ReferenceData!$AE$129),"",ReferenceData!$AE$129),"")</f>
        <v/>
      </c>
      <c r="AF129" t="str">
        <f ca="1">IFERROR(IF(0=LEN(ReferenceData!$AF$129),"",ReferenceData!$AF$129),"")</f>
        <v/>
      </c>
      <c r="AG129">
        <f ca="1">IFERROR(IF(0=LEN(ReferenceData!$AG$129),"",ReferenceData!$AG$129),"")</f>
        <v>1.0071145990000001</v>
      </c>
      <c r="AH129" t="str">
        <f ca="1">IFERROR(IF(0=LEN(ReferenceData!$AH$129),"",ReferenceData!$AH$129),"")</f>
        <v/>
      </c>
      <c r="AI129" t="str">
        <f ca="1">IFERROR(IF(0=LEN(ReferenceData!$AI$129),"",ReferenceData!$AI$129),"")</f>
        <v/>
      </c>
      <c r="AJ129">
        <f ca="1">IFERROR(IF(0=LEN(ReferenceData!$AJ$129),"",ReferenceData!$AJ$129),"")</f>
        <v>0.94220588900000002</v>
      </c>
      <c r="AK129" t="str">
        <f ca="1">IFERROR(IF(0=LEN(ReferenceData!$AK$129),"",ReferenceData!$AK$129),"")</f>
        <v/>
      </c>
      <c r="AL129" t="str">
        <f ca="1">IFERROR(IF(0=LEN(ReferenceData!$AL$129),"",ReferenceData!$AL$129),"")</f>
        <v/>
      </c>
      <c r="AM129">
        <f ca="1">IFERROR(IF(0=LEN(ReferenceData!$AM$129),"",ReferenceData!$AM$129),"")</f>
        <v>0.92127044599999997</v>
      </c>
      <c r="AN129" t="str">
        <f ca="1">IFERROR(IF(0=LEN(ReferenceData!$AN$129),"",ReferenceData!$AN$129),"")</f>
        <v/>
      </c>
      <c r="AO129" t="str">
        <f ca="1">IFERROR(IF(0=LEN(ReferenceData!$AO$129),"",ReferenceData!$AO$129),"")</f>
        <v/>
      </c>
      <c r="AP129">
        <f ca="1">IFERROR(IF(0=LEN(ReferenceData!$AP$129),"",ReferenceData!$AP$129),"")</f>
        <v>0.99902492499999995</v>
      </c>
      <c r="AQ129" t="str">
        <f ca="1">IFERROR(IF(0=LEN(ReferenceData!$AQ$129),"",ReferenceData!$AQ$129),"")</f>
        <v/>
      </c>
      <c r="AR129" t="str">
        <f ca="1">IFERROR(IF(0=LEN(ReferenceData!$AR$129),"",ReferenceData!$AR$129),"")</f>
        <v/>
      </c>
      <c r="AS129">
        <f ca="1">IFERROR(IF(0=LEN(ReferenceData!$AS$129),"",ReferenceData!$AS$129),"")</f>
        <v>1.029699599</v>
      </c>
      <c r="AT129" t="str">
        <f ca="1">IFERROR(IF(0=LEN(ReferenceData!$AT$129),"",ReferenceData!$AT$129),"")</f>
        <v/>
      </c>
      <c r="AU129" t="str">
        <f ca="1">IFERROR(IF(0=LEN(ReferenceData!$AU$129),"",ReferenceData!$AU$129),"")</f>
        <v/>
      </c>
      <c r="AV129">
        <f ca="1">IFERROR(IF(0=LEN(ReferenceData!$AV$129),"",ReferenceData!$AV$129),"")</f>
        <v>0.98830150699999997</v>
      </c>
      <c r="AW129" t="str">
        <f ca="1">IFERROR(IF(0=LEN(ReferenceData!$AW$129),"",ReferenceData!$AW$129),"")</f>
        <v/>
      </c>
      <c r="AX129" t="str">
        <f ca="1">IFERROR(IF(0=LEN(ReferenceData!$AX$129),"",ReferenceData!$AX$129),"")</f>
        <v/>
      </c>
      <c r="AY129">
        <f ca="1">IFERROR(IF(0=LEN(ReferenceData!$AY$129),"",ReferenceData!$AY$129),"")</f>
        <v>0.97176264199999995</v>
      </c>
      <c r="AZ129" t="str">
        <f ca="1">IFERROR(IF(0=LEN(ReferenceData!$AZ$129),"",ReferenceData!$AZ$129),"")</f>
        <v/>
      </c>
      <c r="BA129" t="str">
        <f ca="1">IFERROR(IF(0=LEN(ReferenceData!$BA$129),"",ReferenceData!$BA$129),"")</f>
        <v/>
      </c>
      <c r="BB129">
        <f ca="1">IFERROR(IF(0=LEN(ReferenceData!$BB$129),"",ReferenceData!$BB$129),"")</f>
        <v>0.98222667100000005</v>
      </c>
      <c r="BC129" t="str">
        <f ca="1">IFERROR(IF(0=LEN(ReferenceData!$BC$129),"",ReferenceData!$BC$129),"")</f>
        <v/>
      </c>
      <c r="BD129" t="str">
        <f ca="1">IFERROR(IF(0=LEN(ReferenceData!$BD$129),"",ReferenceData!$BD$129),"")</f>
        <v/>
      </c>
      <c r="BE129">
        <f ca="1">IFERROR(IF(0=LEN(ReferenceData!$BE$129),"",ReferenceData!$BE$129),"")</f>
        <v>1.005469411</v>
      </c>
      <c r="BF129" t="str">
        <f ca="1">IFERROR(IF(0=LEN(ReferenceData!$BF$129),"",ReferenceData!$BF$129),"")</f>
        <v/>
      </c>
      <c r="BG129" t="str">
        <f ca="1">IFERROR(IF(0=LEN(ReferenceData!$BG$129),"",ReferenceData!$BG$129),"")</f>
        <v/>
      </c>
      <c r="BH129">
        <f ca="1">IFERROR(IF(0=LEN(ReferenceData!$BH$129),"",ReferenceData!$BH$129),"")</f>
        <v>0.95985612799999998</v>
      </c>
      <c r="BI129" t="str">
        <f ca="1">IFERROR(IF(0=LEN(ReferenceData!$BI$129),"",ReferenceData!$BI$129),"")</f>
        <v/>
      </c>
      <c r="BJ129" t="str">
        <f ca="1">IFERROR(IF(0=LEN(ReferenceData!$BJ$129),"",ReferenceData!$BJ$129),"")</f>
        <v/>
      </c>
      <c r="BK129">
        <f ca="1">IFERROR(IF(0=LEN(ReferenceData!$BK$129),"",ReferenceData!$BK$129),"")</f>
        <v>0.94581165300000003</v>
      </c>
      <c r="BL129" t="str">
        <f ca="1">IFERROR(IF(0=LEN(ReferenceData!$BL$129),"",ReferenceData!$BL$129),"")</f>
        <v/>
      </c>
      <c r="BM129" t="str">
        <f ca="1">IFERROR(IF(0=LEN(ReferenceData!$BM$129),"",ReferenceData!$BM$129),"")</f>
        <v/>
      </c>
      <c r="BN129">
        <f ca="1">IFERROR(IF(0=LEN(ReferenceData!$BN$129),"",ReferenceData!$BN$129),"")</f>
        <v>0.89241620600000005</v>
      </c>
      <c r="BO129" t="str">
        <f ca="1">IFERROR(IF(0=LEN(ReferenceData!$BO$129),"",ReferenceData!$BO$129),"")</f>
        <v/>
      </c>
      <c r="BP129" t="str">
        <f ca="1">IFERROR(IF(0=LEN(ReferenceData!$BP$129),"",ReferenceData!$BP$129),"")</f>
        <v/>
      </c>
      <c r="BQ129">
        <f ca="1">IFERROR(IF(0=LEN(ReferenceData!$BQ$129),"",ReferenceData!$BQ$129),"")</f>
        <v>0.88875279500000004</v>
      </c>
      <c r="BR129" t="str">
        <f ca="1">IFERROR(IF(0=LEN(ReferenceData!$BR$129),"",ReferenceData!$BR$129),"")</f>
        <v/>
      </c>
      <c r="BS129" t="str">
        <f ca="1">IFERROR(IF(0=LEN(ReferenceData!$BS$129),"",ReferenceData!$BS$129),"")</f>
        <v/>
      </c>
      <c r="BT129">
        <f ca="1">IFERROR(IF(0=LEN(ReferenceData!$BT$129),"",ReferenceData!$BT$129),"")</f>
        <v>0.83224122700000003</v>
      </c>
      <c r="BU129" t="str">
        <f ca="1">IFERROR(IF(0=LEN(ReferenceData!$BU$129),"",ReferenceData!$BU$129),"")</f>
        <v/>
      </c>
      <c r="BV129" t="str">
        <f ca="1">IFERROR(IF(0=LEN(ReferenceData!$BV$129),"",ReferenceData!$BV$129),"")</f>
        <v/>
      </c>
      <c r="BW129">
        <f ca="1">IFERROR(IF(0=LEN(ReferenceData!$BW$129),"",ReferenceData!$BW$129),"")</f>
        <v>0.807068911</v>
      </c>
      <c r="BX129" t="str">
        <f ca="1">IFERROR(IF(0=LEN(ReferenceData!$BX$129),"",ReferenceData!$BX$129),"")</f>
        <v/>
      </c>
      <c r="BY129" t="str">
        <f ca="1">IFERROR(IF(0=LEN(ReferenceData!$BY$129),"",ReferenceData!$BY$129),"")</f>
        <v/>
      </c>
      <c r="BZ129">
        <f ca="1">IFERROR(IF(0=LEN(ReferenceData!$BZ$129),"",ReferenceData!$BZ$129),"")</f>
        <v>0.74617102199999996</v>
      </c>
      <c r="CA129" t="str">
        <f ca="1">IFERROR(IF(0=LEN(ReferenceData!$CA$129),"",ReferenceData!$CA$129),"")</f>
        <v/>
      </c>
      <c r="CB129" t="str">
        <f ca="1">IFERROR(IF(0=LEN(ReferenceData!$CB$129),"",ReferenceData!$CB$129),"")</f>
        <v/>
      </c>
      <c r="CC129">
        <f ca="1">IFERROR(IF(0=LEN(ReferenceData!$CC$129),"",ReferenceData!$CC$129),"")</f>
        <v>0.74944226300000005</v>
      </c>
      <c r="CD129" t="str">
        <f ca="1">IFERROR(IF(0=LEN(ReferenceData!$CD$129),"",ReferenceData!$CD$129),"")</f>
        <v/>
      </c>
      <c r="CE129" t="str">
        <f ca="1">IFERROR(IF(0=LEN(ReferenceData!$CE$129),"",ReferenceData!$CE$129),"")</f>
        <v/>
      </c>
      <c r="CF129">
        <f ca="1">IFERROR(IF(0=LEN(ReferenceData!$CF$129),"",ReferenceData!$CF$129),"")</f>
        <v>0.66520249899999995</v>
      </c>
      <c r="CG129" t="str">
        <f ca="1">IFERROR(IF(0=LEN(ReferenceData!$CG$129),"",ReferenceData!$CG$129),"")</f>
        <v/>
      </c>
      <c r="CH129" t="str">
        <f ca="1">IFERROR(IF(0=LEN(ReferenceData!$CH$129),"",ReferenceData!$CH$129),"")</f>
        <v/>
      </c>
      <c r="CI129">
        <f ca="1">IFERROR(IF(0=LEN(ReferenceData!$CI$129),"",ReferenceData!$CI$129),"")</f>
        <v>0.311772573</v>
      </c>
      <c r="CJ129" t="str">
        <f ca="1">IFERROR(IF(0=LEN(ReferenceData!$CJ$129),"",ReferenceData!$CJ$129),"")</f>
        <v/>
      </c>
      <c r="CK129" t="str">
        <f ca="1">IFERROR(IF(0=LEN(ReferenceData!$CK$129),"",ReferenceData!$CK$129),"")</f>
        <v/>
      </c>
    </row>
    <row r="130" spans="1:89">
      <c r="A130" t="str">
        <f>IFERROR(IF(0=LEN(ReferenceData!$A$130),"",ReferenceData!$A$130),"")</f>
        <v xml:space="preserve">    Equity Residential</v>
      </c>
      <c r="B130" t="str">
        <f>IFERROR(IF(0=LEN(ReferenceData!$B$130),"",ReferenceData!$B$130),"")</f>
        <v>EQR US Equity</v>
      </c>
      <c r="C130" t="str">
        <f>IFERROR(IF(0=LEN(ReferenceData!$C$130),"",ReferenceData!$C$130),"")</f>
        <v>F0580</v>
      </c>
      <c r="D130" t="str">
        <f>IFERROR(IF(0=LEN(ReferenceData!$D$130),"",ReferenceData!$D$130),"")</f>
        <v>FUNDS_AVAILABLE_FOR_DIST_PER_SH</v>
      </c>
      <c r="E130" t="str">
        <f>IFERROR(IF(0=LEN(ReferenceData!$E$130),"",ReferenceData!$E$130),"")</f>
        <v>动态</v>
      </c>
      <c r="F130" t="str">
        <f ca="1">IFERROR(IF(0=LEN(ReferenceData!$F$130),"",ReferenceData!$F$130),"")</f>
        <v/>
      </c>
      <c r="G130" t="str">
        <f ca="1">IFERROR(IF(0=LEN(ReferenceData!$G$130),"",ReferenceData!$G$130),"")</f>
        <v/>
      </c>
      <c r="H130" t="str">
        <f ca="1">IFERROR(IF(0=LEN(ReferenceData!$H$130),"",ReferenceData!$H$130),"")</f>
        <v/>
      </c>
      <c r="I130">
        <f ca="1">IFERROR(IF(0=LEN(ReferenceData!$I$130),"",ReferenceData!$I$130),"")</f>
        <v>0.77737957000000002</v>
      </c>
      <c r="J130" t="str">
        <f ca="1">IFERROR(IF(0=LEN(ReferenceData!$J$130),"",ReferenceData!$J$130),"")</f>
        <v/>
      </c>
      <c r="K130" t="str">
        <f ca="1">IFERROR(IF(0=LEN(ReferenceData!$K$130),"",ReferenceData!$K$130),"")</f>
        <v/>
      </c>
      <c r="L130">
        <f ca="1">IFERROR(IF(0=LEN(ReferenceData!$L$130),"",ReferenceData!$L$130),"")</f>
        <v>0.74188982699999995</v>
      </c>
      <c r="M130" t="str">
        <f ca="1">IFERROR(IF(0=LEN(ReferenceData!$M$130),"",ReferenceData!$M$130),"")</f>
        <v/>
      </c>
      <c r="N130" t="str">
        <f ca="1">IFERROR(IF(0=LEN(ReferenceData!$N$130),"",ReferenceData!$N$130),"")</f>
        <v/>
      </c>
      <c r="O130">
        <f ca="1">IFERROR(IF(0=LEN(ReferenceData!$O$130),"",ReferenceData!$O$130),"")</f>
        <v>0.70778850900000001</v>
      </c>
      <c r="P130" t="str">
        <f ca="1">IFERROR(IF(0=LEN(ReferenceData!$P$130),"",ReferenceData!$P$130),"")</f>
        <v/>
      </c>
      <c r="Q130" t="str">
        <f ca="1">IFERROR(IF(0=LEN(ReferenceData!$Q$130),"",ReferenceData!$Q$130),"")</f>
        <v/>
      </c>
      <c r="R130">
        <f ca="1">IFERROR(IF(0=LEN(ReferenceData!$R$130),"",ReferenceData!$R$130),"")</f>
        <v>0.68528827000000003</v>
      </c>
      <c r="S130" t="str">
        <f ca="1">IFERROR(IF(0=LEN(ReferenceData!$S$130),"",ReferenceData!$S$130),"")</f>
        <v/>
      </c>
      <c r="T130" t="str">
        <f ca="1">IFERROR(IF(0=LEN(ReferenceData!$T$130),"",ReferenceData!$T$130),"")</f>
        <v/>
      </c>
      <c r="U130">
        <f ca="1">IFERROR(IF(0=LEN(ReferenceData!$U$130),"",ReferenceData!$U$130),"")</f>
        <v>0.73689048300000004</v>
      </c>
      <c r="V130" t="str">
        <f ca="1">IFERROR(IF(0=LEN(ReferenceData!$V$130),"",ReferenceData!$V$130),"")</f>
        <v/>
      </c>
      <c r="W130" t="str">
        <f ca="1">IFERROR(IF(0=LEN(ReferenceData!$W$130),"",ReferenceData!$W$130),"")</f>
        <v/>
      </c>
      <c r="X130">
        <f ca="1">IFERROR(IF(0=LEN(ReferenceData!$X$130),"",ReferenceData!$X$130),"")</f>
        <v>0.71332965500000001</v>
      </c>
      <c r="Y130" t="str">
        <f ca="1">IFERROR(IF(0=LEN(ReferenceData!$Y$130),"",ReferenceData!$Y$130),"")</f>
        <v/>
      </c>
      <c r="Z130" t="str">
        <f ca="1">IFERROR(IF(0=LEN(ReferenceData!$Z$130),"",ReferenceData!$Z$130),"")</f>
        <v/>
      </c>
      <c r="AA130">
        <f ca="1">IFERROR(IF(0=LEN(ReferenceData!$AA$130),"",ReferenceData!$AA$130),"")</f>
        <v>0.81953856000000003</v>
      </c>
      <c r="AB130" t="str">
        <f ca="1">IFERROR(IF(0=LEN(ReferenceData!$AB$130),"",ReferenceData!$AB$130),"")</f>
        <v/>
      </c>
      <c r="AC130" t="str">
        <f ca="1">IFERROR(IF(0=LEN(ReferenceData!$AC$130),"",ReferenceData!$AC$130),"")</f>
        <v/>
      </c>
      <c r="AD130">
        <f ca="1">IFERROR(IF(0=LEN(ReferenceData!$AD$130),"",ReferenceData!$AD$130),"")</f>
        <v>0.69778387099999994</v>
      </c>
      <c r="AE130" t="str">
        <f ca="1">IFERROR(IF(0=LEN(ReferenceData!$AE$130),"",ReferenceData!$AE$130),"")</f>
        <v/>
      </c>
      <c r="AF130" t="str">
        <f ca="1">IFERROR(IF(0=LEN(ReferenceData!$AF$130),"",ReferenceData!$AF$130),"")</f>
        <v/>
      </c>
      <c r="AG130">
        <f ca="1">IFERROR(IF(0=LEN(ReferenceData!$AG$130),"",ReferenceData!$AG$130),"")</f>
        <v>0.86103824600000001</v>
      </c>
      <c r="AH130" t="str">
        <f ca="1">IFERROR(IF(0=LEN(ReferenceData!$AH$130),"",ReferenceData!$AH$130),"")</f>
        <v/>
      </c>
      <c r="AI130" t="str">
        <f ca="1">IFERROR(IF(0=LEN(ReferenceData!$AI$130),"",ReferenceData!$AI$130),"")</f>
        <v/>
      </c>
      <c r="AJ130">
        <f ca="1">IFERROR(IF(0=LEN(ReferenceData!$AJ$130),"",ReferenceData!$AJ$130),"")</f>
        <v>0.81687017299999998</v>
      </c>
      <c r="AK130" t="str">
        <f ca="1">IFERROR(IF(0=LEN(ReferenceData!$AK$130),"",ReferenceData!$AK$130),"")</f>
        <v/>
      </c>
      <c r="AL130" t="str">
        <f ca="1">IFERROR(IF(0=LEN(ReferenceData!$AL$130),"",ReferenceData!$AL$130),"")</f>
        <v/>
      </c>
      <c r="AM130">
        <f ca="1">IFERROR(IF(0=LEN(ReferenceData!$AM$130),"",ReferenceData!$AM$130),"")</f>
        <v>0.78104869799999999</v>
      </c>
      <c r="AN130" t="str">
        <f ca="1">IFERROR(IF(0=LEN(ReferenceData!$AN$130),"",ReferenceData!$AN$130),"")</f>
        <v/>
      </c>
      <c r="AO130" t="str">
        <f ca="1">IFERROR(IF(0=LEN(ReferenceData!$AO$130),"",ReferenceData!$AO$130),"")</f>
        <v/>
      </c>
      <c r="AP130">
        <f ca="1">IFERROR(IF(0=LEN(ReferenceData!$AP$130),"",ReferenceData!$AP$130),"")</f>
        <v>0.71446939099999995</v>
      </c>
      <c r="AQ130" t="str">
        <f ca="1">IFERROR(IF(0=LEN(ReferenceData!$AQ$130),"",ReferenceData!$AQ$130),"")</f>
        <v/>
      </c>
      <c r="AR130" t="str">
        <f ca="1">IFERROR(IF(0=LEN(ReferenceData!$AR$130),"",ReferenceData!$AR$130),"")</f>
        <v/>
      </c>
      <c r="AS130">
        <f ca="1">IFERROR(IF(0=LEN(ReferenceData!$AS$130),"",ReferenceData!$AS$130),"")</f>
        <v>0.79297202899999997</v>
      </c>
      <c r="AT130" t="str">
        <f ca="1">IFERROR(IF(0=LEN(ReferenceData!$AT$130),"",ReferenceData!$AT$130),"")</f>
        <v/>
      </c>
      <c r="AU130" t="str">
        <f ca="1">IFERROR(IF(0=LEN(ReferenceData!$AU$130),"",ReferenceData!$AU$130),"")</f>
        <v/>
      </c>
      <c r="AV130">
        <f ca="1">IFERROR(IF(0=LEN(ReferenceData!$AV$130),"",ReferenceData!$AV$130),"")</f>
        <v>0.74964678200000001</v>
      </c>
      <c r="AW130" t="str">
        <f ca="1">IFERROR(IF(0=LEN(ReferenceData!$AW$130),"",ReferenceData!$AW$130),"")</f>
        <v/>
      </c>
      <c r="AX130" t="str">
        <f ca="1">IFERROR(IF(0=LEN(ReferenceData!$AX$130),"",ReferenceData!$AX$130),"")</f>
        <v/>
      </c>
      <c r="AY130">
        <f ca="1">IFERROR(IF(0=LEN(ReferenceData!$AY$130),"",ReferenceData!$AY$130),"")</f>
        <v>0.71013581999999997</v>
      </c>
      <c r="AZ130" t="str">
        <f ca="1">IFERROR(IF(0=LEN(ReferenceData!$AZ$130),"",ReferenceData!$AZ$130),"")</f>
        <v/>
      </c>
      <c r="BA130" t="str">
        <f ca="1">IFERROR(IF(0=LEN(ReferenceData!$BA$130),"",ReferenceData!$BA$130),"")</f>
        <v/>
      </c>
      <c r="BB130">
        <f ca="1">IFERROR(IF(0=LEN(ReferenceData!$BB$130),"",ReferenceData!$BB$130),"")</f>
        <v>0.63548131699999999</v>
      </c>
      <c r="BC130" t="str">
        <f ca="1">IFERROR(IF(0=LEN(ReferenceData!$BC$130),"",ReferenceData!$BC$130),"")</f>
        <v/>
      </c>
      <c r="BD130" t="str">
        <f ca="1">IFERROR(IF(0=LEN(ReferenceData!$BD$130),"",ReferenceData!$BD$130),"")</f>
        <v/>
      </c>
      <c r="BE130">
        <f ca="1">IFERROR(IF(0=LEN(ReferenceData!$BE$130),"",ReferenceData!$BE$130),"")</f>
        <v>0.69962219999999997</v>
      </c>
      <c r="BF130" t="str">
        <f ca="1">IFERROR(IF(0=LEN(ReferenceData!$BF$130),"",ReferenceData!$BF$130),"")</f>
        <v/>
      </c>
      <c r="BG130" t="str">
        <f ca="1">IFERROR(IF(0=LEN(ReferenceData!$BG$130),"",ReferenceData!$BG$130),"")</f>
        <v/>
      </c>
      <c r="BH130">
        <f ca="1">IFERROR(IF(0=LEN(ReferenceData!$BH$130),"",ReferenceData!$BH$130),"")</f>
        <v>0.65349856200000001</v>
      </c>
      <c r="BI130" t="str">
        <f ca="1">IFERROR(IF(0=LEN(ReferenceData!$BI$130),"",ReferenceData!$BI$130),"")</f>
        <v/>
      </c>
      <c r="BJ130" t="str">
        <f ca="1">IFERROR(IF(0=LEN(ReferenceData!$BJ$130),"",ReferenceData!$BJ$130),"")</f>
        <v/>
      </c>
      <c r="BK130">
        <f ca="1">IFERROR(IF(0=LEN(ReferenceData!$BK$130),"",ReferenceData!$BK$130),"")</f>
        <v>0.63365965300000004</v>
      </c>
      <c r="BL130" t="str">
        <f ca="1">IFERROR(IF(0=LEN(ReferenceData!$BL$130),"",ReferenceData!$BL$130),"")</f>
        <v/>
      </c>
      <c r="BM130" t="str">
        <f ca="1">IFERROR(IF(0=LEN(ReferenceData!$BM$130),"",ReferenceData!$BM$130),"")</f>
        <v/>
      </c>
      <c r="BN130">
        <f ca="1">IFERROR(IF(0=LEN(ReferenceData!$BN$130),"",ReferenceData!$BN$130),"")</f>
        <v>0.56532901999999996</v>
      </c>
      <c r="BO130" t="str">
        <f ca="1">IFERROR(IF(0=LEN(ReferenceData!$BO$130),"",ReferenceData!$BO$130),"")</f>
        <v/>
      </c>
      <c r="BP130" t="str">
        <f ca="1">IFERROR(IF(0=LEN(ReferenceData!$BP$130),"",ReferenceData!$BP$130),"")</f>
        <v/>
      </c>
      <c r="BQ130">
        <f ca="1">IFERROR(IF(0=LEN(ReferenceData!$BQ$130),"",ReferenceData!$BQ$130),"")</f>
        <v>0.66931716699999999</v>
      </c>
      <c r="BR130" t="str">
        <f ca="1">IFERROR(IF(0=LEN(ReferenceData!$BR$130),"",ReferenceData!$BR$130),"")</f>
        <v/>
      </c>
      <c r="BS130" t="str">
        <f ca="1">IFERROR(IF(0=LEN(ReferenceData!$BS$130),"",ReferenceData!$BS$130),"")</f>
        <v/>
      </c>
      <c r="BT130">
        <f ca="1">IFERROR(IF(0=LEN(ReferenceData!$BT$130),"",ReferenceData!$BT$130),"")</f>
        <v>0.639429939</v>
      </c>
      <c r="BU130" t="str">
        <f ca="1">IFERROR(IF(0=LEN(ReferenceData!$BU$130),"",ReferenceData!$BU$130),"")</f>
        <v/>
      </c>
      <c r="BV130" t="str">
        <f ca="1">IFERROR(IF(0=LEN(ReferenceData!$BV$130),"",ReferenceData!$BV$130),"")</f>
        <v/>
      </c>
      <c r="BW130">
        <f ca="1">IFERROR(IF(0=LEN(ReferenceData!$BW$130),"",ReferenceData!$BW$130),"")</f>
        <v>0.75852516000000003</v>
      </c>
      <c r="BX130" t="str">
        <f ca="1">IFERROR(IF(0=LEN(ReferenceData!$BX$130),"",ReferenceData!$BX$130),"")</f>
        <v/>
      </c>
      <c r="BY130" t="str">
        <f ca="1">IFERROR(IF(0=LEN(ReferenceData!$BY$130),"",ReferenceData!$BY$130),"")</f>
        <v/>
      </c>
      <c r="BZ130">
        <f ca="1">IFERROR(IF(0=LEN(ReferenceData!$BZ$130),"",ReferenceData!$BZ$130),"")</f>
        <v>0.52632363699999996</v>
      </c>
      <c r="CA130" t="str">
        <f ca="1">IFERROR(IF(0=LEN(ReferenceData!$CA$130),"",ReferenceData!$CA$130),"")</f>
        <v/>
      </c>
      <c r="CB130" t="str">
        <f ca="1">IFERROR(IF(0=LEN(ReferenceData!$CB$130),"",ReferenceData!$CB$130),"")</f>
        <v/>
      </c>
      <c r="CC130">
        <f ca="1">IFERROR(IF(0=LEN(ReferenceData!$CC$130),"",ReferenceData!$CC$130),"")</f>
        <v>0.57281177800000005</v>
      </c>
      <c r="CD130" t="str">
        <f ca="1">IFERROR(IF(0=LEN(ReferenceData!$CD$130),"",ReferenceData!$CD$130),"")</f>
        <v/>
      </c>
      <c r="CE130" t="str">
        <f ca="1">IFERROR(IF(0=LEN(ReferenceData!$CE$130),"",ReferenceData!$CE$130),"")</f>
        <v/>
      </c>
      <c r="CF130">
        <f ca="1">IFERROR(IF(0=LEN(ReferenceData!$CF$130),"",ReferenceData!$CF$130),"")</f>
        <v>0.53002454899999996</v>
      </c>
      <c r="CG130" t="str">
        <f ca="1">IFERROR(IF(0=LEN(ReferenceData!$CG$130),"",ReferenceData!$CG$130),"")</f>
        <v/>
      </c>
      <c r="CH130" t="str">
        <f ca="1">IFERROR(IF(0=LEN(ReferenceData!$CH$130),"",ReferenceData!$CH$130),"")</f>
        <v/>
      </c>
      <c r="CI130">
        <f ca="1">IFERROR(IF(0=LEN(ReferenceData!$CI$130),"",ReferenceData!$CI$130),"")</f>
        <v>0.681968872</v>
      </c>
      <c r="CJ130" t="str">
        <f ca="1">IFERROR(IF(0=LEN(ReferenceData!$CJ$130),"",ReferenceData!$CJ$130),"")</f>
        <v/>
      </c>
      <c r="CK130" t="str">
        <f ca="1">IFERROR(IF(0=LEN(ReferenceData!$CK$130),"",ReferenceData!$CK$130),"")</f>
        <v/>
      </c>
    </row>
    <row r="131" spans="1:89">
      <c r="A131" t="str">
        <f>IFERROR(IF(0=LEN(ReferenceData!$A$131),"",ReferenceData!$A$131),"")</f>
        <v xml:space="preserve">    Essex Property Trust Inc</v>
      </c>
      <c r="B131" t="str">
        <f>IFERROR(IF(0=LEN(ReferenceData!$B$131),"",ReferenceData!$B$131),"")</f>
        <v>ESS US Equity</v>
      </c>
      <c r="C131" t="str">
        <f>IFERROR(IF(0=LEN(ReferenceData!$C$131),"",ReferenceData!$C$131),"")</f>
        <v>F0580</v>
      </c>
      <c r="D131" t="str">
        <f>IFERROR(IF(0=LEN(ReferenceData!$D$131),"",ReferenceData!$D$131),"")</f>
        <v>FUNDS_AVAILABLE_FOR_DIST_PER_SH</v>
      </c>
      <c r="E131" t="str">
        <f>IFERROR(IF(0=LEN(ReferenceData!$E$131),"",ReferenceData!$E$131),"")</f>
        <v>动态</v>
      </c>
      <c r="F131" t="str">
        <f ca="1">IFERROR(IF(0=LEN(ReferenceData!$F$131),"",ReferenceData!$F$131),"")</f>
        <v/>
      </c>
      <c r="G131" t="str">
        <f ca="1">IFERROR(IF(0=LEN(ReferenceData!$G$131),"",ReferenceData!$G$131),"")</f>
        <v/>
      </c>
      <c r="H131" t="str">
        <f ca="1">IFERROR(IF(0=LEN(ReferenceData!$H$131),"",ReferenceData!$H$131),"")</f>
        <v/>
      </c>
      <c r="I131">
        <f ca="1">IFERROR(IF(0=LEN(ReferenceData!$I$131),"",ReferenceData!$I$131),"")</f>
        <v>3.0110267070000001</v>
      </c>
      <c r="J131" t="str">
        <f ca="1">IFERROR(IF(0=LEN(ReferenceData!$J$131),"",ReferenceData!$J$131),"")</f>
        <v/>
      </c>
      <c r="K131" t="str">
        <f ca="1">IFERROR(IF(0=LEN(ReferenceData!$K$131),"",ReferenceData!$K$131),"")</f>
        <v/>
      </c>
      <c r="L131">
        <f ca="1">IFERROR(IF(0=LEN(ReferenceData!$L$131),"",ReferenceData!$L$131),"")</f>
        <v>2.6793127000000001</v>
      </c>
      <c r="M131" t="str">
        <f ca="1">IFERROR(IF(0=LEN(ReferenceData!$M$131),"",ReferenceData!$M$131),"")</f>
        <v/>
      </c>
      <c r="N131" t="str">
        <f ca="1">IFERROR(IF(0=LEN(ReferenceData!$N$131),"",ReferenceData!$N$131),"")</f>
        <v/>
      </c>
      <c r="O131">
        <f ca="1">IFERROR(IF(0=LEN(ReferenceData!$O$131),"",ReferenceData!$O$131),"")</f>
        <v>2.9724600790000002</v>
      </c>
      <c r="P131" t="str">
        <f ca="1">IFERROR(IF(0=LEN(ReferenceData!$P$131),"",ReferenceData!$P$131),"")</f>
        <v/>
      </c>
      <c r="Q131" t="str">
        <f ca="1">IFERROR(IF(0=LEN(ReferenceData!$Q$131),"",ReferenceData!$Q$131),"")</f>
        <v/>
      </c>
      <c r="R131">
        <f ca="1">IFERROR(IF(0=LEN(ReferenceData!$R$131),"",ReferenceData!$R$131),"")</f>
        <v>2.7999676349999998</v>
      </c>
      <c r="S131" t="str">
        <f ca="1">IFERROR(IF(0=LEN(ReferenceData!$S$131),"",ReferenceData!$S$131),"")</f>
        <v/>
      </c>
      <c r="T131" t="str">
        <f ca="1">IFERROR(IF(0=LEN(ReferenceData!$T$131),"",ReferenceData!$T$131),"")</f>
        <v/>
      </c>
      <c r="U131">
        <f ca="1">IFERROR(IF(0=LEN(ReferenceData!$U$131),"",ReferenceData!$U$131),"")</f>
        <v>2.8095570529999998</v>
      </c>
      <c r="V131" t="str">
        <f ca="1">IFERROR(IF(0=LEN(ReferenceData!$V$131),"",ReferenceData!$V$131),"")</f>
        <v/>
      </c>
      <c r="W131" t="str">
        <f ca="1">IFERROR(IF(0=LEN(ReferenceData!$W$131),"",ReferenceData!$W$131),"")</f>
        <v/>
      </c>
      <c r="X131">
        <f ca="1">IFERROR(IF(0=LEN(ReferenceData!$X$131),"",ReferenceData!$X$131),"")</f>
        <v>2.8054828879999998</v>
      </c>
      <c r="Y131" t="str">
        <f ca="1">IFERROR(IF(0=LEN(ReferenceData!$Y$131),"",ReferenceData!$Y$131),"")</f>
        <v/>
      </c>
      <c r="Z131" t="str">
        <f ca="1">IFERROR(IF(0=LEN(ReferenceData!$Z$131),"",ReferenceData!$Z$131),"")</f>
        <v/>
      </c>
      <c r="AA131">
        <f ca="1">IFERROR(IF(0=LEN(ReferenceData!$AA$131),"",ReferenceData!$AA$131),"")</f>
        <v>2.7421872810000001</v>
      </c>
      <c r="AB131" t="str">
        <f ca="1">IFERROR(IF(0=LEN(ReferenceData!$AB$131),"",ReferenceData!$AB$131),"")</f>
        <v/>
      </c>
      <c r="AC131" t="str">
        <f ca="1">IFERROR(IF(0=LEN(ReferenceData!$AC$131),"",ReferenceData!$AC$131),"")</f>
        <v/>
      </c>
      <c r="AD131">
        <f ca="1">IFERROR(IF(0=LEN(ReferenceData!$AD$131),"",ReferenceData!$AD$131),"")</f>
        <v>2.6775427710000002</v>
      </c>
      <c r="AE131" t="str">
        <f ca="1">IFERROR(IF(0=LEN(ReferenceData!$AE$131),"",ReferenceData!$AE$131),"")</f>
        <v/>
      </c>
      <c r="AF131" t="str">
        <f ca="1">IFERROR(IF(0=LEN(ReferenceData!$AF$131),"",ReferenceData!$AF$131),"")</f>
        <v/>
      </c>
      <c r="AG131">
        <f ca="1">IFERROR(IF(0=LEN(ReferenceData!$AG$131),"",ReferenceData!$AG$131),"")</f>
        <v>2.630234352</v>
      </c>
      <c r="AH131" t="str">
        <f ca="1">IFERROR(IF(0=LEN(ReferenceData!$AH$131),"",ReferenceData!$AH$131),"")</f>
        <v/>
      </c>
      <c r="AI131" t="str">
        <f ca="1">IFERROR(IF(0=LEN(ReferenceData!$AI$131),"",ReferenceData!$AI$131),"")</f>
        <v/>
      </c>
      <c r="AJ131">
        <f ca="1">IFERROR(IF(0=LEN(ReferenceData!$AJ$131),"",ReferenceData!$AJ$131),"")</f>
        <v>2.4940148309999999</v>
      </c>
      <c r="AK131" t="str">
        <f ca="1">IFERROR(IF(0=LEN(ReferenceData!$AK$131),"",ReferenceData!$AK$131),"")</f>
        <v/>
      </c>
      <c r="AL131" t="str">
        <f ca="1">IFERROR(IF(0=LEN(ReferenceData!$AL$131),"",ReferenceData!$AL$131),"")</f>
        <v/>
      </c>
      <c r="AM131">
        <f ca="1">IFERROR(IF(0=LEN(ReferenceData!$AM$131),"",ReferenceData!$AM$131),"")</f>
        <v>2.4005820349999998</v>
      </c>
      <c r="AN131" t="str">
        <f ca="1">IFERROR(IF(0=LEN(ReferenceData!$AN$131),"",ReferenceData!$AN$131),"")</f>
        <v/>
      </c>
      <c r="AO131" t="str">
        <f ca="1">IFERROR(IF(0=LEN(ReferenceData!$AO$131),"",ReferenceData!$AO$131),"")</f>
        <v/>
      </c>
      <c r="AP131">
        <f ca="1">IFERROR(IF(0=LEN(ReferenceData!$AP$131),"",ReferenceData!$AP$131),"")</f>
        <v>2.290143976</v>
      </c>
      <c r="AQ131" t="str">
        <f ca="1">IFERROR(IF(0=LEN(ReferenceData!$AQ$131),"",ReferenceData!$AQ$131),"")</f>
        <v/>
      </c>
      <c r="AR131" t="str">
        <f ca="1">IFERROR(IF(0=LEN(ReferenceData!$AR$131),"",ReferenceData!$AR$131),"")</f>
        <v/>
      </c>
      <c r="AS131">
        <f ca="1">IFERROR(IF(0=LEN(ReferenceData!$AS$131),"",ReferenceData!$AS$131),"")</f>
        <v>2.0705439609999998</v>
      </c>
      <c r="AT131" t="str">
        <f ca="1">IFERROR(IF(0=LEN(ReferenceData!$AT$131),"",ReferenceData!$AT$131),"")</f>
        <v/>
      </c>
      <c r="AU131" t="str">
        <f ca="1">IFERROR(IF(0=LEN(ReferenceData!$AU$131),"",ReferenceData!$AU$131),"")</f>
        <v/>
      </c>
      <c r="AV131">
        <f ca="1">IFERROR(IF(0=LEN(ReferenceData!$AV$131),"",ReferenceData!$AV$131),"")</f>
        <v>1.9481144960000001</v>
      </c>
      <c r="AW131" t="str">
        <f ca="1">IFERROR(IF(0=LEN(ReferenceData!$AW$131),"",ReferenceData!$AW$131),"")</f>
        <v/>
      </c>
      <c r="AX131" t="str">
        <f ca="1">IFERROR(IF(0=LEN(ReferenceData!$AX$131),"",ReferenceData!$AX$131),"")</f>
        <v/>
      </c>
      <c r="AY131">
        <f ca="1">IFERROR(IF(0=LEN(ReferenceData!$AY$131),"",ReferenceData!$AY$131),"")</f>
        <v>2.0157456009999999</v>
      </c>
      <c r="AZ131" t="str">
        <f ca="1">IFERROR(IF(0=LEN(ReferenceData!$AZ$131),"",ReferenceData!$AZ$131),"")</f>
        <v/>
      </c>
      <c r="BA131" t="str">
        <f ca="1">IFERROR(IF(0=LEN(ReferenceData!$BA$131),"",ReferenceData!$BA$131),"")</f>
        <v/>
      </c>
      <c r="BB131">
        <f ca="1">IFERROR(IF(0=LEN(ReferenceData!$BB$131),"",ReferenceData!$BB$131),"")</f>
        <v>2.0160015649999998</v>
      </c>
      <c r="BC131" t="str">
        <f ca="1">IFERROR(IF(0=LEN(ReferenceData!$BC$131),"",ReferenceData!$BC$131),"")</f>
        <v/>
      </c>
      <c r="BD131" t="str">
        <f ca="1">IFERROR(IF(0=LEN(ReferenceData!$BD$131),"",ReferenceData!$BD$131),"")</f>
        <v/>
      </c>
      <c r="BE131">
        <f ca="1">IFERROR(IF(0=LEN(ReferenceData!$BE$131),"",ReferenceData!$BE$131),"")</f>
        <v>1.8136009399999999</v>
      </c>
      <c r="BF131" t="str">
        <f ca="1">IFERROR(IF(0=LEN(ReferenceData!$BF$131),"",ReferenceData!$BF$131),"")</f>
        <v/>
      </c>
      <c r="BG131" t="str">
        <f ca="1">IFERROR(IF(0=LEN(ReferenceData!$BG$131),"",ReferenceData!$BG$131),"")</f>
        <v/>
      </c>
      <c r="BH131">
        <f ca="1">IFERROR(IF(0=LEN(ReferenceData!$BH$131),"",ReferenceData!$BH$131),"")</f>
        <v>1.6693650689999999</v>
      </c>
      <c r="BI131" t="str">
        <f ca="1">IFERROR(IF(0=LEN(ReferenceData!$BI$131),"",ReferenceData!$BI$131),"")</f>
        <v/>
      </c>
      <c r="BJ131" t="str">
        <f ca="1">IFERROR(IF(0=LEN(ReferenceData!$BJ$131),"",ReferenceData!$BJ$131),"")</f>
        <v/>
      </c>
      <c r="BK131">
        <f ca="1">IFERROR(IF(0=LEN(ReferenceData!$BK$131),"",ReferenceData!$BK$131),"")</f>
        <v>1.665039964</v>
      </c>
      <c r="BL131" t="str">
        <f ca="1">IFERROR(IF(0=LEN(ReferenceData!$BL$131),"",ReferenceData!$BL$131),"")</f>
        <v/>
      </c>
      <c r="BM131" t="str">
        <f ca="1">IFERROR(IF(0=LEN(ReferenceData!$BM$131),"",ReferenceData!$BM$131),"")</f>
        <v/>
      </c>
      <c r="BN131">
        <f ca="1">IFERROR(IF(0=LEN(ReferenceData!$BN$131),"",ReferenceData!$BN$131),"")</f>
        <v>1.7649004370000001</v>
      </c>
      <c r="BO131" t="str">
        <f ca="1">IFERROR(IF(0=LEN(ReferenceData!$BO$131),"",ReferenceData!$BO$131),"")</f>
        <v/>
      </c>
      <c r="BP131" t="str">
        <f ca="1">IFERROR(IF(0=LEN(ReferenceData!$BP$131),"",ReferenceData!$BP$131),"")</f>
        <v/>
      </c>
      <c r="BQ131">
        <f ca="1">IFERROR(IF(0=LEN(ReferenceData!$BQ$131),"",ReferenceData!$BQ$131),"")</f>
        <v>1.4229645259999999</v>
      </c>
      <c r="BR131" t="str">
        <f ca="1">IFERROR(IF(0=LEN(ReferenceData!$BR$131),"",ReferenceData!$BR$131),"")</f>
        <v/>
      </c>
      <c r="BS131" t="str">
        <f ca="1">IFERROR(IF(0=LEN(ReferenceData!$BS$131),"",ReferenceData!$BS$131),"")</f>
        <v/>
      </c>
      <c r="BT131">
        <f ca="1">IFERROR(IF(0=LEN(ReferenceData!$BT$131),"",ReferenceData!$BT$131),"")</f>
        <v>1.937954849</v>
      </c>
      <c r="BU131" t="str">
        <f ca="1">IFERROR(IF(0=LEN(ReferenceData!$BU$131),"",ReferenceData!$BU$131),"")</f>
        <v/>
      </c>
      <c r="BV131" t="str">
        <f ca="1">IFERROR(IF(0=LEN(ReferenceData!$BV$131),"",ReferenceData!$BV$131),"")</f>
        <v/>
      </c>
      <c r="BW131">
        <f ca="1">IFERROR(IF(0=LEN(ReferenceData!$BW$131),"",ReferenceData!$BW$131),"")</f>
        <v>1.560568057</v>
      </c>
      <c r="BX131" t="str">
        <f ca="1">IFERROR(IF(0=LEN(ReferenceData!$BX$131),"",ReferenceData!$BX$131),"")</f>
        <v/>
      </c>
      <c r="BY131" t="str">
        <f ca="1">IFERROR(IF(0=LEN(ReferenceData!$BY$131),"",ReferenceData!$BY$131),"")</f>
        <v/>
      </c>
      <c r="BZ131">
        <f ca="1">IFERROR(IF(0=LEN(ReferenceData!$BZ$131),"",ReferenceData!$BZ$131),"")</f>
        <v>1.6003125119999999</v>
      </c>
      <c r="CA131" t="str">
        <f ca="1">IFERROR(IF(0=LEN(ReferenceData!$CA$131),"",ReferenceData!$CA$131),"")</f>
        <v/>
      </c>
      <c r="CB131" t="str">
        <f ca="1">IFERROR(IF(0=LEN(ReferenceData!$CB$131),"",ReferenceData!$CB$131),"")</f>
        <v/>
      </c>
      <c r="CC131">
        <f ca="1">IFERROR(IF(0=LEN(ReferenceData!$CC$131),"",ReferenceData!$CC$131),"")</f>
        <v>1.167218672</v>
      </c>
      <c r="CD131" t="str">
        <f ca="1">IFERROR(IF(0=LEN(ReferenceData!$CD$131),"",ReferenceData!$CD$131),"")</f>
        <v/>
      </c>
      <c r="CE131" t="str">
        <f ca="1">IFERROR(IF(0=LEN(ReferenceData!$CE$131),"",ReferenceData!$CE$131),"")</f>
        <v/>
      </c>
      <c r="CF131">
        <f ca="1">IFERROR(IF(0=LEN(ReferenceData!$CF$131),"",ReferenceData!$CF$131),"")</f>
        <v>1.2400724540000001</v>
      </c>
      <c r="CG131" t="str">
        <f ca="1">IFERROR(IF(0=LEN(ReferenceData!$CG$131),"",ReferenceData!$CG$131),"")</f>
        <v/>
      </c>
      <c r="CH131" t="str">
        <f ca="1">IFERROR(IF(0=LEN(ReferenceData!$CH$131),"",ReferenceData!$CH$131),"")</f>
        <v/>
      </c>
      <c r="CI131">
        <f ca="1">IFERROR(IF(0=LEN(ReferenceData!$CI$131),"",ReferenceData!$CI$131),"")</f>
        <v>1.256502096</v>
      </c>
      <c r="CJ131" t="str">
        <f ca="1">IFERROR(IF(0=LEN(ReferenceData!$CJ$131),"",ReferenceData!$CJ$131),"")</f>
        <v/>
      </c>
      <c r="CK131" t="str">
        <f ca="1">IFERROR(IF(0=LEN(ReferenceData!$CK$131),"",ReferenceData!$CK$131),"")</f>
        <v/>
      </c>
    </row>
    <row r="132" spans="1:89">
      <c r="A132" t="str">
        <f>IFERROR(IF(0=LEN(ReferenceData!$A$132),"",ReferenceData!$A$132),"")</f>
        <v xml:space="preserve">    Mid-America Apartment Communit</v>
      </c>
      <c r="B132" t="str">
        <f>IFERROR(IF(0=LEN(ReferenceData!$B$132),"",ReferenceData!$B$132),"")</f>
        <v>MAA US Equity</v>
      </c>
      <c r="C132" t="str">
        <f>IFERROR(IF(0=LEN(ReferenceData!$C$132),"",ReferenceData!$C$132),"")</f>
        <v>F0580</v>
      </c>
      <c r="D132" t="str">
        <f>IFERROR(IF(0=LEN(ReferenceData!$D$132),"",ReferenceData!$D$132),"")</f>
        <v>FUNDS_AVAILABLE_FOR_DIST_PER_SH</v>
      </c>
      <c r="E132" t="str">
        <f>IFERROR(IF(0=LEN(ReferenceData!$E$132),"",ReferenceData!$E$132),"")</f>
        <v>动态</v>
      </c>
      <c r="F132" t="str">
        <f ca="1">IFERROR(IF(0=LEN(ReferenceData!$F$132),"",ReferenceData!$F$132),"")</f>
        <v/>
      </c>
      <c r="G132" t="str">
        <f ca="1">IFERROR(IF(0=LEN(ReferenceData!$G$132),"",ReferenceData!$G$132),"")</f>
        <v/>
      </c>
      <c r="H132" t="str">
        <f ca="1">IFERROR(IF(0=LEN(ReferenceData!$H$132),"",ReferenceData!$H$132),"")</f>
        <v/>
      </c>
      <c r="I132">
        <f ca="1">IFERROR(IF(0=LEN(ReferenceData!$I$132),"",ReferenceData!$I$132),"")</f>
        <v>1.076038724</v>
      </c>
      <c r="J132" t="str">
        <f ca="1">IFERROR(IF(0=LEN(ReferenceData!$J$132),"",ReferenceData!$J$132),"")</f>
        <v/>
      </c>
      <c r="K132" t="str">
        <f ca="1">IFERROR(IF(0=LEN(ReferenceData!$K$132),"",ReferenceData!$K$132),"")</f>
        <v/>
      </c>
      <c r="L132">
        <f ca="1">IFERROR(IF(0=LEN(ReferenceData!$L$132),"",ReferenceData!$L$132),"")</f>
        <v>1.0769406989999999</v>
      </c>
      <c r="M132" t="str">
        <f ca="1">IFERROR(IF(0=LEN(ReferenceData!$M$132),"",ReferenceData!$M$132),"")</f>
        <v/>
      </c>
      <c r="N132" t="str">
        <f ca="1">IFERROR(IF(0=LEN(ReferenceData!$N$132),"",ReferenceData!$N$132),"")</f>
        <v/>
      </c>
      <c r="O132">
        <f ca="1">IFERROR(IF(0=LEN(ReferenceData!$O$132),"",ReferenceData!$O$132),"")</f>
        <v>1.055389133</v>
      </c>
      <c r="P132" t="str">
        <f ca="1">IFERROR(IF(0=LEN(ReferenceData!$P$132),"",ReferenceData!$P$132),"")</f>
        <v/>
      </c>
      <c r="Q132" t="str">
        <f ca="1">IFERROR(IF(0=LEN(ReferenceData!$Q$132),"",ReferenceData!$Q$132),"")</f>
        <v/>
      </c>
      <c r="R132">
        <f ca="1">IFERROR(IF(0=LEN(ReferenceData!$R$132),"",ReferenceData!$R$132),"")</f>
        <v>1.232381454</v>
      </c>
      <c r="S132" t="str">
        <f ca="1">IFERROR(IF(0=LEN(ReferenceData!$S$132),"",ReferenceData!$S$132),"")</f>
        <v/>
      </c>
      <c r="T132" t="str">
        <f ca="1">IFERROR(IF(0=LEN(ReferenceData!$T$132),"",ReferenceData!$T$132),"")</f>
        <v/>
      </c>
      <c r="U132">
        <f ca="1">IFERROR(IF(0=LEN(ReferenceData!$U$132),"",ReferenceData!$U$132),"")</f>
        <v>0.86024747400000001</v>
      </c>
      <c r="V132" t="str">
        <f ca="1">IFERROR(IF(0=LEN(ReferenceData!$V$132),"",ReferenceData!$V$132),"")</f>
        <v/>
      </c>
      <c r="W132" t="str">
        <f ca="1">IFERROR(IF(0=LEN(ReferenceData!$W$132),"",ReferenceData!$W$132),"")</f>
        <v/>
      </c>
      <c r="X132">
        <f ca="1">IFERROR(IF(0=LEN(ReferenceData!$X$132),"",ReferenceData!$X$132),"")</f>
        <v>1.0477947169999999</v>
      </c>
      <c r="Y132" t="str">
        <f ca="1">IFERROR(IF(0=LEN(ReferenceData!$Y$132),"",ReferenceData!$Y$132),"")</f>
        <v/>
      </c>
      <c r="Z132" t="str">
        <f ca="1">IFERROR(IF(0=LEN(ReferenceData!$Z$132),"",ReferenceData!$Z$132),"")</f>
        <v/>
      </c>
      <c r="AA132">
        <f ca="1">IFERROR(IF(0=LEN(ReferenceData!$AA$132),"",ReferenceData!$AA$132),"")</f>
        <v>1.028274444</v>
      </c>
      <c r="AB132" t="str">
        <f ca="1">IFERROR(IF(0=LEN(ReferenceData!$AB$132),"",ReferenceData!$AB$132),"")</f>
        <v/>
      </c>
      <c r="AC132" t="str">
        <f ca="1">IFERROR(IF(0=LEN(ReferenceData!$AC$132),"",ReferenceData!$AC$132),"")</f>
        <v/>
      </c>
      <c r="AD132">
        <f ca="1">IFERROR(IF(0=LEN(ReferenceData!$AD$132),"",ReferenceData!$AD$132),"")</f>
        <v>1.1256562919999999</v>
      </c>
      <c r="AE132" t="str">
        <f ca="1">IFERROR(IF(0=LEN(ReferenceData!$AE$132),"",ReferenceData!$AE$132),"")</f>
        <v/>
      </c>
      <c r="AF132" t="str">
        <f ca="1">IFERROR(IF(0=LEN(ReferenceData!$AF$132),"",ReferenceData!$AF$132),"")</f>
        <v/>
      </c>
      <c r="AG132">
        <f ca="1">IFERROR(IF(0=LEN(ReferenceData!$AG$132),"",ReferenceData!$AG$132),"")</f>
        <v>1.1174504240000001</v>
      </c>
      <c r="AH132" t="str">
        <f ca="1">IFERROR(IF(0=LEN(ReferenceData!$AH$132),"",ReferenceData!$AH$132),"")</f>
        <v/>
      </c>
      <c r="AI132" t="str">
        <f ca="1">IFERROR(IF(0=LEN(ReferenceData!$AI$132),"",ReferenceData!$AI$132),"")</f>
        <v/>
      </c>
      <c r="AJ132">
        <f ca="1">IFERROR(IF(0=LEN(ReferenceData!$AJ$132),"",ReferenceData!$AJ$132),"")</f>
        <v>0.90761477499999998</v>
      </c>
      <c r="AK132" t="str">
        <f ca="1">IFERROR(IF(0=LEN(ReferenceData!$AK$132),"",ReferenceData!$AK$132),"")</f>
        <v/>
      </c>
      <c r="AL132" t="str">
        <f ca="1">IFERROR(IF(0=LEN(ReferenceData!$AL$132),"",ReferenceData!$AL$132),"")</f>
        <v/>
      </c>
      <c r="AM132">
        <f ca="1">IFERROR(IF(0=LEN(ReferenceData!$AM$132),"",ReferenceData!$AM$132),"")</f>
        <v>1.08180699</v>
      </c>
      <c r="AN132" t="str">
        <f ca="1">IFERROR(IF(0=LEN(ReferenceData!$AN$132),"",ReferenceData!$AN$132),"")</f>
        <v/>
      </c>
      <c r="AO132" t="str">
        <f ca="1">IFERROR(IF(0=LEN(ReferenceData!$AO$132),"",ReferenceData!$AO$132),"")</f>
        <v/>
      </c>
      <c r="AP132">
        <f ca="1">IFERROR(IF(0=LEN(ReferenceData!$AP$132),"",ReferenceData!$AP$132),"")</f>
        <v>1.011433099</v>
      </c>
      <c r="AQ132" t="str">
        <f ca="1">IFERROR(IF(0=LEN(ReferenceData!$AQ$132),"",ReferenceData!$AQ$132),"")</f>
        <v/>
      </c>
      <c r="AR132" t="str">
        <f ca="1">IFERROR(IF(0=LEN(ReferenceData!$AR$132),"",ReferenceData!$AR$132),"")</f>
        <v/>
      </c>
      <c r="AS132">
        <f ca="1">IFERROR(IF(0=LEN(ReferenceData!$AS$132),"",ReferenceData!$AS$132),"")</f>
        <v>1.1759227800000001</v>
      </c>
      <c r="AT132" t="str">
        <f ca="1">IFERROR(IF(0=LEN(ReferenceData!$AT$132),"",ReferenceData!$AT$132),"")</f>
        <v/>
      </c>
      <c r="AU132" t="str">
        <f ca="1">IFERROR(IF(0=LEN(ReferenceData!$AU$132),"",ReferenceData!$AU$132),"")</f>
        <v/>
      </c>
      <c r="AV132">
        <f ca="1">IFERROR(IF(0=LEN(ReferenceData!$AV$132),"",ReferenceData!$AV$132),"")</f>
        <v>1.037053824</v>
      </c>
      <c r="AW132" t="str">
        <f ca="1">IFERROR(IF(0=LEN(ReferenceData!$AW$132),"",ReferenceData!$AW$132),"")</f>
        <v/>
      </c>
      <c r="AX132" t="str">
        <f ca="1">IFERROR(IF(0=LEN(ReferenceData!$AX$132),"",ReferenceData!$AX$132),"")</f>
        <v/>
      </c>
      <c r="AY132">
        <f ca="1">IFERROR(IF(0=LEN(ReferenceData!$AY$132),"",ReferenceData!$AY$132),"")</f>
        <v>0.93594283599999994</v>
      </c>
      <c r="AZ132" t="str">
        <f ca="1">IFERROR(IF(0=LEN(ReferenceData!$AZ$132),"",ReferenceData!$AZ$132),"")</f>
        <v/>
      </c>
      <c r="BA132" t="str">
        <f ca="1">IFERROR(IF(0=LEN(ReferenceData!$BA$132),"",ReferenceData!$BA$132),"")</f>
        <v/>
      </c>
      <c r="BB132">
        <f ca="1">IFERROR(IF(0=LEN(ReferenceData!$BB$132),"",ReferenceData!$BB$132),"")</f>
        <v>1.1300594450000001</v>
      </c>
      <c r="BC132" t="str">
        <f ca="1">IFERROR(IF(0=LEN(ReferenceData!$BC$132),"",ReferenceData!$BC$132),"")</f>
        <v/>
      </c>
      <c r="BD132" t="str">
        <f ca="1">IFERROR(IF(0=LEN(ReferenceData!$BD$132),"",ReferenceData!$BD$132),"")</f>
        <v/>
      </c>
      <c r="BE132">
        <f ca="1">IFERROR(IF(0=LEN(ReferenceData!$BE$132),"",ReferenceData!$BE$132),"")</f>
        <v>0.97214741800000004</v>
      </c>
      <c r="BF132" t="str">
        <f ca="1">IFERROR(IF(0=LEN(ReferenceData!$BF$132),"",ReferenceData!$BF$132),"")</f>
        <v/>
      </c>
      <c r="BG132" t="str">
        <f ca="1">IFERROR(IF(0=LEN(ReferenceData!$BG$132),"",ReferenceData!$BG$132),"")</f>
        <v/>
      </c>
      <c r="BH132">
        <f ca="1">IFERROR(IF(0=LEN(ReferenceData!$BH$132),"",ReferenceData!$BH$132),"")</f>
        <v>1.076499044</v>
      </c>
      <c r="BI132" t="str">
        <f ca="1">IFERROR(IF(0=LEN(ReferenceData!$BI$132),"",ReferenceData!$BI$132),"")</f>
        <v/>
      </c>
      <c r="BJ132" t="str">
        <f ca="1">IFERROR(IF(0=LEN(ReferenceData!$BJ$132),"",ReferenceData!$BJ$132),"")</f>
        <v/>
      </c>
      <c r="BK132">
        <f ca="1">IFERROR(IF(0=LEN(ReferenceData!$BK$132),"",ReferenceData!$BK$132),"")</f>
        <v>1.049464398</v>
      </c>
      <c r="BL132" t="str">
        <f ca="1">IFERROR(IF(0=LEN(ReferenceData!$BL$132),"",ReferenceData!$BL$132),"")</f>
        <v/>
      </c>
      <c r="BM132" t="str">
        <f ca="1">IFERROR(IF(0=LEN(ReferenceData!$BM$132),"",ReferenceData!$BM$132),"")</f>
        <v/>
      </c>
      <c r="BN132">
        <f ca="1">IFERROR(IF(0=LEN(ReferenceData!$BN$132),"",ReferenceData!$BN$132),"")</f>
        <v>1.1227207859999999</v>
      </c>
      <c r="BO132" t="str">
        <f ca="1">IFERROR(IF(0=LEN(ReferenceData!$BO$132),"",ReferenceData!$BO$132),"")</f>
        <v/>
      </c>
      <c r="BP132" t="str">
        <f ca="1">IFERROR(IF(0=LEN(ReferenceData!$BP$132),"",ReferenceData!$BP$132),"")</f>
        <v/>
      </c>
      <c r="BQ132">
        <f ca="1">IFERROR(IF(0=LEN(ReferenceData!$BQ$132),"",ReferenceData!$BQ$132),"")</f>
        <v>9.1121707999999996E-2</v>
      </c>
      <c r="BR132" t="str">
        <f ca="1">IFERROR(IF(0=LEN(ReferenceData!$BR$132),"",ReferenceData!$BR$132),"")</f>
        <v/>
      </c>
      <c r="BS132" t="str">
        <f ca="1">IFERROR(IF(0=LEN(ReferenceData!$BS$132),"",ReferenceData!$BS$132),"")</f>
        <v/>
      </c>
      <c r="BT132">
        <f ca="1">IFERROR(IF(0=LEN(ReferenceData!$BT$132),"",ReferenceData!$BT$132),"")</f>
        <v>1.001411351</v>
      </c>
      <c r="BU132" t="str">
        <f ca="1">IFERROR(IF(0=LEN(ReferenceData!$BU$132),"",ReferenceData!$BU$132),"")</f>
        <v/>
      </c>
      <c r="BV132" t="str">
        <f ca="1">IFERROR(IF(0=LEN(ReferenceData!$BV$132),"",ReferenceData!$BV$132),"")</f>
        <v/>
      </c>
      <c r="BW132">
        <f ca="1">IFERROR(IF(0=LEN(ReferenceData!$BW$132),"",ReferenceData!$BW$132),"")</f>
        <v>0.90722130199999995</v>
      </c>
      <c r="BX132" t="str">
        <f ca="1">IFERROR(IF(0=LEN(ReferenceData!$BX$132),"",ReferenceData!$BX$132),"")</f>
        <v/>
      </c>
      <c r="BY132" t="str">
        <f ca="1">IFERROR(IF(0=LEN(ReferenceData!$BY$132),"",ReferenceData!$BY$132),"")</f>
        <v/>
      </c>
      <c r="BZ132">
        <f ca="1">IFERROR(IF(0=LEN(ReferenceData!$BZ$132),"",ReferenceData!$BZ$132),"")</f>
        <v>0.93625881600000005</v>
      </c>
      <c r="CA132" t="str">
        <f ca="1">IFERROR(IF(0=LEN(ReferenceData!$CA$132),"",ReferenceData!$CA$132),"")</f>
        <v/>
      </c>
      <c r="CB132" t="str">
        <f ca="1">IFERROR(IF(0=LEN(ReferenceData!$CB$132),"",ReferenceData!$CB$132),"")</f>
        <v/>
      </c>
      <c r="CC132">
        <f ca="1">IFERROR(IF(0=LEN(ReferenceData!$CC$132),"",ReferenceData!$CC$132),"")</f>
        <v>0.97463497300000002</v>
      </c>
      <c r="CD132" t="str">
        <f ca="1">IFERROR(IF(0=LEN(ReferenceData!$CD$132),"",ReferenceData!$CD$132),"")</f>
        <v/>
      </c>
      <c r="CE132" t="str">
        <f ca="1">IFERROR(IF(0=LEN(ReferenceData!$CE$132),"",ReferenceData!$CE$132),"")</f>
        <v/>
      </c>
      <c r="CF132">
        <f ca="1">IFERROR(IF(0=LEN(ReferenceData!$CF$132),"",ReferenceData!$CF$132),"")</f>
        <v>0.81595419899999999</v>
      </c>
      <c r="CG132" t="str">
        <f ca="1">IFERROR(IF(0=LEN(ReferenceData!$CG$132),"",ReferenceData!$CG$132),"")</f>
        <v/>
      </c>
      <c r="CH132" t="str">
        <f ca="1">IFERROR(IF(0=LEN(ReferenceData!$CH$132),"",ReferenceData!$CH$132),"")</f>
        <v/>
      </c>
      <c r="CI132">
        <f ca="1">IFERROR(IF(0=LEN(ReferenceData!$CI$132),"",ReferenceData!$CI$132),"")</f>
        <v>0.68522467399999998</v>
      </c>
      <c r="CJ132" t="str">
        <f ca="1">IFERROR(IF(0=LEN(ReferenceData!$CJ$132),"",ReferenceData!$CJ$132),"")</f>
        <v/>
      </c>
      <c r="CK132" t="str">
        <f ca="1">IFERROR(IF(0=LEN(ReferenceData!$CK$132),"",ReferenceData!$CK$132),"")</f>
        <v/>
      </c>
    </row>
    <row r="133" spans="1:89">
      <c r="A133" t="str">
        <f>IFERROR(IF(0=LEN(ReferenceData!$A$133),"",ReferenceData!$A$133),"")</f>
        <v xml:space="preserve">    Monogram Residential Trust Inc</v>
      </c>
      <c r="B133" t="str">
        <f>IFERROR(IF(0=LEN(ReferenceData!$B$133),"",ReferenceData!$B$133),"")</f>
        <v>MORE US Equity</v>
      </c>
      <c r="C133" t="str">
        <f>IFERROR(IF(0=LEN(ReferenceData!$C$133),"",ReferenceData!$C$133),"")</f>
        <v>F0580</v>
      </c>
      <c r="D133" t="str">
        <f>IFERROR(IF(0=LEN(ReferenceData!$D$133),"",ReferenceData!$D$133),"")</f>
        <v>FUNDS_AVAILABLE_FOR_DIST_PER_SH</v>
      </c>
      <c r="E133" t="str">
        <f>IFERROR(IF(0=LEN(ReferenceData!$E$133),"",ReferenceData!$E$133),"")</f>
        <v>动态</v>
      </c>
      <c r="F133" t="str">
        <f ca="1">IFERROR(IF(0=LEN(ReferenceData!$F$133),"",ReferenceData!$F$133),"")</f>
        <v/>
      </c>
      <c r="G133" t="str">
        <f ca="1">IFERROR(IF(0=LEN(ReferenceData!$G$133),"",ReferenceData!$G$133),"")</f>
        <v/>
      </c>
      <c r="H133" t="str">
        <f ca="1">IFERROR(IF(0=LEN(ReferenceData!$H$133),"",ReferenceData!$H$133),"")</f>
        <v/>
      </c>
      <c r="I133" t="str">
        <f ca="1">IFERROR(IF(0=LEN(ReferenceData!$I$133),"",ReferenceData!$I$133),"")</f>
        <v/>
      </c>
      <c r="J133" t="str">
        <f ca="1">IFERROR(IF(0=LEN(ReferenceData!$J$133),"",ReferenceData!$J$133),"")</f>
        <v/>
      </c>
      <c r="K133" t="str">
        <f ca="1">IFERROR(IF(0=LEN(ReferenceData!$K$133),"",ReferenceData!$K$133),"")</f>
        <v/>
      </c>
      <c r="L133" t="str">
        <f ca="1">IFERROR(IF(0=LEN(ReferenceData!$L$133),"",ReferenceData!$L$133),"")</f>
        <v/>
      </c>
      <c r="M133" t="str">
        <f ca="1">IFERROR(IF(0=LEN(ReferenceData!$M$133),"",ReferenceData!$M$133),"")</f>
        <v/>
      </c>
      <c r="N133" t="str">
        <f ca="1">IFERROR(IF(0=LEN(ReferenceData!$N$133),"",ReferenceData!$N$133),"")</f>
        <v/>
      </c>
      <c r="O133">
        <f ca="1">IFERROR(IF(0=LEN(ReferenceData!$O$133),"",ReferenceData!$O$133),"")</f>
        <v>8.5243757000000003E-2</v>
      </c>
      <c r="P133" t="str">
        <f ca="1">IFERROR(IF(0=LEN(ReferenceData!$P$133),"",ReferenceData!$P$133),"")</f>
        <v/>
      </c>
      <c r="Q133" t="str">
        <f ca="1">IFERROR(IF(0=LEN(ReferenceData!$Q$133),"",ReferenceData!$Q$133),"")</f>
        <v/>
      </c>
      <c r="R133">
        <f ca="1">IFERROR(IF(0=LEN(ReferenceData!$R$133),"",ReferenceData!$R$133),"")</f>
        <v>6.9225268000000006E-2</v>
      </c>
      <c r="S133" t="str">
        <f ca="1">IFERROR(IF(0=LEN(ReferenceData!$S$133),"",ReferenceData!$S$133),"")</f>
        <v/>
      </c>
      <c r="T133" t="str">
        <f ca="1">IFERROR(IF(0=LEN(ReferenceData!$T$133),"",ReferenceData!$T$133),"")</f>
        <v/>
      </c>
      <c r="U133">
        <f ca="1">IFERROR(IF(0=LEN(ReferenceData!$U$133),"",ReferenceData!$U$133),"")</f>
        <v>0.117982822</v>
      </c>
      <c r="V133" t="str">
        <f ca="1">IFERROR(IF(0=LEN(ReferenceData!$V$133),"",ReferenceData!$V$133),"")</f>
        <v/>
      </c>
      <c r="W133" t="str">
        <f ca="1">IFERROR(IF(0=LEN(ReferenceData!$W$133),"",ReferenceData!$W$133),"")</f>
        <v/>
      </c>
      <c r="X133">
        <f ca="1">IFERROR(IF(0=LEN(ReferenceData!$X$133),"",ReferenceData!$X$133),"")</f>
        <v>9.8515351000000001E-2</v>
      </c>
      <c r="Y133" t="str">
        <f ca="1">IFERROR(IF(0=LEN(ReferenceData!$Y$133),"",ReferenceData!$Y$133),"")</f>
        <v/>
      </c>
      <c r="Z133" t="str">
        <f ca="1">IFERROR(IF(0=LEN(ReferenceData!$Z$133),"",ReferenceData!$Z$133),"")</f>
        <v/>
      </c>
      <c r="AA133">
        <f ca="1">IFERROR(IF(0=LEN(ReferenceData!$AA$133),"",ReferenceData!$AA$133),"")</f>
        <v>8.7953460999999997E-2</v>
      </c>
      <c r="AB133" t="str">
        <f ca="1">IFERROR(IF(0=LEN(ReferenceData!$AB$133),"",ReferenceData!$AB$133),"")</f>
        <v/>
      </c>
      <c r="AC133" t="str">
        <f ca="1">IFERROR(IF(0=LEN(ReferenceData!$AC$133),"",ReferenceData!$AC$133),"")</f>
        <v/>
      </c>
      <c r="AD133">
        <f ca="1">IFERROR(IF(0=LEN(ReferenceData!$AD$133),"",ReferenceData!$AD$133),"")</f>
        <v>7.7346084999999995E-2</v>
      </c>
      <c r="AE133" t="str">
        <f ca="1">IFERROR(IF(0=LEN(ReferenceData!$AE$133),"",ReferenceData!$AE$133),"")</f>
        <v/>
      </c>
      <c r="AF133" t="str">
        <f ca="1">IFERROR(IF(0=LEN(ReferenceData!$AF$133),"",ReferenceData!$AF$133),"")</f>
        <v/>
      </c>
      <c r="AG133">
        <f ca="1">IFERROR(IF(0=LEN(ReferenceData!$AG$133),"",ReferenceData!$AG$133),"")</f>
        <v>8.7170471999999999E-2</v>
      </c>
      <c r="AH133" t="str">
        <f ca="1">IFERROR(IF(0=LEN(ReferenceData!$AH$133),"",ReferenceData!$AH$133),"")</f>
        <v/>
      </c>
      <c r="AI133" t="str">
        <f ca="1">IFERROR(IF(0=LEN(ReferenceData!$AI$133),"",ReferenceData!$AI$133),"")</f>
        <v/>
      </c>
      <c r="AJ133">
        <f ca="1">IFERROR(IF(0=LEN(ReferenceData!$AJ$133),"",ReferenceData!$AJ$133),"")</f>
        <v>9.0663479000000005E-2</v>
      </c>
      <c r="AK133" t="str">
        <f ca="1">IFERROR(IF(0=LEN(ReferenceData!$AK$133),"",ReferenceData!$AK$133),"")</f>
        <v/>
      </c>
      <c r="AL133" t="str">
        <f ca="1">IFERROR(IF(0=LEN(ReferenceData!$AL$133),"",ReferenceData!$AL$133),"")</f>
        <v/>
      </c>
      <c r="AM133">
        <f ca="1">IFERROR(IF(0=LEN(ReferenceData!$AM$133),"",ReferenceData!$AM$133),"")</f>
        <v>0.129651559</v>
      </c>
      <c r="AN133" t="str">
        <f ca="1">IFERROR(IF(0=LEN(ReferenceData!$AN$133),"",ReferenceData!$AN$133),"")</f>
        <v/>
      </c>
      <c r="AO133" t="str">
        <f ca="1">IFERROR(IF(0=LEN(ReferenceData!$AO$133),"",ReferenceData!$AO$133),"")</f>
        <v/>
      </c>
      <c r="AP133">
        <f ca="1">IFERROR(IF(0=LEN(ReferenceData!$AP$133),"",ReferenceData!$AP$133),"")</f>
        <v>9.2094553999999995E-2</v>
      </c>
      <c r="AQ133" t="str">
        <f ca="1">IFERROR(IF(0=LEN(ReferenceData!$AQ$133),"",ReferenceData!$AQ$133),"")</f>
        <v/>
      </c>
      <c r="AR133" t="str">
        <f ca="1">IFERROR(IF(0=LEN(ReferenceData!$AR$133),"",ReferenceData!$AR$133),"")</f>
        <v/>
      </c>
      <c r="AS133">
        <f ca="1">IFERROR(IF(0=LEN(ReferenceData!$AS$133),"",ReferenceData!$AS$133),"")</f>
        <v>9.3661647000000001E-2</v>
      </c>
      <c r="AT133" t="str">
        <f ca="1">IFERROR(IF(0=LEN(ReferenceData!$AT$133),"",ReferenceData!$AT$133),"")</f>
        <v/>
      </c>
      <c r="AU133" t="str">
        <f ca="1">IFERROR(IF(0=LEN(ReferenceData!$AU$133),"",ReferenceData!$AU$133),"")</f>
        <v/>
      </c>
      <c r="AV133">
        <f ca="1">IFERROR(IF(0=LEN(ReferenceData!$AV$133),"",ReferenceData!$AV$133),"")</f>
        <v>9.4461537999999998E-2</v>
      </c>
      <c r="AW133" t="str">
        <f ca="1">IFERROR(IF(0=LEN(ReferenceData!$AW$133),"",ReferenceData!$AW$133),"")</f>
        <v/>
      </c>
      <c r="AX133" t="str">
        <f ca="1">IFERROR(IF(0=LEN(ReferenceData!$AX$133),"",ReferenceData!$AX$133),"")</f>
        <v/>
      </c>
      <c r="AY133">
        <f ca="1">IFERROR(IF(0=LEN(ReferenceData!$AY$133),"",ReferenceData!$AY$133),"")</f>
        <v>8.1356153E-2</v>
      </c>
      <c r="AZ133" t="str">
        <f ca="1">IFERROR(IF(0=LEN(ReferenceData!$AZ$133),"",ReferenceData!$AZ$133),"")</f>
        <v/>
      </c>
      <c r="BA133" t="str">
        <f ca="1">IFERROR(IF(0=LEN(ReferenceData!$BA$133),"",ReferenceData!$BA$133),"")</f>
        <v/>
      </c>
      <c r="BB133">
        <f ca="1">IFERROR(IF(0=LEN(ReferenceData!$BB$133),"",ReferenceData!$BB$133),"")</f>
        <v>8.2261692999999997E-2</v>
      </c>
      <c r="BC133" t="str">
        <f ca="1">IFERROR(IF(0=LEN(ReferenceData!$BC$133),"",ReferenceData!$BC$133),"")</f>
        <v/>
      </c>
      <c r="BD133" t="str">
        <f ca="1">IFERROR(IF(0=LEN(ReferenceData!$BD$133),"",ReferenceData!$BD$133),"")</f>
        <v/>
      </c>
      <c r="BE133">
        <f ca="1">IFERROR(IF(0=LEN(ReferenceData!$BE$133),"",ReferenceData!$BE$133),"")</f>
        <v>0.13418536</v>
      </c>
      <c r="BF133" t="str">
        <f ca="1">IFERROR(IF(0=LEN(ReferenceData!$BF$133),"",ReferenceData!$BF$133),"")</f>
        <v/>
      </c>
      <c r="BG133" t="str">
        <f ca="1">IFERROR(IF(0=LEN(ReferenceData!$BG$133),"",ReferenceData!$BG$133),"")</f>
        <v/>
      </c>
      <c r="BH133">
        <f ca="1">IFERROR(IF(0=LEN(ReferenceData!$BH$133),"",ReferenceData!$BH$133),"")</f>
        <v>2.723505E-2</v>
      </c>
      <c r="BI133" t="str">
        <f ca="1">IFERROR(IF(0=LEN(ReferenceData!$BI$133),"",ReferenceData!$BI$133),"")</f>
        <v/>
      </c>
      <c r="BJ133" t="str">
        <f ca="1">IFERROR(IF(0=LEN(ReferenceData!$BJ$133),"",ReferenceData!$BJ$133),"")</f>
        <v/>
      </c>
      <c r="BK133">
        <f ca="1">IFERROR(IF(0=LEN(ReferenceData!$BK$133),"",ReferenceData!$BK$133),"")</f>
        <v>8.3481349999999996E-2</v>
      </c>
      <c r="BL133" t="str">
        <f ca="1">IFERROR(IF(0=LEN(ReferenceData!$BL$133),"",ReferenceData!$BL$133),"")</f>
        <v/>
      </c>
      <c r="BM133" t="str">
        <f ca="1">IFERROR(IF(0=LEN(ReferenceData!$BM$133),"",ReferenceData!$BM$133),"")</f>
        <v/>
      </c>
      <c r="BN133">
        <f ca="1">IFERROR(IF(0=LEN(ReferenceData!$BN$133),"",ReferenceData!$BN$133),"")</f>
        <v>8.2093992000000005E-2</v>
      </c>
      <c r="BO133" t="str">
        <f ca="1">IFERROR(IF(0=LEN(ReferenceData!$BO$133),"",ReferenceData!$BO$133),"")</f>
        <v/>
      </c>
      <c r="BP133" t="str">
        <f ca="1">IFERROR(IF(0=LEN(ReferenceData!$BP$133),"",ReferenceData!$BP$133),"")</f>
        <v/>
      </c>
      <c r="BQ133">
        <f ca="1">IFERROR(IF(0=LEN(ReferenceData!$BQ$133),"",ReferenceData!$BQ$133),"")</f>
        <v>7.3677956000000003E-2</v>
      </c>
      <c r="BR133" t="str">
        <f ca="1">IFERROR(IF(0=LEN(ReferenceData!$BR$133),"",ReferenceData!$BR$133),"")</f>
        <v/>
      </c>
      <c r="BS133" t="str">
        <f ca="1">IFERROR(IF(0=LEN(ReferenceData!$BS$133),"",ReferenceData!$BS$133),"")</f>
        <v/>
      </c>
      <c r="BT133">
        <f ca="1">IFERROR(IF(0=LEN(ReferenceData!$BT$133),"",ReferenceData!$BT$133),"")</f>
        <v>5.8293269000000002E-2</v>
      </c>
      <c r="BU133" t="str">
        <f ca="1">IFERROR(IF(0=LEN(ReferenceData!$BU$133),"",ReferenceData!$BU$133),"")</f>
        <v/>
      </c>
      <c r="BV133" t="str">
        <f ca="1">IFERROR(IF(0=LEN(ReferenceData!$BV$133),"",ReferenceData!$BV$133),"")</f>
        <v/>
      </c>
      <c r="BW133">
        <f ca="1">IFERROR(IF(0=LEN(ReferenceData!$BW$133),"",ReferenceData!$BW$133),"")</f>
        <v>5.6159420000000002E-2</v>
      </c>
      <c r="BX133" t="str">
        <f ca="1">IFERROR(IF(0=LEN(ReferenceData!$BX$133),"",ReferenceData!$BX$133),"")</f>
        <v/>
      </c>
      <c r="BY133" t="str">
        <f ca="1">IFERROR(IF(0=LEN(ReferenceData!$BY$133),"",ReferenceData!$BY$133),"")</f>
        <v/>
      </c>
      <c r="BZ133">
        <f ca="1">IFERROR(IF(0=LEN(ReferenceData!$BZ$133),"",ReferenceData!$BZ$133),"")</f>
        <v>5.8965956999999999E-2</v>
      </c>
      <c r="CA133" t="str">
        <f ca="1">IFERROR(IF(0=LEN(ReferenceData!$CA$133),"",ReferenceData!$CA$133),"")</f>
        <v/>
      </c>
      <c r="CB133" t="str">
        <f ca="1">IFERROR(IF(0=LEN(ReferenceData!$CB$133),"",ReferenceData!$CB$133),"")</f>
        <v/>
      </c>
      <c r="CC133" t="str">
        <f ca="1">IFERROR(IF(0=LEN(ReferenceData!$CC$133),"",ReferenceData!$CC$133),"")</f>
        <v/>
      </c>
      <c r="CD133" t="str">
        <f ca="1">IFERROR(IF(0=LEN(ReferenceData!$CD$133),"",ReferenceData!$CD$133),"")</f>
        <v/>
      </c>
      <c r="CE133" t="str">
        <f ca="1">IFERROR(IF(0=LEN(ReferenceData!$CE$133),"",ReferenceData!$CE$133),"")</f>
        <v/>
      </c>
      <c r="CF133" t="str">
        <f ca="1">IFERROR(IF(0=LEN(ReferenceData!$CF$133),"",ReferenceData!$CF$133),"")</f>
        <v/>
      </c>
      <c r="CG133" t="str">
        <f ca="1">IFERROR(IF(0=LEN(ReferenceData!$CG$133),"",ReferenceData!$CG$133),"")</f>
        <v/>
      </c>
      <c r="CH133" t="str">
        <f ca="1">IFERROR(IF(0=LEN(ReferenceData!$CH$133),"",ReferenceData!$CH$133),"")</f>
        <v/>
      </c>
      <c r="CI133" t="str">
        <f ca="1">IFERROR(IF(0=LEN(ReferenceData!$CI$133),"",ReferenceData!$CI$133),"")</f>
        <v/>
      </c>
      <c r="CJ133" t="str">
        <f ca="1">IFERROR(IF(0=LEN(ReferenceData!$CJ$133),"",ReferenceData!$CJ$133),"")</f>
        <v/>
      </c>
      <c r="CK133" t="str">
        <f ca="1">IFERROR(IF(0=LEN(ReferenceData!$CK$133),"",ReferenceData!$CK$133),"")</f>
        <v/>
      </c>
    </row>
    <row r="134" spans="1:89">
      <c r="A134" t="str">
        <f>IFERROR(IF(0=LEN(ReferenceData!$A$134),"",ReferenceData!$A$134),"")</f>
        <v xml:space="preserve">    UDR Inc</v>
      </c>
      <c r="B134" t="str">
        <f>IFERROR(IF(0=LEN(ReferenceData!$B$134),"",ReferenceData!$B$134),"")</f>
        <v>UDR US Equity</v>
      </c>
      <c r="C134" t="str">
        <f>IFERROR(IF(0=LEN(ReferenceData!$C$134),"",ReferenceData!$C$134),"")</f>
        <v>F0580</v>
      </c>
      <c r="D134" t="str">
        <f>IFERROR(IF(0=LEN(ReferenceData!$D$134),"",ReferenceData!$D$134),"")</f>
        <v>FUNDS_AVAILABLE_FOR_DIST_PER_SH</v>
      </c>
      <c r="E134" t="str">
        <f>IFERROR(IF(0=LEN(ReferenceData!$E$134),"",ReferenceData!$E$134),"")</f>
        <v>动态</v>
      </c>
      <c r="F134" t="str">
        <f ca="1">IFERROR(IF(0=LEN(ReferenceData!$F$134),"",ReferenceData!$F$134),"")</f>
        <v/>
      </c>
      <c r="G134" t="str">
        <f ca="1">IFERROR(IF(0=LEN(ReferenceData!$G$134),"",ReferenceData!$G$134),"")</f>
        <v/>
      </c>
      <c r="H134" t="str">
        <f ca="1">IFERROR(IF(0=LEN(ReferenceData!$H$134),"",ReferenceData!$H$134),"")</f>
        <v/>
      </c>
      <c r="I134">
        <f ca="1">IFERROR(IF(0=LEN(ReferenceData!$I$134),"",ReferenceData!$I$134),"")</f>
        <v>0.423743486</v>
      </c>
      <c r="J134" t="str">
        <f ca="1">IFERROR(IF(0=LEN(ReferenceData!$J$134),"",ReferenceData!$J$134),"")</f>
        <v/>
      </c>
      <c r="K134" t="str">
        <f ca="1">IFERROR(IF(0=LEN(ReferenceData!$K$134),"",ReferenceData!$K$134),"")</f>
        <v/>
      </c>
      <c r="L134">
        <f ca="1">IFERROR(IF(0=LEN(ReferenceData!$L$134),"",ReferenceData!$L$134),"")</f>
        <v>0.42760188599999999</v>
      </c>
      <c r="M134" t="str">
        <f ca="1">IFERROR(IF(0=LEN(ReferenceData!$M$134),"",ReferenceData!$M$134),"")</f>
        <v/>
      </c>
      <c r="N134" t="str">
        <f ca="1">IFERROR(IF(0=LEN(ReferenceData!$N$134),"",ReferenceData!$N$134),"")</f>
        <v/>
      </c>
      <c r="O134">
        <f ca="1">IFERROR(IF(0=LEN(ReferenceData!$O$134),"",ReferenceData!$O$134),"")</f>
        <v>0.43415523499999997</v>
      </c>
      <c r="P134" t="str">
        <f ca="1">IFERROR(IF(0=LEN(ReferenceData!$P$134),"",ReferenceData!$P$134),"")</f>
        <v/>
      </c>
      <c r="Q134" t="str">
        <f ca="1">IFERROR(IF(0=LEN(ReferenceData!$Q$134),"",ReferenceData!$Q$134),"")</f>
        <v/>
      </c>
      <c r="R134">
        <f ca="1">IFERROR(IF(0=LEN(ReferenceData!$R$134),"",ReferenceData!$R$134),"")</f>
        <v>0.428919569</v>
      </c>
      <c r="S134" t="str">
        <f ca="1">IFERROR(IF(0=LEN(ReferenceData!$S$134),"",ReferenceData!$S$134),"")</f>
        <v/>
      </c>
      <c r="T134" t="str">
        <f ca="1">IFERROR(IF(0=LEN(ReferenceData!$T$134),"",ReferenceData!$T$134),"")</f>
        <v/>
      </c>
      <c r="U134">
        <f ca="1">IFERROR(IF(0=LEN(ReferenceData!$U$134),"",ReferenceData!$U$134),"")</f>
        <v>0.40475981700000002</v>
      </c>
      <c r="V134" t="str">
        <f ca="1">IFERROR(IF(0=LEN(ReferenceData!$V$134),"",ReferenceData!$V$134),"")</f>
        <v/>
      </c>
      <c r="W134" t="str">
        <f ca="1">IFERROR(IF(0=LEN(ReferenceData!$W$134),"",ReferenceData!$W$134),"")</f>
        <v/>
      </c>
      <c r="X134">
        <f ca="1">IFERROR(IF(0=LEN(ReferenceData!$X$134),"",ReferenceData!$X$134),"")</f>
        <v>0.40753618699999999</v>
      </c>
      <c r="Y134" t="str">
        <f ca="1">IFERROR(IF(0=LEN(ReferenceData!$Y$134),"",ReferenceData!$Y$134),"")</f>
        <v/>
      </c>
      <c r="Z134" t="str">
        <f ca="1">IFERROR(IF(0=LEN(ReferenceData!$Z$134),"",ReferenceData!$Z$134),"")</f>
        <v/>
      </c>
      <c r="AA134">
        <f ca="1">IFERROR(IF(0=LEN(ReferenceData!$AA$134),"",ReferenceData!$AA$134),"")</f>
        <v>0.40855230300000001</v>
      </c>
      <c r="AB134" t="str">
        <f ca="1">IFERROR(IF(0=LEN(ReferenceData!$AB$134),"",ReferenceData!$AB$134),"")</f>
        <v/>
      </c>
      <c r="AC134" t="str">
        <f ca="1">IFERROR(IF(0=LEN(ReferenceData!$AC$134),"",ReferenceData!$AC$134),"")</f>
        <v/>
      </c>
      <c r="AD134">
        <f ca="1">IFERROR(IF(0=LEN(ReferenceData!$AD$134),"",ReferenceData!$AD$134),"")</f>
        <v>0.405844023</v>
      </c>
      <c r="AE134" t="str">
        <f ca="1">IFERROR(IF(0=LEN(ReferenceData!$AE$134),"",ReferenceData!$AE$134),"")</f>
        <v/>
      </c>
      <c r="AF134" t="str">
        <f ca="1">IFERROR(IF(0=LEN(ReferenceData!$AF$134),"",ReferenceData!$AF$134),"")</f>
        <v/>
      </c>
      <c r="AG134">
        <f ca="1">IFERROR(IF(0=LEN(ReferenceData!$AG$134),"",ReferenceData!$AG$134),"")</f>
        <v>0.37482697599999998</v>
      </c>
      <c r="AH134" t="str">
        <f ca="1">IFERROR(IF(0=LEN(ReferenceData!$AH$134),"",ReferenceData!$AH$134),"")</f>
        <v/>
      </c>
      <c r="AI134" t="str">
        <f ca="1">IFERROR(IF(0=LEN(ReferenceData!$AI$134),"",ReferenceData!$AI$134),"")</f>
        <v/>
      </c>
      <c r="AJ134">
        <f ca="1">IFERROR(IF(0=LEN(ReferenceData!$AJ$134),"",ReferenceData!$AJ$134),"")</f>
        <v>0.37308495899999999</v>
      </c>
      <c r="AK134" t="str">
        <f ca="1">IFERROR(IF(0=LEN(ReferenceData!$AK$134),"",ReferenceData!$AK$134),"")</f>
        <v/>
      </c>
      <c r="AL134" t="str">
        <f ca="1">IFERROR(IF(0=LEN(ReferenceData!$AL$134),"",ReferenceData!$AL$134),"")</f>
        <v/>
      </c>
      <c r="AM134">
        <f ca="1">IFERROR(IF(0=LEN(ReferenceData!$AM$134),"",ReferenceData!$AM$134),"")</f>
        <v>0.38273766599999998</v>
      </c>
      <c r="AN134" t="str">
        <f ca="1">IFERROR(IF(0=LEN(ReferenceData!$AN$134),"",ReferenceData!$AN$134),"")</f>
        <v/>
      </c>
      <c r="AO134" t="str">
        <f ca="1">IFERROR(IF(0=LEN(ReferenceData!$AO$134),"",ReferenceData!$AO$134),"")</f>
        <v/>
      </c>
      <c r="AP134">
        <f ca="1">IFERROR(IF(0=LEN(ReferenceData!$AP$134),"",ReferenceData!$AP$134),"")</f>
        <v>0.37341386599999998</v>
      </c>
      <c r="AQ134" t="str">
        <f ca="1">IFERROR(IF(0=LEN(ReferenceData!$AQ$134),"",ReferenceData!$AQ$134),"")</f>
        <v/>
      </c>
      <c r="AR134" t="str">
        <f ca="1">IFERROR(IF(0=LEN(ReferenceData!$AR$134),"",ReferenceData!$AR$134),"")</f>
        <v/>
      </c>
      <c r="AS134">
        <f ca="1">IFERROR(IF(0=LEN(ReferenceData!$AS$134),"",ReferenceData!$AS$134),"")</f>
        <v>0.338095327</v>
      </c>
      <c r="AT134" t="str">
        <f ca="1">IFERROR(IF(0=LEN(ReferenceData!$AT$134),"",ReferenceData!$AT$134),"")</f>
        <v/>
      </c>
      <c r="AU134" t="str">
        <f ca="1">IFERROR(IF(0=LEN(ReferenceData!$AU$134),"",ReferenceData!$AU$134),"")</f>
        <v/>
      </c>
      <c r="AV134" t="str">
        <f ca="1">IFERROR(IF(0=LEN(ReferenceData!$AV$134),"",ReferenceData!$AV$134),"")</f>
        <v/>
      </c>
      <c r="AW134" t="str">
        <f ca="1">IFERROR(IF(0=LEN(ReferenceData!$AW$134),"",ReferenceData!$AW$134),"")</f>
        <v/>
      </c>
      <c r="AX134" t="str">
        <f ca="1">IFERROR(IF(0=LEN(ReferenceData!$AX$134),"",ReferenceData!$AX$134),"")</f>
        <v/>
      </c>
      <c r="AY134" t="str">
        <f ca="1">IFERROR(IF(0=LEN(ReferenceData!$AY$134),"",ReferenceData!$AY$134),"")</f>
        <v/>
      </c>
      <c r="AZ134" t="str">
        <f ca="1">IFERROR(IF(0=LEN(ReferenceData!$AZ$134),"",ReferenceData!$AZ$134),"")</f>
        <v/>
      </c>
      <c r="BA134" t="str">
        <f ca="1">IFERROR(IF(0=LEN(ReferenceData!$BA$134),"",ReferenceData!$BA$134),"")</f>
        <v/>
      </c>
      <c r="BB134">
        <f ca="1">IFERROR(IF(0=LEN(ReferenceData!$BB$134),"",ReferenceData!$BB$134),"")</f>
        <v>0.33280338599999998</v>
      </c>
      <c r="BC134" t="str">
        <f ca="1">IFERROR(IF(0=LEN(ReferenceData!$BC$134),"",ReferenceData!$BC$134),"")</f>
        <v/>
      </c>
      <c r="BD134" t="str">
        <f ca="1">IFERROR(IF(0=LEN(ReferenceData!$BD$134),"",ReferenceData!$BD$134),"")</f>
        <v/>
      </c>
      <c r="BE134">
        <f ca="1">IFERROR(IF(0=LEN(ReferenceData!$BE$134),"",ReferenceData!$BE$134),"")</f>
        <v>0.31816854500000002</v>
      </c>
      <c r="BF134" t="str">
        <f ca="1">IFERROR(IF(0=LEN(ReferenceData!$BF$134),"",ReferenceData!$BF$134),"")</f>
        <v/>
      </c>
      <c r="BG134" t="str">
        <f ca="1">IFERROR(IF(0=LEN(ReferenceData!$BG$134),"",ReferenceData!$BG$134),"")</f>
        <v/>
      </c>
      <c r="BH134">
        <f ca="1">IFERROR(IF(0=LEN(ReferenceData!$BH$134),"",ReferenceData!$BH$134),"")</f>
        <v>0.31056467999999998</v>
      </c>
      <c r="BI134" t="str">
        <f ca="1">IFERROR(IF(0=LEN(ReferenceData!$BI$134),"",ReferenceData!$BI$134),"")</f>
        <v/>
      </c>
      <c r="BJ134" t="str">
        <f ca="1">IFERROR(IF(0=LEN(ReferenceData!$BJ$134),"",ReferenceData!$BJ$134),"")</f>
        <v/>
      </c>
      <c r="BK134">
        <f ca="1">IFERROR(IF(0=LEN(ReferenceData!$BK$134),"",ReferenceData!$BK$134),"")</f>
        <v>0.30857654099999998</v>
      </c>
      <c r="BL134" t="str">
        <f ca="1">IFERROR(IF(0=LEN(ReferenceData!$BL$134),"",ReferenceData!$BL$134),"")</f>
        <v/>
      </c>
      <c r="BM134" t="str">
        <f ca="1">IFERROR(IF(0=LEN(ReferenceData!$BM$134),"",ReferenceData!$BM$134),"")</f>
        <v/>
      </c>
      <c r="BN134">
        <f ca="1">IFERROR(IF(0=LEN(ReferenceData!$BN$134),"",ReferenceData!$BN$134),"")</f>
        <v>0.31310265300000001</v>
      </c>
      <c r="BO134" t="str">
        <f ca="1">IFERROR(IF(0=LEN(ReferenceData!$BO$134),"",ReferenceData!$BO$134),"")</f>
        <v/>
      </c>
      <c r="BP134" t="str">
        <f ca="1">IFERROR(IF(0=LEN(ReferenceData!$BP$134),"",ReferenceData!$BP$134),"")</f>
        <v/>
      </c>
      <c r="BQ134">
        <f ca="1">IFERROR(IF(0=LEN(ReferenceData!$BQ$134),"",ReferenceData!$BQ$134),"")</f>
        <v>0.33562041399999998</v>
      </c>
      <c r="BR134" t="str">
        <f ca="1">IFERROR(IF(0=LEN(ReferenceData!$BR$134),"",ReferenceData!$BR$134),"")</f>
        <v/>
      </c>
      <c r="BS134" t="str">
        <f ca="1">IFERROR(IF(0=LEN(ReferenceData!$BS$134),"",ReferenceData!$BS$134),"")</f>
        <v/>
      </c>
      <c r="BT134">
        <f ca="1">IFERROR(IF(0=LEN(ReferenceData!$BT$134),"",ReferenceData!$BT$134),"")</f>
        <v>0.30075052499999999</v>
      </c>
      <c r="BU134" t="str">
        <f ca="1">IFERROR(IF(0=LEN(ReferenceData!$BU$134),"",ReferenceData!$BU$134),"")</f>
        <v/>
      </c>
      <c r="BV134" t="str">
        <f ca="1">IFERROR(IF(0=LEN(ReferenceData!$BV$134),"",ReferenceData!$BV$134),"")</f>
        <v/>
      </c>
      <c r="BW134">
        <f ca="1">IFERROR(IF(0=LEN(ReferenceData!$BW$134),"",ReferenceData!$BW$134),"")</f>
        <v>0.29293982400000002</v>
      </c>
      <c r="BX134" t="str">
        <f ca="1">IFERROR(IF(0=LEN(ReferenceData!$BX$134),"",ReferenceData!$BX$134),"")</f>
        <v/>
      </c>
      <c r="BY134" t="str">
        <f ca="1">IFERROR(IF(0=LEN(ReferenceData!$BY$134),"",ReferenceData!$BY$134),"")</f>
        <v/>
      </c>
      <c r="BZ134">
        <f ca="1">IFERROR(IF(0=LEN(ReferenceData!$BZ$134),"",ReferenceData!$BZ$134),"")</f>
        <v>0.32489390499999998</v>
      </c>
      <c r="CA134" t="str">
        <f ca="1">IFERROR(IF(0=LEN(ReferenceData!$CA$134),"",ReferenceData!$CA$134),"")</f>
        <v/>
      </c>
      <c r="CB134" t="str">
        <f ca="1">IFERROR(IF(0=LEN(ReferenceData!$CB$134),"",ReferenceData!$CB$134),"")</f>
        <v/>
      </c>
      <c r="CC134">
        <f ca="1">IFERROR(IF(0=LEN(ReferenceData!$CC$134),"",ReferenceData!$CC$134),"")</f>
        <v>0.29607984500000001</v>
      </c>
      <c r="CD134" t="str">
        <f ca="1">IFERROR(IF(0=LEN(ReferenceData!$CD$134),"",ReferenceData!$CD$134),"")</f>
        <v/>
      </c>
      <c r="CE134" t="str">
        <f ca="1">IFERROR(IF(0=LEN(ReferenceData!$CE$134),"",ReferenceData!$CE$134),"")</f>
        <v/>
      </c>
      <c r="CF134">
        <f ca="1">IFERROR(IF(0=LEN(ReferenceData!$CF$134),"",ReferenceData!$CF$134),"")</f>
        <v>0.34133554100000002</v>
      </c>
      <c r="CG134" t="str">
        <f ca="1">IFERROR(IF(0=LEN(ReferenceData!$CG$134),"",ReferenceData!$CG$134),"")</f>
        <v/>
      </c>
      <c r="CH134" t="str">
        <f ca="1">IFERROR(IF(0=LEN(ReferenceData!$CH$134),"",ReferenceData!$CH$134),"")</f>
        <v/>
      </c>
      <c r="CI134">
        <f ca="1">IFERROR(IF(0=LEN(ReferenceData!$CI$134),"",ReferenceData!$CI$134),"")</f>
        <v>0.33376907700000003</v>
      </c>
      <c r="CJ134" t="str">
        <f ca="1">IFERROR(IF(0=LEN(ReferenceData!$CJ$134),"",ReferenceData!$CJ$134),"")</f>
        <v/>
      </c>
      <c r="CK134" t="str">
        <f ca="1">IFERROR(IF(0=LEN(ReferenceData!$CK$134),"",ReferenceData!$CK$134),"")</f>
        <v/>
      </c>
    </row>
    <row r="135" spans="1:89">
      <c r="A135" t="str">
        <f>IFERROR(IF(0=LEN(ReferenceData!$A$135),"",ReferenceData!$A$135),"")</f>
        <v>每股FAD TTM</v>
      </c>
      <c r="B135" t="str">
        <f>IFERROR(IF(0=LEN(ReferenceData!$B$135),"",ReferenceData!$B$135),"")</f>
        <v>BRFREITV Index</v>
      </c>
      <c r="C135" t="str">
        <f>IFERROR(IF(0=LEN(ReferenceData!$C$135),"",ReferenceData!$C$135),"")</f>
        <v/>
      </c>
      <c r="D135" t="str">
        <f>IFERROR(IF(0=LEN(ReferenceData!$D$135),"",ReferenceData!$D$135),"")</f>
        <v/>
      </c>
      <c r="E135" t="str">
        <f>IFERROR(IF(0=LEN(ReferenceData!$E$135),"",ReferenceData!$E$135),"")</f>
        <v>Sum</v>
      </c>
      <c r="F135" t="str">
        <f ca="1">IFERROR(IF(0=LEN(ReferenceData!$F$135),"",ReferenceData!$F$135),"")</f>
        <v/>
      </c>
      <c r="G135" t="str">
        <f ca="1">IFERROR(IF(0=LEN(ReferenceData!$G$135),"",ReferenceData!$G$135),"")</f>
        <v/>
      </c>
      <c r="H135" t="str">
        <f ca="1">IFERROR(IF(0=LEN(ReferenceData!$H$135),"",ReferenceData!$H$135),"")</f>
        <v/>
      </c>
      <c r="I135">
        <f ca="1">IFERROR(IF(0=LEN(ReferenceData!$I$135),"",ReferenceData!$I$135),"")</f>
        <v>34.764800799999996</v>
      </c>
      <c r="J135" t="str">
        <f ca="1">IFERROR(IF(0=LEN(ReferenceData!$J$135),"",ReferenceData!$J$135),"")</f>
        <v/>
      </c>
      <c r="K135" t="str">
        <f ca="1">IFERROR(IF(0=LEN(ReferenceData!$K$135),"",ReferenceData!$K$135),"")</f>
        <v/>
      </c>
      <c r="L135">
        <f ca="1">IFERROR(IF(0=LEN(ReferenceData!$L$135),"",ReferenceData!$L$135),"")</f>
        <v>34.123545685999993</v>
      </c>
      <c r="M135" t="str">
        <f ca="1">IFERROR(IF(0=LEN(ReferenceData!$M$135),"",ReferenceData!$M$135),"")</f>
        <v/>
      </c>
      <c r="N135" t="str">
        <f ca="1">IFERROR(IF(0=LEN(ReferenceData!$N$135),"",ReferenceData!$N$135),"")</f>
        <v/>
      </c>
      <c r="O135">
        <f ca="1">IFERROR(IF(0=LEN(ReferenceData!$O$135),"",ReferenceData!$O$135),"")</f>
        <v>33.981191698999993</v>
      </c>
      <c r="P135" t="str">
        <f ca="1">IFERROR(IF(0=LEN(ReferenceData!$P$135),"",ReferenceData!$P$135),"")</f>
        <v/>
      </c>
      <c r="Q135" t="str">
        <f ca="1">IFERROR(IF(0=LEN(ReferenceData!$Q$135),"",ReferenceData!$Q$135),"")</f>
        <v/>
      </c>
      <c r="R135">
        <f ca="1">IFERROR(IF(0=LEN(ReferenceData!$R$135),"",ReferenceData!$R$135),"")</f>
        <v>33.758122364000002</v>
      </c>
      <c r="S135" t="str">
        <f ca="1">IFERROR(IF(0=LEN(ReferenceData!$S$135),"",ReferenceData!$S$135),"")</f>
        <v/>
      </c>
      <c r="T135" t="str">
        <f ca="1">IFERROR(IF(0=LEN(ReferenceData!$T$135),"",ReferenceData!$T$135),"")</f>
        <v/>
      </c>
      <c r="U135">
        <f ca="1">IFERROR(IF(0=LEN(ReferenceData!$U$135),"",ReferenceData!$U$135),"")</f>
        <v>33.504155312999998</v>
      </c>
      <c r="V135" t="str">
        <f ca="1">IFERROR(IF(0=LEN(ReferenceData!$V$135),"",ReferenceData!$V$135),"")</f>
        <v/>
      </c>
      <c r="W135" t="str">
        <f ca="1">IFERROR(IF(0=LEN(ReferenceData!$W$135),"",ReferenceData!$W$135),"")</f>
        <v/>
      </c>
      <c r="X135">
        <f ca="1">IFERROR(IF(0=LEN(ReferenceData!$X$135),"",ReferenceData!$X$135),"")</f>
        <v>33.537545241000004</v>
      </c>
      <c r="Y135" t="str">
        <f ca="1">IFERROR(IF(0=LEN(ReferenceData!$Y$135),"",ReferenceData!$Y$135),"")</f>
        <v/>
      </c>
      <c r="Z135" t="str">
        <f ca="1">IFERROR(IF(0=LEN(ReferenceData!$Z$135),"",ReferenceData!$Z$135),"")</f>
        <v/>
      </c>
      <c r="AA135">
        <f ca="1">IFERROR(IF(0=LEN(ReferenceData!$AA$135),"",ReferenceData!$AA$135),"")</f>
        <v>33.054607161</v>
      </c>
      <c r="AB135" t="str">
        <f ca="1">IFERROR(IF(0=LEN(ReferenceData!$AB$135),"",ReferenceData!$AB$135),"")</f>
        <v/>
      </c>
      <c r="AC135" t="str">
        <f ca="1">IFERROR(IF(0=LEN(ReferenceData!$AC$135),"",ReferenceData!$AC$135),"")</f>
        <v/>
      </c>
      <c r="AD135">
        <f ca="1">IFERROR(IF(0=LEN(ReferenceData!$AD$135),"",ReferenceData!$AD$135),"")</f>
        <v>32.448018171000001</v>
      </c>
      <c r="AE135" t="str">
        <f ca="1">IFERROR(IF(0=LEN(ReferenceData!$AE$135),"",ReferenceData!$AE$135),"")</f>
        <v/>
      </c>
      <c r="AF135" t="str">
        <f ca="1">IFERROR(IF(0=LEN(ReferenceData!$AF$135),"",ReferenceData!$AF$135),"")</f>
        <v/>
      </c>
      <c r="AG135">
        <f ca="1">IFERROR(IF(0=LEN(ReferenceData!$AG$135),"",ReferenceData!$AG$135),"")</f>
        <v>31.570054984000002</v>
      </c>
      <c r="AH135" t="str">
        <f ca="1">IFERROR(IF(0=LEN(ReferenceData!$AH$135),"",ReferenceData!$AH$135),"")</f>
        <v/>
      </c>
      <c r="AI135" t="str">
        <f ca="1">IFERROR(IF(0=LEN(ReferenceData!$AI$135),"",ReferenceData!$AI$135),"")</f>
        <v/>
      </c>
      <c r="AJ135">
        <f ca="1">IFERROR(IF(0=LEN(ReferenceData!$AJ$135),"",ReferenceData!$AJ$135),"")</f>
        <v>30.678729228000002</v>
      </c>
      <c r="AK135" t="str">
        <f ca="1">IFERROR(IF(0=LEN(ReferenceData!$AK$135),"",ReferenceData!$AK$135),"")</f>
        <v/>
      </c>
      <c r="AL135" t="str">
        <f ca="1">IFERROR(IF(0=LEN(ReferenceData!$AL$135),"",ReferenceData!$AL$135),"")</f>
        <v/>
      </c>
      <c r="AM135">
        <f ca="1">IFERROR(IF(0=LEN(ReferenceData!$AM$135),"",ReferenceData!$AM$135),"")</f>
        <v>28.499697911999998</v>
      </c>
      <c r="AN135" t="str">
        <f ca="1">IFERROR(IF(0=LEN(ReferenceData!$AN$135),"",ReferenceData!$AN$135),"")</f>
        <v/>
      </c>
      <c r="AO135" t="str">
        <f ca="1">IFERROR(IF(0=LEN(ReferenceData!$AO$135),"",ReferenceData!$AO$135),"")</f>
        <v/>
      </c>
      <c r="AP135">
        <f ca="1">IFERROR(IF(0=LEN(ReferenceData!$AP$135),"",ReferenceData!$AP$135),"")</f>
        <v>27.772510531999998</v>
      </c>
      <c r="AQ135" t="str">
        <f ca="1">IFERROR(IF(0=LEN(ReferenceData!$AQ$135),"",ReferenceData!$AQ$135),"")</f>
        <v/>
      </c>
      <c r="AR135" t="str">
        <f ca="1">IFERROR(IF(0=LEN(ReferenceData!$AR$135),"",ReferenceData!$AR$135),"")</f>
        <v/>
      </c>
      <c r="AS135">
        <f ca="1">IFERROR(IF(0=LEN(ReferenceData!$AS$135),"",ReferenceData!$AS$135),"")</f>
        <v>27.374935139999998</v>
      </c>
      <c r="AT135" t="str">
        <f ca="1">IFERROR(IF(0=LEN(ReferenceData!$AT$135),"",ReferenceData!$AT$135),"")</f>
        <v/>
      </c>
      <c r="AU135" t="str">
        <f ca="1">IFERROR(IF(0=LEN(ReferenceData!$AU$135),"",ReferenceData!$AU$135),"")</f>
        <v/>
      </c>
      <c r="AV135">
        <f ca="1">IFERROR(IF(0=LEN(ReferenceData!$AV$135),"",ReferenceData!$AV$135),"")</f>
        <v>26.659391513999999</v>
      </c>
      <c r="AW135" t="str">
        <f ca="1">IFERROR(IF(0=LEN(ReferenceData!$AW$135),"",ReferenceData!$AW$135),"")</f>
        <v/>
      </c>
      <c r="AX135" t="str">
        <f ca="1">IFERROR(IF(0=LEN(ReferenceData!$AX$135),"",ReferenceData!$AX$135),"")</f>
        <v/>
      </c>
      <c r="AY135">
        <f ca="1">IFERROR(IF(0=LEN(ReferenceData!$AY$135),"",ReferenceData!$AY$135),"")</f>
        <v>26.152794185000001</v>
      </c>
      <c r="AZ135" t="str">
        <f ca="1">IFERROR(IF(0=LEN(ReferenceData!$AZ$135),"",ReferenceData!$AZ$135),"")</f>
        <v/>
      </c>
      <c r="BA135" t="str">
        <f ca="1">IFERROR(IF(0=LEN(ReferenceData!$BA$135),"",ReferenceData!$BA$135),"")</f>
        <v/>
      </c>
      <c r="BB135">
        <f ca="1">IFERROR(IF(0=LEN(ReferenceData!$BB$135),"",ReferenceData!$BB$135),"")</f>
        <v>26.928227629999999</v>
      </c>
      <c r="BC135" t="str">
        <f ca="1">IFERROR(IF(0=LEN(ReferenceData!$BC$135),"",ReferenceData!$BC$135),"")</f>
        <v/>
      </c>
      <c r="BD135" t="str">
        <f ca="1">IFERROR(IF(0=LEN(ReferenceData!$BD$135),"",ReferenceData!$BD$135),"")</f>
        <v/>
      </c>
      <c r="BE135">
        <f ca="1">IFERROR(IF(0=LEN(ReferenceData!$BE$135),"",ReferenceData!$BE$135),"")</f>
        <v>26.176189718</v>
      </c>
      <c r="BF135" t="str">
        <f ca="1">IFERROR(IF(0=LEN(ReferenceData!$BF$135),"",ReferenceData!$BF$135),"")</f>
        <v/>
      </c>
      <c r="BG135" t="str">
        <f ca="1">IFERROR(IF(0=LEN(ReferenceData!$BG$135),"",ReferenceData!$BG$135),"")</f>
        <v/>
      </c>
      <c r="BH135">
        <f ca="1">IFERROR(IF(0=LEN(ReferenceData!$BH$135),"",ReferenceData!$BH$135),"")</f>
        <v>24.423745773</v>
      </c>
      <c r="BI135" t="str">
        <f ca="1">IFERROR(IF(0=LEN(ReferenceData!$BI$135),"",ReferenceData!$BI$135),"")</f>
        <v/>
      </c>
      <c r="BJ135" t="str">
        <f ca="1">IFERROR(IF(0=LEN(ReferenceData!$BJ$135),"",ReferenceData!$BJ$135),"")</f>
        <v/>
      </c>
      <c r="BK135">
        <f ca="1">IFERROR(IF(0=LEN(ReferenceData!$BK$135),"",ReferenceData!$BK$135),"")</f>
        <v>24.253090672000003</v>
      </c>
      <c r="BL135" t="str">
        <f ca="1">IFERROR(IF(0=LEN(ReferenceData!$BL$135),"",ReferenceData!$BL$135),"")</f>
        <v/>
      </c>
      <c r="BM135" t="str">
        <f ca="1">IFERROR(IF(0=LEN(ReferenceData!$BM$135),"",ReferenceData!$BM$135),"")</f>
        <v/>
      </c>
      <c r="BN135">
        <f ca="1">IFERROR(IF(0=LEN(ReferenceData!$BN$135),"",ReferenceData!$BN$135),"")</f>
        <v>23.671615081999999</v>
      </c>
      <c r="BO135" t="str">
        <f ca="1">IFERROR(IF(0=LEN(ReferenceData!$BO$135),"",ReferenceData!$BO$135),"")</f>
        <v/>
      </c>
      <c r="BP135" t="str">
        <f ca="1">IFERROR(IF(0=LEN(ReferenceData!$BP$135),"",ReferenceData!$BP$135),"")</f>
        <v/>
      </c>
      <c r="BQ135">
        <f ca="1">IFERROR(IF(0=LEN(ReferenceData!$BQ$135),"",ReferenceData!$BQ$135),"")</f>
        <v>22.971216680000001</v>
      </c>
      <c r="BR135" t="str">
        <f ca="1">IFERROR(IF(0=LEN(ReferenceData!$BR$135),"",ReferenceData!$BR$135),"")</f>
        <v/>
      </c>
      <c r="BS135" t="str">
        <f ca="1">IFERROR(IF(0=LEN(ReferenceData!$BS$135),"",ReferenceData!$BS$135),"")</f>
        <v/>
      </c>
      <c r="BT135">
        <f ca="1">IFERROR(IF(0=LEN(ReferenceData!$BT$135),"",ReferenceData!$BT$135),"")</f>
        <v>23.140936118000003</v>
      </c>
      <c r="BU135" t="str">
        <f ca="1">IFERROR(IF(0=LEN(ReferenceData!$BU$135),"",ReferenceData!$BU$135),"")</f>
        <v/>
      </c>
      <c r="BV135" t="str">
        <f ca="1">IFERROR(IF(0=LEN(ReferenceData!$BV$135),"",ReferenceData!$BV$135),"")</f>
        <v/>
      </c>
      <c r="BW135">
        <f ca="1">IFERROR(IF(0=LEN(ReferenceData!$BW$135),"",ReferenceData!$BW$135),"")</f>
        <v>21.672989827000002</v>
      </c>
      <c r="BX135" t="str">
        <f ca="1">IFERROR(IF(0=LEN(ReferenceData!$BX$135),"",ReferenceData!$BX$135),"")</f>
        <v/>
      </c>
      <c r="BY135" t="str">
        <f ca="1">IFERROR(IF(0=LEN(ReferenceData!$BY$135),"",ReferenceData!$BY$135),"")</f>
        <v/>
      </c>
      <c r="BZ135">
        <f ca="1">IFERROR(IF(0=LEN(ReferenceData!$BZ$135),"",ReferenceData!$BZ$135),"")</f>
        <v>20.213816935000001</v>
      </c>
      <c r="CA135" t="str">
        <f ca="1">IFERROR(IF(0=LEN(ReferenceData!$CA$135),"",ReferenceData!$CA$135),"")</f>
        <v/>
      </c>
      <c r="CB135" t="str">
        <f ca="1">IFERROR(IF(0=LEN(ReferenceData!$CB$135),"",ReferenceData!$CB$135),"")</f>
        <v/>
      </c>
      <c r="CC135">
        <f ca="1">IFERROR(IF(0=LEN(ReferenceData!$CC$135),"",ReferenceData!$CC$135),"")</f>
        <v>19.354022777999997</v>
      </c>
      <c r="CD135" t="str">
        <f ca="1">IFERROR(IF(0=LEN(ReferenceData!$CD$135),"",ReferenceData!$CD$135),"")</f>
        <v/>
      </c>
      <c r="CE135" t="str">
        <f ca="1">IFERROR(IF(0=LEN(ReferenceData!$CE$135),"",ReferenceData!$CE$135),"")</f>
        <v/>
      </c>
      <c r="CF135">
        <f ca="1">IFERROR(IF(0=LEN(ReferenceData!$CF$135),"",ReferenceData!$CF$135),"")</f>
        <v>19.00056743</v>
      </c>
      <c r="CG135" t="str">
        <f ca="1">IFERROR(IF(0=LEN(ReferenceData!$CG$135),"",ReferenceData!$CG$135),"")</f>
        <v/>
      </c>
      <c r="CH135" t="str">
        <f ca="1">IFERROR(IF(0=LEN(ReferenceData!$CH$135),"",ReferenceData!$CH$135),"")</f>
        <v/>
      </c>
      <c r="CI135">
        <f ca="1">IFERROR(IF(0=LEN(ReferenceData!$CI$135),"",ReferenceData!$CI$135),"")</f>
        <v>18.567268416000001</v>
      </c>
      <c r="CJ135" t="str">
        <f ca="1">IFERROR(IF(0=LEN(ReferenceData!$CJ$135),"",ReferenceData!$CJ$135),"")</f>
        <v/>
      </c>
      <c r="CK135" t="str">
        <f ca="1">IFERROR(IF(0=LEN(ReferenceData!$CK$135),"",ReferenceData!$CK$135),"")</f>
        <v/>
      </c>
    </row>
    <row r="136" spans="1:89">
      <c r="A136" t="str">
        <f>IFERROR(IF(0=LEN(ReferenceData!$A$136),"",ReferenceData!$A$136),"")</f>
        <v xml:space="preserve">    公寓投资与管理</v>
      </c>
      <c r="B136" t="str">
        <f>IFERROR(IF(0=LEN(ReferenceData!$B$136),"",ReferenceData!$B$136),"")</f>
        <v>AIV US Equity</v>
      </c>
      <c r="C136" t="str">
        <f>IFERROR(IF(0=LEN(ReferenceData!$C$136),"",ReferenceData!$C$136),"")</f>
        <v>F0892</v>
      </c>
      <c r="D136" t="str">
        <f>IFERROR(IF(0=LEN(ReferenceData!$D$136),"",ReferenceData!$D$136),"")</f>
        <v>TRAILING_12_MONTHS_FAD_PS</v>
      </c>
      <c r="E136" t="str">
        <f>IFERROR(IF(0=LEN(ReferenceData!$E$136),"",ReferenceData!$E$136),"")</f>
        <v>动态</v>
      </c>
      <c r="F136" t="str">
        <f ca="1">IFERROR(IF(0=LEN(ReferenceData!$F$136),"",ReferenceData!$F$136),"")</f>
        <v/>
      </c>
      <c r="G136" t="str">
        <f ca="1">IFERROR(IF(0=LEN(ReferenceData!$G$136),"",ReferenceData!$G$136),"")</f>
        <v/>
      </c>
      <c r="H136" t="str">
        <f ca="1">IFERROR(IF(0=LEN(ReferenceData!$H$136),"",ReferenceData!$H$136),"")</f>
        <v/>
      </c>
      <c r="I136">
        <f ca="1">IFERROR(IF(0=LEN(ReferenceData!$I$136),"",ReferenceData!$I$136),"")</f>
        <v>2.117206549</v>
      </c>
      <c r="J136" t="str">
        <f ca="1">IFERROR(IF(0=LEN(ReferenceData!$J$136),"",ReferenceData!$J$136),"")</f>
        <v/>
      </c>
      <c r="K136" t="str">
        <f ca="1">IFERROR(IF(0=LEN(ReferenceData!$K$136),"",ReferenceData!$K$136),"")</f>
        <v/>
      </c>
      <c r="L136">
        <f ca="1">IFERROR(IF(0=LEN(ReferenceData!$L$136),"",ReferenceData!$L$136),"")</f>
        <v>2.061402153</v>
      </c>
      <c r="M136" t="str">
        <f ca="1">IFERROR(IF(0=LEN(ReferenceData!$M$136),"",ReferenceData!$M$136),"")</f>
        <v/>
      </c>
      <c r="N136" t="str">
        <f ca="1">IFERROR(IF(0=LEN(ReferenceData!$N$136),"",ReferenceData!$N$136),"")</f>
        <v/>
      </c>
      <c r="O136">
        <f ca="1">IFERROR(IF(0=LEN(ReferenceData!$O$136),"",ReferenceData!$O$136),"")</f>
        <v>1.980523864</v>
      </c>
      <c r="P136" t="str">
        <f ca="1">IFERROR(IF(0=LEN(ReferenceData!$P$136),"",ReferenceData!$P$136),"")</f>
        <v/>
      </c>
      <c r="Q136" t="str">
        <f ca="1">IFERROR(IF(0=LEN(ReferenceData!$Q$136),"",ReferenceData!$Q$136),"")</f>
        <v/>
      </c>
      <c r="R136">
        <f ca="1">IFERROR(IF(0=LEN(ReferenceData!$R$136),"",ReferenceData!$R$136),"")</f>
        <v>1.969657268</v>
      </c>
      <c r="S136" t="str">
        <f ca="1">IFERROR(IF(0=LEN(ReferenceData!$S$136),"",ReferenceData!$S$136),"")</f>
        <v/>
      </c>
      <c r="T136" t="str">
        <f ca="1">IFERROR(IF(0=LEN(ReferenceData!$T$136),"",ReferenceData!$T$136),"")</f>
        <v/>
      </c>
      <c r="U136">
        <f ca="1">IFERROR(IF(0=LEN(ReferenceData!$U$136),"",ReferenceData!$U$136),"")</f>
        <v>1.9638131109999999</v>
      </c>
      <c r="V136" t="str">
        <f ca="1">IFERROR(IF(0=LEN(ReferenceData!$V$136),"",ReferenceData!$V$136),"")</f>
        <v/>
      </c>
      <c r="W136" t="str">
        <f ca="1">IFERROR(IF(0=LEN(ReferenceData!$W$136),"",ReferenceData!$W$136),"")</f>
        <v/>
      </c>
      <c r="X136">
        <f ca="1">IFERROR(IF(0=LEN(ReferenceData!$X$136),"",ReferenceData!$X$136),"")</f>
        <v>1.935799582</v>
      </c>
      <c r="Y136" t="str">
        <f ca="1">IFERROR(IF(0=LEN(ReferenceData!$Y$136),"",ReferenceData!$Y$136),"")</f>
        <v/>
      </c>
      <c r="Z136" t="str">
        <f ca="1">IFERROR(IF(0=LEN(ReferenceData!$Z$136),"",ReferenceData!$Z$136),"")</f>
        <v/>
      </c>
      <c r="AA136">
        <f ca="1">IFERROR(IF(0=LEN(ReferenceData!$AA$136),"",ReferenceData!$AA$136),"")</f>
        <v>1.959483563</v>
      </c>
      <c r="AB136" t="str">
        <f ca="1">IFERROR(IF(0=LEN(ReferenceData!$AB$136),"",ReferenceData!$AB$136),"")</f>
        <v/>
      </c>
      <c r="AC136" t="str">
        <f ca="1">IFERROR(IF(0=LEN(ReferenceData!$AC$136),"",ReferenceData!$AC$136),"")</f>
        <v/>
      </c>
      <c r="AD136">
        <f ca="1">IFERROR(IF(0=LEN(ReferenceData!$AD$136),"",ReferenceData!$AD$136),"")</f>
        <v>1.924678769</v>
      </c>
      <c r="AE136" t="str">
        <f ca="1">IFERROR(IF(0=LEN(ReferenceData!$AE$136),"",ReferenceData!$AE$136),"")</f>
        <v/>
      </c>
      <c r="AF136" t="str">
        <f ca="1">IFERROR(IF(0=LEN(ReferenceData!$AF$136),"",ReferenceData!$AF$136),"")</f>
        <v/>
      </c>
      <c r="AG136">
        <f ca="1">IFERROR(IF(0=LEN(ReferenceData!$AG$136),"",ReferenceData!$AG$136),"")</f>
        <v>1.878468611</v>
      </c>
      <c r="AH136" t="str">
        <f ca="1">IFERROR(IF(0=LEN(ReferenceData!$AH$136),"",ReferenceData!$AH$136),"")</f>
        <v/>
      </c>
      <c r="AI136" t="str">
        <f ca="1">IFERROR(IF(0=LEN(ReferenceData!$AI$136),"",ReferenceData!$AI$136),"")</f>
        <v/>
      </c>
      <c r="AJ136">
        <f ca="1">IFERROR(IF(0=LEN(ReferenceData!$AJ$136),"",ReferenceData!$AJ$136),"")</f>
        <v>1.8305597730000001</v>
      </c>
      <c r="AK136" t="str">
        <f ca="1">IFERROR(IF(0=LEN(ReferenceData!$AK$136),"",ReferenceData!$AK$136),"")</f>
        <v/>
      </c>
      <c r="AL136" t="str">
        <f ca="1">IFERROR(IF(0=LEN(ReferenceData!$AL$136),"",ReferenceData!$AL$136),"")</f>
        <v/>
      </c>
      <c r="AM136">
        <f ca="1">IFERROR(IF(0=LEN(ReferenceData!$AM$136),"",ReferenceData!$AM$136),"")</f>
        <v>1.7456957559999999</v>
      </c>
      <c r="AN136" t="str">
        <f ca="1">IFERROR(IF(0=LEN(ReferenceData!$AN$136),"",ReferenceData!$AN$136),"")</f>
        <v/>
      </c>
      <c r="AO136" t="str">
        <f ca="1">IFERROR(IF(0=LEN(ReferenceData!$AO$136),"",ReferenceData!$AO$136),"")</f>
        <v/>
      </c>
      <c r="AP136">
        <f ca="1">IFERROR(IF(0=LEN(ReferenceData!$AP$136),"",ReferenceData!$AP$136),"")</f>
        <v>1.717269699</v>
      </c>
      <c r="AQ136" t="str">
        <f ca="1">IFERROR(IF(0=LEN(ReferenceData!$AQ$136),"",ReferenceData!$AQ$136),"")</f>
        <v/>
      </c>
      <c r="AR136" t="str">
        <f ca="1">IFERROR(IF(0=LEN(ReferenceData!$AR$136),"",ReferenceData!$AR$136),"")</f>
        <v/>
      </c>
      <c r="AS136">
        <f ca="1">IFERROR(IF(0=LEN(ReferenceData!$AS$136),"",ReferenceData!$AS$136),"")</f>
        <v>1.6833855689999999</v>
      </c>
      <c r="AT136" t="str">
        <f ca="1">IFERROR(IF(0=LEN(ReferenceData!$AT$136),"",ReferenceData!$AT$136),"")</f>
        <v/>
      </c>
      <c r="AU136" t="str">
        <f ca="1">IFERROR(IF(0=LEN(ReferenceData!$AU$136),"",ReferenceData!$AU$136),"")</f>
        <v/>
      </c>
      <c r="AV136">
        <f ca="1">IFERROR(IF(0=LEN(ReferenceData!$AV$136),"",ReferenceData!$AV$136),"")</f>
        <v>1.6838578209999999</v>
      </c>
      <c r="AW136" t="str">
        <f ca="1">IFERROR(IF(0=LEN(ReferenceData!$AW$136),"",ReferenceData!$AW$136),"")</f>
        <v/>
      </c>
      <c r="AX136" t="str">
        <f ca="1">IFERROR(IF(0=LEN(ReferenceData!$AX$136),"",ReferenceData!$AX$136),"")</f>
        <v/>
      </c>
      <c r="AY136">
        <f ca="1">IFERROR(IF(0=LEN(ReferenceData!$AY$136),"",ReferenceData!$AY$136),"")</f>
        <v>1.641668468</v>
      </c>
      <c r="AZ136" t="str">
        <f ca="1">IFERROR(IF(0=LEN(ReferenceData!$AZ$136),"",ReferenceData!$AZ$136),"")</f>
        <v/>
      </c>
      <c r="BA136" t="str">
        <f ca="1">IFERROR(IF(0=LEN(ReferenceData!$BA$136),"",ReferenceData!$BA$136),"")</f>
        <v/>
      </c>
      <c r="BB136">
        <f ca="1">IFERROR(IF(0=LEN(ReferenceData!$BB$136),"",ReferenceData!$BB$136),"")</f>
        <v>1.5719832090000001</v>
      </c>
      <c r="BC136" t="str">
        <f ca="1">IFERROR(IF(0=LEN(ReferenceData!$BC$136),"",ReferenceData!$BC$136),"")</f>
        <v/>
      </c>
      <c r="BD136" t="str">
        <f ca="1">IFERROR(IF(0=LEN(ReferenceData!$BD$136),"",ReferenceData!$BD$136),"")</f>
        <v/>
      </c>
      <c r="BE136">
        <f ca="1">IFERROR(IF(0=LEN(ReferenceData!$BE$136),"",ReferenceData!$BE$136),"")</f>
        <v>1.525162575</v>
      </c>
      <c r="BF136" t="str">
        <f ca="1">IFERROR(IF(0=LEN(ReferenceData!$BF$136),"",ReferenceData!$BF$136),"")</f>
        <v/>
      </c>
      <c r="BG136" t="str">
        <f ca="1">IFERROR(IF(0=LEN(ReferenceData!$BG$136),"",ReferenceData!$BG$136),"")</f>
        <v/>
      </c>
      <c r="BH136">
        <f ca="1">IFERROR(IF(0=LEN(ReferenceData!$BH$136),"",ReferenceData!$BH$136),"")</f>
        <v>1.47494905</v>
      </c>
      <c r="BI136" t="str">
        <f ca="1">IFERROR(IF(0=LEN(ReferenceData!$BI$136),"",ReferenceData!$BI$136),"")</f>
        <v/>
      </c>
      <c r="BJ136" t="str">
        <f ca="1">IFERROR(IF(0=LEN(ReferenceData!$BJ$136),"",ReferenceData!$BJ$136),"")</f>
        <v/>
      </c>
      <c r="BK136">
        <f ca="1">IFERROR(IF(0=LEN(ReferenceData!$BK$136),"",ReferenceData!$BK$136),"")</f>
        <v>1.4532351889999999</v>
      </c>
      <c r="BL136" t="str">
        <f ca="1">IFERROR(IF(0=LEN(ReferenceData!$BL$136),"",ReferenceData!$BL$136),"")</f>
        <v/>
      </c>
      <c r="BM136" t="str">
        <f ca="1">IFERROR(IF(0=LEN(ReferenceData!$BM$136),"",ReferenceData!$BM$136),"")</f>
        <v/>
      </c>
      <c r="BN136">
        <f ca="1">IFERROR(IF(0=LEN(ReferenceData!$BN$136),"",ReferenceData!$BN$136),"")</f>
        <v>1.424599612</v>
      </c>
      <c r="BO136" t="str">
        <f ca="1">IFERROR(IF(0=LEN(ReferenceData!$BO$136),"",ReferenceData!$BO$136),"")</f>
        <v/>
      </c>
      <c r="BP136" t="str">
        <f ca="1">IFERROR(IF(0=LEN(ReferenceData!$BP$136),"",ReferenceData!$BP$136),"")</f>
        <v/>
      </c>
      <c r="BQ136">
        <f ca="1">IFERROR(IF(0=LEN(ReferenceData!$BQ$136),"",ReferenceData!$BQ$136),"")</f>
        <v>1.3369964430000001</v>
      </c>
      <c r="BR136" t="str">
        <f ca="1">IFERROR(IF(0=LEN(ReferenceData!$BR$136),"",ReferenceData!$BR$136),"")</f>
        <v/>
      </c>
      <c r="BS136" t="str">
        <f ca="1">IFERROR(IF(0=LEN(ReferenceData!$BS$136),"",ReferenceData!$BS$136),"")</f>
        <v/>
      </c>
      <c r="BT136">
        <f ca="1">IFERROR(IF(0=LEN(ReferenceData!$BT$136),"",ReferenceData!$BT$136),"")</f>
        <v>1.159975349</v>
      </c>
      <c r="BU136" t="str">
        <f ca="1">IFERROR(IF(0=LEN(ReferenceData!$BU$136),"",ReferenceData!$BU$136),"")</f>
        <v/>
      </c>
      <c r="BV136" t="str">
        <f ca="1">IFERROR(IF(0=LEN(ReferenceData!$BV$136),"",ReferenceData!$BV$136),"")</f>
        <v/>
      </c>
      <c r="BW136">
        <f ca="1">IFERROR(IF(0=LEN(ReferenceData!$BW$136),"",ReferenceData!$BW$136),"")</f>
        <v>1.074661195</v>
      </c>
      <c r="BX136" t="str">
        <f ca="1">IFERROR(IF(0=LEN(ReferenceData!$BX$136),"",ReferenceData!$BX$136),"")</f>
        <v/>
      </c>
      <c r="BY136" t="str">
        <f ca="1">IFERROR(IF(0=LEN(ReferenceData!$BY$136),"",ReferenceData!$BY$136),"")</f>
        <v/>
      </c>
      <c r="BZ136">
        <f ca="1">IFERROR(IF(0=LEN(ReferenceData!$BZ$136),"",ReferenceData!$BZ$136),"")</f>
        <v>0.87184301799999997</v>
      </c>
      <c r="CA136" t="str">
        <f ca="1">IFERROR(IF(0=LEN(ReferenceData!$CA$136),"",ReferenceData!$CA$136),"")</f>
        <v/>
      </c>
      <c r="CB136" t="str">
        <f ca="1">IFERROR(IF(0=LEN(ReferenceData!$CB$136),"",ReferenceData!$CB$136),"")</f>
        <v/>
      </c>
      <c r="CC136">
        <f ca="1">IFERROR(IF(0=LEN(ReferenceData!$CC$136),"",ReferenceData!$CC$136),"")</f>
        <v>0.87268596700000001</v>
      </c>
      <c r="CD136" t="str">
        <f ca="1">IFERROR(IF(0=LEN(ReferenceData!$CD$136),"",ReferenceData!$CD$136),"")</f>
        <v/>
      </c>
      <c r="CE136" t="str">
        <f ca="1">IFERROR(IF(0=LEN(ReferenceData!$CE$136),"",ReferenceData!$CE$136),"")</f>
        <v/>
      </c>
      <c r="CF136">
        <f ca="1">IFERROR(IF(0=LEN(ReferenceData!$CF$136),"",ReferenceData!$CF$136),"")</f>
        <v>0.92394911599999996</v>
      </c>
      <c r="CG136" t="str">
        <f ca="1">IFERROR(IF(0=LEN(ReferenceData!$CG$136),"",ReferenceData!$CG$136),"")</f>
        <v/>
      </c>
      <c r="CH136" t="str">
        <f ca="1">IFERROR(IF(0=LEN(ReferenceData!$CH$136),"",ReferenceData!$CH$136),"")</f>
        <v/>
      </c>
      <c r="CI136">
        <f ca="1">IFERROR(IF(0=LEN(ReferenceData!$CI$136),"",ReferenceData!$CI$136),"")</f>
        <v>0.93585523599999998</v>
      </c>
      <c r="CJ136" t="str">
        <f ca="1">IFERROR(IF(0=LEN(ReferenceData!$CJ$136),"",ReferenceData!$CJ$136),"")</f>
        <v/>
      </c>
      <c r="CK136" t="str">
        <f ca="1">IFERROR(IF(0=LEN(ReferenceData!$CK$136),"",ReferenceData!$CK$136),"")</f>
        <v/>
      </c>
    </row>
    <row r="137" spans="1:89">
      <c r="A137" t="str">
        <f>IFERROR(IF(0=LEN(ReferenceData!$A$137),"",ReferenceData!$A$137),"")</f>
        <v xml:space="preserve">    AvalonBay社区股份有限公司</v>
      </c>
      <c r="B137" t="str">
        <f>IFERROR(IF(0=LEN(ReferenceData!$B$137),"",ReferenceData!$B$137),"")</f>
        <v>AVB US Equity</v>
      </c>
      <c r="C137" t="str">
        <f>IFERROR(IF(0=LEN(ReferenceData!$C$137),"",ReferenceData!$C$137),"")</f>
        <v>F0892</v>
      </c>
      <c r="D137" t="str">
        <f>IFERROR(IF(0=LEN(ReferenceData!$D$137),"",ReferenceData!$D$137),"")</f>
        <v>TRAILING_12_MONTHS_FAD_PS</v>
      </c>
      <c r="E137" t="str">
        <f>IFERROR(IF(0=LEN(ReferenceData!$E$137),"",ReferenceData!$E$137),"")</f>
        <v>动态</v>
      </c>
      <c r="F137" t="str">
        <f ca="1">IFERROR(IF(0=LEN(ReferenceData!$F$137),"",ReferenceData!$F$137),"")</f>
        <v/>
      </c>
      <c r="G137" t="str">
        <f ca="1">IFERROR(IF(0=LEN(ReferenceData!$G$137),"",ReferenceData!$G$137),"")</f>
        <v/>
      </c>
      <c r="H137" t="str">
        <f ca="1">IFERROR(IF(0=LEN(ReferenceData!$H$137),"",ReferenceData!$H$137),"")</f>
        <v/>
      </c>
      <c r="I137">
        <f ca="1">IFERROR(IF(0=LEN(ReferenceData!$I$137),"",ReferenceData!$I$137),"")</f>
        <v>8.2776140720000004</v>
      </c>
      <c r="J137" t="str">
        <f ca="1">IFERROR(IF(0=LEN(ReferenceData!$J$137),"",ReferenceData!$J$137),"")</f>
        <v/>
      </c>
      <c r="K137" t="str">
        <f ca="1">IFERROR(IF(0=LEN(ReferenceData!$K$137),"",ReferenceData!$K$137),"")</f>
        <v/>
      </c>
      <c r="L137">
        <f ca="1">IFERROR(IF(0=LEN(ReferenceData!$L$137),"",ReferenceData!$L$137),"")</f>
        <v>8.1551115559999996</v>
      </c>
      <c r="M137" t="str">
        <f ca="1">IFERROR(IF(0=LEN(ReferenceData!$M$137),"",ReferenceData!$M$137),"")</f>
        <v/>
      </c>
      <c r="N137" t="str">
        <f ca="1">IFERROR(IF(0=LEN(ReferenceData!$N$137),"",ReferenceData!$N$137),"")</f>
        <v/>
      </c>
      <c r="O137">
        <f ca="1">IFERROR(IF(0=LEN(ReferenceData!$O$137),"",ReferenceData!$O$137),"")</f>
        <v>8.0406843129999999</v>
      </c>
      <c r="P137" t="str">
        <f ca="1">IFERROR(IF(0=LEN(ReferenceData!$P$137),"",ReferenceData!$P$137),"")</f>
        <v/>
      </c>
      <c r="Q137" t="str">
        <f ca="1">IFERROR(IF(0=LEN(ReferenceData!$Q$137),"",ReferenceData!$Q$137),"")</f>
        <v/>
      </c>
      <c r="R137">
        <f ca="1">IFERROR(IF(0=LEN(ReferenceData!$R$137),"",ReferenceData!$R$137),"")</f>
        <v>7.9816253650000002</v>
      </c>
      <c r="S137" t="str">
        <f ca="1">IFERROR(IF(0=LEN(ReferenceData!$S$137),"",ReferenceData!$S$137),"")</f>
        <v/>
      </c>
      <c r="T137" t="str">
        <f ca="1">IFERROR(IF(0=LEN(ReferenceData!$T$137),"",ReferenceData!$T$137),"")</f>
        <v/>
      </c>
      <c r="U137">
        <f ca="1">IFERROR(IF(0=LEN(ReferenceData!$U$137),"",ReferenceData!$U$137),"")</f>
        <v>7.8576721020000004</v>
      </c>
      <c r="V137" t="str">
        <f ca="1">IFERROR(IF(0=LEN(ReferenceData!$V$137),"",ReferenceData!$V$137),"")</f>
        <v/>
      </c>
      <c r="W137" t="str">
        <f ca="1">IFERROR(IF(0=LEN(ReferenceData!$W$137),"",ReferenceData!$W$137),"")</f>
        <v/>
      </c>
      <c r="X137">
        <f ca="1">IFERROR(IF(0=LEN(ReferenceData!$X$137),"",ReferenceData!$X$137),"")</f>
        <v>7.7196647589999996</v>
      </c>
      <c r="Y137" t="str">
        <f ca="1">IFERROR(IF(0=LEN(ReferenceData!$Y$137),"",ReferenceData!$Y$137),"")</f>
        <v/>
      </c>
      <c r="Z137" t="str">
        <f ca="1">IFERROR(IF(0=LEN(ReferenceData!$Z$137),"",ReferenceData!$Z$137),"")</f>
        <v/>
      </c>
      <c r="AA137">
        <f ca="1">IFERROR(IF(0=LEN(ReferenceData!$AA$137),"",ReferenceData!$AA$137),"")</f>
        <v>7.5781515080000004</v>
      </c>
      <c r="AB137" t="str">
        <f ca="1">IFERROR(IF(0=LEN(ReferenceData!$AB$137),"",ReferenceData!$AB$137),"")</f>
        <v/>
      </c>
      <c r="AC137" t="str">
        <f ca="1">IFERROR(IF(0=LEN(ReferenceData!$AC$137),"",ReferenceData!$AC$137),"")</f>
        <v/>
      </c>
      <c r="AD137">
        <f ca="1">IFERROR(IF(0=LEN(ReferenceData!$AD$137),"",ReferenceData!$AD$137),"")</f>
        <v>7.4239159219999999</v>
      </c>
      <c r="AE137" t="str">
        <f ca="1">IFERROR(IF(0=LEN(ReferenceData!$AE$137),"",ReferenceData!$AE$137),"")</f>
        <v/>
      </c>
      <c r="AF137" t="str">
        <f ca="1">IFERROR(IF(0=LEN(ReferenceData!$AF$137),"",ReferenceData!$AF$137),"")</f>
        <v/>
      </c>
      <c r="AG137">
        <f ca="1">IFERROR(IF(0=LEN(ReferenceData!$AG$137),"",ReferenceData!$AG$137),"")</f>
        <v>7.2112000610000004</v>
      </c>
      <c r="AH137" t="str">
        <f ca="1">IFERROR(IF(0=LEN(ReferenceData!$AH$137),"",ReferenceData!$AH$137),"")</f>
        <v/>
      </c>
      <c r="AI137" t="str">
        <f ca="1">IFERROR(IF(0=LEN(ReferenceData!$AI$137),"",ReferenceData!$AI$137),"")</f>
        <v/>
      </c>
      <c r="AJ137">
        <f ca="1">IFERROR(IF(0=LEN(ReferenceData!$AJ$137),"",ReferenceData!$AJ$137),"")</f>
        <v>6.9512140430000002</v>
      </c>
      <c r="AK137" t="str">
        <f ca="1">IFERROR(IF(0=LEN(ReferenceData!$AK$137),"",ReferenceData!$AK$137),"")</f>
        <v/>
      </c>
      <c r="AL137" t="str">
        <f ca="1">IFERROR(IF(0=LEN(ReferenceData!$AL$137),"",ReferenceData!$AL$137),"")</f>
        <v/>
      </c>
      <c r="AM137">
        <f ca="1">IFERROR(IF(0=LEN(ReferenceData!$AM$137),"",ReferenceData!$AM$137),"")</f>
        <v>6.761967619</v>
      </c>
      <c r="AN137" t="str">
        <f ca="1">IFERROR(IF(0=LEN(ReferenceData!$AN$137),"",ReferenceData!$AN$137),"")</f>
        <v/>
      </c>
      <c r="AO137" t="str">
        <f ca="1">IFERROR(IF(0=LEN(ReferenceData!$AO$137),"",ReferenceData!$AO$137),"")</f>
        <v/>
      </c>
      <c r="AP137">
        <f ca="1">IFERROR(IF(0=LEN(ReferenceData!$AP$137),"",ReferenceData!$AP$137),"")</f>
        <v>6.6143275639999999</v>
      </c>
      <c r="AQ137" t="str">
        <f ca="1">IFERROR(IF(0=LEN(ReferenceData!$AQ$137),"",ReferenceData!$AQ$137),"")</f>
        <v/>
      </c>
      <c r="AR137" t="str">
        <f ca="1">IFERROR(IF(0=LEN(ReferenceData!$AR$137),"",ReferenceData!$AR$137),"")</f>
        <v/>
      </c>
      <c r="AS137">
        <f ca="1">IFERROR(IF(0=LEN(ReferenceData!$AS$137),"",ReferenceData!$AS$137),"")</f>
        <v>6.5019386969999999</v>
      </c>
      <c r="AT137" t="str">
        <f ca="1">IFERROR(IF(0=LEN(ReferenceData!$AT$137),"",ReferenceData!$AT$137),"")</f>
        <v/>
      </c>
      <c r="AU137" t="str">
        <f ca="1">IFERROR(IF(0=LEN(ReferenceData!$AU$137),"",ReferenceData!$AU$137),"")</f>
        <v/>
      </c>
      <c r="AV137">
        <f ca="1">IFERROR(IF(0=LEN(ReferenceData!$AV$137),"",ReferenceData!$AV$137),"")</f>
        <v>6.364221218</v>
      </c>
      <c r="AW137" t="str">
        <f ca="1">IFERROR(IF(0=LEN(ReferenceData!$AW$137),"",ReferenceData!$AW$137),"")</f>
        <v/>
      </c>
      <c r="AX137" t="str">
        <f ca="1">IFERROR(IF(0=LEN(ReferenceData!$AX$137),"",ReferenceData!$AX$137),"")</f>
        <v/>
      </c>
      <c r="AY137">
        <f ca="1">IFERROR(IF(0=LEN(ReferenceData!$AY$137),"",ReferenceData!$AY$137),"")</f>
        <v>6.2637110480000002</v>
      </c>
      <c r="AZ137" t="str">
        <f ca="1">IFERROR(IF(0=LEN(ReferenceData!$AZ$137),"",ReferenceData!$AZ$137),"")</f>
        <v/>
      </c>
      <c r="BA137" t="str">
        <f ca="1">IFERROR(IF(0=LEN(ReferenceData!$BA$137),"",ReferenceData!$BA$137),"")</f>
        <v/>
      </c>
      <c r="BB137">
        <f ca="1">IFERROR(IF(0=LEN(ReferenceData!$BB$137),"",ReferenceData!$BB$137),"")</f>
        <v>6.1783278309999998</v>
      </c>
      <c r="BC137" t="str">
        <f ca="1">IFERROR(IF(0=LEN(ReferenceData!$BC$137),"",ReferenceData!$BC$137),"")</f>
        <v/>
      </c>
      <c r="BD137" t="str">
        <f ca="1">IFERROR(IF(0=LEN(ReferenceData!$BD$137),"",ReferenceData!$BD$137),"")</f>
        <v/>
      </c>
      <c r="BE137">
        <f ca="1">IFERROR(IF(0=LEN(ReferenceData!$BE$137),"",ReferenceData!$BE$137),"")</f>
        <v>5.9112138339999998</v>
      </c>
      <c r="BF137" t="str">
        <f ca="1">IFERROR(IF(0=LEN(ReferenceData!$BF$137),"",ReferenceData!$BF$137),"")</f>
        <v/>
      </c>
      <c r="BG137" t="str">
        <f ca="1">IFERROR(IF(0=LEN(ReferenceData!$BG$137),"",ReferenceData!$BG$137),"")</f>
        <v/>
      </c>
      <c r="BH137">
        <f ca="1">IFERROR(IF(0=LEN(ReferenceData!$BH$137),"",ReferenceData!$BH$137),"")</f>
        <v>5.6102153169999998</v>
      </c>
      <c r="BI137" t="str">
        <f ca="1">IFERROR(IF(0=LEN(ReferenceData!$BI$137),"",ReferenceData!$BI$137),"")</f>
        <v/>
      </c>
      <c r="BJ137" t="str">
        <f ca="1">IFERROR(IF(0=LEN(ReferenceData!$BJ$137),"",ReferenceData!$BJ$137),"")</f>
        <v/>
      </c>
      <c r="BK137">
        <f ca="1">IFERROR(IF(0=LEN(ReferenceData!$BK$137),"",ReferenceData!$BK$137),"")</f>
        <v>5.4192696690000002</v>
      </c>
      <c r="BL137" t="str">
        <f ca="1">IFERROR(IF(0=LEN(ReferenceData!$BL$137),"",ReferenceData!$BL$137),"")</f>
        <v/>
      </c>
      <c r="BM137" t="str">
        <f ca="1">IFERROR(IF(0=LEN(ReferenceData!$BM$137),"",ReferenceData!$BM$137),"")</f>
        <v/>
      </c>
      <c r="BN137">
        <f ca="1">IFERROR(IF(0=LEN(ReferenceData!$BN$137),"",ReferenceData!$BN$137),"")</f>
        <v>5.1426586089999997</v>
      </c>
      <c r="BO137" t="str">
        <f ca="1">IFERROR(IF(0=LEN(ReferenceData!$BO$137),"",ReferenceData!$BO$137),"")</f>
        <v/>
      </c>
      <c r="BP137" t="str">
        <f ca="1">IFERROR(IF(0=LEN(ReferenceData!$BP$137),"",ReferenceData!$BP$137),"")</f>
        <v/>
      </c>
      <c r="BQ137">
        <f ca="1">IFERROR(IF(0=LEN(ReferenceData!$BQ$137),"",ReferenceData!$BQ$137),"")</f>
        <v>5.0543725869999996</v>
      </c>
      <c r="BR137" t="str">
        <f ca="1">IFERROR(IF(0=LEN(ReferenceData!$BR$137),"",ReferenceData!$BR$137),"")</f>
        <v/>
      </c>
      <c r="BS137" t="str">
        <f ca="1">IFERROR(IF(0=LEN(ReferenceData!$BS$137),"",ReferenceData!$BS$137),"")</f>
        <v/>
      </c>
      <c r="BT137">
        <f ca="1">IFERROR(IF(0=LEN(ReferenceData!$BT$137),"",ReferenceData!$BT$137),"")</f>
        <v>5.0487022010000002</v>
      </c>
      <c r="BU137" t="str">
        <f ca="1">IFERROR(IF(0=LEN(ReferenceData!$BU$137),"",ReferenceData!$BU$137),"")</f>
        <v/>
      </c>
      <c r="BV137" t="str">
        <f ca="1">IFERROR(IF(0=LEN(ReferenceData!$BV$137),"",ReferenceData!$BV$137),"")</f>
        <v/>
      </c>
      <c r="BW137">
        <f ca="1">IFERROR(IF(0=LEN(ReferenceData!$BW$137),"",ReferenceData!$BW$137),"")</f>
        <v>4.7852687139999999</v>
      </c>
      <c r="BX137" t="str">
        <f ca="1">IFERROR(IF(0=LEN(ReferenceData!$BX$137),"",ReferenceData!$BX$137),"")</f>
        <v/>
      </c>
      <c r="BY137" t="str">
        <f ca="1">IFERROR(IF(0=LEN(ReferenceData!$BY$137),"",ReferenceData!$BY$137),"")</f>
        <v/>
      </c>
      <c r="BZ137">
        <f ca="1">IFERROR(IF(0=LEN(ReferenceData!$BZ$137),"",ReferenceData!$BZ$137),"")</f>
        <v>4.5859999599999997</v>
      </c>
      <c r="CA137" t="str">
        <f ca="1">IFERROR(IF(0=LEN(ReferenceData!$CA$137),"",ReferenceData!$CA$137),"")</f>
        <v/>
      </c>
      <c r="CB137" t="str">
        <f ca="1">IFERROR(IF(0=LEN(ReferenceData!$CB$137),"",ReferenceData!$CB$137),"")</f>
        <v/>
      </c>
      <c r="CC137">
        <f ca="1">IFERROR(IF(0=LEN(ReferenceData!$CC$137),"",ReferenceData!$CC$137),"")</f>
        <v>4.3879268409999996</v>
      </c>
      <c r="CD137" t="str">
        <f ca="1">IFERROR(IF(0=LEN(ReferenceData!$CD$137),"",ReferenceData!$CD$137),"")</f>
        <v/>
      </c>
      <c r="CE137" t="str">
        <f ca="1">IFERROR(IF(0=LEN(ReferenceData!$CE$137),"",ReferenceData!$CE$137),"")</f>
        <v/>
      </c>
      <c r="CF137">
        <f ca="1">IFERROR(IF(0=LEN(ReferenceData!$CF$137),"",ReferenceData!$CF$137),"")</f>
        <v>4.1328164669999996</v>
      </c>
      <c r="CG137" t="str">
        <f ca="1">IFERROR(IF(0=LEN(ReferenceData!$CG$137),"",ReferenceData!$CG$137),"")</f>
        <v/>
      </c>
      <c r="CH137" t="str">
        <f ca="1">IFERROR(IF(0=LEN(ReferenceData!$CH$137),"",ReferenceData!$CH$137),"")</f>
        <v/>
      </c>
      <c r="CI137">
        <f ca="1">IFERROR(IF(0=LEN(ReferenceData!$CI$137),"",ReferenceData!$CI$137),"")</f>
        <v>3.9515032059999999</v>
      </c>
      <c r="CJ137" t="str">
        <f ca="1">IFERROR(IF(0=LEN(ReferenceData!$CJ$137),"",ReferenceData!$CJ$137),"")</f>
        <v/>
      </c>
      <c r="CK137" t="str">
        <f ca="1">IFERROR(IF(0=LEN(ReferenceData!$CK$137),"",ReferenceData!$CK$137),"")</f>
        <v/>
      </c>
    </row>
    <row r="138" spans="1:89">
      <c r="A138" t="str">
        <f>IFERROR(IF(0=LEN(ReferenceData!$A$138),"",ReferenceData!$A$138),"")</f>
        <v xml:space="preserve">    Camden 房地产信托公司</v>
      </c>
      <c r="B138" t="str">
        <f>IFERROR(IF(0=LEN(ReferenceData!$B$138),"",ReferenceData!$B$138),"")</f>
        <v>CPT US Equity</v>
      </c>
      <c r="C138" t="str">
        <f>IFERROR(IF(0=LEN(ReferenceData!$C$138),"",ReferenceData!$C$138),"")</f>
        <v>F0892</v>
      </c>
      <c r="D138" t="str">
        <f>IFERROR(IF(0=LEN(ReferenceData!$D$138),"",ReferenceData!$D$138),"")</f>
        <v>TRAILING_12_MONTHS_FAD_PS</v>
      </c>
      <c r="E138" t="str">
        <f>IFERROR(IF(0=LEN(ReferenceData!$E$138),"",ReferenceData!$E$138),"")</f>
        <v>动态</v>
      </c>
      <c r="F138" t="str">
        <f ca="1">IFERROR(IF(0=LEN(ReferenceData!$F$138),"",ReferenceData!$F$138),"")</f>
        <v/>
      </c>
      <c r="G138" t="str">
        <f ca="1">IFERROR(IF(0=LEN(ReferenceData!$G$138),"",ReferenceData!$G$138),"")</f>
        <v/>
      </c>
      <c r="H138" t="str">
        <f ca="1">IFERROR(IF(0=LEN(ReferenceData!$H$138),"",ReferenceData!$H$138),"")</f>
        <v/>
      </c>
      <c r="I138">
        <f ca="1">IFERROR(IF(0=LEN(ReferenceData!$I$138),"",ReferenceData!$I$138),"")</f>
        <v>3.839696698</v>
      </c>
      <c r="J138" t="str">
        <f ca="1">IFERROR(IF(0=LEN(ReferenceData!$J$138),"",ReferenceData!$J$138),"")</f>
        <v/>
      </c>
      <c r="K138" t="str">
        <f ca="1">IFERROR(IF(0=LEN(ReferenceData!$K$138),"",ReferenceData!$K$138),"")</f>
        <v/>
      </c>
      <c r="L138">
        <f ca="1">IFERROR(IF(0=LEN(ReferenceData!$L$138),"",ReferenceData!$L$138),"")</f>
        <v>3.8534821500000001</v>
      </c>
      <c r="M138" t="str">
        <f ca="1">IFERROR(IF(0=LEN(ReferenceData!$M$138),"",ReferenceData!$M$138),"")</f>
        <v/>
      </c>
      <c r="N138" t="str">
        <f ca="1">IFERROR(IF(0=LEN(ReferenceData!$N$138),"",ReferenceData!$N$138),"")</f>
        <v/>
      </c>
      <c r="O138">
        <f ca="1">IFERROR(IF(0=LEN(ReferenceData!$O$138),"",ReferenceData!$O$138),"")</f>
        <v>3.858035369</v>
      </c>
      <c r="P138" t="str">
        <f ca="1">IFERROR(IF(0=LEN(ReferenceData!$P$138),"",ReferenceData!$P$138),"")</f>
        <v/>
      </c>
      <c r="Q138" t="str">
        <f ca="1">IFERROR(IF(0=LEN(ReferenceData!$Q$138),"",ReferenceData!$Q$138),"")</f>
        <v/>
      </c>
      <c r="R138">
        <f ca="1">IFERROR(IF(0=LEN(ReferenceData!$R$138),"",ReferenceData!$R$138),"")</f>
        <v>3.8761319369999998</v>
      </c>
      <c r="S138" t="str">
        <f ca="1">IFERROR(IF(0=LEN(ReferenceData!$S$138),"",ReferenceData!$S$138),"")</f>
        <v/>
      </c>
      <c r="T138" t="str">
        <f ca="1">IFERROR(IF(0=LEN(ReferenceData!$T$138),"",ReferenceData!$T$138),"")</f>
        <v/>
      </c>
      <c r="U138">
        <f ca="1">IFERROR(IF(0=LEN(ReferenceData!$U$138),"",ReferenceData!$U$138),"")</f>
        <v>3.991692284</v>
      </c>
      <c r="V138" t="str">
        <f ca="1">IFERROR(IF(0=LEN(ReferenceData!$V$138),"",ReferenceData!$V$138),"")</f>
        <v/>
      </c>
      <c r="W138" t="str">
        <f ca="1">IFERROR(IF(0=LEN(ReferenceData!$W$138),"",ReferenceData!$W$138),"")</f>
        <v/>
      </c>
      <c r="X138">
        <f ca="1">IFERROR(IF(0=LEN(ReferenceData!$X$138),"",ReferenceData!$X$138),"")</f>
        <v>4.0190079140000003</v>
      </c>
      <c r="Y138" t="str">
        <f ca="1">IFERROR(IF(0=LEN(ReferenceData!$Y$138),"",ReferenceData!$Y$138),"")</f>
        <v/>
      </c>
      <c r="Z138" t="str">
        <f ca="1">IFERROR(IF(0=LEN(ReferenceData!$Z$138),"",ReferenceData!$Z$138),"")</f>
        <v/>
      </c>
      <c r="AA138">
        <f ca="1">IFERROR(IF(0=LEN(ReferenceData!$AA$138),"",ReferenceData!$AA$138),"")</f>
        <v>4.0364578160000004</v>
      </c>
      <c r="AB138" t="str">
        <f ca="1">IFERROR(IF(0=LEN(ReferenceData!$AB$138),"",ReferenceData!$AB$138),"")</f>
        <v/>
      </c>
      <c r="AC138" t="str">
        <f ca="1">IFERROR(IF(0=LEN(ReferenceData!$AC$138),"",ReferenceData!$AC$138),"")</f>
        <v/>
      </c>
      <c r="AD138">
        <f ca="1">IFERROR(IF(0=LEN(ReferenceData!$AD$138),"",ReferenceData!$AD$138),"")</f>
        <v>3.971286401</v>
      </c>
      <c r="AE138" t="str">
        <f ca="1">IFERROR(IF(0=LEN(ReferenceData!$AE$138),"",ReferenceData!$AE$138),"")</f>
        <v/>
      </c>
      <c r="AF138" t="str">
        <f ca="1">IFERROR(IF(0=LEN(ReferenceData!$AF$138),"",ReferenceData!$AF$138),"")</f>
        <v/>
      </c>
      <c r="AG138">
        <f ca="1">IFERROR(IF(0=LEN(ReferenceData!$AG$138),"",ReferenceData!$AG$138),"")</f>
        <v>3.869615858</v>
      </c>
      <c r="AH138" t="str">
        <f ca="1">IFERROR(IF(0=LEN(ReferenceData!$AH$138),"",ReferenceData!$AH$138),"")</f>
        <v/>
      </c>
      <c r="AI138" t="str">
        <f ca="1">IFERROR(IF(0=LEN(ReferenceData!$AI$138),"",ReferenceData!$AI$138),"")</f>
        <v/>
      </c>
      <c r="AJ138">
        <f ca="1">IFERROR(IF(0=LEN(ReferenceData!$AJ$138),"",ReferenceData!$AJ$138),"")</f>
        <v>3.8922008589999999</v>
      </c>
      <c r="AK138" t="str">
        <f ca="1">IFERROR(IF(0=LEN(ReferenceData!$AK$138),"",ReferenceData!$AK$138),"")</f>
        <v/>
      </c>
      <c r="AL138" t="str">
        <f ca="1">IFERROR(IF(0=LEN(ReferenceData!$AL$138),"",ReferenceData!$AL$138),"")</f>
        <v/>
      </c>
      <c r="AM138">
        <f ca="1">IFERROR(IF(0=LEN(ReferenceData!$AM$138),"",ReferenceData!$AM$138),"")</f>
        <v>3.9382964770000002</v>
      </c>
      <c r="AN138" t="str">
        <f ca="1">IFERROR(IF(0=LEN(ReferenceData!$AN$138),"",ReferenceData!$AN$138),"")</f>
        <v/>
      </c>
      <c r="AO138" t="str">
        <f ca="1">IFERROR(IF(0=LEN(ReferenceData!$AO$138),"",ReferenceData!$AO$138),"")</f>
        <v/>
      </c>
      <c r="AP138">
        <f ca="1">IFERROR(IF(0=LEN(ReferenceData!$AP$138),"",ReferenceData!$AP$138),"")</f>
        <v>3.9887886730000002</v>
      </c>
      <c r="AQ138" t="str">
        <f ca="1">IFERROR(IF(0=LEN(ReferenceData!$AQ$138),"",ReferenceData!$AQ$138),"")</f>
        <v/>
      </c>
      <c r="AR138" t="str">
        <f ca="1">IFERROR(IF(0=LEN(ReferenceData!$AR$138),"",ReferenceData!$AR$138),"")</f>
        <v/>
      </c>
      <c r="AS138">
        <f ca="1">IFERROR(IF(0=LEN(ReferenceData!$AS$138),"",ReferenceData!$AS$138),"")</f>
        <v>3.9719904189999999</v>
      </c>
      <c r="AT138" t="str">
        <f ca="1">IFERROR(IF(0=LEN(ReferenceData!$AT$138),"",ReferenceData!$AT$138),"")</f>
        <v/>
      </c>
      <c r="AU138" t="str">
        <f ca="1">IFERROR(IF(0=LEN(ReferenceData!$AU$138),"",ReferenceData!$AU$138),"")</f>
        <v/>
      </c>
      <c r="AV138">
        <f ca="1">IFERROR(IF(0=LEN(ReferenceData!$AV$138),"",ReferenceData!$AV$138),"")</f>
        <v>3.9477602310000002</v>
      </c>
      <c r="AW138" t="str">
        <f ca="1">IFERROR(IF(0=LEN(ReferenceData!$AW$138),"",ReferenceData!$AW$138),"")</f>
        <v/>
      </c>
      <c r="AX138" t="str">
        <f ca="1">IFERROR(IF(0=LEN(ReferenceData!$AX$138),"",ReferenceData!$AX$138),"")</f>
        <v/>
      </c>
      <c r="AY138">
        <f ca="1">IFERROR(IF(0=LEN(ReferenceData!$AY$138),"",ReferenceData!$AY$138),"")</f>
        <v>3.9193148519999998</v>
      </c>
      <c r="AZ138" t="str">
        <f ca="1">IFERROR(IF(0=LEN(ReferenceData!$AZ$138),"",ReferenceData!$AZ$138),"")</f>
        <v/>
      </c>
      <c r="BA138" t="str">
        <f ca="1">IFERROR(IF(0=LEN(ReferenceData!$BA$138),"",ReferenceData!$BA$138),"")</f>
        <v/>
      </c>
      <c r="BB138">
        <f ca="1">IFERROR(IF(0=LEN(ReferenceData!$BB$138),"",ReferenceData!$BB$138),"")</f>
        <v>3.8933638629999998</v>
      </c>
      <c r="BC138" t="str">
        <f ca="1">IFERROR(IF(0=LEN(ReferenceData!$BC$138),"",ReferenceData!$BC$138),"")</f>
        <v/>
      </c>
      <c r="BD138" t="str">
        <f ca="1">IFERROR(IF(0=LEN(ReferenceData!$BD$138),"",ReferenceData!$BD$138),"")</f>
        <v/>
      </c>
      <c r="BE138">
        <f ca="1">IFERROR(IF(0=LEN(ReferenceData!$BE$138),"",ReferenceData!$BE$138),"")</f>
        <v>3.803553398</v>
      </c>
      <c r="BF138" t="str">
        <f ca="1">IFERROR(IF(0=LEN(ReferenceData!$BF$138),"",ReferenceData!$BF$138),"")</f>
        <v/>
      </c>
      <c r="BG138" t="str">
        <f ca="1">IFERROR(IF(0=LEN(ReferenceData!$BG$138),"",ReferenceData!$BG$138),"")</f>
        <v/>
      </c>
      <c r="BH138">
        <f ca="1">IFERROR(IF(0=LEN(ReferenceData!$BH$138),"",ReferenceData!$BH$138),"")</f>
        <v>3.6868367819999999</v>
      </c>
      <c r="BI138" t="str">
        <f ca="1">IFERROR(IF(0=LEN(ReferenceData!$BI$138),"",ReferenceData!$BI$138),"")</f>
        <v/>
      </c>
      <c r="BJ138" t="str">
        <f ca="1">IFERROR(IF(0=LEN(ReferenceData!$BJ$138),"",ReferenceData!$BJ$138),"")</f>
        <v/>
      </c>
      <c r="BK138">
        <f ca="1">IFERROR(IF(0=LEN(ReferenceData!$BK$138),"",ReferenceData!$BK$138),"")</f>
        <v>3.559221881</v>
      </c>
      <c r="BL138" t="str">
        <f ca="1">IFERROR(IF(0=LEN(ReferenceData!$BL$138),"",ReferenceData!$BL$138),"")</f>
        <v/>
      </c>
      <c r="BM138" t="str">
        <f ca="1">IFERROR(IF(0=LEN(ReferenceData!$BM$138),"",ReferenceData!$BM$138),"")</f>
        <v/>
      </c>
      <c r="BN138">
        <f ca="1">IFERROR(IF(0=LEN(ReferenceData!$BN$138),"",ReferenceData!$BN$138),"")</f>
        <v>3.4204791399999999</v>
      </c>
      <c r="BO138" t="str">
        <f ca="1">IFERROR(IF(0=LEN(ReferenceData!$BO$138),"",ReferenceData!$BO$138),"")</f>
        <v/>
      </c>
      <c r="BP138" t="str">
        <f ca="1">IFERROR(IF(0=LEN(ReferenceData!$BP$138),"",ReferenceData!$BP$138),"")</f>
        <v/>
      </c>
      <c r="BQ138">
        <f ca="1">IFERROR(IF(0=LEN(ReferenceData!$BQ$138),"",ReferenceData!$BQ$138),"")</f>
        <v>3.2742339559999998</v>
      </c>
      <c r="BR138" t="str">
        <f ca="1">IFERROR(IF(0=LEN(ReferenceData!$BR$138),"",ReferenceData!$BR$138),"")</f>
        <v/>
      </c>
      <c r="BS138" t="str">
        <f ca="1">IFERROR(IF(0=LEN(ReferenceData!$BS$138),"",ReferenceData!$BS$138),"")</f>
        <v/>
      </c>
      <c r="BT138">
        <f ca="1">IFERROR(IF(0=LEN(ReferenceData!$BT$138),"",ReferenceData!$BT$138),"")</f>
        <v>3.134923423</v>
      </c>
      <c r="BU138" t="str">
        <f ca="1">IFERROR(IF(0=LEN(ReferenceData!$BU$138),"",ReferenceData!$BU$138),"")</f>
        <v/>
      </c>
      <c r="BV138" t="str">
        <f ca="1">IFERROR(IF(0=LEN(ReferenceData!$BV$138),"",ReferenceData!$BV$138),"")</f>
        <v/>
      </c>
      <c r="BW138">
        <f ca="1">IFERROR(IF(0=LEN(ReferenceData!$BW$138),"",ReferenceData!$BW$138),"")</f>
        <v>2.967884695</v>
      </c>
      <c r="BX138" t="str">
        <f ca="1">IFERROR(IF(0=LEN(ReferenceData!$BX$138),"",ReferenceData!$BX$138),"")</f>
        <v/>
      </c>
      <c r="BY138" t="str">
        <f ca="1">IFERROR(IF(0=LEN(ReferenceData!$BY$138),"",ReferenceData!$BY$138),"")</f>
        <v/>
      </c>
      <c r="BZ138">
        <f ca="1">IFERROR(IF(0=LEN(ReferenceData!$BZ$138),"",ReferenceData!$BZ$138),"")</f>
        <v>2.4725883569999998</v>
      </c>
      <c r="CA138" t="str">
        <f ca="1">IFERROR(IF(0=LEN(ReferenceData!$CA$138),"",ReferenceData!$CA$138),"")</f>
        <v/>
      </c>
      <c r="CB138" t="str">
        <f ca="1">IFERROR(IF(0=LEN(ReferenceData!$CB$138),"",ReferenceData!$CB$138),"")</f>
        <v/>
      </c>
      <c r="CC138">
        <f ca="1">IFERROR(IF(0=LEN(ReferenceData!$CC$138),"",ReferenceData!$CC$138),"")</f>
        <v>2.3562943029999999</v>
      </c>
      <c r="CD138" t="str">
        <f ca="1">IFERROR(IF(0=LEN(ReferenceData!$CD$138),"",ReferenceData!$CD$138),"")</f>
        <v/>
      </c>
      <c r="CE138" t="str">
        <f ca="1">IFERROR(IF(0=LEN(ReferenceData!$CE$138),"",ReferenceData!$CE$138),"")</f>
        <v/>
      </c>
      <c r="CF138">
        <f ca="1">IFERROR(IF(0=LEN(ReferenceData!$CF$138),"",ReferenceData!$CF$138),"")</f>
        <v>2.2608122549999998</v>
      </c>
      <c r="CG138" t="str">
        <f ca="1">IFERROR(IF(0=LEN(ReferenceData!$CG$138),"",ReferenceData!$CG$138),"")</f>
        <v/>
      </c>
      <c r="CH138" t="str">
        <f ca="1">IFERROR(IF(0=LEN(ReferenceData!$CH$138),"",ReferenceData!$CH$138),"")</f>
        <v/>
      </c>
      <c r="CI138">
        <f ca="1">IFERROR(IF(0=LEN(ReferenceData!$CI$138),"",ReferenceData!$CI$138),"")</f>
        <v>2.143114094</v>
      </c>
      <c r="CJ138" t="str">
        <f ca="1">IFERROR(IF(0=LEN(ReferenceData!$CJ$138),"",ReferenceData!$CJ$138),"")</f>
        <v/>
      </c>
      <c r="CK138" t="str">
        <f ca="1">IFERROR(IF(0=LEN(ReferenceData!$CK$138),"",ReferenceData!$CK$138),"")</f>
        <v/>
      </c>
    </row>
    <row r="139" spans="1:89">
      <c r="A139" t="str">
        <f>IFERROR(IF(0=LEN(ReferenceData!$A$139),"",ReferenceData!$A$139),"")</f>
        <v xml:space="preserve">    公寓物业权益信托</v>
      </c>
      <c r="B139" t="str">
        <f>IFERROR(IF(0=LEN(ReferenceData!$B$139),"",ReferenceData!$B$139),"")</f>
        <v>EQR US Equity</v>
      </c>
      <c r="C139" t="str">
        <f>IFERROR(IF(0=LEN(ReferenceData!$C$139),"",ReferenceData!$C$139),"")</f>
        <v>F0892</v>
      </c>
      <c r="D139" t="str">
        <f>IFERROR(IF(0=LEN(ReferenceData!$D$139),"",ReferenceData!$D$139),"")</f>
        <v>TRAILING_12_MONTHS_FAD_PS</v>
      </c>
      <c r="E139" t="str">
        <f>IFERROR(IF(0=LEN(ReferenceData!$E$139),"",ReferenceData!$E$139),"")</f>
        <v>动态</v>
      </c>
      <c r="F139" t="str">
        <f ca="1">IFERROR(IF(0=LEN(ReferenceData!$F$139),"",ReferenceData!$F$139),"")</f>
        <v/>
      </c>
      <c r="G139" t="str">
        <f ca="1">IFERROR(IF(0=LEN(ReferenceData!$G$139),"",ReferenceData!$G$139),"")</f>
        <v/>
      </c>
      <c r="H139" t="str">
        <f ca="1">IFERROR(IF(0=LEN(ReferenceData!$H$139),"",ReferenceData!$H$139),"")</f>
        <v/>
      </c>
      <c r="I139">
        <f ca="1">IFERROR(IF(0=LEN(ReferenceData!$I$139),"",ReferenceData!$I$139),"")</f>
        <v>2.9123461759999998</v>
      </c>
      <c r="J139" t="str">
        <f ca="1">IFERROR(IF(0=LEN(ReferenceData!$J$139),"",ReferenceData!$J$139),"")</f>
        <v/>
      </c>
      <c r="K139" t="str">
        <f ca="1">IFERROR(IF(0=LEN(ReferenceData!$K$139),"",ReferenceData!$K$139),"")</f>
        <v/>
      </c>
      <c r="L139">
        <f ca="1">IFERROR(IF(0=LEN(ReferenceData!$L$139),"",ReferenceData!$L$139),"")</f>
        <v>2.8718570899999998</v>
      </c>
      <c r="M139" t="str">
        <f ca="1">IFERROR(IF(0=LEN(ReferenceData!$M$139),"",ReferenceData!$M$139),"")</f>
        <v/>
      </c>
      <c r="N139" t="str">
        <f ca="1">IFERROR(IF(0=LEN(ReferenceData!$N$139),"",ReferenceData!$N$139),"")</f>
        <v/>
      </c>
      <c r="O139">
        <f ca="1">IFERROR(IF(0=LEN(ReferenceData!$O$139),"",ReferenceData!$O$139),"")</f>
        <v>2.843296917</v>
      </c>
      <c r="P139" t="str">
        <f ca="1">IFERROR(IF(0=LEN(ReferenceData!$P$139),"",ReferenceData!$P$139),"")</f>
        <v/>
      </c>
      <c r="Q139" t="str">
        <f ca="1">IFERROR(IF(0=LEN(ReferenceData!$Q$139),"",ReferenceData!$Q$139),"")</f>
        <v/>
      </c>
      <c r="R139">
        <f ca="1">IFERROR(IF(0=LEN(ReferenceData!$R$139),"",ReferenceData!$R$139),"")</f>
        <v>2.9550469690000001</v>
      </c>
      <c r="S139" t="str">
        <f ca="1">IFERROR(IF(0=LEN(ReferenceData!$S$139),"",ReferenceData!$S$139),"")</f>
        <v/>
      </c>
      <c r="T139" t="str">
        <f ca="1">IFERROR(IF(0=LEN(ReferenceData!$T$139),"",ReferenceData!$T$139),"")</f>
        <v/>
      </c>
      <c r="U139">
        <f ca="1">IFERROR(IF(0=LEN(ReferenceData!$U$139),"",ReferenceData!$U$139),"")</f>
        <v>2.9675425689999999</v>
      </c>
      <c r="V139" t="str">
        <f ca="1">IFERROR(IF(0=LEN(ReferenceData!$V$139),"",ReferenceData!$V$139),"")</f>
        <v/>
      </c>
      <c r="W139" t="str">
        <f ca="1">IFERROR(IF(0=LEN(ReferenceData!$W$139),"",ReferenceData!$W$139),"")</f>
        <v/>
      </c>
      <c r="X139">
        <f ca="1">IFERROR(IF(0=LEN(ReferenceData!$X$139),"",ReferenceData!$X$139),"")</f>
        <v>3.0916903310000001</v>
      </c>
      <c r="Y139" t="str">
        <f ca="1">IFERROR(IF(0=LEN(ReferenceData!$Y$139),"",ReferenceData!$Y$139),"")</f>
        <v/>
      </c>
      <c r="Z139" t="str">
        <f ca="1">IFERROR(IF(0=LEN(ReferenceData!$Z$139),"",ReferenceData!$Z$139),"")</f>
        <v/>
      </c>
      <c r="AA139">
        <f ca="1">IFERROR(IF(0=LEN(ReferenceData!$AA$139),"",ReferenceData!$AA$139),"")</f>
        <v>3.1952308500000002</v>
      </c>
      <c r="AB139" t="str">
        <f ca="1">IFERROR(IF(0=LEN(ReferenceData!$AB$139),"",ReferenceData!$AB$139),"")</f>
        <v/>
      </c>
      <c r="AC139" t="str">
        <f ca="1">IFERROR(IF(0=LEN(ReferenceData!$AC$139),"",ReferenceData!$AC$139),"")</f>
        <v/>
      </c>
      <c r="AD139">
        <f ca="1">IFERROR(IF(0=LEN(ReferenceData!$AD$139),"",ReferenceData!$AD$139),"")</f>
        <v>3.1567409870000001</v>
      </c>
      <c r="AE139" t="str">
        <f ca="1">IFERROR(IF(0=LEN(ReferenceData!$AE$139),"",ReferenceData!$AE$139),"")</f>
        <v/>
      </c>
      <c r="AF139" t="str">
        <f ca="1">IFERROR(IF(0=LEN(ReferenceData!$AF$139),"",ReferenceData!$AF$139),"")</f>
        <v/>
      </c>
      <c r="AG139">
        <f ca="1">IFERROR(IF(0=LEN(ReferenceData!$AG$139),"",ReferenceData!$AG$139),"")</f>
        <v>3.1734265069999998</v>
      </c>
      <c r="AH139" t="str">
        <f ca="1">IFERROR(IF(0=LEN(ReferenceData!$AH$139),"",ReferenceData!$AH$139),"")</f>
        <v/>
      </c>
      <c r="AI139" t="str">
        <f ca="1">IFERROR(IF(0=LEN(ReferenceData!$AI$139),"",ReferenceData!$AI$139),"")</f>
        <v/>
      </c>
      <c r="AJ139">
        <f ca="1">IFERROR(IF(0=LEN(ReferenceData!$AJ$139),"",ReferenceData!$AJ$139),"")</f>
        <v>3.1053602900000001</v>
      </c>
      <c r="AK139" t="str">
        <f ca="1">IFERROR(IF(0=LEN(ReferenceData!$AK$139),"",ReferenceData!$AK$139),"")</f>
        <v/>
      </c>
      <c r="AL139" t="str">
        <f ca="1">IFERROR(IF(0=LEN(ReferenceData!$AL$139),"",ReferenceData!$AL$139),"")</f>
        <v/>
      </c>
      <c r="AM139">
        <f ca="1">IFERROR(IF(0=LEN(ReferenceData!$AM$139),"",ReferenceData!$AM$139),"")</f>
        <v>3.0381368989999999</v>
      </c>
      <c r="AN139" t="str">
        <f ca="1">IFERROR(IF(0=LEN(ReferenceData!$AN$139),"",ReferenceData!$AN$139),"")</f>
        <v/>
      </c>
      <c r="AO139" t="str">
        <f ca="1">IFERROR(IF(0=LEN(ReferenceData!$AO$139),"",ReferenceData!$AO$139),"")</f>
        <v/>
      </c>
      <c r="AP139">
        <f ca="1">IFERROR(IF(0=LEN(ReferenceData!$AP$139),"",ReferenceData!$AP$139),"")</f>
        <v>2.9672240209999998</v>
      </c>
      <c r="AQ139" t="str">
        <f ca="1">IFERROR(IF(0=LEN(ReferenceData!$AQ$139),"",ReferenceData!$AQ$139),"")</f>
        <v/>
      </c>
      <c r="AR139" t="str">
        <f ca="1">IFERROR(IF(0=LEN(ReferenceData!$AR$139),"",ReferenceData!$AR$139),"")</f>
        <v/>
      </c>
      <c r="AS139">
        <f ca="1">IFERROR(IF(0=LEN(ReferenceData!$AS$139),"",ReferenceData!$AS$139),"")</f>
        <v>2.8882359470000001</v>
      </c>
      <c r="AT139" t="str">
        <f ca="1">IFERROR(IF(0=LEN(ReferenceData!$AT$139),"",ReferenceData!$AT$139),"")</f>
        <v/>
      </c>
      <c r="AU139" t="str">
        <f ca="1">IFERROR(IF(0=LEN(ReferenceData!$AU$139),"",ReferenceData!$AU$139),"")</f>
        <v/>
      </c>
      <c r="AV139">
        <f ca="1">IFERROR(IF(0=LEN(ReferenceData!$AV$139),"",ReferenceData!$AV$139),"")</f>
        <v>2.7948861190000001</v>
      </c>
      <c r="AW139" t="str">
        <f ca="1">IFERROR(IF(0=LEN(ReferenceData!$AW$139),"",ReferenceData!$AW$139),"")</f>
        <v/>
      </c>
      <c r="AX139" t="str">
        <f ca="1">IFERROR(IF(0=LEN(ReferenceData!$AX$139),"",ReferenceData!$AX$139),"")</f>
        <v/>
      </c>
      <c r="AY139">
        <f ca="1">IFERROR(IF(0=LEN(ReferenceData!$AY$139),"",ReferenceData!$AY$139),"")</f>
        <v>2.6987378980000001</v>
      </c>
      <c r="AZ139" t="str">
        <f ca="1">IFERROR(IF(0=LEN(ReferenceData!$AZ$139),"",ReferenceData!$AZ$139),"")</f>
        <v/>
      </c>
      <c r="BA139" t="str">
        <f ca="1">IFERROR(IF(0=LEN(ReferenceData!$BA$139),"",ReferenceData!$BA$139),"")</f>
        <v/>
      </c>
      <c r="BB139">
        <f ca="1">IFERROR(IF(0=LEN(ReferenceData!$BB$139),"",ReferenceData!$BB$139),"")</f>
        <v>2.622261731</v>
      </c>
      <c r="BC139" t="str">
        <f ca="1">IFERROR(IF(0=LEN(ReferenceData!$BC$139),"",ReferenceData!$BC$139),"")</f>
        <v/>
      </c>
      <c r="BD139" t="str">
        <f ca="1">IFERROR(IF(0=LEN(ReferenceData!$BD$139),"",ReferenceData!$BD$139),"")</f>
        <v/>
      </c>
      <c r="BE139">
        <f ca="1">IFERROR(IF(0=LEN(ReferenceData!$BE$139),"",ReferenceData!$BE$139),"")</f>
        <v>2.5521094350000002</v>
      </c>
      <c r="BF139" t="str">
        <f ca="1">IFERROR(IF(0=LEN(ReferenceData!$BF$139),"",ReferenceData!$BF$139),"")</f>
        <v/>
      </c>
      <c r="BG139" t="str">
        <f ca="1">IFERROR(IF(0=LEN(ReferenceData!$BG$139),"",ReferenceData!$BG$139),"")</f>
        <v/>
      </c>
      <c r="BH139">
        <f ca="1">IFERROR(IF(0=LEN(ReferenceData!$BH$139),"",ReferenceData!$BH$139),"")</f>
        <v>2.5218044019999999</v>
      </c>
      <c r="BI139" t="str">
        <f ca="1">IFERROR(IF(0=LEN(ReferenceData!$BI$139),"",ReferenceData!$BI$139),"")</f>
        <v/>
      </c>
      <c r="BJ139" t="str">
        <f ca="1">IFERROR(IF(0=LEN(ReferenceData!$BJ$139),"",ReferenceData!$BJ$139),"")</f>
        <v/>
      </c>
      <c r="BK139">
        <f ca="1">IFERROR(IF(0=LEN(ReferenceData!$BK$139),"",ReferenceData!$BK$139),"")</f>
        <v>2.5077357789999999</v>
      </c>
      <c r="BL139" t="str">
        <f ca="1">IFERROR(IF(0=LEN(ReferenceData!$BL$139),"",ReferenceData!$BL$139),"")</f>
        <v/>
      </c>
      <c r="BM139" t="str">
        <f ca="1">IFERROR(IF(0=LEN(ReferenceData!$BM$139),"",ReferenceData!$BM$139),"")</f>
        <v/>
      </c>
      <c r="BN139">
        <f ca="1">IFERROR(IF(0=LEN(ReferenceData!$BN$139),"",ReferenceData!$BN$139),"")</f>
        <v>2.632601287</v>
      </c>
      <c r="BO139" t="str">
        <f ca="1">IFERROR(IF(0=LEN(ReferenceData!$BO$139),"",ReferenceData!$BO$139),"")</f>
        <v/>
      </c>
      <c r="BP139" t="str">
        <f ca="1">IFERROR(IF(0=LEN(ReferenceData!$BP$139),"",ReferenceData!$BP$139),"")</f>
        <v/>
      </c>
      <c r="BQ139">
        <f ca="1">IFERROR(IF(0=LEN(ReferenceData!$BQ$139),"",ReferenceData!$BQ$139),"")</f>
        <v>2.5935959030000002</v>
      </c>
      <c r="BR139" t="str">
        <f ca="1">IFERROR(IF(0=LEN(ReferenceData!$BR$139),"",ReferenceData!$BR$139),"")</f>
        <v/>
      </c>
      <c r="BS139" t="str">
        <f ca="1">IFERROR(IF(0=LEN(ReferenceData!$BS$139),"",ReferenceData!$BS$139),"")</f>
        <v/>
      </c>
      <c r="BT139">
        <f ca="1">IFERROR(IF(0=LEN(ReferenceData!$BT$139),"",ReferenceData!$BT$139),"")</f>
        <v>2.4970905129999998</v>
      </c>
      <c r="BU139" t="str">
        <f ca="1">IFERROR(IF(0=LEN(ReferenceData!$BU$139),"",ReferenceData!$BU$139),"")</f>
        <v/>
      </c>
      <c r="BV139" t="str">
        <f ca="1">IFERROR(IF(0=LEN(ReferenceData!$BV$139),"",ReferenceData!$BV$139),"")</f>
        <v/>
      </c>
      <c r="BW139">
        <f ca="1">IFERROR(IF(0=LEN(ReferenceData!$BW$139),"",ReferenceData!$BW$139),"")</f>
        <v>2.3876851229999998</v>
      </c>
      <c r="BX139" t="str">
        <f ca="1">IFERROR(IF(0=LEN(ReferenceData!$BX$139),"",ReferenceData!$BX$139),"")</f>
        <v/>
      </c>
      <c r="BY139" t="str">
        <f ca="1">IFERROR(IF(0=LEN(ReferenceData!$BY$139),"",ReferenceData!$BY$139),"")</f>
        <v/>
      </c>
      <c r="BZ139">
        <f ca="1">IFERROR(IF(0=LEN(ReferenceData!$BZ$139),"",ReferenceData!$BZ$139),"")</f>
        <v>2.311128836</v>
      </c>
      <c r="CA139" t="str">
        <f ca="1">IFERROR(IF(0=LEN(ReferenceData!$CA$139),"",ReferenceData!$CA$139),"")</f>
        <v/>
      </c>
      <c r="CB139" t="str">
        <f ca="1">IFERROR(IF(0=LEN(ReferenceData!$CB$139),"",ReferenceData!$CB$139),"")</f>
        <v/>
      </c>
      <c r="CC139">
        <f ca="1">IFERROR(IF(0=LEN(ReferenceData!$CC$139),"",ReferenceData!$CC$139),"")</f>
        <v>2.265587375</v>
      </c>
      <c r="CD139" t="str">
        <f ca="1">IFERROR(IF(0=LEN(ReferenceData!$CD$139),"",ReferenceData!$CD$139),"")</f>
        <v/>
      </c>
      <c r="CE139" t="str">
        <f ca="1">IFERROR(IF(0=LEN(ReferenceData!$CE$139),"",ReferenceData!$CE$139),"")</f>
        <v/>
      </c>
      <c r="CF139">
        <f ca="1">IFERROR(IF(0=LEN(ReferenceData!$CF$139),"",ReferenceData!$CF$139),"")</f>
        <v>2.2146853000000002</v>
      </c>
      <c r="CG139" t="str">
        <f ca="1">IFERROR(IF(0=LEN(ReferenceData!$CG$139),"",ReferenceData!$CG$139),"")</f>
        <v/>
      </c>
      <c r="CH139" t="str">
        <f ca="1">IFERROR(IF(0=LEN(ReferenceData!$CH$139),"",ReferenceData!$CH$139),"")</f>
        <v/>
      </c>
      <c r="CI139">
        <f ca="1">IFERROR(IF(0=LEN(ReferenceData!$CI$139),"",ReferenceData!$CI$139),"")</f>
        <v>2.1603251220000002</v>
      </c>
      <c r="CJ139" t="str">
        <f ca="1">IFERROR(IF(0=LEN(ReferenceData!$CJ$139),"",ReferenceData!$CJ$139),"")</f>
        <v/>
      </c>
      <c r="CK139" t="str">
        <f ca="1">IFERROR(IF(0=LEN(ReferenceData!$CK$139),"",ReferenceData!$CK$139),"")</f>
        <v/>
      </c>
    </row>
    <row r="140" spans="1:89">
      <c r="A140" t="str">
        <f>IFERROR(IF(0=LEN(ReferenceData!$A$140),"",ReferenceData!$A$140),"")</f>
        <v xml:space="preserve">    埃塞克斯房地产信托公司</v>
      </c>
      <c r="B140" t="str">
        <f>IFERROR(IF(0=LEN(ReferenceData!$B$140),"",ReferenceData!$B$140),"")</f>
        <v>ESS US Equity</v>
      </c>
      <c r="C140" t="str">
        <f>IFERROR(IF(0=LEN(ReferenceData!$C$140),"",ReferenceData!$C$140),"")</f>
        <v>F0892</v>
      </c>
      <c r="D140" t="str">
        <f>IFERROR(IF(0=LEN(ReferenceData!$D$140),"",ReferenceData!$D$140),"")</f>
        <v>TRAILING_12_MONTHS_FAD_PS</v>
      </c>
      <c r="E140" t="str">
        <f>IFERROR(IF(0=LEN(ReferenceData!$E$140),"",ReferenceData!$E$140),"")</f>
        <v>动态</v>
      </c>
      <c r="F140" t="str">
        <f ca="1">IFERROR(IF(0=LEN(ReferenceData!$F$140),"",ReferenceData!$F$140),"")</f>
        <v/>
      </c>
      <c r="G140" t="str">
        <f ca="1">IFERROR(IF(0=LEN(ReferenceData!$G$140),"",ReferenceData!$G$140),"")</f>
        <v/>
      </c>
      <c r="H140" t="str">
        <f ca="1">IFERROR(IF(0=LEN(ReferenceData!$H$140),"",ReferenceData!$H$140),"")</f>
        <v/>
      </c>
      <c r="I140">
        <f ca="1">IFERROR(IF(0=LEN(ReferenceData!$I$140),"",ReferenceData!$I$140),"")</f>
        <v>11.462767120000001</v>
      </c>
      <c r="J140" t="str">
        <f ca="1">IFERROR(IF(0=LEN(ReferenceData!$J$140),"",ReferenceData!$J$140),"")</f>
        <v/>
      </c>
      <c r="K140" t="str">
        <f ca="1">IFERROR(IF(0=LEN(ReferenceData!$K$140),"",ReferenceData!$K$140),"")</f>
        <v/>
      </c>
      <c r="L140">
        <f ca="1">IFERROR(IF(0=LEN(ReferenceData!$L$140),"",ReferenceData!$L$140),"")</f>
        <v>11.261297470000001</v>
      </c>
      <c r="M140" t="str">
        <f ca="1">IFERROR(IF(0=LEN(ReferenceData!$M$140),"",ReferenceData!$M$140),"")</f>
        <v/>
      </c>
      <c r="N140" t="str">
        <f ca="1">IFERROR(IF(0=LEN(ReferenceData!$N$140),"",ReferenceData!$N$140),"")</f>
        <v/>
      </c>
      <c r="O140">
        <f ca="1">IFERROR(IF(0=LEN(ReferenceData!$O$140),"",ReferenceData!$O$140),"")</f>
        <v>11.38746765</v>
      </c>
      <c r="P140" t="str">
        <f ca="1">IFERROR(IF(0=LEN(ReferenceData!$P$140),"",ReferenceData!$P$140),"")</f>
        <v/>
      </c>
      <c r="Q140" t="str">
        <f ca="1">IFERROR(IF(0=LEN(ReferenceData!$Q$140),"",ReferenceData!$Q$140),"")</f>
        <v/>
      </c>
      <c r="R140">
        <f ca="1">IFERROR(IF(0=LEN(ReferenceData!$R$140),"",ReferenceData!$R$140),"")</f>
        <v>11.157194860000001</v>
      </c>
      <c r="S140" t="str">
        <f ca="1">IFERROR(IF(0=LEN(ReferenceData!$S$140),"",ReferenceData!$S$140),"")</f>
        <v/>
      </c>
      <c r="T140" t="str">
        <f ca="1">IFERROR(IF(0=LEN(ReferenceData!$T$140),"",ReferenceData!$T$140),"")</f>
        <v/>
      </c>
      <c r="U140">
        <f ca="1">IFERROR(IF(0=LEN(ReferenceData!$U$140),"",ReferenceData!$U$140),"")</f>
        <v>11.034769989999999</v>
      </c>
      <c r="V140" t="str">
        <f ca="1">IFERROR(IF(0=LEN(ReferenceData!$V$140),"",ReferenceData!$V$140),"")</f>
        <v/>
      </c>
      <c r="W140" t="str">
        <f ca="1">IFERROR(IF(0=LEN(ReferenceData!$W$140),"",ReferenceData!$W$140),"")</f>
        <v/>
      </c>
      <c r="X140">
        <f ca="1">IFERROR(IF(0=LEN(ReferenceData!$X$140),"",ReferenceData!$X$140),"")</f>
        <v>10.855447290000001</v>
      </c>
      <c r="Y140" t="str">
        <f ca="1">IFERROR(IF(0=LEN(ReferenceData!$Y$140),"",ReferenceData!$Y$140),"")</f>
        <v/>
      </c>
      <c r="Z140" t="str">
        <f ca="1">IFERROR(IF(0=LEN(ReferenceData!$Z$140),"",ReferenceData!$Z$140),"")</f>
        <v/>
      </c>
      <c r="AA140">
        <f ca="1">IFERROR(IF(0=LEN(ReferenceData!$AA$140),"",ReferenceData!$AA$140),"")</f>
        <v>10.54397923</v>
      </c>
      <c r="AB140" t="str">
        <f ca="1">IFERROR(IF(0=LEN(ReferenceData!$AB$140),"",ReferenceData!$AB$140),"")</f>
        <v/>
      </c>
      <c r="AC140" t="str">
        <f ca="1">IFERROR(IF(0=LEN(ReferenceData!$AC$140),"",ReferenceData!$AC$140),"")</f>
        <v/>
      </c>
      <c r="AD140">
        <f ca="1">IFERROR(IF(0=LEN(ReferenceData!$AD$140),"",ReferenceData!$AD$140),"")</f>
        <v>10.20237399</v>
      </c>
      <c r="AE140" t="str">
        <f ca="1">IFERROR(IF(0=LEN(ReferenceData!$AE$140),"",ReferenceData!$AE$140),"")</f>
        <v/>
      </c>
      <c r="AF140" t="str">
        <f ca="1">IFERROR(IF(0=LEN(ReferenceData!$AF$140),"",ReferenceData!$AF$140),"")</f>
        <v/>
      </c>
      <c r="AG140">
        <f ca="1">IFERROR(IF(0=LEN(ReferenceData!$AG$140),"",ReferenceData!$AG$140),"")</f>
        <v>9.8149751930000004</v>
      </c>
      <c r="AH140" t="str">
        <f ca="1">IFERROR(IF(0=LEN(ReferenceData!$AH$140),"",ReferenceData!$AH$140),"")</f>
        <v/>
      </c>
      <c r="AI140" t="str">
        <f ca="1">IFERROR(IF(0=LEN(ReferenceData!$AI$140),"",ReferenceData!$AI$140),"")</f>
        <v/>
      </c>
      <c r="AJ140">
        <f ca="1">IFERROR(IF(0=LEN(ReferenceData!$AJ$140),"",ReferenceData!$AJ$140),"")</f>
        <v>9.2552848030000003</v>
      </c>
      <c r="AK140" t="str">
        <f ca="1">IFERROR(IF(0=LEN(ReferenceData!$AK$140),"",ReferenceData!$AK$140),"")</f>
        <v/>
      </c>
      <c r="AL140" t="str">
        <f ca="1">IFERROR(IF(0=LEN(ReferenceData!$AL$140),"",ReferenceData!$AL$140),"")</f>
        <v/>
      </c>
      <c r="AM140">
        <f ca="1">IFERROR(IF(0=LEN(ReferenceData!$AM$140),"",ReferenceData!$AM$140),"")</f>
        <v>8.7093844679999997</v>
      </c>
      <c r="AN140" t="str">
        <f ca="1">IFERROR(IF(0=LEN(ReferenceData!$AN$140),"",ReferenceData!$AN$140),"")</f>
        <v/>
      </c>
      <c r="AO140" t="str">
        <f ca="1">IFERROR(IF(0=LEN(ReferenceData!$AO$140),"",ReferenceData!$AO$140),"")</f>
        <v/>
      </c>
      <c r="AP140">
        <f ca="1">IFERROR(IF(0=LEN(ReferenceData!$AP$140),"",ReferenceData!$AP$140),"")</f>
        <v>8.3245480349999994</v>
      </c>
      <c r="AQ140" t="str">
        <f ca="1">IFERROR(IF(0=LEN(ReferenceData!$AQ$140),"",ReferenceData!$AQ$140),"")</f>
        <v/>
      </c>
      <c r="AR140" t="str">
        <f ca="1">IFERROR(IF(0=LEN(ReferenceData!$AR$140),"",ReferenceData!$AR$140),"")</f>
        <v/>
      </c>
      <c r="AS140">
        <f ca="1">IFERROR(IF(0=LEN(ReferenceData!$AS$140),"",ReferenceData!$AS$140),"")</f>
        <v>8.0504056229999996</v>
      </c>
      <c r="AT140" t="str">
        <f ca="1">IFERROR(IF(0=LEN(ReferenceData!$AT$140),"",ReferenceData!$AT$140),"")</f>
        <v/>
      </c>
      <c r="AU140" t="str">
        <f ca="1">IFERROR(IF(0=LEN(ReferenceData!$AU$140),"",ReferenceData!$AU$140),"")</f>
        <v/>
      </c>
      <c r="AV140">
        <f ca="1">IFERROR(IF(0=LEN(ReferenceData!$AV$140),"",ReferenceData!$AV$140),"")</f>
        <v>7.793462602</v>
      </c>
      <c r="AW140" t="str">
        <f ca="1">IFERROR(IF(0=LEN(ReferenceData!$AW$140),"",ReferenceData!$AW$140),"")</f>
        <v/>
      </c>
      <c r="AX140" t="str">
        <f ca="1">IFERROR(IF(0=LEN(ReferenceData!$AX$140),"",ReferenceData!$AX$140),"")</f>
        <v/>
      </c>
      <c r="AY140">
        <f ca="1">IFERROR(IF(0=LEN(ReferenceData!$AY$140),"",ReferenceData!$AY$140),"")</f>
        <v>7.5147131759999999</v>
      </c>
      <c r="AZ140" t="str">
        <f ca="1">IFERROR(IF(0=LEN(ReferenceData!$AZ$140),"",ReferenceData!$AZ$140),"")</f>
        <v/>
      </c>
      <c r="BA140" t="str">
        <f ca="1">IFERROR(IF(0=LEN(ReferenceData!$BA$140),"",ReferenceData!$BA$140),"")</f>
        <v/>
      </c>
      <c r="BB140">
        <f ca="1">IFERROR(IF(0=LEN(ReferenceData!$BB$140),"",ReferenceData!$BB$140),"")</f>
        <v>7.164007539</v>
      </c>
      <c r="BC140" t="str">
        <f ca="1">IFERROR(IF(0=LEN(ReferenceData!$BC$140),"",ReferenceData!$BC$140),"")</f>
        <v/>
      </c>
      <c r="BD140" t="str">
        <f ca="1">IFERROR(IF(0=LEN(ReferenceData!$BD$140),"",ReferenceData!$BD$140),"")</f>
        <v/>
      </c>
      <c r="BE140">
        <f ca="1">IFERROR(IF(0=LEN(ReferenceData!$BE$140),"",ReferenceData!$BE$140),"")</f>
        <v>6.9129064109999998</v>
      </c>
      <c r="BF140" t="str">
        <f ca="1">IFERROR(IF(0=LEN(ReferenceData!$BF$140),"",ReferenceData!$BF$140),"")</f>
        <v/>
      </c>
      <c r="BG140" t="str">
        <f ca="1">IFERROR(IF(0=LEN(ReferenceData!$BG$140),"",ReferenceData!$BG$140),"")</f>
        <v/>
      </c>
      <c r="BH140">
        <f ca="1">IFERROR(IF(0=LEN(ReferenceData!$BH$140),"",ReferenceData!$BH$140),"")</f>
        <v>6.5222699970000004</v>
      </c>
      <c r="BI140" t="str">
        <f ca="1">IFERROR(IF(0=LEN(ReferenceData!$BI$140),"",ReferenceData!$BI$140),"")</f>
        <v/>
      </c>
      <c r="BJ140" t="str">
        <f ca="1">IFERROR(IF(0=LEN(ReferenceData!$BJ$140),"",ReferenceData!$BJ$140),"")</f>
        <v/>
      </c>
      <c r="BK140">
        <f ca="1">IFERROR(IF(0=LEN(ReferenceData!$BK$140),"",ReferenceData!$BK$140),"")</f>
        <v>6.7908597769999997</v>
      </c>
      <c r="BL140" t="str">
        <f ca="1">IFERROR(IF(0=LEN(ReferenceData!$BL$140),"",ReferenceData!$BL$140),"")</f>
        <v/>
      </c>
      <c r="BM140" t="str">
        <f ca="1">IFERROR(IF(0=LEN(ReferenceData!$BM$140),"",ReferenceData!$BM$140),"")</f>
        <v/>
      </c>
      <c r="BN140">
        <f ca="1">IFERROR(IF(0=LEN(ReferenceData!$BN$140),"",ReferenceData!$BN$140),"")</f>
        <v>6.6863878699999999</v>
      </c>
      <c r="BO140" t="str">
        <f ca="1">IFERROR(IF(0=LEN(ReferenceData!$BO$140),"",ReferenceData!$BO$140),"")</f>
        <v/>
      </c>
      <c r="BP140" t="str">
        <f ca="1">IFERROR(IF(0=LEN(ReferenceData!$BP$140),"",ReferenceData!$BP$140),"")</f>
        <v/>
      </c>
      <c r="BQ140">
        <f ca="1">IFERROR(IF(0=LEN(ReferenceData!$BQ$140),"",ReferenceData!$BQ$140),"")</f>
        <v>6.5217999449999997</v>
      </c>
      <c r="BR140" t="str">
        <f ca="1">IFERROR(IF(0=LEN(ReferenceData!$BR$140),"",ReferenceData!$BR$140),"")</f>
        <v/>
      </c>
      <c r="BS140" t="str">
        <f ca="1">IFERROR(IF(0=LEN(ReferenceData!$BS$140),"",ReferenceData!$BS$140),"")</f>
        <v/>
      </c>
      <c r="BT140">
        <f ca="1">IFERROR(IF(0=LEN(ReferenceData!$BT$140),"",ReferenceData!$BT$140),"")</f>
        <v>6.266054091</v>
      </c>
      <c r="BU140" t="str">
        <f ca="1">IFERROR(IF(0=LEN(ReferenceData!$BU$140),"",ReferenceData!$BU$140),"")</f>
        <v/>
      </c>
      <c r="BV140" t="str">
        <f ca="1">IFERROR(IF(0=LEN(ReferenceData!$BV$140),"",ReferenceData!$BV$140),"")</f>
        <v/>
      </c>
      <c r="BW140">
        <f ca="1">IFERROR(IF(0=LEN(ReferenceData!$BW$140),"",ReferenceData!$BW$140),"")</f>
        <v>5.5681716950000002</v>
      </c>
      <c r="BX140" t="str">
        <f ca="1">IFERROR(IF(0=LEN(ReferenceData!$BX$140),"",ReferenceData!$BX$140),"")</f>
        <v/>
      </c>
      <c r="BY140" t="str">
        <f ca="1">IFERROR(IF(0=LEN(ReferenceData!$BY$140),"",ReferenceData!$BY$140),"")</f>
        <v/>
      </c>
      <c r="BZ140">
        <f ca="1">IFERROR(IF(0=LEN(ReferenceData!$BZ$140),"",ReferenceData!$BZ$140),"")</f>
        <v>5.2641057340000001</v>
      </c>
      <c r="CA140" t="str">
        <f ca="1">IFERROR(IF(0=LEN(ReferenceData!$CA$140),"",ReferenceData!$CA$140),"")</f>
        <v/>
      </c>
      <c r="CB140" t="str">
        <f ca="1">IFERROR(IF(0=LEN(ReferenceData!$CB$140),"",ReferenceData!$CB$140),"")</f>
        <v/>
      </c>
      <c r="CC140">
        <f ca="1">IFERROR(IF(0=LEN(ReferenceData!$CC$140),"",ReferenceData!$CC$140),"")</f>
        <v>4.8874471039999996</v>
      </c>
      <c r="CD140" t="str">
        <f ca="1">IFERROR(IF(0=LEN(ReferenceData!$CD$140),"",ReferenceData!$CD$140),"")</f>
        <v/>
      </c>
      <c r="CE140" t="str">
        <f ca="1">IFERROR(IF(0=LEN(ReferenceData!$CE$140),"",ReferenceData!$CE$140),"")</f>
        <v/>
      </c>
      <c r="CF140">
        <f ca="1">IFERROR(IF(0=LEN(ReferenceData!$CF$140),"",ReferenceData!$CF$140),"")</f>
        <v>4.995033576</v>
      </c>
      <c r="CG140" t="str">
        <f ca="1">IFERROR(IF(0=LEN(ReferenceData!$CG$140),"",ReferenceData!$CG$140),"")</f>
        <v/>
      </c>
      <c r="CH140" t="str">
        <f ca="1">IFERROR(IF(0=LEN(ReferenceData!$CH$140),"",ReferenceData!$CH$140),"")</f>
        <v/>
      </c>
      <c r="CI140">
        <f ca="1">IFERROR(IF(0=LEN(ReferenceData!$CI$140),"",ReferenceData!$CI$140),"")</f>
        <v>5.0134254519999999</v>
      </c>
      <c r="CJ140" t="str">
        <f ca="1">IFERROR(IF(0=LEN(ReferenceData!$CJ$140),"",ReferenceData!$CJ$140),"")</f>
        <v/>
      </c>
      <c r="CK140" t="str">
        <f ca="1">IFERROR(IF(0=LEN(ReferenceData!$CK$140),"",ReferenceData!$CK$140),"")</f>
        <v/>
      </c>
    </row>
    <row r="141" spans="1:89">
      <c r="A141" t="str">
        <f>IFERROR(IF(0=LEN(ReferenceData!$A$141),"",ReferenceData!$A$141),"")</f>
        <v xml:space="preserve">    Mid-America Apartment Communities股份有限公司</v>
      </c>
      <c r="B141" t="str">
        <f>IFERROR(IF(0=LEN(ReferenceData!$B$141),"",ReferenceData!$B$141),"")</f>
        <v>MAA US Equity</v>
      </c>
      <c r="C141" t="str">
        <f>IFERROR(IF(0=LEN(ReferenceData!$C$141),"",ReferenceData!$C$141),"")</f>
        <v>F0892</v>
      </c>
      <c r="D141" t="str">
        <f>IFERROR(IF(0=LEN(ReferenceData!$D$141),"",ReferenceData!$D$141),"")</f>
        <v>TRAILING_12_MONTHS_FAD_PS</v>
      </c>
      <c r="E141" t="str">
        <f>IFERROR(IF(0=LEN(ReferenceData!$E$141),"",ReferenceData!$E$141),"")</f>
        <v>动态</v>
      </c>
      <c r="F141" t="str">
        <f ca="1">IFERROR(IF(0=LEN(ReferenceData!$F$141),"",ReferenceData!$F$141),"")</f>
        <v/>
      </c>
      <c r="G141" t="str">
        <f ca="1">IFERROR(IF(0=LEN(ReferenceData!$G$141),"",ReferenceData!$G$141),"")</f>
        <v/>
      </c>
      <c r="H141" t="str">
        <f ca="1">IFERROR(IF(0=LEN(ReferenceData!$H$141),"",ReferenceData!$H$141),"")</f>
        <v/>
      </c>
      <c r="I141">
        <f ca="1">IFERROR(IF(0=LEN(ReferenceData!$I$141),"",ReferenceData!$I$141),"")</f>
        <v>4.4407500090000003</v>
      </c>
      <c r="J141" t="str">
        <f ca="1">IFERROR(IF(0=LEN(ReferenceData!$J$141),"",ReferenceData!$J$141),"")</f>
        <v/>
      </c>
      <c r="K141" t="str">
        <f ca="1">IFERROR(IF(0=LEN(ReferenceData!$K$141),"",ReferenceData!$K$141),"")</f>
        <v/>
      </c>
      <c r="L141">
        <f ca="1">IFERROR(IF(0=LEN(ReferenceData!$L$141),"",ReferenceData!$L$141),"")</f>
        <v>4.2249587599999998</v>
      </c>
      <c r="M141" t="str">
        <f ca="1">IFERROR(IF(0=LEN(ReferenceData!$M$141),"",ReferenceData!$M$141),"")</f>
        <v/>
      </c>
      <c r="N141" t="str">
        <f ca="1">IFERROR(IF(0=LEN(ReferenceData!$N$141),"",ReferenceData!$N$141),"")</f>
        <v/>
      </c>
      <c r="O141">
        <f ca="1">IFERROR(IF(0=LEN(ReferenceData!$O$141),"",ReferenceData!$O$141),"")</f>
        <v>4.1958127779999996</v>
      </c>
      <c r="P141" t="str">
        <f ca="1">IFERROR(IF(0=LEN(ReferenceData!$P$141),"",ReferenceData!$P$141),"")</f>
        <v/>
      </c>
      <c r="Q141" t="str">
        <f ca="1">IFERROR(IF(0=LEN(ReferenceData!$Q$141),"",ReferenceData!$Q$141),"")</f>
        <v/>
      </c>
      <c r="R141">
        <f ca="1">IFERROR(IF(0=LEN(ReferenceData!$R$141),"",ReferenceData!$R$141),"")</f>
        <v>4.1686980890000003</v>
      </c>
      <c r="S141" t="str">
        <f ca="1">IFERROR(IF(0=LEN(ReferenceData!$S$141),"",ReferenceData!$S$141),"")</f>
        <v/>
      </c>
      <c r="T141" t="str">
        <f ca="1">IFERROR(IF(0=LEN(ReferenceData!$T$141),"",ReferenceData!$T$141),"")</f>
        <v/>
      </c>
      <c r="U141">
        <f ca="1">IFERROR(IF(0=LEN(ReferenceData!$U$141),"",ReferenceData!$U$141),"")</f>
        <v>4.0619729270000002</v>
      </c>
      <c r="V141" t="str">
        <f ca="1">IFERROR(IF(0=LEN(ReferenceData!$V$141),"",ReferenceData!$V$141),"")</f>
        <v/>
      </c>
      <c r="W141" t="str">
        <f ca="1">IFERROR(IF(0=LEN(ReferenceData!$W$141),"",ReferenceData!$W$141),"")</f>
        <v/>
      </c>
      <c r="X141">
        <f ca="1">IFERROR(IF(0=LEN(ReferenceData!$X$141),"",ReferenceData!$X$141),"")</f>
        <v>4.3191758760000001</v>
      </c>
      <c r="Y141" t="str">
        <f ca="1">IFERROR(IF(0=LEN(ReferenceData!$Y$141),"",ReferenceData!$Y$141),"")</f>
        <v/>
      </c>
      <c r="Z141" t="str">
        <f ca="1">IFERROR(IF(0=LEN(ReferenceData!$Z$141),"",ReferenceData!$Z$141),"")</f>
        <v/>
      </c>
      <c r="AA141">
        <f ca="1">IFERROR(IF(0=LEN(ReferenceData!$AA$141),"",ReferenceData!$AA$141),"")</f>
        <v>4.1789959339999996</v>
      </c>
      <c r="AB141" t="str">
        <f ca="1">IFERROR(IF(0=LEN(ReferenceData!$AB$141),"",ReferenceData!$AB$141),"")</f>
        <v/>
      </c>
      <c r="AC141" t="str">
        <f ca="1">IFERROR(IF(0=LEN(ReferenceData!$AC$141),"",ReferenceData!$AC$141),"")</f>
        <v/>
      </c>
      <c r="AD141">
        <f ca="1">IFERROR(IF(0=LEN(ReferenceData!$AD$141),"",ReferenceData!$AD$141),"")</f>
        <v>4.232528479</v>
      </c>
      <c r="AE141" t="str">
        <f ca="1">IFERROR(IF(0=LEN(ReferenceData!$AE$141),"",ReferenceData!$AE$141),"")</f>
        <v/>
      </c>
      <c r="AF141" t="str">
        <f ca="1">IFERROR(IF(0=LEN(ReferenceData!$AF$141),"",ReferenceData!$AF$141),"")</f>
        <v/>
      </c>
      <c r="AG141">
        <f ca="1">IFERROR(IF(0=LEN(ReferenceData!$AG$141),"",ReferenceData!$AG$141),"")</f>
        <v>4.1183052870000001</v>
      </c>
      <c r="AH141" t="str">
        <f ca="1">IFERROR(IF(0=LEN(ReferenceData!$AH$141),"",ReferenceData!$AH$141),"")</f>
        <v/>
      </c>
      <c r="AI141" t="str">
        <f ca="1">IFERROR(IF(0=LEN(ReferenceData!$AI$141),"",ReferenceData!$AI$141),"")</f>
        <v/>
      </c>
      <c r="AJ141">
        <f ca="1">IFERROR(IF(0=LEN(ReferenceData!$AJ$141),"",ReferenceData!$AJ$141),"")</f>
        <v>4.1767776430000003</v>
      </c>
      <c r="AK141" t="str">
        <f ca="1">IFERROR(IF(0=LEN(ReferenceData!$AK$141),"",ReferenceData!$AK$141),"")</f>
        <v/>
      </c>
      <c r="AL141" t="str">
        <f ca="1">IFERROR(IF(0=LEN(ReferenceData!$AL$141),"",ReferenceData!$AL$141),"")</f>
        <v/>
      </c>
      <c r="AM141">
        <f ca="1">IFERROR(IF(0=LEN(ReferenceData!$AM$141),"",ReferenceData!$AM$141),"")</f>
        <v>4.3062166929999997</v>
      </c>
      <c r="AN141" t="str">
        <f ca="1">IFERROR(IF(0=LEN(ReferenceData!$AN$141),"",ReferenceData!$AN$141),"")</f>
        <v/>
      </c>
      <c r="AO141" t="str">
        <f ca="1">IFERROR(IF(0=LEN(ReferenceData!$AO$141),"",ReferenceData!$AO$141),"")</f>
        <v/>
      </c>
      <c r="AP141">
        <f ca="1">IFERROR(IF(0=LEN(ReferenceData!$AP$141),"",ReferenceData!$AP$141),"")</f>
        <v>4.1603525399999999</v>
      </c>
      <c r="AQ141" t="str">
        <f ca="1">IFERROR(IF(0=LEN(ReferenceData!$AQ$141),"",ReferenceData!$AQ$141),"")</f>
        <v/>
      </c>
      <c r="AR141" t="str">
        <f ca="1">IFERROR(IF(0=LEN(ReferenceData!$AR$141),"",ReferenceData!$AR$141),"")</f>
        <v/>
      </c>
      <c r="AS141">
        <f ca="1">IFERROR(IF(0=LEN(ReferenceData!$AS$141),"",ReferenceData!$AS$141),"")</f>
        <v>4.2789788849999999</v>
      </c>
      <c r="AT141" t="str">
        <f ca="1">IFERROR(IF(0=LEN(ReferenceData!$AT$141),"",ReferenceData!$AT$141),"")</f>
        <v/>
      </c>
      <c r="AU141" t="str">
        <f ca="1">IFERROR(IF(0=LEN(ReferenceData!$AU$141),"",ReferenceData!$AU$141),"")</f>
        <v/>
      </c>
      <c r="AV141">
        <f ca="1">IFERROR(IF(0=LEN(ReferenceData!$AV$141),"",ReferenceData!$AV$141),"")</f>
        <v>4.0752035229999999</v>
      </c>
      <c r="AW141" t="str">
        <f ca="1">IFERROR(IF(0=LEN(ReferenceData!$AW$141),"",ReferenceData!$AW$141),"")</f>
        <v/>
      </c>
      <c r="AX141" t="str">
        <f ca="1">IFERROR(IF(0=LEN(ReferenceData!$AX$141),"",ReferenceData!$AX$141),"")</f>
        <v/>
      </c>
      <c r="AY141">
        <f ca="1">IFERROR(IF(0=LEN(ReferenceData!$AY$141),"",ReferenceData!$AY$141),"")</f>
        <v>4.1146487430000001</v>
      </c>
      <c r="AZ141" t="str">
        <f ca="1">IFERROR(IF(0=LEN(ReferenceData!$AZ$141),"",ReferenceData!$AZ$141),"")</f>
        <v/>
      </c>
      <c r="BA141" t="str">
        <f ca="1">IFERROR(IF(0=LEN(ReferenceData!$BA$141),"",ReferenceData!$BA$141),"")</f>
        <v/>
      </c>
      <c r="BB141">
        <f ca="1">IFERROR(IF(0=LEN(ReferenceData!$BB$141),"",ReferenceData!$BB$141),"")</f>
        <v>4.2281703049999999</v>
      </c>
      <c r="BC141" t="str">
        <f ca="1">IFERROR(IF(0=LEN(ReferenceData!$BC$141),"",ReferenceData!$BC$141),"")</f>
        <v/>
      </c>
      <c r="BD141" t="str">
        <f ca="1">IFERROR(IF(0=LEN(ReferenceData!$BD$141),"",ReferenceData!$BD$141),"")</f>
        <v/>
      </c>
      <c r="BE141">
        <f ca="1">IFERROR(IF(0=LEN(ReferenceData!$BE$141),"",ReferenceData!$BE$141),"")</f>
        <v>4.2208316459999997</v>
      </c>
      <c r="BF141" t="str">
        <f ca="1">IFERROR(IF(0=LEN(ReferenceData!$BF$141),"",ReferenceData!$BF$141),"")</f>
        <v/>
      </c>
      <c r="BG141" t="str">
        <f ca="1">IFERROR(IF(0=LEN(ReferenceData!$BG$141),"",ReferenceData!$BG$141),"")</f>
        <v/>
      </c>
      <c r="BH141">
        <f ca="1">IFERROR(IF(0=LEN(ReferenceData!$BH$141),"",ReferenceData!$BH$141),"")</f>
        <v>3.3398059359999999</v>
      </c>
      <c r="BI141" t="str">
        <f ca="1">IFERROR(IF(0=LEN(ReferenceData!$BI$141),"",ReferenceData!$BI$141),"")</f>
        <v/>
      </c>
      <c r="BJ141" t="str">
        <f ca="1">IFERROR(IF(0=LEN(ReferenceData!$BJ$141),"",ReferenceData!$BJ$141),"")</f>
        <v/>
      </c>
      <c r="BK141">
        <f ca="1">IFERROR(IF(0=LEN(ReferenceData!$BK$141),"",ReferenceData!$BK$141),"")</f>
        <v>3.2647182429999999</v>
      </c>
      <c r="BL141" t="str">
        <f ca="1">IFERROR(IF(0=LEN(ReferenceData!$BL$141),"",ReferenceData!$BL$141),"")</f>
        <v/>
      </c>
      <c r="BM141" t="str">
        <f ca="1">IFERROR(IF(0=LEN(ReferenceData!$BM$141),"",ReferenceData!$BM$141),"")</f>
        <v/>
      </c>
      <c r="BN141">
        <f ca="1">IFERROR(IF(0=LEN(ReferenceData!$BN$141),"",ReferenceData!$BN$141),"")</f>
        <v>3.1224751469999998</v>
      </c>
      <c r="BO141" t="str">
        <f ca="1">IFERROR(IF(0=LEN(ReferenceData!$BO$141),"",ReferenceData!$BO$141),"")</f>
        <v/>
      </c>
      <c r="BP141" t="str">
        <f ca="1">IFERROR(IF(0=LEN(ReferenceData!$BP$141),"",ReferenceData!$BP$141),"")</f>
        <v/>
      </c>
      <c r="BQ141">
        <f ca="1">IFERROR(IF(0=LEN(ReferenceData!$BQ$141),"",ReferenceData!$BQ$141),"")</f>
        <v>2.936013177</v>
      </c>
      <c r="BR141" t="str">
        <f ca="1">IFERROR(IF(0=LEN(ReferenceData!$BR$141),"",ReferenceData!$BR$141),"")</f>
        <v/>
      </c>
      <c r="BS141" t="str">
        <f ca="1">IFERROR(IF(0=LEN(ReferenceData!$BS$141),"",ReferenceData!$BS$141),"")</f>
        <v/>
      </c>
      <c r="BT141">
        <f ca="1">IFERROR(IF(0=LEN(ReferenceData!$BT$141),"",ReferenceData!$BT$141),"")</f>
        <v>3.8195264419999999</v>
      </c>
      <c r="BU141" t="str">
        <f ca="1">IFERROR(IF(0=LEN(ReferenceData!$BU$141),"",ReferenceData!$BU$141),"")</f>
        <v/>
      </c>
      <c r="BV141" t="str">
        <f ca="1">IFERROR(IF(0=LEN(ReferenceData!$BV$141),"",ReferenceData!$BV$141),"")</f>
        <v/>
      </c>
      <c r="BW141">
        <f ca="1">IFERROR(IF(0=LEN(ReferenceData!$BW$141),"",ReferenceData!$BW$141),"")</f>
        <v>3.6340692899999998</v>
      </c>
      <c r="BX141" t="str">
        <f ca="1">IFERROR(IF(0=LEN(ReferenceData!$BX$141),"",ReferenceData!$BX$141),"")</f>
        <v/>
      </c>
      <c r="BY141" t="str">
        <f ca="1">IFERROR(IF(0=LEN(ReferenceData!$BY$141),"",ReferenceData!$BY$141),"")</f>
        <v/>
      </c>
      <c r="BZ141">
        <f ca="1">IFERROR(IF(0=LEN(ReferenceData!$BZ$141),"",ReferenceData!$BZ$141),"")</f>
        <v>3.4120726619999999</v>
      </c>
      <c r="CA141" t="str">
        <f ca="1">IFERROR(IF(0=LEN(ReferenceData!$CA$141),"",ReferenceData!$CA$141),"")</f>
        <v/>
      </c>
      <c r="CB141" t="str">
        <f ca="1">IFERROR(IF(0=LEN(ReferenceData!$CB$141),"",ReferenceData!$CB$141),"")</f>
        <v/>
      </c>
      <c r="CC141">
        <f ca="1">IFERROR(IF(0=LEN(ReferenceData!$CC$141),"",ReferenceData!$CC$141),"")</f>
        <v>3.3015578300000001</v>
      </c>
      <c r="CD141" t="str">
        <f ca="1">IFERROR(IF(0=LEN(ReferenceData!$CD$141),"",ReferenceData!$CD$141),"")</f>
        <v/>
      </c>
      <c r="CE141" t="str">
        <f ca="1">IFERROR(IF(0=LEN(ReferenceData!$CE$141),"",ReferenceData!$CE$141),"")</f>
        <v/>
      </c>
      <c r="CF141">
        <f ca="1">IFERROR(IF(0=LEN(ReferenceData!$CF$141),"",ReferenceData!$CF$141),"")</f>
        <v>3.1911477019999999</v>
      </c>
      <c r="CG141" t="str">
        <f ca="1">IFERROR(IF(0=LEN(ReferenceData!$CG$141),"",ReferenceData!$CG$141),"")</f>
        <v/>
      </c>
      <c r="CH141" t="str">
        <f ca="1">IFERROR(IF(0=LEN(ReferenceData!$CH$141),"",ReferenceData!$CH$141),"")</f>
        <v/>
      </c>
      <c r="CI141">
        <f ca="1">IFERROR(IF(0=LEN(ReferenceData!$CI$141),"",ReferenceData!$CI$141),"")</f>
        <v>3.1387865530000001</v>
      </c>
      <c r="CJ141" t="str">
        <f ca="1">IFERROR(IF(0=LEN(ReferenceData!$CJ$141),"",ReferenceData!$CJ$141),"")</f>
        <v/>
      </c>
      <c r="CK141" t="str">
        <f ca="1">IFERROR(IF(0=LEN(ReferenceData!$CK$141),"",ReferenceData!$CK$141),"")</f>
        <v/>
      </c>
    </row>
    <row r="142" spans="1:89">
      <c r="A142" t="str">
        <f>IFERROR(IF(0=LEN(ReferenceData!$A$142),"",ReferenceData!$A$142),"")</f>
        <v xml:space="preserve">    UDR 公司</v>
      </c>
      <c r="B142" t="str">
        <f>IFERROR(IF(0=LEN(ReferenceData!$B$142),"",ReferenceData!$B$142),"")</f>
        <v>UDR US Equity</v>
      </c>
      <c r="C142" t="str">
        <f>IFERROR(IF(0=LEN(ReferenceData!$C$142),"",ReferenceData!$C$142),"")</f>
        <v>F0892</v>
      </c>
      <c r="D142" t="str">
        <f>IFERROR(IF(0=LEN(ReferenceData!$D$142),"",ReferenceData!$D$142),"")</f>
        <v>TRAILING_12_MONTHS_FAD_PS</v>
      </c>
      <c r="E142" t="str">
        <f>IFERROR(IF(0=LEN(ReferenceData!$E$142),"",ReferenceData!$E$142),"")</f>
        <v>动态</v>
      </c>
      <c r="F142" t="str">
        <f ca="1">IFERROR(IF(0=LEN(ReferenceData!$F$142),"",ReferenceData!$F$142),"")</f>
        <v/>
      </c>
      <c r="G142" t="str">
        <f ca="1">IFERROR(IF(0=LEN(ReferenceData!$G$142),"",ReferenceData!$G$142),"")</f>
        <v/>
      </c>
      <c r="H142" t="str">
        <f ca="1">IFERROR(IF(0=LEN(ReferenceData!$H$142),"",ReferenceData!$H$142),"")</f>
        <v/>
      </c>
      <c r="I142">
        <f ca="1">IFERROR(IF(0=LEN(ReferenceData!$I$142),"",ReferenceData!$I$142),"")</f>
        <v>1.714420176</v>
      </c>
      <c r="J142" t="str">
        <f ca="1">IFERROR(IF(0=LEN(ReferenceData!$J$142),"",ReferenceData!$J$142),"")</f>
        <v/>
      </c>
      <c r="K142" t="str">
        <f ca="1">IFERROR(IF(0=LEN(ReferenceData!$K$142),"",ReferenceData!$K$142),"")</f>
        <v/>
      </c>
      <c r="L142">
        <f ca="1">IFERROR(IF(0=LEN(ReferenceData!$L$142),"",ReferenceData!$L$142),"")</f>
        <v>1.6954365069999999</v>
      </c>
      <c r="M142" t="str">
        <f ca="1">IFERROR(IF(0=LEN(ReferenceData!$M$142),"",ReferenceData!$M$142),"")</f>
        <v/>
      </c>
      <c r="N142" t="str">
        <f ca="1">IFERROR(IF(0=LEN(ReferenceData!$N$142),"",ReferenceData!$N$142),"")</f>
        <v/>
      </c>
      <c r="O142">
        <f ca="1">IFERROR(IF(0=LEN(ReferenceData!$O$142),"",ReferenceData!$O$142),"")</f>
        <v>1.675370808</v>
      </c>
      <c r="P142" t="str">
        <f ca="1">IFERROR(IF(0=LEN(ReferenceData!$P$142),"",ReferenceData!$P$142),"")</f>
        <v/>
      </c>
      <c r="Q142" t="str">
        <f ca="1">IFERROR(IF(0=LEN(ReferenceData!$Q$142),"",ReferenceData!$Q$142),"")</f>
        <v/>
      </c>
      <c r="R142">
        <f ca="1">IFERROR(IF(0=LEN(ReferenceData!$R$142),"",ReferenceData!$R$142),"")</f>
        <v>1.6497678760000001</v>
      </c>
      <c r="S142" t="str">
        <f ca="1">IFERROR(IF(0=LEN(ReferenceData!$S$142),"",ReferenceData!$S$142),"")</f>
        <v/>
      </c>
      <c r="T142" t="str">
        <f ca="1">IFERROR(IF(0=LEN(ReferenceData!$T$142),"",ReferenceData!$T$142),"")</f>
        <v/>
      </c>
      <c r="U142">
        <f ca="1">IFERROR(IF(0=LEN(ReferenceData!$U$142),"",ReferenceData!$U$142),"")</f>
        <v>1.62669233</v>
      </c>
      <c r="V142" t="str">
        <f ca="1">IFERROR(IF(0=LEN(ReferenceData!$V$142),"",ReferenceData!$V$142),"")</f>
        <v/>
      </c>
      <c r="W142" t="str">
        <f ca="1">IFERROR(IF(0=LEN(ReferenceData!$W$142),"",ReferenceData!$W$142),"")</f>
        <v/>
      </c>
      <c r="X142">
        <f ca="1">IFERROR(IF(0=LEN(ReferenceData!$X$142),"",ReferenceData!$X$142),"")</f>
        <v>1.5967594890000001</v>
      </c>
      <c r="Y142" t="str">
        <f ca="1">IFERROR(IF(0=LEN(ReferenceData!$Y$142),"",ReferenceData!$Y$142),"")</f>
        <v/>
      </c>
      <c r="Z142" t="str">
        <f ca="1">IFERROR(IF(0=LEN(ReferenceData!$Z$142),"",ReferenceData!$Z$142),"")</f>
        <v/>
      </c>
      <c r="AA142">
        <f ca="1">IFERROR(IF(0=LEN(ReferenceData!$AA$142),"",ReferenceData!$AA$142),"")</f>
        <v>1.56230826</v>
      </c>
      <c r="AB142" t="str">
        <f ca="1">IFERROR(IF(0=LEN(ReferenceData!$AB$142),"",ReferenceData!$AB$142),"")</f>
        <v/>
      </c>
      <c r="AC142" t="str">
        <f ca="1">IFERROR(IF(0=LEN(ReferenceData!$AC$142),"",ReferenceData!$AC$142),"")</f>
        <v/>
      </c>
      <c r="AD142">
        <f ca="1">IFERROR(IF(0=LEN(ReferenceData!$AD$142),"",ReferenceData!$AD$142),"")</f>
        <v>1.5364936229999999</v>
      </c>
      <c r="AE142" t="str">
        <f ca="1">IFERROR(IF(0=LEN(ReferenceData!$AE$142),"",ReferenceData!$AE$142),"")</f>
        <v/>
      </c>
      <c r="AF142" t="str">
        <f ca="1">IFERROR(IF(0=LEN(ReferenceData!$AF$142),"",ReferenceData!$AF$142),"")</f>
        <v/>
      </c>
      <c r="AG142">
        <f ca="1">IFERROR(IF(0=LEN(ReferenceData!$AG$142),"",ReferenceData!$AG$142),"")</f>
        <v>1.5040634669999999</v>
      </c>
      <c r="AH142" t="str">
        <f ca="1">IFERROR(IF(0=LEN(ReferenceData!$AH$142),"",ReferenceData!$AH$142),"")</f>
        <v/>
      </c>
      <c r="AI142" t="str">
        <f ca="1">IFERROR(IF(0=LEN(ReferenceData!$AI$142),"",ReferenceData!$AI$142),"")</f>
        <v/>
      </c>
      <c r="AJ142">
        <f ca="1">IFERROR(IF(0=LEN(ReferenceData!$AJ$142),"",ReferenceData!$AJ$142),"")</f>
        <v>1.467331817</v>
      </c>
      <c r="AK142" t="str">
        <f ca="1">IFERROR(IF(0=LEN(ReferenceData!$AK$142),"",ReferenceData!$AK$142),"")</f>
        <v/>
      </c>
      <c r="AL142" t="str">
        <f ca="1">IFERROR(IF(0=LEN(ReferenceData!$AL$142),"",ReferenceData!$AL$142),"")</f>
        <v/>
      </c>
      <c r="AM142" t="str">
        <f ca="1">IFERROR(IF(0=LEN(ReferenceData!$AM$142),"",ReferenceData!$AM$142),"")</f>
        <v/>
      </c>
      <c r="AN142" t="str">
        <f ca="1">IFERROR(IF(0=LEN(ReferenceData!$AN$142),"",ReferenceData!$AN$142),"")</f>
        <v/>
      </c>
      <c r="AO142" t="str">
        <f ca="1">IFERROR(IF(0=LEN(ReferenceData!$AO$142),"",ReferenceData!$AO$142),"")</f>
        <v/>
      </c>
      <c r="AP142" t="str">
        <f ca="1">IFERROR(IF(0=LEN(ReferenceData!$AP$142),"",ReferenceData!$AP$142),"")</f>
        <v/>
      </c>
      <c r="AQ142" t="str">
        <f ca="1">IFERROR(IF(0=LEN(ReferenceData!$AQ$142),"",ReferenceData!$AQ$142),"")</f>
        <v/>
      </c>
      <c r="AR142" t="str">
        <f ca="1">IFERROR(IF(0=LEN(ReferenceData!$AR$142),"",ReferenceData!$AR$142),"")</f>
        <v/>
      </c>
      <c r="AS142" t="str">
        <f ca="1">IFERROR(IF(0=LEN(ReferenceData!$AS$142),"",ReferenceData!$AS$142),"")</f>
        <v/>
      </c>
      <c r="AT142" t="str">
        <f ca="1">IFERROR(IF(0=LEN(ReferenceData!$AT$142),"",ReferenceData!$AT$142),"")</f>
        <v/>
      </c>
      <c r="AU142" t="str">
        <f ca="1">IFERROR(IF(0=LEN(ReferenceData!$AU$142),"",ReferenceData!$AU$142),"")</f>
        <v/>
      </c>
      <c r="AV142" t="str">
        <f ca="1">IFERROR(IF(0=LEN(ReferenceData!$AV$142),"",ReferenceData!$AV$142),"")</f>
        <v/>
      </c>
      <c r="AW142" t="str">
        <f ca="1">IFERROR(IF(0=LEN(ReferenceData!$AW$142),"",ReferenceData!$AW$142),"")</f>
        <v/>
      </c>
      <c r="AX142" t="str">
        <f ca="1">IFERROR(IF(0=LEN(ReferenceData!$AX$142),"",ReferenceData!$AX$142),"")</f>
        <v/>
      </c>
      <c r="AY142" t="str">
        <f ca="1">IFERROR(IF(0=LEN(ReferenceData!$AY$142),"",ReferenceData!$AY$142),"")</f>
        <v/>
      </c>
      <c r="AZ142" t="str">
        <f ca="1">IFERROR(IF(0=LEN(ReferenceData!$AZ$142),"",ReferenceData!$AZ$142),"")</f>
        <v/>
      </c>
      <c r="BA142" t="str">
        <f ca="1">IFERROR(IF(0=LEN(ReferenceData!$BA$142),"",ReferenceData!$BA$142),"")</f>
        <v/>
      </c>
      <c r="BB142">
        <f ca="1">IFERROR(IF(0=LEN(ReferenceData!$BB$142),"",ReferenceData!$BB$142),"")</f>
        <v>1.270113152</v>
      </c>
      <c r="BC142" t="str">
        <f ca="1">IFERROR(IF(0=LEN(ReferenceData!$BC$142),"",ReferenceData!$BC$142),"")</f>
        <v/>
      </c>
      <c r="BD142" t="str">
        <f ca="1">IFERROR(IF(0=LEN(ReferenceData!$BD$142),"",ReferenceData!$BD$142),"")</f>
        <v/>
      </c>
      <c r="BE142">
        <f ca="1">IFERROR(IF(0=LEN(ReferenceData!$BE$142),"",ReferenceData!$BE$142),"")</f>
        <v>1.2504124190000001</v>
      </c>
      <c r="BF142" t="str">
        <f ca="1">IFERROR(IF(0=LEN(ReferenceData!$BF$142),"",ReferenceData!$BF$142),"")</f>
        <v/>
      </c>
      <c r="BG142" t="str">
        <f ca="1">IFERROR(IF(0=LEN(ReferenceData!$BG$142),"",ReferenceData!$BG$142),"")</f>
        <v/>
      </c>
      <c r="BH142">
        <f ca="1">IFERROR(IF(0=LEN(ReferenceData!$BH$142),"",ReferenceData!$BH$142),"")</f>
        <v>1.267864289</v>
      </c>
      <c r="BI142" t="str">
        <f ca="1">IFERROR(IF(0=LEN(ReferenceData!$BI$142),"",ReferenceData!$BI$142),"")</f>
        <v/>
      </c>
      <c r="BJ142" t="str">
        <f ca="1">IFERROR(IF(0=LEN(ReferenceData!$BJ$142),"",ReferenceData!$BJ$142),"")</f>
        <v/>
      </c>
      <c r="BK142">
        <f ca="1">IFERROR(IF(0=LEN(ReferenceData!$BK$142),"",ReferenceData!$BK$142),"")</f>
        <v>1.2580501340000001</v>
      </c>
      <c r="BL142" t="str">
        <f ca="1">IFERROR(IF(0=LEN(ReferenceData!$BL$142),"",ReferenceData!$BL$142),"")</f>
        <v/>
      </c>
      <c r="BM142" t="str">
        <f ca="1">IFERROR(IF(0=LEN(ReferenceData!$BM$142),"",ReferenceData!$BM$142),"")</f>
        <v/>
      </c>
      <c r="BN142">
        <f ca="1">IFERROR(IF(0=LEN(ReferenceData!$BN$142),"",ReferenceData!$BN$142),"")</f>
        <v>1.2424134170000001</v>
      </c>
      <c r="BO142" t="str">
        <f ca="1">IFERROR(IF(0=LEN(ReferenceData!$BO$142),"",ReferenceData!$BO$142),"")</f>
        <v/>
      </c>
      <c r="BP142" t="str">
        <f ca="1">IFERROR(IF(0=LEN(ReferenceData!$BP$142),"",ReferenceData!$BP$142),"")</f>
        <v/>
      </c>
      <c r="BQ142">
        <f ca="1">IFERROR(IF(0=LEN(ReferenceData!$BQ$142),"",ReferenceData!$BQ$142),"")</f>
        <v>1.2542046689999999</v>
      </c>
      <c r="BR142" t="str">
        <f ca="1">IFERROR(IF(0=LEN(ReferenceData!$BR$142),"",ReferenceData!$BR$142),"")</f>
        <v/>
      </c>
      <c r="BS142" t="str">
        <f ca="1">IFERROR(IF(0=LEN(ReferenceData!$BS$142),"",ReferenceData!$BS$142),"")</f>
        <v/>
      </c>
      <c r="BT142">
        <f ca="1">IFERROR(IF(0=LEN(ReferenceData!$BT$142),"",ReferenceData!$BT$142),"")</f>
        <v>1.2146640989999999</v>
      </c>
      <c r="BU142" t="str">
        <f ca="1">IFERROR(IF(0=LEN(ReferenceData!$BU$142),"",ReferenceData!$BU$142),"")</f>
        <v/>
      </c>
      <c r="BV142" t="str">
        <f ca="1">IFERROR(IF(0=LEN(ReferenceData!$BV$142),"",ReferenceData!$BV$142),"")</f>
        <v/>
      </c>
      <c r="BW142">
        <f ca="1">IFERROR(IF(0=LEN(ReferenceData!$BW$142),"",ReferenceData!$BW$142),"")</f>
        <v>1.255249115</v>
      </c>
      <c r="BX142" t="str">
        <f ca="1">IFERROR(IF(0=LEN(ReferenceData!$BX$142),"",ReferenceData!$BX$142),"")</f>
        <v/>
      </c>
      <c r="BY142" t="str">
        <f ca="1">IFERROR(IF(0=LEN(ReferenceData!$BY$142),"",ReferenceData!$BY$142),"")</f>
        <v/>
      </c>
      <c r="BZ142">
        <f ca="1">IFERROR(IF(0=LEN(ReferenceData!$BZ$142),"",ReferenceData!$BZ$142),"")</f>
        <v>1.2960783680000001</v>
      </c>
      <c r="CA142" t="str">
        <f ca="1">IFERROR(IF(0=LEN(ReferenceData!$CA$142),"",ReferenceData!$CA$142),"")</f>
        <v/>
      </c>
      <c r="CB142" t="str">
        <f ca="1">IFERROR(IF(0=LEN(ReferenceData!$CB$142),"",ReferenceData!$CB$142),"")</f>
        <v/>
      </c>
      <c r="CC142">
        <f ca="1">IFERROR(IF(0=LEN(ReferenceData!$CC$142),"",ReferenceData!$CC$142),"")</f>
        <v>1.2825233579999999</v>
      </c>
      <c r="CD142" t="str">
        <f ca="1">IFERROR(IF(0=LEN(ReferenceData!$CD$142),"",ReferenceData!$CD$142),"")</f>
        <v/>
      </c>
      <c r="CE142" t="str">
        <f ca="1">IFERROR(IF(0=LEN(ReferenceData!$CE$142),"",ReferenceData!$CE$142),"")</f>
        <v/>
      </c>
      <c r="CF142">
        <f ca="1">IFERROR(IF(0=LEN(ReferenceData!$CF$142),"",ReferenceData!$CF$142),"")</f>
        <v>1.2821230139999999</v>
      </c>
      <c r="CG142" t="str">
        <f ca="1">IFERROR(IF(0=LEN(ReferenceData!$CG$142),"",ReferenceData!$CG$142),"")</f>
        <v/>
      </c>
      <c r="CH142" t="str">
        <f ca="1">IFERROR(IF(0=LEN(ReferenceData!$CH$142),"",ReferenceData!$CH$142),"")</f>
        <v/>
      </c>
      <c r="CI142">
        <f ca="1">IFERROR(IF(0=LEN(ReferenceData!$CI$142),"",ReferenceData!$CI$142),"")</f>
        <v>1.224258753</v>
      </c>
      <c r="CJ142" t="str">
        <f ca="1">IFERROR(IF(0=LEN(ReferenceData!$CJ$142),"",ReferenceData!$CJ$142),"")</f>
        <v/>
      </c>
      <c r="CK142" t="str">
        <f ca="1">IFERROR(IF(0=LEN(ReferenceData!$CK$142),"",ReferenceData!$CK$142),"")</f>
        <v/>
      </c>
    </row>
    <row r="143" spans="1:89">
      <c r="A143" t="str">
        <f>IFERROR(IF(0=LEN(ReferenceData!$A$143),"",ReferenceData!$A$143),"")</f>
        <v>每股FAD NTM</v>
      </c>
      <c r="B143" t="str">
        <f>IFERROR(IF(0=LEN(ReferenceData!$B$143),"",ReferenceData!$B$143),"")</f>
        <v/>
      </c>
      <c r="C143" t="str">
        <f>IFERROR(IF(0=LEN(ReferenceData!$C$143),"",ReferenceData!$C$143),"")</f>
        <v/>
      </c>
      <c r="D143" t="str">
        <f>IFERROR(IF(0=LEN(ReferenceData!$D$143),"",ReferenceData!$D$143),"")</f>
        <v/>
      </c>
      <c r="E143" t="str">
        <f>IFERROR(IF(0=LEN(ReferenceData!$E$143),"",ReferenceData!$E$143),"")</f>
        <v>Sum</v>
      </c>
      <c r="F143">
        <f ca="1">IFERROR(IF(0=LEN(ReferenceData!$F$143),"",ReferenceData!$F$143),"")</f>
        <v>36.51478461</v>
      </c>
      <c r="G143">
        <f ca="1">IFERROR(IF(0=LEN(ReferenceData!$G$143),"",ReferenceData!$G$143),"")</f>
        <v>36.425885054999995</v>
      </c>
      <c r="H143">
        <f ca="1">IFERROR(IF(0=LEN(ReferenceData!$H$143),"",ReferenceData!$H$143),"")</f>
        <v>36.635467427999998</v>
      </c>
      <c r="I143">
        <f ca="1">IFERROR(IF(0=LEN(ReferenceData!$I$143),"",ReferenceData!$I$143),"")</f>
        <v>36.879999999999995</v>
      </c>
      <c r="J143">
        <f ca="1">IFERROR(IF(0=LEN(ReferenceData!$J$143),"",ReferenceData!$J$143),"")</f>
        <v>36.838103447000002</v>
      </c>
      <c r="K143">
        <f ca="1">IFERROR(IF(0=LEN(ReferenceData!$K$143),"",ReferenceData!$K$143),"")</f>
        <v>36.755137925999989</v>
      </c>
      <c r="L143">
        <f ca="1">IFERROR(IF(0=LEN(ReferenceData!$L$143),"",ReferenceData!$L$143),"")</f>
        <v>36.667000000000002</v>
      </c>
      <c r="M143">
        <f ca="1">IFERROR(IF(0=LEN(ReferenceData!$M$143),"",ReferenceData!$M$143),"")</f>
        <v>36.481827588000002</v>
      </c>
      <c r="N143">
        <f ca="1">IFERROR(IF(0=LEN(ReferenceData!$N$143),"",ReferenceData!$N$143),"")</f>
        <v>36.323762449999997</v>
      </c>
      <c r="O143">
        <f ca="1">IFERROR(IF(0=LEN(ReferenceData!$O$143),"",ReferenceData!$O$143),"")</f>
        <v>36.037000000000006</v>
      </c>
      <c r="P143">
        <f ca="1">IFERROR(IF(0=LEN(ReferenceData!$P$143),"",ReferenceData!$P$143),"")</f>
        <v>35.844356325999996</v>
      </c>
      <c r="Q143">
        <f ca="1">IFERROR(IF(0=LEN(ReferenceData!$Q$143),"",ReferenceData!$Q$143),"")</f>
        <v>35.627788463999998</v>
      </c>
      <c r="R143">
        <f ca="1">IFERROR(IF(0=LEN(ReferenceData!$R$143),"",ReferenceData!$R$143),"")</f>
        <v>35.296749999999996</v>
      </c>
      <c r="S143">
        <f ca="1">IFERROR(IF(0=LEN(ReferenceData!$S$143),"",ReferenceData!$S$143),"")</f>
        <v>35.126685827999999</v>
      </c>
      <c r="T143">
        <f ca="1">IFERROR(IF(0=LEN(ReferenceData!$T$143),"",ReferenceData!$T$143),"")</f>
        <v>35.435605364999994</v>
      </c>
      <c r="U143">
        <f ca="1">IFERROR(IF(0=LEN(ReferenceData!$U$143),"",ReferenceData!$U$143),"")</f>
        <v>35.315000000000005</v>
      </c>
      <c r="V143">
        <f ca="1">IFERROR(IF(0=LEN(ReferenceData!$V$143),"",ReferenceData!$V$143),"")</f>
        <v>35.298605363000007</v>
      </c>
      <c r="W143">
        <f ca="1">IFERROR(IF(0=LEN(ReferenceData!$W$143),"",ReferenceData!$W$143),"")</f>
        <v>35.099187743000002</v>
      </c>
      <c r="X143">
        <f ca="1">IFERROR(IF(0=LEN(ReferenceData!$X$143),"",ReferenceData!$X$143),"")</f>
        <v>35.013999999999996</v>
      </c>
      <c r="Y143">
        <f ca="1">IFERROR(IF(0=LEN(ReferenceData!$Y$143),"",ReferenceData!$Y$143),"")</f>
        <v>34.844999995999999</v>
      </c>
      <c r="Z143">
        <f ca="1">IFERROR(IF(0=LEN(ReferenceData!$Z$143),"",ReferenceData!$Z$143),"")</f>
        <v>34.903076929000001</v>
      </c>
      <c r="AA143">
        <f ca="1">IFERROR(IF(0=LEN(ReferenceData!$AA$143),"",ReferenceData!$AA$143),"")</f>
        <v>34.817563216000003</v>
      </c>
      <c r="AB143">
        <f ca="1">IFERROR(IF(0=LEN(ReferenceData!$AB$143),"",ReferenceData!$AB$143),"")</f>
        <v>34.662827583000009</v>
      </c>
      <c r="AC143">
        <f ca="1">IFERROR(IF(0=LEN(ReferenceData!$AC$143),"",ReferenceData!$AC$143),"")</f>
        <v>34.743942307000005</v>
      </c>
      <c r="AD143">
        <f ca="1">IFERROR(IF(0=LEN(ReferenceData!$AD$143),"",ReferenceData!$AD$143),"")</f>
        <v>34.725203062999995</v>
      </c>
      <c r="AE143">
        <f ca="1">IFERROR(IF(0=LEN(ReferenceData!$AE$143),"",ReferenceData!$AE$143),"")</f>
        <v>34.550666661999998</v>
      </c>
      <c r="AF143">
        <f ca="1">IFERROR(IF(0=LEN(ReferenceData!$AF$143),"",ReferenceData!$AF$143),"")</f>
        <v>34.432153846000006</v>
      </c>
      <c r="AG143">
        <f ca="1">IFERROR(IF(0=LEN(ReferenceData!$AG$143),"",ReferenceData!$AG$143),"")</f>
        <v>34.189</v>
      </c>
      <c r="AH143">
        <f ca="1">IFERROR(IF(0=LEN(ReferenceData!$AH$143),"",ReferenceData!$AH$143),"")</f>
        <v>33.522309161000003</v>
      </c>
      <c r="AI143">
        <f ca="1">IFERROR(IF(0=LEN(ReferenceData!$AI$143),"",ReferenceData!$AI$143),"")</f>
        <v>33.270646154000005</v>
      </c>
      <c r="AJ143">
        <f ca="1">IFERROR(IF(0=LEN(ReferenceData!$AJ$143),"",ReferenceData!$AJ$143),"")</f>
        <v>32.896908397999994</v>
      </c>
      <c r="AK143">
        <f ca="1">IFERROR(IF(0=LEN(ReferenceData!$AK$143),"",ReferenceData!$AK$143),"")</f>
        <v>32.413335877999998</v>
      </c>
      <c r="AL143">
        <f ca="1">IFERROR(IF(0=LEN(ReferenceData!$AL$143),"",ReferenceData!$AL$143),"")</f>
        <v>31.919234613999997</v>
      </c>
      <c r="AM143">
        <f ca="1">IFERROR(IF(0=LEN(ReferenceData!$AM$143),"",ReferenceData!$AM$143),"")</f>
        <v>31.600274809999998</v>
      </c>
      <c r="AN143">
        <f ca="1">IFERROR(IF(0=LEN(ReferenceData!$AN$143),"",ReferenceData!$AN$143),"")</f>
        <v>31.357661536999998</v>
      </c>
      <c r="AO143">
        <f ca="1">IFERROR(IF(0=LEN(ReferenceData!$AO$143),"",ReferenceData!$AO$143),"")</f>
        <v>30.98308046</v>
      </c>
      <c r="AP143">
        <f ca="1">IFERROR(IF(0=LEN(ReferenceData!$AP$143),"",ReferenceData!$AP$143),"")</f>
        <v>30.468156489000002</v>
      </c>
      <c r="AQ143">
        <f ca="1">IFERROR(IF(0=LEN(ReferenceData!$AQ$143),"",ReferenceData!$AQ$143),"")</f>
        <v>30.179907692</v>
      </c>
      <c r="AR143">
        <f ca="1">IFERROR(IF(0=LEN(ReferenceData!$AR$143),"",ReferenceData!$AR$143),"")</f>
        <v>29.945153845999997</v>
      </c>
      <c r="AS143">
        <f ca="1">IFERROR(IF(0=LEN(ReferenceData!$AS$143),"",ReferenceData!$AS$143),"")</f>
        <v>29.962000000000003</v>
      </c>
      <c r="AT143">
        <f ca="1">IFERROR(IF(0=LEN(ReferenceData!$AT$143),"",ReferenceData!$AT$143),"")</f>
        <v>29.655938461999998</v>
      </c>
      <c r="AU143">
        <f ca="1">IFERROR(IF(0=LEN(ReferenceData!$AU$143),"",ReferenceData!$AU$143),"")</f>
        <v>29.328461537999999</v>
      </c>
      <c r="AV143">
        <f ca="1">IFERROR(IF(0=LEN(ReferenceData!$AV$143),"",ReferenceData!$AV$143),"")</f>
        <v>29.136160918999998</v>
      </c>
      <c r="AW143">
        <f ca="1">IFERROR(IF(0=LEN(ReferenceData!$AW$143),"",ReferenceData!$AW$143),"")</f>
        <v>29.132630770000002</v>
      </c>
      <c r="AX143">
        <f ca="1">IFERROR(IF(0=LEN(ReferenceData!$AX$143),"",ReferenceData!$AX$143),"")</f>
        <v>28.625402300000001</v>
      </c>
      <c r="AY143">
        <f ca="1">IFERROR(IF(0=LEN(ReferenceData!$AY$143),"",ReferenceData!$AY$143),"")</f>
        <v>28.331080460999999</v>
      </c>
      <c r="AZ143">
        <f ca="1">IFERROR(IF(0=LEN(ReferenceData!$AZ$143),"",ReferenceData!$AZ$143),"")</f>
        <v>27.957488461999997</v>
      </c>
      <c r="BA143">
        <f ca="1">IFERROR(IF(0=LEN(ReferenceData!$BA$143),"",ReferenceData!$BA$143),"")</f>
        <v>27.950321839000001</v>
      </c>
      <c r="BB143">
        <f ca="1">IFERROR(IF(0=LEN(ReferenceData!$BB$143),"",ReferenceData!$BB$143),"")</f>
        <v>28.024559387999997</v>
      </c>
      <c r="BC143">
        <f ca="1">IFERROR(IF(0=LEN(ReferenceData!$BC$143),"",ReferenceData!$BC$143),"")</f>
        <v>27.9</v>
      </c>
      <c r="BD143">
        <f ca="1">IFERROR(IF(0=LEN(ReferenceData!$BD$143),"",ReferenceData!$BD$143),"")</f>
        <v>27.947546154000001</v>
      </c>
      <c r="BE143">
        <f ca="1">IFERROR(IF(0=LEN(ReferenceData!$BE$143),"",ReferenceData!$BE$143),"")</f>
        <v>27.811999999999998</v>
      </c>
      <c r="BF143">
        <f ca="1">IFERROR(IF(0=LEN(ReferenceData!$BF$143),"",ReferenceData!$BF$143),"")</f>
        <v>27.761092308000002</v>
      </c>
      <c r="BG143">
        <f ca="1">IFERROR(IF(0=LEN(ReferenceData!$BG$143),"",ReferenceData!$BG$143),"")</f>
        <v>27.673160921000001</v>
      </c>
      <c r="BH143">
        <f ca="1">IFERROR(IF(0=LEN(ReferenceData!$BH$143),"",ReferenceData!$BH$143),"")</f>
        <v>27.467678162000002</v>
      </c>
      <c r="BI143">
        <f ca="1">IFERROR(IF(0=LEN(ReferenceData!$BI$143),"",ReferenceData!$BI$143),"")</f>
        <v>27.275973077</v>
      </c>
      <c r="BJ143">
        <f ca="1">IFERROR(IF(0=LEN(ReferenceData!$BJ$143),"",ReferenceData!$BJ$143),"")</f>
        <v>26.974559386999999</v>
      </c>
      <c r="BK143">
        <f ca="1">IFERROR(IF(0=LEN(ReferenceData!$BK$143),"",ReferenceData!$BK$143),"")</f>
        <v>26.636815384999998</v>
      </c>
      <c r="BL143">
        <f ca="1">IFERROR(IF(0=LEN(ReferenceData!$BL$143),"",ReferenceData!$BL$143),"")</f>
        <v>26.428646153999999</v>
      </c>
      <c r="BM143">
        <f ca="1">IFERROR(IF(0=LEN(ReferenceData!$BM$143),"",ReferenceData!$BM$143),"")</f>
        <v>26.031762453000002</v>
      </c>
      <c r="BN143">
        <f ca="1">IFERROR(IF(0=LEN(ReferenceData!$BN$143),"",ReferenceData!$BN$143),"")</f>
        <v>25.788138462000003</v>
      </c>
      <c r="BO143">
        <f ca="1">IFERROR(IF(0=LEN(ReferenceData!$BO$143),"",ReferenceData!$BO$143),"")</f>
        <v>25.563873563000005</v>
      </c>
      <c r="BP143">
        <f ca="1">IFERROR(IF(0=LEN(ReferenceData!$BP$143),"",ReferenceData!$BP$143),"")</f>
        <v>25.875517241000001</v>
      </c>
      <c r="BQ143">
        <f ca="1">IFERROR(IF(0=LEN(ReferenceData!$BQ$143),"",ReferenceData!$BQ$143),"")</f>
        <v>25.87</v>
      </c>
      <c r="BR143">
        <f ca="1">IFERROR(IF(0=LEN(ReferenceData!$BR$143),"",ReferenceData!$BR$143),"")</f>
        <v>25.771973076999998</v>
      </c>
      <c r="BS143">
        <f ca="1">IFERROR(IF(0=LEN(ReferenceData!$BS$143),"",ReferenceData!$BS$143),"")</f>
        <v>25.165716475999997</v>
      </c>
      <c r="BT143">
        <f ca="1">IFERROR(IF(0=LEN(ReferenceData!$BT$143),"",ReferenceData!$BT$143),"")</f>
        <v>24.876007691999998</v>
      </c>
      <c r="BU143">
        <f ca="1">IFERROR(IF(0=LEN(ReferenceData!$BU$143),"",ReferenceData!$BU$143),"")</f>
        <v>24.266361538000002</v>
      </c>
      <c r="BV143">
        <f ca="1">IFERROR(IF(0=LEN(ReferenceData!$BV$143),"",ReferenceData!$BV$143),"")</f>
        <v>24.305965516000004</v>
      </c>
      <c r="BW143">
        <f ca="1">IFERROR(IF(0=LEN(ReferenceData!$BW$143),"",ReferenceData!$BW$143),"")</f>
        <v>24.082930769000001</v>
      </c>
      <c r="BX143">
        <f ca="1">IFERROR(IF(0=LEN(ReferenceData!$BX$143),"",ReferenceData!$BX$143),"")</f>
        <v>23.911329502000005</v>
      </c>
      <c r="BY143">
        <f ca="1">IFERROR(IF(0=LEN(ReferenceData!$BY$143),"",ReferenceData!$BY$143),"")</f>
        <v>23.301160921000001</v>
      </c>
      <c r="BZ143">
        <f ca="1">IFERROR(IF(0=LEN(ReferenceData!$BZ$143),"",ReferenceData!$BZ$143),"")</f>
        <v>22.829584616000002</v>
      </c>
      <c r="CA143">
        <f ca="1">IFERROR(IF(0=LEN(ReferenceData!$CA$143),"",ReferenceData!$CA$143),"")</f>
        <v>23.001532568000002</v>
      </c>
      <c r="CB143">
        <f ca="1">IFERROR(IF(0=LEN(ReferenceData!$CB$143),"",ReferenceData!$CB$143),"")</f>
        <v>22.848828244</v>
      </c>
      <c r="CC143">
        <f ca="1">IFERROR(IF(0=LEN(ReferenceData!$CC$143),"",ReferenceData!$CC$143),"")</f>
        <v>22.65</v>
      </c>
      <c r="CD143">
        <f ca="1">IFERROR(IF(0=LEN(ReferenceData!$CD$143),"",ReferenceData!$CD$143),"")</f>
        <v>22.440587787000002</v>
      </c>
      <c r="CE143">
        <f ca="1">IFERROR(IF(0=LEN(ReferenceData!$CE$143),"",ReferenceData!$CE$143),"")</f>
        <v>22.346679390000002</v>
      </c>
      <c r="CF143">
        <f ca="1">IFERROR(IF(0=LEN(ReferenceData!$CF$143),"",ReferenceData!$CF$143),"")</f>
        <v>21.943500000000004</v>
      </c>
      <c r="CG143">
        <f ca="1">IFERROR(IF(0=LEN(ReferenceData!$CG$143),"",ReferenceData!$CG$143),"")</f>
        <v>21.712694658</v>
      </c>
      <c r="CH143">
        <f ca="1">IFERROR(IF(0=LEN(ReferenceData!$CH$143),"",ReferenceData!$CH$143),"")</f>
        <v>21.030499999</v>
      </c>
      <c r="CI143">
        <f ca="1">IFERROR(IF(0=LEN(ReferenceData!$CI$143),"",ReferenceData!$CI$143),"")</f>
        <v>20.916823754999999</v>
      </c>
      <c r="CJ143">
        <f ca="1">IFERROR(IF(0=LEN(ReferenceData!$CJ$143),"",ReferenceData!$CJ$143),"")</f>
        <v>20.505908397000002</v>
      </c>
      <c r="CK143">
        <f ca="1">IFERROR(IF(0=LEN(ReferenceData!$CK$143),"",ReferenceData!$CK$143),"")</f>
        <v>19.981769232000001</v>
      </c>
    </row>
    <row r="144" spans="1:89">
      <c r="A144" t="str">
        <f>IFERROR(IF(0=LEN(ReferenceData!$A$144),"",ReferenceData!$A$144),"")</f>
        <v xml:space="preserve">    Apartment Investment &amp; Managem</v>
      </c>
      <c r="B144" t="str">
        <f>IFERROR(IF(0=LEN(ReferenceData!$B$144),"",ReferenceData!$B$144),"")</f>
        <v>AIV US Equity</v>
      </c>
      <c r="C144" t="str">
        <f>IFERROR(IF(0=LEN(ReferenceData!$C$144),"",ReferenceData!$C$144),"")</f>
        <v>BE895</v>
      </c>
      <c r="D144" t="str">
        <f>IFERROR(IF(0=LEN(ReferenceData!$D$144),"",ReferenceData!$D$144),"")</f>
        <v>BEST_AFFOPS</v>
      </c>
      <c r="E144" t="str">
        <f>IFERROR(IF(0=LEN(ReferenceData!$E$144),"",ReferenceData!$E$144),"")</f>
        <v>动态</v>
      </c>
      <c r="F144">
        <f ca="1">IFERROR(IF(0=LEN(ReferenceData!$F$144),"",ReferenceData!$F$144),"")</f>
        <v>2.1604615379999998</v>
      </c>
      <c r="G144">
        <f ca="1">IFERROR(IF(0=LEN(ReferenceData!$G$144),"",ReferenceData!$G$144),"")</f>
        <v>2.1580689660000001</v>
      </c>
      <c r="H144">
        <f ca="1">IFERROR(IF(0=LEN(ReferenceData!$H$144),"",ReferenceData!$H$144),"")</f>
        <v>2.241130268</v>
      </c>
      <c r="I144">
        <f ca="1">IFERROR(IF(0=LEN(ReferenceData!$I$144),"",ReferenceData!$I$144),"")</f>
        <v>2.238</v>
      </c>
      <c r="J144">
        <f ca="1">IFERROR(IF(0=LEN(ReferenceData!$J$144),"",ReferenceData!$J$144),"")</f>
        <v>2.232137931</v>
      </c>
      <c r="K144">
        <f ca="1">IFERROR(IF(0=LEN(ReferenceData!$K$144),"",ReferenceData!$K$144),"")</f>
        <v>2.2224406129999998</v>
      </c>
      <c r="L144">
        <f ca="1">IFERROR(IF(0=LEN(ReferenceData!$L$144),"",ReferenceData!$L$144),"")</f>
        <v>2.2109999999999999</v>
      </c>
      <c r="M144">
        <f ca="1">IFERROR(IF(0=LEN(ReferenceData!$M$144),"",ReferenceData!$M$144),"")</f>
        <v>2.2048582379999999</v>
      </c>
      <c r="N144">
        <f ca="1">IFERROR(IF(0=LEN(ReferenceData!$N$144),"",ReferenceData!$N$144),"")</f>
        <v>2.2411264370000001</v>
      </c>
      <c r="O144">
        <f ca="1">IFERROR(IF(0=LEN(ReferenceData!$O$144),"",ReferenceData!$O$144),"")</f>
        <v>2.177</v>
      </c>
      <c r="P144">
        <f ca="1">IFERROR(IF(0=LEN(ReferenceData!$P$144),"",ReferenceData!$P$144),"")</f>
        <v>2.1656321840000001</v>
      </c>
      <c r="Q144">
        <f ca="1">IFERROR(IF(0=LEN(ReferenceData!$Q$144),"",ReferenceData!$Q$144),"")</f>
        <v>2.172230769</v>
      </c>
      <c r="R144">
        <f ca="1">IFERROR(IF(0=LEN(ReferenceData!$R$144),"",ReferenceData!$R$144),"")</f>
        <v>2.0927500000000001</v>
      </c>
      <c r="S144">
        <f ca="1">IFERROR(IF(0=LEN(ReferenceData!$S$144),"",ReferenceData!$S$144),"")</f>
        <v>2.0717279689999999</v>
      </c>
      <c r="T144">
        <f ca="1">IFERROR(IF(0=LEN(ReferenceData!$T$144),"",ReferenceData!$T$144),"")</f>
        <v>2.130781609</v>
      </c>
      <c r="U144">
        <f ca="1">IFERROR(IF(0=LEN(ReferenceData!$U$144),"",ReferenceData!$U$144),"")</f>
        <v>2.129</v>
      </c>
      <c r="V144">
        <f ca="1">IFERROR(IF(0=LEN(ReferenceData!$V$144),"",ReferenceData!$V$144),"")</f>
        <v>2.1249118770000002</v>
      </c>
      <c r="W144">
        <f ca="1">IFERROR(IF(0=LEN(ReferenceData!$W$144),"",ReferenceData!$W$144),"")</f>
        <v>2.112183908</v>
      </c>
      <c r="X144">
        <f ca="1">IFERROR(IF(0=LEN(ReferenceData!$X$144),"",ReferenceData!$X$144),"")</f>
        <v>2.1105</v>
      </c>
      <c r="Y144">
        <f ca="1">IFERROR(IF(0=LEN(ReferenceData!$Y$144),"",ReferenceData!$Y$144),"")</f>
        <v>2.0960000000000001</v>
      </c>
      <c r="Z144">
        <f ca="1">IFERROR(IF(0=LEN(ReferenceData!$Z$144),"",ReferenceData!$Z$144),"")</f>
        <v>2.0742692310000002</v>
      </c>
      <c r="AA144">
        <f ca="1">IFERROR(IF(0=LEN(ReferenceData!$AA$144),"",ReferenceData!$AA$144),"")</f>
        <v>2.0616475099999998</v>
      </c>
      <c r="AB144">
        <f ca="1">IFERROR(IF(0=LEN(ReferenceData!$AB$144),"",ReferenceData!$AB$144),"")</f>
        <v>2.0503793099999998</v>
      </c>
      <c r="AC144">
        <f ca="1">IFERROR(IF(0=LEN(ReferenceData!$AC$144),"",ReferenceData!$AC$144),"")</f>
        <v>2.0346923079999999</v>
      </c>
      <c r="AD144">
        <f ca="1">IFERROR(IF(0=LEN(ReferenceData!$AD$144),"",ReferenceData!$AD$144),"")</f>
        <v>2.0521455940000002</v>
      </c>
      <c r="AE144">
        <f ca="1">IFERROR(IF(0=LEN(ReferenceData!$AE$144),"",ReferenceData!$AE$144),"")</f>
        <v>2.0709195399999998</v>
      </c>
      <c r="AF144">
        <f ca="1">IFERROR(IF(0=LEN(ReferenceData!$AF$144),"",ReferenceData!$AF$144),"")</f>
        <v>2.0548461539999998</v>
      </c>
      <c r="AG144">
        <f ca="1">IFERROR(IF(0=LEN(ReferenceData!$AG$144),"",ReferenceData!$AG$144),"")</f>
        <v>2.0499999999999998</v>
      </c>
      <c r="AH144">
        <f ca="1">IFERROR(IF(0=LEN(ReferenceData!$AH$144),"",ReferenceData!$AH$144),"")</f>
        <v>2.034900763</v>
      </c>
      <c r="AI144">
        <f ca="1">IFERROR(IF(0=LEN(ReferenceData!$AI$144),"",ReferenceData!$AI$144),"")</f>
        <v>2.0692769229999999</v>
      </c>
      <c r="AJ144">
        <f ca="1">IFERROR(IF(0=LEN(ReferenceData!$AJ$144),"",ReferenceData!$AJ$144),"")</f>
        <v>2.0282213740000001</v>
      </c>
      <c r="AK144">
        <f ca="1">IFERROR(IF(0=LEN(ReferenceData!$AK$144),"",ReferenceData!$AK$144),"")</f>
        <v>1.979938931</v>
      </c>
      <c r="AL144">
        <f ca="1">IFERROR(IF(0=LEN(ReferenceData!$AL$144),"",ReferenceData!$AL$144),"")</f>
        <v>1.9489846150000001</v>
      </c>
      <c r="AM144">
        <f ca="1">IFERROR(IF(0=LEN(ReferenceData!$AM$144),"",ReferenceData!$AM$144),"")</f>
        <v>1.9419160310000001</v>
      </c>
      <c r="AN144">
        <f ca="1">IFERROR(IF(0=LEN(ReferenceData!$AN$144),"",ReferenceData!$AN$144),"")</f>
        <v>1.9270076920000001</v>
      </c>
      <c r="AO144">
        <f ca="1">IFERROR(IF(0=LEN(ReferenceData!$AO$144),"",ReferenceData!$AO$144),"")</f>
        <v>1.9021072800000001</v>
      </c>
      <c r="AP144">
        <f ca="1">IFERROR(IF(0=LEN(ReferenceData!$AP$144),"",ReferenceData!$AP$144),"")</f>
        <v>1.8961984730000001</v>
      </c>
      <c r="AQ144">
        <f ca="1">IFERROR(IF(0=LEN(ReferenceData!$AQ$144),"",ReferenceData!$AQ$144),"")</f>
        <v>1.873242308</v>
      </c>
      <c r="AR144">
        <f ca="1">IFERROR(IF(0=LEN(ReferenceData!$AR$144),"",ReferenceData!$AR$144),"")</f>
        <v>1.821711538</v>
      </c>
      <c r="AS144">
        <f ca="1">IFERROR(IF(0=LEN(ReferenceData!$AS$144),"",ReferenceData!$AS$144),"")</f>
        <v>1.8360000000000001</v>
      </c>
      <c r="AT144">
        <f ca="1">IFERROR(IF(0=LEN(ReferenceData!$AT$144),"",ReferenceData!$AT$144),"")</f>
        <v>1.8298269229999999</v>
      </c>
      <c r="AU144">
        <f ca="1">IFERROR(IF(0=LEN(ReferenceData!$AU$144),"",ReferenceData!$AU$144),"")</f>
        <v>1.8607269230000001</v>
      </c>
      <c r="AV144">
        <f ca="1">IFERROR(IF(0=LEN(ReferenceData!$AV$144),"",ReferenceData!$AV$144),"")</f>
        <v>1.837482759</v>
      </c>
      <c r="AW144">
        <f ca="1">IFERROR(IF(0=LEN(ReferenceData!$AW$144),"",ReferenceData!$AW$144),"")</f>
        <v>1.8456153850000001</v>
      </c>
      <c r="AX144">
        <f ca="1">IFERROR(IF(0=LEN(ReferenceData!$AX$144),"",ReferenceData!$AX$144),"")</f>
        <v>1.694942529</v>
      </c>
      <c r="AY144">
        <f ca="1">IFERROR(IF(0=LEN(ReferenceData!$AY$144),"",ReferenceData!$AY$144),"")</f>
        <v>1.6596551719999999</v>
      </c>
      <c r="AZ144">
        <f ca="1">IFERROR(IF(0=LEN(ReferenceData!$AZ$144),"",ReferenceData!$AZ$144),"")</f>
        <v>1.689384615</v>
      </c>
      <c r="BA144">
        <f ca="1">IFERROR(IF(0=LEN(ReferenceData!$BA$144),"",ReferenceData!$BA$144),"")</f>
        <v>1.6713793100000001</v>
      </c>
      <c r="BB144">
        <f ca="1">IFERROR(IF(0=LEN(ReferenceData!$BB$144),"",ReferenceData!$BB$144),"")</f>
        <v>1.7350613029999999</v>
      </c>
      <c r="BC144">
        <f ca="1">IFERROR(IF(0=LEN(ReferenceData!$BC$144),"",ReferenceData!$BC$144),"")</f>
        <v>1.7377307689999999</v>
      </c>
      <c r="BD144">
        <f ca="1">IFERROR(IF(0=LEN(ReferenceData!$BD$144),"",ReferenceData!$BD$144),"")</f>
        <v>1.7986923079999999</v>
      </c>
      <c r="BE144">
        <f ca="1">IFERROR(IF(0=LEN(ReferenceData!$BE$144),"",ReferenceData!$BE$144),"")</f>
        <v>1.69</v>
      </c>
      <c r="BF144">
        <f ca="1">IFERROR(IF(0=LEN(ReferenceData!$BF$144),"",ReferenceData!$BF$144),"")</f>
        <v>1.7751923080000001</v>
      </c>
      <c r="BG144">
        <f ca="1">IFERROR(IF(0=LEN(ReferenceData!$BG$144),"",ReferenceData!$BG$144),"")</f>
        <v>1.7244176250000001</v>
      </c>
      <c r="BH144">
        <f ca="1">IFERROR(IF(0=LEN(ReferenceData!$BH$144),"",ReferenceData!$BH$144),"")</f>
        <v>1.7278160920000001</v>
      </c>
      <c r="BI144">
        <f ca="1">IFERROR(IF(0=LEN(ReferenceData!$BI$144),"",ReferenceData!$BI$144),"")</f>
        <v>1.715473077</v>
      </c>
      <c r="BJ144">
        <f ca="1">IFERROR(IF(0=LEN(ReferenceData!$BJ$144),"",ReferenceData!$BJ$144),"")</f>
        <v>1.724827586</v>
      </c>
      <c r="BK144">
        <f ca="1">IFERROR(IF(0=LEN(ReferenceData!$BK$144),"",ReferenceData!$BK$144),"")</f>
        <v>1.7124769230000001</v>
      </c>
      <c r="BL144">
        <f ca="1">IFERROR(IF(0=LEN(ReferenceData!$BL$144),"",ReferenceData!$BL$144),"")</f>
        <v>1.6972461539999999</v>
      </c>
      <c r="BM144">
        <f ca="1">IFERROR(IF(0=LEN(ReferenceData!$BM$144),"",ReferenceData!$BM$144),"")</f>
        <v>1.7278007660000001</v>
      </c>
      <c r="BN144">
        <f ca="1">IFERROR(IF(0=LEN(ReferenceData!$BN$144),"",ReferenceData!$BN$144),"")</f>
        <v>1.715680769</v>
      </c>
      <c r="BO144">
        <f ca="1">IFERROR(IF(0=LEN(ReferenceData!$BO$144),"",ReferenceData!$BO$144),"")</f>
        <v>1.6442796930000001</v>
      </c>
      <c r="BP144">
        <f ca="1">IFERROR(IF(0=LEN(ReferenceData!$BP$144),"",ReferenceData!$BP$144),"")</f>
        <v>1.67591954</v>
      </c>
      <c r="BQ144">
        <f ca="1">IFERROR(IF(0=LEN(ReferenceData!$BQ$144),"",ReferenceData!$BQ$144),"")</f>
        <v>1.655</v>
      </c>
      <c r="BR144">
        <f ca="1">IFERROR(IF(0=LEN(ReferenceData!$BR$144),"",ReferenceData!$BR$144),"")</f>
        <v>1.6337384619999999</v>
      </c>
      <c r="BS144">
        <f ca="1">IFERROR(IF(0=LEN(ReferenceData!$BS$144),"",ReferenceData!$BS$144),"")</f>
        <v>1.5634099619999999</v>
      </c>
      <c r="BT144">
        <f ca="1">IFERROR(IF(0=LEN(ReferenceData!$BT$144),"",ReferenceData!$BT$144),"")</f>
        <v>1.5196076919999999</v>
      </c>
      <c r="BU144">
        <f ca="1">IFERROR(IF(0=LEN(ReferenceData!$BU$144),"",ReferenceData!$BU$144),"")</f>
        <v>1.4967615379999999</v>
      </c>
      <c r="BV144">
        <f ca="1">IFERROR(IF(0=LEN(ReferenceData!$BV$144),"",ReferenceData!$BV$144),"")</f>
        <v>1.4518888889999999</v>
      </c>
      <c r="BW144">
        <f ca="1">IFERROR(IF(0=LEN(ReferenceData!$BW$144),"",ReferenceData!$BW$144),"")</f>
        <v>1.394411538</v>
      </c>
      <c r="BX144">
        <f ca="1">IFERROR(IF(0=LEN(ReferenceData!$BX$144),"",ReferenceData!$BX$144),"")</f>
        <v>1.3774176250000001</v>
      </c>
      <c r="BY144">
        <f ca="1">IFERROR(IF(0=LEN(ReferenceData!$BY$144),"",ReferenceData!$BY$144),"")</f>
        <v>1.2787969349999999</v>
      </c>
      <c r="BZ144">
        <f ca="1">IFERROR(IF(0=LEN(ReferenceData!$BZ$144),"",ReferenceData!$BZ$144),"")</f>
        <v>1.259876923</v>
      </c>
      <c r="CA144">
        <f ca="1">IFERROR(IF(0=LEN(ReferenceData!$CA$144),"",ReferenceData!$CA$144),"")</f>
        <v>1.236586207</v>
      </c>
      <c r="CB144">
        <f ca="1">IFERROR(IF(0=LEN(ReferenceData!$CB$144),"",ReferenceData!$CB$144),"")</f>
        <v>1.2466068699999999</v>
      </c>
      <c r="CC144">
        <f ca="1">IFERROR(IF(0=LEN(ReferenceData!$CC$144),"",ReferenceData!$CC$144),"")</f>
        <v>1.238</v>
      </c>
      <c r="CD144">
        <f ca="1">IFERROR(IF(0=LEN(ReferenceData!$CD$144),"",ReferenceData!$CD$144),"")</f>
        <v>1.2199770990000001</v>
      </c>
      <c r="CE144">
        <f ca="1">IFERROR(IF(0=LEN(ReferenceData!$CE$144),"",ReferenceData!$CE$144),"")</f>
        <v>1.2619465649999999</v>
      </c>
      <c r="CF144">
        <f ca="1">IFERROR(IF(0=LEN(ReferenceData!$CF$144),"",ReferenceData!$CF$144),"")</f>
        <v>1.2515000000000001</v>
      </c>
      <c r="CG144">
        <f ca="1">IFERROR(IF(0=LEN(ReferenceData!$CG$144),"",ReferenceData!$CG$144),"")</f>
        <v>1.2707061070000001</v>
      </c>
      <c r="CH144">
        <f ca="1">IFERROR(IF(0=LEN(ReferenceData!$CH$144),"",ReferenceData!$CH$144),"")</f>
        <v>1.1965769230000001</v>
      </c>
      <c r="CI144">
        <f ca="1">IFERROR(IF(0=LEN(ReferenceData!$CI$144),"",ReferenceData!$CI$144),"")</f>
        <v>1.2255478930000001</v>
      </c>
      <c r="CJ144">
        <f ca="1">IFERROR(IF(0=LEN(ReferenceData!$CJ$144),"",ReferenceData!$CJ$144),"")</f>
        <v>1.065629771</v>
      </c>
      <c r="CK144">
        <f ca="1">IFERROR(IF(0=LEN(ReferenceData!$CK$144),"",ReferenceData!$CK$144),"")</f>
        <v>1.066576923</v>
      </c>
    </row>
    <row r="145" spans="1:89">
      <c r="A145" t="str">
        <f>IFERROR(IF(0=LEN(ReferenceData!$A$145),"",ReferenceData!$A$145),"")</f>
        <v xml:space="preserve">    AvalonBay Communities Inc</v>
      </c>
      <c r="B145" t="str">
        <f>IFERROR(IF(0=LEN(ReferenceData!$B$145),"",ReferenceData!$B$145),"")</f>
        <v>AVB US Equity</v>
      </c>
      <c r="C145" t="str">
        <f>IFERROR(IF(0=LEN(ReferenceData!$C$145),"",ReferenceData!$C$145),"")</f>
        <v>BE895</v>
      </c>
      <c r="D145" t="str">
        <f>IFERROR(IF(0=LEN(ReferenceData!$D$145),"",ReferenceData!$D$145),"")</f>
        <v>BEST_AFFOPS</v>
      </c>
      <c r="E145" t="str">
        <f>IFERROR(IF(0=LEN(ReferenceData!$E$145),"",ReferenceData!$E$145),"")</f>
        <v>动态</v>
      </c>
      <c r="F145">
        <f ca="1">IFERROR(IF(0=LEN(ReferenceData!$F$145),"",ReferenceData!$F$145),"")</f>
        <v>8.5434615380000007</v>
      </c>
      <c r="G145">
        <f ca="1">IFERROR(IF(0=LEN(ReferenceData!$G$145),"",ReferenceData!$G$145),"")</f>
        <v>8.5349463599999993</v>
      </c>
      <c r="H145">
        <f ca="1">IFERROR(IF(0=LEN(ReferenceData!$H$145),"",ReferenceData!$H$145),"")</f>
        <v>8.5858237549999998</v>
      </c>
      <c r="I145">
        <f ca="1">IFERROR(IF(0=LEN(ReferenceData!$I$145),"",ReferenceData!$I$145),"")</f>
        <v>8.5340000000000007</v>
      </c>
      <c r="J145">
        <f ca="1">IFERROR(IF(0=LEN(ReferenceData!$J$145),"",ReferenceData!$J$145),"")</f>
        <v>8.4939080459999996</v>
      </c>
      <c r="K145">
        <f ca="1">IFERROR(IF(0=LEN(ReferenceData!$K$145),"",ReferenceData!$K$145),"")</f>
        <v>8.4687777779999998</v>
      </c>
      <c r="L145">
        <f ca="1">IFERROR(IF(0=LEN(ReferenceData!$L$145),"",ReferenceData!$L$145),"")</f>
        <v>8.4295000000000009</v>
      </c>
      <c r="M145">
        <f ca="1">IFERROR(IF(0=LEN(ReferenceData!$M$145),"",ReferenceData!$M$145),"")</f>
        <v>8.4306666670000006</v>
      </c>
      <c r="N145">
        <f ca="1">IFERROR(IF(0=LEN(ReferenceData!$N$145),"",ReferenceData!$N$145),"")</f>
        <v>8.4189578540000003</v>
      </c>
      <c r="O145">
        <f ca="1">IFERROR(IF(0=LEN(ReferenceData!$O$145),"",ReferenceData!$O$145),"")</f>
        <v>8.3789999999999996</v>
      </c>
      <c r="P145">
        <f ca="1">IFERROR(IF(0=LEN(ReferenceData!$P$145),"",ReferenceData!$P$145),"")</f>
        <v>8.3393601529999994</v>
      </c>
      <c r="Q145">
        <f ca="1">IFERROR(IF(0=LEN(ReferenceData!$Q$145),"",ReferenceData!$Q$145),"")</f>
        <v>8.2469615380000008</v>
      </c>
      <c r="R145">
        <f ca="1">IFERROR(IF(0=LEN(ReferenceData!$R$145),"",ReferenceData!$R$145),"")</f>
        <v>8.2647499999999994</v>
      </c>
      <c r="S145">
        <f ca="1">IFERROR(IF(0=LEN(ReferenceData!$S$145),"",ReferenceData!$S$145),"")</f>
        <v>8.2114789269999999</v>
      </c>
      <c r="T145">
        <f ca="1">IFERROR(IF(0=LEN(ReferenceData!$T$145),"",ReferenceData!$T$145),"")</f>
        <v>8.1751264369999994</v>
      </c>
      <c r="U145">
        <f ca="1">IFERROR(IF(0=LEN(ReferenceData!$U$145),"",ReferenceData!$U$145),"")</f>
        <v>8.1530000000000005</v>
      </c>
      <c r="V145">
        <f ca="1">IFERROR(IF(0=LEN(ReferenceData!$V$145),"",ReferenceData!$V$145),"")</f>
        <v>8.1631302679999997</v>
      </c>
      <c r="W145">
        <f ca="1">IFERROR(IF(0=LEN(ReferenceData!$W$145),"",ReferenceData!$W$145),"")</f>
        <v>8.1089118770000006</v>
      </c>
      <c r="X145">
        <f ca="1">IFERROR(IF(0=LEN(ReferenceData!$X$145),"",ReferenceData!$X$145),"")</f>
        <v>8.1605000000000008</v>
      </c>
      <c r="Y145">
        <f ca="1">IFERROR(IF(0=LEN(ReferenceData!$Y$145),"",ReferenceData!$Y$145),"")</f>
        <v>8.0990000000000002</v>
      </c>
      <c r="Z145">
        <f ca="1">IFERROR(IF(0=LEN(ReferenceData!$Z$145),"",ReferenceData!$Z$145),"")</f>
        <v>8.1205384620000007</v>
      </c>
      <c r="AA145">
        <f ca="1">IFERROR(IF(0=LEN(ReferenceData!$AA$145),"",ReferenceData!$AA$145),"")</f>
        <v>8.1143026819999999</v>
      </c>
      <c r="AB145">
        <f ca="1">IFERROR(IF(0=LEN(ReferenceData!$AB$145),"",ReferenceData!$AB$145),"")</f>
        <v>8.0378965519999994</v>
      </c>
      <c r="AC145">
        <f ca="1">IFERROR(IF(0=LEN(ReferenceData!$AC$145),"",ReferenceData!$AC$145),"")</f>
        <v>7.9357692310000001</v>
      </c>
      <c r="AD145">
        <f ca="1">IFERROR(IF(0=LEN(ReferenceData!$AD$145),"",ReferenceData!$AD$145),"")</f>
        <v>7.990574713</v>
      </c>
      <c r="AE145">
        <f ca="1">IFERROR(IF(0=LEN(ReferenceData!$AE$145),"",ReferenceData!$AE$145),"")</f>
        <v>7.8798275860000002</v>
      </c>
      <c r="AF145">
        <f ca="1">IFERROR(IF(0=LEN(ReferenceData!$AF$145),"",ReferenceData!$AF$145),"")</f>
        <v>7.8244615380000004</v>
      </c>
      <c r="AG145">
        <f ca="1">IFERROR(IF(0=LEN(ReferenceData!$AG$145),"",ReferenceData!$AG$145),"")</f>
        <v>7.7039999999999997</v>
      </c>
      <c r="AH145">
        <f ca="1">IFERROR(IF(0=LEN(ReferenceData!$AH$145),"",ReferenceData!$AH$145),"")</f>
        <v>7.6131870230000001</v>
      </c>
      <c r="AI145">
        <f ca="1">IFERROR(IF(0=LEN(ReferenceData!$AI$145),"",ReferenceData!$AI$145),"")</f>
        <v>7.5629538460000001</v>
      </c>
      <c r="AJ145">
        <f ca="1">IFERROR(IF(0=LEN(ReferenceData!$AJ$145),"",ReferenceData!$AJ$145),"")</f>
        <v>7.4548015269999999</v>
      </c>
      <c r="AK145">
        <f ca="1">IFERROR(IF(0=LEN(ReferenceData!$AK$145),"",ReferenceData!$AK$145),"")</f>
        <v>7.4109770990000001</v>
      </c>
      <c r="AL145">
        <f ca="1">IFERROR(IF(0=LEN(ReferenceData!$AL$145),"",ReferenceData!$AL$145),"")</f>
        <v>7.3138615380000003</v>
      </c>
      <c r="AM145">
        <f ca="1">IFERROR(IF(0=LEN(ReferenceData!$AM$145),"",ReferenceData!$AM$145),"")</f>
        <v>7.2747709919999997</v>
      </c>
      <c r="AN145">
        <f ca="1">IFERROR(IF(0=LEN(ReferenceData!$AN$145),"",ReferenceData!$AN$145),"")</f>
        <v>7.2352384619999999</v>
      </c>
      <c r="AO145">
        <f ca="1">IFERROR(IF(0=LEN(ReferenceData!$AO$145),"",ReferenceData!$AO$145),"")</f>
        <v>7.1948199229999998</v>
      </c>
      <c r="AP145">
        <f ca="1">IFERROR(IF(0=LEN(ReferenceData!$AP$145),"",ReferenceData!$AP$145),"")</f>
        <v>7.0788282440000003</v>
      </c>
      <c r="AQ145">
        <f ca="1">IFERROR(IF(0=LEN(ReferenceData!$AQ$145),"",ReferenceData!$AQ$145),"")</f>
        <v>6.9844807690000001</v>
      </c>
      <c r="AR145">
        <f ca="1">IFERROR(IF(0=LEN(ReferenceData!$AR$145),"",ReferenceData!$AR$145),"")</f>
        <v>6.9510846150000001</v>
      </c>
      <c r="AS145">
        <f ca="1">IFERROR(IF(0=LEN(ReferenceData!$AS$145),"",ReferenceData!$AS$145),"")</f>
        <v>6.9359999999999999</v>
      </c>
      <c r="AT145">
        <f ca="1">IFERROR(IF(0=LEN(ReferenceData!$AT$145),"",ReferenceData!$AT$145),"")</f>
        <v>6.8753153850000004</v>
      </c>
      <c r="AU145">
        <f ca="1">IFERROR(IF(0=LEN(ReferenceData!$AU$145),"",ReferenceData!$AU$145),"")</f>
        <v>6.7903730769999999</v>
      </c>
      <c r="AV145">
        <f ca="1">IFERROR(IF(0=LEN(ReferenceData!$AV$145),"",ReferenceData!$AV$145),"")</f>
        <v>6.6734942530000003</v>
      </c>
      <c r="AW145">
        <f ca="1">IFERROR(IF(0=LEN(ReferenceData!$AW$145),"",ReferenceData!$AW$145),"")</f>
        <v>6.6790923080000004</v>
      </c>
      <c r="AX145">
        <f ca="1">IFERROR(IF(0=LEN(ReferenceData!$AX$145),"",ReferenceData!$AX$145),"")</f>
        <v>6.585609195</v>
      </c>
      <c r="AY145">
        <f ca="1">IFERROR(IF(0=LEN(ReferenceData!$AY$145),"",ReferenceData!$AY$145),"")</f>
        <v>6.5306666670000002</v>
      </c>
      <c r="AZ145">
        <f ca="1">IFERROR(IF(0=LEN(ReferenceData!$AZ$145),"",ReferenceData!$AZ$145),"")</f>
        <v>6.4589769229999998</v>
      </c>
      <c r="BA145">
        <f ca="1">IFERROR(IF(0=LEN(ReferenceData!$BA$145),"",ReferenceData!$BA$145),"")</f>
        <v>6.4119731800000004</v>
      </c>
      <c r="BB145">
        <f ca="1">IFERROR(IF(0=LEN(ReferenceData!$BB$145),"",ReferenceData!$BB$145),"")</f>
        <v>6.4216398469999998</v>
      </c>
      <c r="BC145">
        <f ca="1">IFERROR(IF(0=LEN(ReferenceData!$BC$145),"",ReferenceData!$BC$145),"")</f>
        <v>6.3736230770000004</v>
      </c>
      <c r="BD145">
        <f ca="1">IFERROR(IF(0=LEN(ReferenceData!$BD$145),"",ReferenceData!$BD$145),"")</f>
        <v>6.375607692</v>
      </c>
      <c r="BE145">
        <f ca="1">IFERROR(IF(0=LEN(ReferenceData!$BE$145),"",ReferenceData!$BE$145),"")</f>
        <v>6.3760000000000003</v>
      </c>
      <c r="BF145">
        <f ca="1">IFERROR(IF(0=LEN(ReferenceData!$BF$145),"",ReferenceData!$BF$145),"")</f>
        <v>6.2027923080000003</v>
      </c>
      <c r="BG145">
        <f ca="1">IFERROR(IF(0=LEN(ReferenceData!$BG$145),"",ReferenceData!$BG$145),"")</f>
        <v>6.1818429119999996</v>
      </c>
      <c r="BH145">
        <f ca="1">IFERROR(IF(0=LEN(ReferenceData!$BH$145),"",ReferenceData!$BH$145),"")</f>
        <v>6.1531034480000004</v>
      </c>
      <c r="BI145">
        <f ca="1">IFERROR(IF(0=LEN(ReferenceData!$BI$145),"",ReferenceData!$BI$145),"")</f>
        <v>6.1079884619999998</v>
      </c>
      <c r="BJ145">
        <f ca="1">IFERROR(IF(0=LEN(ReferenceData!$BJ$145),"",ReferenceData!$BJ$145),"")</f>
        <v>5.9770114940000001</v>
      </c>
      <c r="BK145">
        <f ca="1">IFERROR(IF(0=LEN(ReferenceData!$BK$145),"",ReferenceData!$BK$145),"")</f>
        <v>5.8217384619999999</v>
      </c>
      <c r="BL145">
        <f ca="1">IFERROR(IF(0=LEN(ReferenceData!$BL$145),"",ReferenceData!$BL$145),"")</f>
        <v>5.755569231</v>
      </c>
      <c r="BM145">
        <f ca="1">IFERROR(IF(0=LEN(ReferenceData!$BM$145),"",ReferenceData!$BM$145),"")</f>
        <v>5.5677203070000001</v>
      </c>
      <c r="BN145">
        <f ca="1">IFERROR(IF(0=LEN(ReferenceData!$BN$145),"",ReferenceData!$BN$145),"")</f>
        <v>5.5058653849999999</v>
      </c>
      <c r="BO145">
        <f ca="1">IFERROR(IF(0=LEN(ReferenceData!$BO$145),"",ReferenceData!$BO$145),"")</f>
        <v>5.4908160920000002</v>
      </c>
      <c r="BP145">
        <f ca="1">IFERROR(IF(0=LEN(ReferenceData!$BP$145),"",ReferenceData!$BP$145),"")</f>
        <v>5.6769042150000004</v>
      </c>
      <c r="BQ145">
        <f ca="1">IFERROR(IF(0=LEN(ReferenceData!$BQ$145),"",ReferenceData!$BQ$145),"")</f>
        <v>5.8140000000000001</v>
      </c>
      <c r="BR145">
        <f ca="1">IFERROR(IF(0=LEN(ReferenceData!$BR$145),"",ReferenceData!$BR$145),"")</f>
        <v>5.8259846150000003</v>
      </c>
      <c r="BS145">
        <f ca="1">IFERROR(IF(0=LEN(ReferenceData!$BS$145),"",ReferenceData!$BS$145),"")</f>
        <v>5.7784636020000004</v>
      </c>
      <c r="BT145">
        <f ca="1">IFERROR(IF(0=LEN(ReferenceData!$BT$145),"",ReferenceData!$BT$145),"")</f>
        <v>5.6877000000000004</v>
      </c>
      <c r="BU145">
        <f ca="1">IFERROR(IF(0=LEN(ReferenceData!$BU$145),"",ReferenceData!$BU$145),"")</f>
        <v>5.6406999999999998</v>
      </c>
      <c r="BV145">
        <f ca="1">IFERROR(IF(0=LEN(ReferenceData!$BV$145),"",ReferenceData!$BV$145),"")</f>
        <v>5.5207739460000003</v>
      </c>
      <c r="BW145">
        <f ca="1">IFERROR(IF(0=LEN(ReferenceData!$BW$145),"",ReferenceData!$BW$145),"")</f>
        <v>5.4578269229999998</v>
      </c>
      <c r="BX145">
        <f ca="1">IFERROR(IF(0=LEN(ReferenceData!$BX$145),"",ReferenceData!$BX$145),"")</f>
        <v>5.4040842910000002</v>
      </c>
      <c r="BY145">
        <f ca="1">IFERROR(IF(0=LEN(ReferenceData!$BY$145),"",ReferenceData!$BY$145),"")</f>
        <v>5.4137662840000003</v>
      </c>
      <c r="BZ145">
        <f ca="1">IFERROR(IF(0=LEN(ReferenceData!$BZ$145),"",ReferenceData!$BZ$145),"")</f>
        <v>5.2556461539999999</v>
      </c>
      <c r="CA145">
        <f ca="1">IFERROR(IF(0=LEN(ReferenceData!$CA$145),"",ReferenceData!$CA$145),"")</f>
        <v>5.1972183909999998</v>
      </c>
      <c r="CB145">
        <f ca="1">IFERROR(IF(0=LEN(ReferenceData!$CB$145),"",ReferenceData!$CB$145),"")</f>
        <v>5.1966755730000003</v>
      </c>
      <c r="CC145">
        <f ca="1">IFERROR(IF(0=LEN(ReferenceData!$CC$145),"",ReferenceData!$CC$145),"")</f>
        <v>5.2169999999999996</v>
      </c>
      <c r="CD145">
        <f ca="1">IFERROR(IF(0=LEN(ReferenceData!$CD$145),"",ReferenceData!$CD$145),"")</f>
        <v>5.1832671760000002</v>
      </c>
      <c r="CE145">
        <f ca="1">IFERROR(IF(0=LEN(ReferenceData!$CE$145),"",ReferenceData!$CE$145),"")</f>
        <v>5.1736793890000001</v>
      </c>
      <c r="CF145">
        <f ca="1">IFERROR(IF(0=LEN(ReferenceData!$CF$145),"",ReferenceData!$CF$145),"")</f>
        <v>5.0345000000000004</v>
      </c>
      <c r="CG145">
        <f ca="1">IFERROR(IF(0=LEN(ReferenceData!$CG$145),"",ReferenceData!$CG$145),"")</f>
        <v>4.961099237</v>
      </c>
      <c r="CH145">
        <f ca="1">IFERROR(IF(0=LEN(ReferenceData!$CH$145),"",ReferenceData!$CH$145),"")</f>
        <v>4.8326538460000004</v>
      </c>
      <c r="CI145">
        <f ca="1">IFERROR(IF(0=LEN(ReferenceData!$CI$145),"",ReferenceData!$CI$145),"")</f>
        <v>4.8105517239999998</v>
      </c>
      <c r="CJ145">
        <f ca="1">IFERROR(IF(0=LEN(ReferenceData!$CJ$145),"",ReferenceData!$CJ$145),"")</f>
        <v>4.6859809160000001</v>
      </c>
      <c r="CK145">
        <f ca="1">IFERROR(IF(0=LEN(ReferenceData!$CK$145),"",ReferenceData!$CK$145),"")</f>
        <v>4.5968653850000001</v>
      </c>
    </row>
    <row r="146" spans="1:89">
      <c r="A146" t="str">
        <f>IFERROR(IF(0=LEN(ReferenceData!$A$146),"",ReferenceData!$A$146),"")</f>
        <v xml:space="preserve">    Camden Property Trust</v>
      </c>
      <c r="B146" t="str">
        <f>IFERROR(IF(0=LEN(ReferenceData!$B$146),"",ReferenceData!$B$146),"")</f>
        <v>CPT US Equity</v>
      </c>
      <c r="C146" t="str">
        <f>IFERROR(IF(0=LEN(ReferenceData!$C$146),"",ReferenceData!$C$146),"")</f>
        <v>BE895</v>
      </c>
      <c r="D146" t="str">
        <f>IFERROR(IF(0=LEN(ReferenceData!$D$146),"",ReferenceData!$D$146),"")</f>
        <v>BEST_AFFOPS</v>
      </c>
      <c r="E146" t="str">
        <f>IFERROR(IF(0=LEN(ReferenceData!$E$146),"",ReferenceData!$E$146),"")</f>
        <v>动态</v>
      </c>
      <c r="F146">
        <f ca="1">IFERROR(IF(0=LEN(ReferenceData!$F$146),"",ReferenceData!$F$146),"")</f>
        <v>4.1281076920000004</v>
      </c>
      <c r="G146">
        <f ca="1">IFERROR(IF(0=LEN(ReferenceData!$G$146),"",ReferenceData!$G$146),"")</f>
        <v>4.1150919540000004</v>
      </c>
      <c r="H146">
        <f ca="1">IFERROR(IF(0=LEN(ReferenceData!$H$146),"",ReferenceData!$H$146),"")</f>
        <v>4.160517241</v>
      </c>
      <c r="I146">
        <f ca="1">IFERROR(IF(0=LEN(ReferenceData!$I$146),"",ReferenceData!$I$146),"")</f>
        <v>4.1079999999999997</v>
      </c>
      <c r="J146">
        <f ca="1">IFERROR(IF(0=LEN(ReferenceData!$J$146),"",ReferenceData!$J$146),"")</f>
        <v>4.0973103450000004</v>
      </c>
      <c r="K146">
        <f ca="1">IFERROR(IF(0=LEN(ReferenceData!$K$146),"",ReferenceData!$K$146),"")</f>
        <v>4.0331417619999996</v>
      </c>
      <c r="L146">
        <f ca="1">IFERROR(IF(0=LEN(ReferenceData!$L$146),"",ReferenceData!$L$146),"")</f>
        <v>4.056</v>
      </c>
      <c r="M146">
        <f ca="1">IFERROR(IF(0=LEN(ReferenceData!$M$146),"",ReferenceData!$M$146),"")</f>
        <v>4.0201072800000004</v>
      </c>
      <c r="N146">
        <f ca="1">IFERROR(IF(0=LEN(ReferenceData!$N$146),"",ReferenceData!$N$146),"")</f>
        <v>4.0153141760000004</v>
      </c>
      <c r="O146">
        <f ca="1">IFERROR(IF(0=LEN(ReferenceData!$O$146),"",ReferenceData!$O$146),"")</f>
        <v>3.9805000000000001</v>
      </c>
      <c r="P146">
        <f ca="1">IFERROR(IF(0=LEN(ReferenceData!$P$146),"",ReferenceData!$P$146),"")</f>
        <v>3.9600153260000002</v>
      </c>
      <c r="Q146">
        <f ca="1">IFERROR(IF(0=LEN(ReferenceData!$Q$146),"",ReferenceData!$Q$146),"")</f>
        <v>4.0076730769999998</v>
      </c>
      <c r="R146">
        <f ca="1">IFERROR(IF(0=LEN(ReferenceData!$R$146),"",ReferenceData!$R$146),"")</f>
        <v>3.8762500000000002</v>
      </c>
      <c r="S146">
        <f ca="1">IFERROR(IF(0=LEN(ReferenceData!$S$146),"",ReferenceData!$S$146),"")</f>
        <v>3.8630076629999999</v>
      </c>
      <c r="T146">
        <f ca="1">IFERROR(IF(0=LEN(ReferenceData!$T$146),"",ReferenceData!$T$146),"")</f>
        <v>3.967103448</v>
      </c>
      <c r="U146">
        <f ca="1">IFERROR(IF(0=LEN(ReferenceData!$U$146),"",ReferenceData!$U$146),"")</f>
        <v>3.9590000000000001</v>
      </c>
      <c r="V146">
        <f ca="1">IFERROR(IF(0=LEN(ReferenceData!$V$146),"",ReferenceData!$V$146),"")</f>
        <v>3.9365287360000001</v>
      </c>
      <c r="W146">
        <f ca="1">IFERROR(IF(0=LEN(ReferenceData!$W$146),"",ReferenceData!$W$146),"")</f>
        <v>3.884934866</v>
      </c>
      <c r="X146">
        <f ca="1">IFERROR(IF(0=LEN(ReferenceData!$X$146),"",ReferenceData!$X$146),"")</f>
        <v>3.8897499999999998</v>
      </c>
      <c r="Y146">
        <f ca="1">IFERROR(IF(0=LEN(ReferenceData!$Y$146),"",ReferenceData!$Y$146),"")</f>
        <v>3.8873333329999999</v>
      </c>
      <c r="Z146">
        <f ca="1">IFERROR(IF(0=LEN(ReferenceData!$Z$146),"",ReferenceData!$Z$146),"")</f>
        <v>3.8747692310000001</v>
      </c>
      <c r="AA146">
        <f ca="1">IFERROR(IF(0=LEN(ReferenceData!$AA$146),"",ReferenceData!$AA$146),"")</f>
        <v>3.8870421460000002</v>
      </c>
      <c r="AB146">
        <f ca="1">IFERROR(IF(0=LEN(ReferenceData!$AB$146),"",ReferenceData!$AB$146),"")</f>
        <v>3.9197241379999999</v>
      </c>
      <c r="AC146">
        <f ca="1">IFERROR(IF(0=LEN(ReferenceData!$AC$146),"",ReferenceData!$AC$146),"")</f>
        <v>4.1480384619999997</v>
      </c>
      <c r="AD146">
        <f ca="1">IFERROR(IF(0=LEN(ReferenceData!$AD$146),"",ReferenceData!$AD$146),"")</f>
        <v>4.1652873560000003</v>
      </c>
      <c r="AE146">
        <f ca="1">IFERROR(IF(0=LEN(ReferenceData!$AE$146),"",ReferenceData!$AE$146),"")</f>
        <v>4.1498275859999998</v>
      </c>
      <c r="AF146">
        <f ca="1">IFERROR(IF(0=LEN(ReferenceData!$AF$146),"",ReferenceData!$AF$146),"")</f>
        <v>4.1037692310000002</v>
      </c>
      <c r="AG146">
        <f ca="1">IFERROR(IF(0=LEN(ReferenceData!$AG$146),"",ReferenceData!$AG$146),"")</f>
        <v>4.0410000000000004</v>
      </c>
      <c r="AH146">
        <f ca="1">IFERROR(IF(0=LEN(ReferenceData!$AH$146),"",ReferenceData!$AH$146),"")</f>
        <v>4.0372442749999999</v>
      </c>
      <c r="AI146">
        <f ca="1">IFERROR(IF(0=LEN(ReferenceData!$AI$146),"",ReferenceData!$AI$146),"")</f>
        <v>4.0892923080000001</v>
      </c>
      <c r="AJ146">
        <f ca="1">IFERROR(IF(0=LEN(ReferenceData!$AJ$146),"",ReferenceData!$AJ$146),"")</f>
        <v>4.0613740460000001</v>
      </c>
      <c r="AK146">
        <f ca="1">IFERROR(IF(0=LEN(ReferenceData!$AK$146),"",ReferenceData!$AK$146),"")</f>
        <v>4.0393969470000002</v>
      </c>
      <c r="AL146">
        <f ca="1">IFERROR(IF(0=LEN(ReferenceData!$AL$146),"",ReferenceData!$AL$146),"")</f>
        <v>4.0373307690000004</v>
      </c>
      <c r="AM146">
        <f ca="1">IFERROR(IF(0=LEN(ReferenceData!$AM$146),"",ReferenceData!$AM$146),"")</f>
        <v>4.0092595419999997</v>
      </c>
      <c r="AN146">
        <f ca="1">IFERROR(IF(0=LEN(ReferenceData!$AN$146),"",ReferenceData!$AN$146),"")</f>
        <v>3.9812769229999998</v>
      </c>
      <c r="AO146">
        <f ca="1">IFERROR(IF(0=LEN(ReferenceData!$AO$146),"",ReferenceData!$AO$146),"")</f>
        <v>3.904712644</v>
      </c>
      <c r="AP146">
        <f ca="1">IFERROR(IF(0=LEN(ReferenceData!$AP$146),"",ReferenceData!$AP$146),"")</f>
        <v>3.8583053440000001</v>
      </c>
      <c r="AQ146">
        <f ca="1">IFERROR(IF(0=LEN(ReferenceData!$AQ$146),"",ReferenceData!$AQ$146),"")</f>
        <v>3.8676730770000001</v>
      </c>
      <c r="AR146">
        <f ca="1">IFERROR(IF(0=LEN(ReferenceData!$AR$146),"",ReferenceData!$AR$146),"")</f>
        <v>3.8635346149999998</v>
      </c>
      <c r="AS146">
        <f ca="1">IFERROR(IF(0=LEN(ReferenceData!$AS$146),"",ReferenceData!$AS$146),"")</f>
        <v>3.9340000000000002</v>
      </c>
      <c r="AT146">
        <f ca="1">IFERROR(IF(0=LEN(ReferenceData!$AT$146),"",ReferenceData!$AT$146),"")</f>
        <v>3.9075923079999999</v>
      </c>
      <c r="AU146">
        <f ca="1">IFERROR(IF(0=LEN(ReferenceData!$AU$146),"",ReferenceData!$AU$146),"")</f>
        <v>3.8228115379999998</v>
      </c>
      <c r="AV146">
        <f ca="1">IFERROR(IF(0=LEN(ReferenceData!$AV$146),"",ReferenceData!$AV$146),"")</f>
        <v>3.8042528739999999</v>
      </c>
      <c r="AW146">
        <f ca="1">IFERROR(IF(0=LEN(ReferenceData!$AW$146),"",ReferenceData!$AW$146),"")</f>
        <v>3.7701692310000001</v>
      </c>
      <c r="AX146">
        <f ca="1">IFERROR(IF(0=LEN(ReferenceData!$AX$146),"",ReferenceData!$AX$146),"")</f>
        <v>3.746869732</v>
      </c>
      <c r="AY146">
        <f ca="1">IFERROR(IF(0=LEN(ReferenceData!$AY$146),"",ReferenceData!$AY$146),"")</f>
        <v>3.6703678160000002</v>
      </c>
      <c r="AZ146">
        <f ca="1">IFERROR(IF(0=LEN(ReferenceData!$AZ$146),"",ReferenceData!$AZ$146),"")</f>
        <v>3.6373653849999998</v>
      </c>
      <c r="BA146">
        <f ca="1">IFERROR(IF(0=LEN(ReferenceData!$BA$146),"",ReferenceData!$BA$146),"")</f>
        <v>3.652490421</v>
      </c>
      <c r="BB146">
        <f ca="1">IFERROR(IF(0=LEN(ReferenceData!$BB$146),"",ReferenceData!$BB$146),"")</f>
        <v>3.7000229889999998</v>
      </c>
      <c r="BC146">
        <f ca="1">IFERROR(IF(0=LEN(ReferenceData!$BC$146),"",ReferenceData!$BC$146),"")</f>
        <v>3.6471230769999998</v>
      </c>
      <c r="BD146">
        <f ca="1">IFERROR(IF(0=LEN(ReferenceData!$BD$146),"",ReferenceData!$BD$146),"")</f>
        <v>3.6587153849999998</v>
      </c>
      <c r="BE146">
        <f ca="1">IFERROR(IF(0=LEN(ReferenceData!$BE$146),"",ReferenceData!$BE$146),"")</f>
        <v>3.7229999999999999</v>
      </c>
      <c r="BF146">
        <f ca="1">IFERROR(IF(0=LEN(ReferenceData!$BF$146),"",ReferenceData!$BF$146),"")</f>
        <v>3.7243692309999998</v>
      </c>
      <c r="BG146">
        <f ca="1">IFERROR(IF(0=LEN(ReferenceData!$BG$146),"",ReferenceData!$BG$146),"")</f>
        <v>3.7186704979999998</v>
      </c>
      <c r="BH146">
        <f ca="1">IFERROR(IF(0=LEN(ReferenceData!$BH$146),"",ReferenceData!$BH$146),"")</f>
        <v>3.7044367820000002</v>
      </c>
      <c r="BI146">
        <f ca="1">IFERROR(IF(0=LEN(ReferenceData!$BI$146),"",ReferenceData!$BI$146),"")</f>
        <v>3.681303846</v>
      </c>
      <c r="BJ146">
        <f ca="1">IFERROR(IF(0=LEN(ReferenceData!$BJ$146),"",ReferenceData!$BJ$146),"")</f>
        <v>3.6542183910000001</v>
      </c>
      <c r="BK146">
        <f ca="1">IFERROR(IF(0=LEN(ReferenceData!$BK$146),"",ReferenceData!$BK$146),"")</f>
        <v>3.6047076919999999</v>
      </c>
      <c r="BL146">
        <f ca="1">IFERROR(IF(0=LEN(ReferenceData!$BL$146),"",ReferenceData!$BL$146),"")</f>
        <v>3.5823692309999999</v>
      </c>
      <c r="BM146">
        <f ca="1">IFERROR(IF(0=LEN(ReferenceData!$BM$146),"",ReferenceData!$BM$146),"")</f>
        <v>3.5184636020000002</v>
      </c>
      <c r="BN146">
        <f ca="1">IFERROR(IF(0=LEN(ReferenceData!$BN$146),"",ReferenceData!$BN$146),"")</f>
        <v>3.3981153850000001</v>
      </c>
      <c r="BO146">
        <f ca="1">IFERROR(IF(0=LEN(ReferenceData!$BO$146),"",ReferenceData!$BO$146),"")</f>
        <v>3.4007547890000001</v>
      </c>
      <c r="BP146">
        <f ca="1">IFERROR(IF(0=LEN(ReferenceData!$BP$146),"",ReferenceData!$BP$146),"")</f>
        <v>3.4669923370000002</v>
      </c>
      <c r="BQ146">
        <f ca="1">IFERROR(IF(0=LEN(ReferenceData!$BQ$146),"",ReferenceData!$BQ$146),"")</f>
        <v>3.4510000000000001</v>
      </c>
      <c r="BR146">
        <f ca="1">IFERROR(IF(0=LEN(ReferenceData!$BR$146),"",ReferenceData!$BR$146),"")</f>
        <v>3.4065884620000002</v>
      </c>
      <c r="BS146">
        <f ca="1">IFERROR(IF(0=LEN(ReferenceData!$BS$146),"",ReferenceData!$BS$146),"")</f>
        <v>3.2100459770000001</v>
      </c>
      <c r="BT146">
        <f ca="1">IFERROR(IF(0=LEN(ReferenceData!$BT$146),"",ReferenceData!$BT$146),"")</f>
        <v>3.1906230770000001</v>
      </c>
      <c r="BU146">
        <f ca="1">IFERROR(IF(0=LEN(ReferenceData!$BU$146),"",ReferenceData!$BU$146),"")</f>
        <v>3.1680846150000002</v>
      </c>
      <c r="BV146">
        <f ca="1">IFERROR(IF(0=LEN(ReferenceData!$BV$146),"",ReferenceData!$BV$146),"")</f>
        <v>3.1251839079999999</v>
      </c>
      <c r="BW146">
        <f ca="1">IFERROR(IF(0=LEN(ReferenceData!$BW$146),"",ReferenceData!$BW$146),"")</f>
        <v>3.0947307689999999</v>
      </c>
      <c r="BX146">
        <f ca="1">IFERROR(IF(0=LEN(ReferenceData!$BX$146),"",ReferenceData!$BX$146),"")</f>
        <v>3.0688160920000001</v>
      </c>
      <c r="BY146">
        <f ca="1">IFERROR(IF(0=LEN(ReferenceData!$BY$146),"",ReferenceData!$BY$146),"")</f>
        <v>3.0554750959999999</v>
      </c>
      <c r="BZ146">
        <f ca="1">IFERROR(IF(0=LEN(ReferenceData!$BZ$146),"",ReferenceData!$BZ$146),"")</f>
        <v>2.9620153849999999</v>
      </c>
      <c r="CA146">
        <f ca="1">IFERROR(IF(0=LEN(ReferenceData!$CA$146),"",ReferenceData!$CA$146),"")</f>
        <v>2.9492260539999999</v>
      </c>
      <c r="CB146">
        <f ca="1">IFERROR(IF(0=LEN(ReferenceData!$CB$146),"",ReferenceData!$CB$146),"")</f>
        <v>2.9172519079999999</v>
      </c>
      <c r="CC146">
        <f ca="1">IFERROR(IF(0=LEN(ReferenceData!$CC$146),"",ReferenceData!$CC$146),"")</f>
        <v>2.964</v>
      </c>
      <c r="CD146">
        <f ca="1">IFERROR(IF(0=LEN(ReferenceData!$CD$146),"",ReferenceData!$CD$146),"")</f>
        <v>2.8898549619999998</v>
      </c>
      <c r="CE146">
        <f ca="1">IFERROR(IF(0=LEN(ReferenceData!$CE$146),"",ReferenceData!$CE$146),"")</f>
        <v>2.850206107</v>
      </c>
      <c r="CF146">
        <f ca="1">IFERROR(IF(0=LEN(ReferenceData!$CF$146),"",ReferenceData!$CF$146),"")</f>
        <v>2.7959999999999998</v>
      </c>
      <c r="CG146">
        <f ca="1">IFERROR(IF(0=LEN(ReferenceData!$CG$146),"",ReferenceData!$CG$146),"")</f>
        <v>2.7650992369999998</v>
      </c>
      <c r="CH146">
        <f ca="1">IFERROR(IF(0=LEN(ReferenceData!$CH$146),"",ReferenceData!$CH$146),"")</f>
        <v>2.6388846149999998</v>
      </c>
      <c r="CI146">
        <f ca="1">IFERROR(IF(0=LEN(ReferenceData!$CI$146),"",ReferenceData!$CI$146),"")</f>
        <v>2.6093908049999999</v>
      </c>
      <c r="CJ146">
        <f ca="1">IFERROR(IF(0=LEN(ReferenceData!$CJ$146),"",ReferenceData!$CJ$146),"")</f>
        <v>2.5934236639999999</v>
      </c>
      <c r="CK146">
        <f ca="1">IFERROR(IF(0=LEN(ReferenceData!$CK$146),"",ReferenceData!$CK$146),"")</f>
        <v>2.4902884620000001</v>
      </c>
    </row>
    <row r="147" spans="1:89">
      <c r="A147" t="str">
        <f>IFERROR(IF(0=LEN(ReferenceData!$A$147),"",ReferenceData!$A$147),"")</f>
        <v xml:space="preserve">    Equity Residential</v>
      </c>
      <c r="B147" t="str">
        <f>IFERROR(IF(0=LEN(ReferenceData!$B$147),"",ReferenceData!$B$147),"")</f>
        <v>EQR US Equity</v>
      </c>
      <c r="C147" t="str">
        <f>IFERROR(IF(0=LEN(ReferenceData!$C$147),"",ReferenceData!$C$147),"")</f>
        <v>BE895</v>
      </c>
      <c r="D147" t="str">
        <f>IFERROR(IF(0=LEN(ReferenceData!$D$147),"",ReferenceData!$D$147),"")</f>
        <v>BEST_AFFOPS</v>
      </c>
      <c r="E147" t="str">
        <f>IFERROR(IF(0=LEN(ReferenceData!$E$147),"",ReferenceData!$E$147),"")</f>
        <v>动态</v>
      </c>
      <c r="F147">
        <f ca="1">IFERROR(IF(0=LEN(ReferenceData!$F$147),"",ReferenceData!$F$147),"")</f>
        <v>2.8454461539999998</v>
      </c>
      <c r="G147">
        <f ca="1">IFERROR(IF(0=LEN(ReferenceData!$G$147),"",ReferenceData!$G$147),"")</f>
        <v>2.85540613</v>
      </c>
      <c r="H147">
        <f ca="1">IFERROR(IF(0=LEN(ReferenceData!$H$147),"",ReferenceData!$H$147),"")</f>
        <v>2.864628352</v>
      </c>
      <c r="I147">
        <f ca="1">IFERROR(IF(0=LEN(ReferenceData!$I$147),"",ReferenceData!$I$147),"")</f>
        <v>2.863</v>
      </c>
      <c r="J147">
        <f ca="1">IFERROR(IF(0=LEN(ReferenceData!$J$147),"",ReferenceData!$J$147),"")</f>
        <v>2.8347356320000001</v>
      </c>
      <c r="K147">
        <f ca="1">IFERROR(IF(0=LEN(ReferenceData!$K$147),"",ReferenceData!$K$147),"")</f>
        <v>2.846770115</v>
      </c>
      <c r="L147">
        <f ca="1">IFERROR(IF(0=LEN(ReferenceData!$L$147),"",ReferenceData!$L$147),"")</f>
        <v>2.85425</v>
      </c>
      <c r="M147">
        <f ca="1">IFERROR(IF(0=LEN(ReferenceData!$M$147),"",ReferenceData!$M$147),"")</f>
        <v>2.8479501919999999</v>
      </c>
      <c r="N147">
        <f ca="1">IFERROR(IF(0=LEN(ReferenceData!$N$147),"",ReferenceData!$N$147),"")</f>
        <v>2.8089808430000001</v>
      </c>
      <c r="O147">
        <f ca="1">IFERROR(IF(0=LEN(ReferenceData!$O$147),"",ReferenceData!$O$147),"")</f>
        <v>2.8134999999999999</v>
      </c>
      <c r="P147">
        <f ca="1">IFERROR(IF(0=LEN(ReferenceData!$P$147),"",ReferenceData!$P$147),"")</f>
        <v>2.7994674329999998</v>
      </c>
      <c r="Q147">
        <f ca="1">IFERROR(IF(0=LEN(ReferenceData!$Q$147),"",ReferenceData!$Q$147),"")</f>
        <v>2.8057692310000002</v>
      </c>
      <c r="R147">
        <f ca="1">IFERROR(IF(0=LEN(ReferenceData!$R$147),"",ReferenceData!$R$147),"")</f>
        <v>2.76925</v>
      </c>
      <c r="S147">
        <f ca="1">IFERROR(IF(0=LEN(ReferenceData!$S$147),"",ReferenceData!$S$147),"")</f>
        <v>2.778996169</v>
      </c>
      <c r="T147">
        <f ca="1">IFERROR(IF(0=LEN(ReferenceData!$T$147),"",ReferenceData!$T$147),"")</f>
        <v>2.8323065129999998</v>
      </c>
      <c r="U147">
        <f ca="1">IFERROR(IF(0=LEN(ReferenceData!$U$147),"",ReferenceData!$U$147),"")</f>
        <v>2.8260000000000001</v>
      </c>
      <c r="V147">
        <f ca="1">IFERROR(IF(0=LEN(ReferenceData!$V$147),"",ReferenceData!$V$147),"")</f>
        <v>2.8056551719999998</v>
      </c>
      <c r="W147">
        <f ca="1">IFERROR(IF(0=LEN(ReferenceData!$W$147),"",ReferenceData!$W$147),"")</f>
        <v>2.8024674329999999</v>
      </c>
      <c r="X147">
        <f ca="1">IFERROR(IF(0=LEN(ReferenceData!$X$147),"",ReferenceData!$X$147),"")</f>
        <v>2.7974999999999999</v>
      </c>
      <c r="Y147">
        <f ca="1">IFERROR(IF(0=LEN(ReferenceData!$Y$147),"",ReferenceData!$Y$147),"")</f>
        <v>2.8069999999999999</v>
      </c>
      <c r="Z147">
        <f ca="1">IFERROR(IF(0=LEN(ReferenceData!$Z$147),"",ReferenceData!$Z$147),"")</f>
        <v>2.8250384620000002</v>
      </c>
      <c r="AA147">
        <f ca="1">IFERROR(IF(0=LEN(ReferenceData!$AA$147),"",ReferenceData!$AA$147),"")</f>
        <v>2.8866551720000002</v>
      </c>
      <c r="AB147">
        <f ca="1">IFERROR(IF(0=LEN(ReferenceData!$AB$147),"",ReferenceData!$AB$147),"")</f>
        <v>2.898413793</v>
      </c>
      <c r="AC147">
        <f ca="1">IFERROR(IF(0=LEN(ReferenceData!$AC$147),"",ReferenceData!$AC$147),"")</f>
        <v>2.8820384620000001</v>
      </c>
      <c r="AD147">
        <f ca="1">IFERROR(IF(0=LEN(ReferenceData!$AD$147),"",ReferenceData!$AD$147),"")</f>
        <v>2.9096130269999998</v>
      </c>
      <c r="AE147">
        <f ca="1">IFERROR(IF(0=LEN(ReferenceData!$AE$147),"",ReferenceData!$AE$147),"")</f>
        <v>2.9154022990000001</v>
      </c>
      <c r="AF147">
        <f ca="1">IFERROR(IF(0=LEN(ReferenceData!$AF$147),"",ReferenceData!$AF$147),"")</f>
        <v>3.0467692309999999</v>
      </c>
      <c r="AG147">
        <f ca="1">IFERROR(IF(0=LEN(ReferenceData!$AG$147),"",ReferenceData!$AG$147),"")</f>
        <v>3.0249999999999999</v>
      </c>
      <c r="AH147">
        <f ca="1">IFERROR(IF(0=LEN(ReferenceData!$AH$147),"",ReferenceData!$AH$147),"")</f>
        <v>3.0761946560000002</v>
      </c>
      <c r="AI147">
        <f ca="1">IFERROR(IF(0=LEN(ReferenceData!$AI$147),"",ReferenceData!$AI$147),"")</f>
        <v>3.1127076919999999</v>
      </c>
      <c r="AJ147">
        <f ca="1">IFERROR(IF(0=LEN(ReferenceData!$AJ$147),"",ReferenceData!$AJ$147),"")</f>
        <v>3.2956946559999998</v>
      </c>
      <c r="AK147">
        <f ca="1">IFERROR(IF(0=LEN(ReferenceData!$AK$147),"",ReferenceData!$AK$147),"")</f>
        <v>3.2109236640000001</v>
      </c>
      <c r="AL147">
        <f ca="1">IFERROR(IF(0=LEN(ReferenceData!$AL$147),"",ReferenceData!$AL$147),"")</f>
        <v>3.1495846150000002</v>
      </c>
      <c r="AM147">
        <f ca="1">IFERROR(IF(0=LEN(ReferenceData!$AM$147),"",ReferenceData!$AM$147),"")</f>
        <v>3.0821526719999999</v>
      </c>
      <c r="AN147">
        <f ca="1">IFERROR(IF(0=LEN(ReferenceData!$AN$147),"",ReferenceData!$AN$147),"")</f>
        <v>3.079507692</v>
      </c>
      <c r="AO147">
        <f ca="1">IFERROR(IF(0=LEN(ReferenceData!$AO$147),"",ReferenceData!$AO$147),"")</f>
        <v>3.0143218389999999</v>
      </c>
      <c r="AP147">
        <f ca="1">IFERROR(IF(0=LEN(ReferenceData!$AP$147),"",ReferenceData!$AP$147),"")</f>
        <v>2.849805344</v>
      </c>
      <c r="AQ147">
        <f ca="1">IFERROR(IF(0=LEN(ReferenceData!$AQ$147),"",ReferenceData!$AQ$147),"")</f>
        <v>2.9054269229999998</v>
      </c>
      <c r="AR147">
        <f ca="1">IFERROR(IF(0=LEN(ReferenceData!$AR$147),"",ReferenceData!$AR$147),"")</f>
        <v>2.9032153850000002</v>
      </c>
      <c r="AS147">
        <f ca="1">IFERROR(IF(0=LEN(ReferenceData!$AS$147),"",ReferenceData!$AS$147),"")</f>
        <v>2.9220000000000002</v>
      </c>
      <c r="AT147">
        <f ca="1">IFERROR(IF(0=LEN(ReferenceData!$AT$147),"",ReferenceData!$AT$147),"")</f>
        <v>2.8747692310000001</v>
      </c>
      <c r="AU147">
        <f ca="1">IFERROR(IF(0=LEN(ReferenceData!$AU$147),"",ReferenceData!$AU$147),"")</f>
        <v>2.870165385</v>
      </c>
      <c r="AV147">
        <f ca="1">IFERROR(IF(0=LEN(ReferenceData!$AV$147),"",ReferenceData!$AV$147),"")</f>
        <v>2.870057471</v>
      </c>
      <c r="AW147">
        <f ca="1">IFERROR(IF(0=LEN(ReferenceData!$AW$147),"",ReferenceData!$AW$147),"")</f>
        <v>2.9413230769999998</v>
      </c>
      <c r="AX147">
        <f ca="1">IFERROR(IF(0=LEN(ReferenceData!$AX$147),"",ReferenceData!$AX$147),"")</f>
        <v>2.9298467430000001</v>
      </c>
      <c r="AY147">
        <f ca="1">IFERROR(IF(0=LEN(ReferenceData!$AY$147),"",ReferenceData!$AY$147),"")</f>
        <v>2.8991609199999999</v>
      </c>
      <c r="AZ147">
        <f ca="1">IFERROR(IF(0=LEN(ReferenceData!$AZ$147),"",ReferenceData!$AZ$147),"")</f>
        <v>2.85765</v>
      </c>
      <c r="BA147">
        <f ca="1">IFERROR(IF(0=LEN(ReferenceData!$BA$147),"",ReferenceData!$BA$147),"")</f>
        <v>2.8584099620000001</v>
      </c>
      <c r="BB147">
        <f ca="1">IFERROR(IF(0=LEN(ReferenceData!$BB$147),"",ReferenceData!$BB$147),"")</f>
        <v>2.859662835</v>
      </c>
      <c r="BC147">
        <f ca="1">IFERROR(IF(0=LEN(ReferenceData!$BC$147),"",ReferenceData!$BC$147),"")</f>
        <v>2.8397615379999999</v>
      </c>
      <c r="BD147">
        <f ca="1">IFERROR(IF(0=LEN(ReferenceData!$BD$147),"",ReferenceData!$BD$147),"")</f>
        <v>2.8451230769999998</v>
      </c>
      <c r="BE147">
        <f ca="1">IFERROR(IF(0=LEN(ReferenceData!$BE$147),"",ReferenceData!$BE$147),"")</f>
        <v>2.8650000000000002</v>
      </c>
      <c r="BF147">
        <f ca="1">IFERROR(IF(0=LEN(ReferenceData!$BF$147),"",ReferenceData!$BF$147),"")</f>
        <v>2.825223077</v>
      </c>
      <c r="BG147">
        <f ca="1">IFERROR(IF(0=LEN(ReferenceData!$BG$147),"",ReferenceData!$BG$147),"")</f>
        <v>2.7741340999999999</v>
      </c>
      <c r="BH147">
        <f ca="1">IFERROR(IF(0=LEN(ReferenceData!$BH$147),"",ReferenceData!$BH$147),"")</f>
        <v>2.7355747130000001</v>
      </c>
      <c r="BI147">
        <f ca="1">IFERROR(IF(0=LEN(ReferenceData!$BI$147),"",ReferenceData!$BI$147),"")</f>
        <v>2.7058038459999998</v>
      </c>
      <c r="BJ147">
        <f ca="1">IFERROR(IF(0=LEN(ReferenceData!$BJ$147),"",ReferenceData!$BJ$147),"")</f>
        <v>2.6771915709999998</v>
      </c>
      <c r="BK147">
        <f ca="1">IFERROR(IF(0=LEN(ReferenceData!$BK$147),"",ReferenceData!$BK$147),"")</f>
        <v>2.6408461540000001</v>
      </c>
      <c r="BL147">
        <f ca="1">IFERROR(IF(0=LEN(ReferenceData!$BL$147),"",ReferenceData!$BL$147),"")</f>
        <v>2.608476923</v>
      </c>
      <c r="BM147">
        <f ca="1">IFERROR(IF(0=LEN(ReferenceData!$BM$147),"",ReferenceData!$BM$147),"")</f>
        <v>2.5705172410000001</v>
      </c>
      <c r="BN147">
        <f ca="1">IFERROR(IF(0=LEN(ReferenceData!$BN$147),"",ReferenceData!$BN$147),"")</f>
        <v>2.6014807690000001</v>
      </c>
      <c r="BO147">
        <f ca="1">IFERROR(IF(0=LEN(ReferenceData!$BO$147),"",ReferenceData!$BO$147),"")</f>
        <v>2.5723409959999999</v>
      </c>
      <c r="BP147">
        <f ca="1">IFERROR(IF(0=LEN(ReferenceData!$BP$147),"",ReferenceData!$BP$147),"")</f>
        <v>2.7138850570000002</v>
      </c>
      <c r="BQ147">
        <f ca="1">IFERROR(IF(0=LEN(ReferenceData!$BQ$147),"",ReferenceData!$BQ$147),"")</f>
        <v>2.7210000000000001</v>
      </c>
      <c r="BR147">
        <f ca="1">IFERROR(IF(0=LEN(ReferenceData!$BR$147),"",ReferenceData!$BR$147),"")</f>
        <v>2.7215961540000002</v>
      </c>
      <c r="BS147">
        <f ca="1">IFERROR(IF(0=LEN(ReferenceData!$BS$147),"",ReferenceData!$BS$147),"")</f>
        <v>2.6433409960000001</v>
      </c>
      <c r="BT147">
        <f ca="1">IFERROR(IF(0=LEN(ReferenceData!$BT$147),"",ReferenceData!$BT$147),"")</f>
        <v>2.6213153849999999</v>
      </c>
      <c r="BU147">
        <f ca="1">IFERROR(IF(0=LEN(ReferenceData!$BU$147),"",ReferenceData!$BU$147),"")</f>
        <v>2.6302846149999999</v>
      </c>
      <c r="BV147">
        <f ca="1">IFERROR(IF(0=LEN(ReferenceData!$BV$147),"",ReferenceData!$BV$147),"")</f>
        <v>2.6059348660000001</v>
      </c>
      <c r="BW147">
        <f ca="1">IFERROR(IF(0=LEN(ReferenceData!$BW$147),"",ReferenceData!$BW$147),"")</f>
        <v>2.5755884619999998</v>
      </c>
      <c r="BX147">
        <f ca="1">IFERROR(IF(0=LEN(ReferenceData!$BX$147),"",ReferenceData!$BX$147),"")</f>
        <v>2.5636360150000002</v>
      </c>
      <c r="BY147">
        <f ca="1">IFERROR(IF(0=LEN(ReferenceData!$BY$147),"",ReferenceData!$BY$147),"")</f>
        <v>2.5613180080000002</v>
      </c>
      <c r="BZ147">
        <f ca="1">IFERROR(IF(0=LEN(ReferenceData!$BZ$147),"",ReferenceData!$BZ$147),"")</f>
        <v>2.505815385</v>
      </c>
      <c r="CA147">
        <f ca="1">IFERROR(IF(0=LEN(ReferenceData!$CA$147),"",ReferenceData!$CA$147),"")</f>
        <v>2.509375479</v>
      </c>
      <c r="CB147">
        <f ca="1">IFERROR(IF(0=LEN(ReferenceData!$CB$147),"",ReferenceData!$CB$147),"")</f>
        <v>2.527385496</v>
      </c>
      <c r="CC147">
        <f ca="1">IFERROR(IF(0=LEN(ReferenceData!$CC$147),"",ReferenceData!$CC$147),"")</f>
        <v>2.4910000000000001</v>
      </c>
      <c r="CD147">
        <f ca="1">IFERROR(IF(0=LEN(ReferenceData!$CD$147),"",ReferenceData!$CD$147),"")</f>
        <v>2.5224274809999998</v>
      </c>
      <c r="CE147">
        <f ca="1">IFERROR(IF(0=LEN(ReferenceData!$CE$147),"",ReferenceData!$CE$147),"")</f>
        <v>2.4917175569999999</v>
      </c>
      <c r="CF147">
        <f ca="1">IFERROR(IF(0=LEN(ReferenceData!$CF$147),"",ReferenceData!$CF$147),"")</f>
        <v>2.464</v>
      </c>
      <c r="CG147">
        <f ca="1">IFERROR(IF(0=LEN(ReferenceData!$CG$147),"",ReferenceData!$CG$147),"")</f>
        <v>2.4397824429999999</v>
      </c>
      <c r="CH147">
        <f ca="1">IFERROR(IF(0=LEN(ReferenceData!$CH$147),"",ReferenceData!$CH$147),"")</f>
        <v>2.3858076920000002</v>
      </c>
      <c r="CI147">
        <f ca="1">IFERROR(IF(0=LEN(ReferenceData!$CI$147),"",ReferenceData!$CI$147),"")</f>
        <v>2.3943793100000001</v>
      </c>
      <c r="CJ147">
        <f ca="1">IFERROR(IF(0=LEN(ReferenceData!$CJ$147),"",ReferenceData!$CJ$147),"")</f>
        <v>2.3811297709999999</v>
      </c>
      <c r="CK147">
        <f ca="1">IFERROR(IF(0=LEN(ReferenceData!$CK$147),"",ReferenceData!$CK$147),"")</f>
        <v>2.3271153849999999</v>
      </c>
    </row>
    <row r="148" spans="1:89">
      <c r="A148" t="str">
        <f>IFERROR(IF(0=LEN(ReferenceData!$A$148),"",ReferenceData!$A$148),"")</f>
        <v xml:space="preserve">    Essex Property Trust Inc</v>
      </c>
      <c r="B148" t="str">
        <f>IFERROR(IF(0=LEN(ReferenceData!$B$148),"",ReferenceData!$B$148),"")</f>
        <v>ESS US Equity</v>
      </c>
      <c r="C148" t="str">
        <f>IFERROR(IF(0=LEN(ReferenceData!$C$148),"",ReferenceData!$C$148),"")</f>
        <v>BE895</v>
      </c>
      <c r="D148" t="str">
        <f>IFERROR(IF(0=LEN(ReferenceData!$D$148),"",ReferenceData!$D$148),"")</f>
        <v>BEST_AFFOPS</v>
      </c>
      <c r="E148" t="str">
        <f>IFERROR(IF(0=LEN(ReferenceData!$E$148),"",ReferenceData!$E$148),"")</f>
        <v>动态</v>
      </c>
      <c r="F148">
        <f ca="1">IFERROR(IF(0=LEN(ReferenceData!$F$148),"",ReferenceData!$F$148),"")</f>
        <v>11.487015380000001</v>
      </c>
      <c r="G148">
        <f ca="1">IFERROR(IF(0=LEN(ReferenceData!$G$148),"",ReferenceData!$G$148),"")</f>
        <v>11.39484674</v>
      </c>
      <c r="H148">
        <f ca="1">IFERROR(IF(0=LEN(ReferenceData!$H$148),"",ReferenceData!$H$148),"")</f>
        <v>11.37157854</v>
      </c>
      <c r="I148">
        <f ca="1">IFERROR(IF(0=LEN(ReferenceData!$I$148),"",ReferenceData!$I$148),"")</f>
        <v>11.250999999999999</v>
      </c>
      <c r="J148">
        <f ca="1">IFERROR(IF(0=LEN(ReferenceData!$J$148),"",ReferenceData!$J$148),"")</f>
        <v>11.230517239999999</v>
      </c>
      <c r="K148">
        <f ca="1">IFERROR(IF(0=LEN(ReferenceData!$K$148),"",ReferenceData!$K$148),"")</f>
        <v>11.270904209999999</v>
      </c>
      <c r="L148">
        <f ca="1">IFERROR(IF(0=LEN(ReferenceData!$L$148),"",ReferenceData!$L$148),"")</f>
        <v>11.22325</v>
      </c>
      <c r="M148">
        <f ca="1">IFERROR(IF(0=LEN(ReferenceData!$M$148),"",ReferenceData!$M$148),"")</f>
        <v>11.15945977</v>
      </c>
      <c r="N148">
        <f ca="1">IFERROR(IF(0=LEN(ReferenceData!$N$148),"",ReferenceData!$N$148),"")</f>
        <v>11.08681226</v>
      </c>
      <c r="O148">
        <f ca="1">IFERROR(IF(0=LEN(ReferenceData!$O$148),"",ReferenceData!$O$148),"")</f>
        <v>10.974500000000001</v>
      </c>
      <c r="P148">
        <f ca="1">IFERROR(IF(0=LEN(ReferenceData!$P$148),"",ReferenceData!$P$148),"")</f>
        <v>10.914287359999999</v>
      </c>
      <c r="Q148">
        <f ca="1">IFERROR(IF(0=LEN(ReferenceData!$Q$148),"",ReferenceData!$Q$148),"")</f>
        <v>10.86992308</v>
      </c>
      <c r="R148">
        <f ca="1">IFERROR(IF(0=LEN(ReferenceData!$R$148),"",ReferenceData!$R$148),"")</f>
        <v>10.840999999999999</v>
      </c>
      <c r="S148">
        <f ca="1">IFERROR(IF(0=LEN(ReferenceData!$S$148),"",ReferenceData!$S$148),"")</f>
        <v>10.78901533</v>
      </c>
      <c r="T148">
        <f ca="1">IFERROR(IF(0=LEN(ReferenceData!$T$148),"",ReferenceData!$T$148),"")</f>
        <v>10.845697319999999</v>
      </c>
      <c r="U148">
        <f ca="1">IFERROR(IF(0=LEN(ReferenceData!$U$148),"",ReferenceData!$U$148),"")</f>
        <v>10.804</v>
      </c>
      <c r="V148">
        <f ca="1">IFERROR(IF(0=LEN(ReferenceData!$V$148),"",ReferenceData!$V$148),"")</f>
        <v>10.75918774</v>
      </c>
      <c r="W148">
        <f ca="1">IFERROR(IF(0=LEN(ReferenceData!$W$148),"",ReferenceData!$W$148),"")</f>
        <v>10.70593487</v>
      </c>
      <c r="X148">
        <f ca="1">IFERROR(IF(0=LEN(ReferenceData!$X$148),"",ReferenceData!$X$148),"")</f>
        <v>10.62725</v>
      </c>
      <c r="Y148">
        <f ca="1">IFERROR(IF(0=LEN(ReferenceData!$Y$148),"",ReferenceData!$Y$148),"")</f>
        <v>10.566333330000001</v>
      </c>
      <c r="Z148">
        <f ca="1">IFERROR(IF(0=LEN(ReferenceData!$Z$148),"",ReferenceData!$Z$148),"")</f>
        <v>10.47588462</v>
      </c>
      <c r="AA148">
        <f ca="1">IFERROR(IF(0=LEN(ReferenceData!$AA$148),"",ReferenceData!$AA$148),"")</f>
        <v>10.39741379</v>
      </c>
      <c r="AB148">
        <f ca="1">IFERROR(IF(0=LEN(ReferenceData!$AB$148),"",ReferenceData!$AB$148),"")</f>
        <v>10.366793100000001</v>
      </c>
      <c r="AC148">
        <f ca="1">IFERROR(IF(0=LEN(ReferenceData!$AC$148),"",ReferenceData!$AC$148),"")</f>
        <v>10.322307690000001</v>
      </c>
      <c r="AD148">
        <f ca="1">IFERROR(IF(0=LEN(ReferenceData!$AD$148),"",ReferenceData!$AD$148),"")</f>
        <v>10.232356319999999</v>
      </c>
      <c r="AE148">
        <f ca="1">IFERROR(IF(0=LEN(ReferenceData!$AE$148),"",ReferenceData!$AE$148),"")</f>
        <v>10.22131034</v>
      </c>
      <c r="AF148">
        <f ca="1">IFERROR(IF(0=LEN(ReferenceData!$AF$148),"",ReferenceData!$AF$148),"")</f>
        <v>10.093999999999999</v>
      </c>
      <c r="AG148">
        <f ca="1">IFERROR(IF(0=LEN(ReferenceData!$AG$148),"",ReferenceData!$AG$148),"")</f>
        <v>10.089</v>
      </c>
      <c r="AH148">
        <f ca="1">IFERROR(IF(0=LEN(ReferenceData!$AH$148),"",ReferenceData!$AH$148),"")</f>
        <v>10.00435878</v>
      </c>
      <c r="AI148">
        <f ca="1">IFERROR(IF(0=LEN(ReferenceData!$AI$148),"",ReferenceData!$AI$148),"")</f>
        <v>9.7799692310000008</v>
      </c>
      <c r="AJ148">
        <f ca="1">IFERROR(IF(0=LEN(ReferenceData!$AJ$148),"",ReferenceData!$AJ$148),"")</f>
        <v>9.5770076339999992</v>
      </c>
      <c r="AK148">
        <f ca="1">IFERROR(IF(0=LEN(ReferenceData!$AK$148),"",ReferenceData!$AK$148),"")</f>
        <v>9.3480152669999992</v>
      </c>
      <c r="AL148">
        <f ca="1">IFERROR(IF(0=LEN(ReferenceData!$AL$148),"",ReferenceData!$AL$148),"")</f>
        <v>9.0876730769999998</v>
      </c>
      <c r="AM148">
        <f ca="1">IFERROR(IF(0=LEN(ReferenceData!$AM$148),"",ReferenceData!$AM$148),"")</f>
        <v>9.0013816789999996</v>
      </c>
      <c r="AN148">
        <f ca="1">IFERROR(IF(0=LEN(ReferenceData!$AN$148),"",ReferenceData!$AN$148),"")</f>
        <v>8.8869076919999994</v>
      </c>
      <c r="AO148">
        <f ca="1">IFERROR(IF(0=LEN(ReferenceData!$AO$148),"",ReferenceData!$AO$148),"")</f>
        <v>8.7765938699999992</v>
      </c>
      <c r="AP148">
        <f ca="1">IFERROR(IF(0=LEN(ReferenceData!$AP$148),"",ReferenceData!$AP$148),"")</f>
        <v>8.6291832060000004</v>
      </c>
      <c r="AQ148">
        <f ca="1">IFERROR(IF(0=LEN(ReferenceData!$AQ$148),"",ReferenceData!$AQ$148),"")</f>
        <v>8.4890730770000005</v>
      </c>
      <c r="AR148">
        <f ca="1">IFERROR(IF(0=LEN(ReferenceData!$AR$148),"",ReferenceData!$AR$148),"")</f>
        <v>8.3796653849999991</v>
      </c>
      <c r="AS148">
        <f ca="1">IFERROR(IF(0=LEN(ReferenceData!$AS$148),"",ReferenceData!$AS$148),"")</f>
        <v>8.3529999999999998</v>
      </c>
      <c r="AT148">
        <f ca="1">IFERROR(IF(0=LEN(ReferenceData!$AT$148),"",ReferenceData!$AT$148),"")</f>
        <v>8.1989153849999994</v>
      </c>
      <c r="AU148">
        <f ca="1">IFERROR(IF(0=LEN(ReferenceData!$AU$148),"",ReferenceData!$AU$148),"")</f>
        <v>8.0737076919999993</v>
      </c>
      <c r="AV148">
        <f ca="1">IFERROR(IF(0=LEN(ReferenceData!$AV$148),"",ReferenceData!$AV$148),"")</f>
        <v>8.0257011489999996</v>
      </c>
      <c r="AW148">
        <f ca="1">IFERROR(IF(0=LEN(ReferenceData!$AW$148),"",ReferenceData!$AW$148),"")</f>
        <v>8.0105538460000005</v>
      </c>
      <c r="AX148">
        <f ca="1">IFERROR(IF(0=LEN(ReferenceData!$AX$148),"",ReferenceData!$AX$148),"")</f>
        <v>7.7933716479999999</v>
      </c>
      <c r="AY148">
        <f ca="1">IFERROR(IF(0=LEN(ReferenceData!$AY$148),"",ReferenceData!$AY$148),"")</f>
        <v>7.747758621</v>
      </c>
      <c r="AZ148">
        <f ca="1">IFERROR(IF(0=LEN(ReferenceData!$AZ$148),"",ReferenceData!$AZ$148),"")</f>
        <v>7.5888807690000002</v>
      </c>
      <c r="BA148">
        <f ca="1">IFERROR(IF(0=LEN(ReferenceData!$BA$148),"",ReferenceData!$BA$148),"")</f>
        <v>7.6743639850000003</v>
      </c>
      <c r="BB148">
        <f ca="1">IFERROR(IF(0=LEN(ReferenceData!$BB$148),"",ReferenceData!$BB$148),"")</f>
        <v>7.6856053639999997</v>
      </c>
      <c r="BC148">
        <f ca="1">IFERROR(IF(0=LEN(ReferenceData!$BC$148),"",ReferenceData!$BC$148),"")</f>
        <v>7.6045461540000003</v>
      </c>
      <c r="BD148">
        <f ca="1">IFERROR(IF(0=LEN(ReferenceData!$BD$148),"",ReferenceData!$BD$148),"")</f>
        <v>7.5087769230000001</v>
      </c>
      <c r="BE148">
        <f ca="1">IFERROR(IF(0=LEN(ReferenceData!$BE$148),"",ReferenceData!$BE$148),"")</f>
        <v>7.407</v>
      </c>
      <c r="BF148">
        <f ca="1">IFERROR(IF(0=LEN(ReferenceData!$BF$148),"",ReferenceData!$BF$148),"")</f>
        <v>7.4706076919999997</v>
      </c>
      <c r="BG148">
        <f ca="1">IFERROR(IF(0=LEN(ReferenceData!$BG$148),"",ReferenceData!$BG$148),"")</f>
        <v>7.4185593870000002</v>
      </c>
      <c r="BH148">
        <f ca="1">IFERROR(IF(0=LEN(ReferenceData!$BH$148),"",ReferenceData!$BH$148),"")</f>
        <v>7.3514482760000002</v>
      </c>
      <c r="BI148">
        <f ca="1">IFERROR(IF(0=LEN(ReferenceData!$BI$148),"",ReferenceData!$BI$148),"")</f>
        <v>7.2998307689999997</v>
      </c>
      <c r="BJ148">
        <f ca="1">IFERROR(IF(0=LEN(ReferenceData!$BJ$148),"",ReferenceData!$BJ$148),"")</f>
        <v>7.2489846739999999</v>
      </c>
      <c r="BK148">
        <f ca="1">IFERROR(IF(0=LEN(ReferenceData!$BK$148),"",ReferenceData!$BK$148),"")</f>
        <v>7.2082615380000004</v>
      </c>
      <c r="BL148">
        <f ca="1">IFERROR(IF(0=LEN(ReferenceData!$BL$148),"",ReferenceData!$BL$148),"")</f>
        <v>7.1600461539999998</v>
      </c>
      <c r="BM148">
        <f ca="1">IFERROR(IF(0=LEN(ReferenceData!$BM$148),"",ReferenceData!$BM$148),"")</f>
        <v>7.0693716479999997</v>
      </c>
      <c r="BN148">
        <f ca="1">IFERROR(IF(0=LEN(ReferenceData!$BN$148),"",ReferenceData!$BN$148),"")</f>
        <v>7.0113846149999999</v>
      </c>
      <c r="BO148">
        <f ca="1">IFERROR(IF(0=LEN(ReferenceData!$BO$148),"",ReferenceData!$BO$148),"")</f>
        <v>6.9439693489999996</v>
      </c>
      <c r="BP148">
        <f ca="1">IFERROR(IF(0=LEN(ReferenceData!$BP$148),"",ReferenceData!$BP$148),"")</f>
        <v>6.8495977010000004</v>
      </c>
      <c r="BQ148">
        <f ca="1">IFERROR(IF(0=LEN(ReferenceData!$BQ$148),"",ReferenceData!$BQ$148),"")</f>
        <v>6.7729999999999997</v>
      </c>
      <c r="BR148">
        <f ca="1">IFERROR(IF(0=LEN(ReferenceData!$BR$148),"",ReferenceData!$BR$148),"")</f>
        <v>6.7336807690000002</v>
      </c>
      <c r="BS148">
        <f ca="1">IFERROR(IF(0=LEN(ReferenceData!$BS$148),"",ReferenceData!$BS$148),"")</f>
        <v>6.6320421459999999</v>
      </c>
      <c r="BT148">
        <f ca="1">IFERROR(IF(0=LEN(ReferenceData!$BT$148),"",ReferenceData!$BT$148),"")</f>
        <v>6.5686230769999998</v>
      </c>
      <c r="BU148">
        <f ca="1">IFERROR(IF(0=LEN(ReferenceData!$BU$148),"",ReferenceData!$BU$148),"")</f>
        <v>6.0796230769999999</v>
      </c>
      <c r="BV148">
        <f ca="1">IFERROR(IF(0=LEN(ReferenceData!$BV$148),"",ReferenceData!$BV$148),"")</f>
        <v>6.46437931</v>
      </c>
      <c r="BW148">
        <f ca="1">IFERROR(IF(0=LEN(ReferenceData!$BW$148),"",ReferenceData!$BW$148),"")</f>
        <v>6.4635076920000003</v>
      </c>
      <c r="BX148">
        <f ca="1">IFERROR(IF(0=LEN(ReferenceData!$BX$148),"",ReferenceData!$BX$148),"")</f>
        <v>6.4118735630000003</v>
      </c>
      <c r="BY148">
        <f ca="1">IFERROR(IF(0=LEN(ReferenceData!$BY$148),"",ReferenceData!$BY$148),"")</f>
        <v>5.9499272029999997</v>
      </c>
      <c r="BZ148">
        <f ca="1">IFERROR(IF(0=LEN(ReferenceData!$BZ$148),"",ReferenceData!$BZ$148),"")</f>
        <v>5.8431846150000002</v>
      </c>
      <c r="CA148">
        <f ca="1">IFERROR(IF(0=LEN(ReferenceData!$CA$148),"",ReferenceData!$CA$148),"")</f>
        <v>6.1396360149999998</v>
      </c>
      <c r="CB148">
        <f ca="1">IFERROR(IF(0=LEN(ReferenceData!$CB$148),"",ReferenceData!$CB$148),"")</f>
        <v>6.0188625949999999</v>
      </c>
      <c r="CC148">
        <f ca="1">IFERROR(IF(0=LEN(ReferenceData!$CC$148),"",ReferenceData!$CC$148),"")</f>
        <v>5.843</v>
      </c>
      <c r="CD148">
        <f ca="1">IFERROR(IF(0=LEN(ReferenceData!$CD$148),"",ReferenceData!$CD$148),"")</f>
        <v>5.77540458</v>
      </c>
      <c r="CE148">
        <f ca="1">IFERROR(IF(0=LEN(ReferenceData!$CE$148),"",ReferenceData!$CE$148),"")</f>
        <v>5.796099237</v>
      </c>
      <c r="CF148">
        <f ca="1">IFERROR(IF(0=LEN(ReferenceData!$CF$148),"",ReferenceData!$CF$148),"")</f>
        <v>5.6687500000000002</v>
      </c>
      <c r="CG148">
        <f ca="1">IFERROR(IF(0=LEN(ReferenceData!$CG$148),"",ReferenceData!$CG$148),"")</f>
        <v>5.588698473</v>
      </c>
      <c r="CH148">
        <f ca="1">IFERROR(IF(0=LEN(ReferenceData!$CH$148),"",ReferenceData!$CH$148),"")</f>
        <v>5.3388461539999996</v>
      </c>
      <c r="CI148">
        <f ca="1">IFERROR(IF(0=LEN(ReferenceData!$CI$148),"",ReferenceData!$CI$148),"")</f>
        <v>5.2572068969999997</v>
      </c>
      <c r="CJ148">
        <f ca="1">IFERROR(IF(0=LEN(ReferenceData!$CJ$148),"",ReferenceData!$CJ$148),"")</f>
        <v>5.1743320610000003</v>
      </c>
      <c r="CK148">
        <f ca="1">IFERROR(IF(0=LEN(ReferenceData!$CK$148),"",ReferenceData!$CK$148),"")</f>
        <v>5.0031730769999996</v>
      </c>
    </row>
    <row r="149" spans="1:89">
      <c r="A149" t="str">
        <f>IFERROR(IF(0=LEN(ReferenceData!$A$149),"",ReferenceData!$A$149),"")</f>
        <v xml:space="preserve">    Mid-America Apartment Communit</v>
      </c>
      <c r="B149" t="str">
        <f>IFERROR(IF(0=LEN(ReferenceData!$B$149),"",ReferenceData!$B$149),"")</f>
        <v>MAA US Equity</v>
      </c>
      <c r="C149" t="str">
        <f>IFERROR(IF(0=LEN(ReferenceData!$C$149),"",ReferenceData!$C$149),"")</f>
        <v>BE895</v>
      </c>
      <c r="D149" t="str">
        <f>IFERROR(IF(0=LEN(ReferenceData!$D$149),"",ReferenceData!$D$149),"")</f>
        <v>BEST_AFFOPS</v>
      </c>
      <c r="E149" t="str">
        <f>IFERROR(IF(0=LEN(ReferenceData!$E$149),"",ReferenceData!$E$149),"")</f>
        <v>动态</v>
      </c>
      <c r="F149">
        <f ca="1">IFERROR(IF(0=LEN(ReferenceData!$F$149),"",ReferenceData!$F$149),"")</f>
        <v>5.5401692310000001</v>
      </c>
      <c r="G149">
        <f ca="1">IFERROR(IF(0=LEN(ReferenceData!$G$149),"",ReferenceData!$G$149),"")</f>
        <v>5.5635555559999998</v>
      </c>
      <c r="H149">
        <f ca="1">IFERROR(IF(0=LEN(ReferenceData!$H$149),"",ReferenceData!$H$149),"")</f>
        <v>5.5979770110000002</v>
      </c>
      <c r="I149">
        <f ca="1">IFERROR(IF(0=LEN(ReferenceData!$I$149),"",ReferenceData!$I$149),"")</f>
        <v>5.6159999999999997</v>
      </c>
      <c r="J149">
        <f ca="1">IFERROR(IF(0=LEN(ReferenceData!$J$149),"",ReferenceData!$J$149),"")</f>
        <v>5.692367816</v>
      </c>
      <c r="K149">
        <f ca="1">IFERROR(IF(0=LEN(ReferenceData!$K$149),"",ReferenceData!$K$149),"")</f>
        <v>5.6669578539999996</v>
      </c>
      <c r="L149">
        <f ca="1">IFERROR(IF(0=LEN(ReferenceData!$L$149),"",ReferenceData!$L$149),"")</f>
        <v>5.6607500000000002</v>
      </c>
      <c r="M149">
        <f ca="1">IFERROR(IF(0=LEN(ReferenceData!$M$149),"",ReferenceData!$M$149),"")</f>
        <v>5.584436782</v>
      </c>
      <c r="N149">
        <f ca="1">IFERROR(IF(0=LEN(ReferenceData!$N$149),"",ReferenceData!$N$149),"")</f>
        <v>5.5618850569999996</v>
      </c>
      <c r="O149">
        <f ca="1">IFERROR(IF(0=LEN(ReferenceData!$O$149),"",ReferenceData!$O$149),"")</f>
        <v>5.5285000000000002</v>
      </c>
      <c r="P149">
        <f ca="1">IFERROR(IF(0=LEN(ReferenceData!$P$149),"",ReferenceData!$P$149),"")</f>
        <v>5.4946091949999998</v>
      </c>
      <c r="Q149">
        <f ca="1">IFERROR(IF(0=LEN(ReferenceData!$Q$149),"",ReferenceData!$Q$149),"")</f>
        <v>5.4059038460000002</v>
      </c>
      <c r="R149">
        <f ca="1">IFERROR(IF(0=LEN(ReferenceData!$R$149),"",ReferenceData!$R$149),"")</f>
        <v>5.3567499999999999</v>
      </c>
      <c r="S149">
        <f ca="1">IFERROR(IF(0=LEN(ReferenceData!$S$149),"",ReferenceData!$S$149),"")</f>
        <v>5.3258544060000004</v>
      </c>
      <c r="T149">
        <f ca="1">IFERROR(IF(0=LEN(ReferenceData!$T$149),"",ReferenceData!$T$149),"")</f>
        <v>5.3479846740000001</v>
      </c>
      <c r="U149">
        <f ca="1">IFERROR(IF(0=LEN(ReferenceData!$U$149),"",ReferenceData!$U$149),"")</f>
        <v>5.3010000000000002</v>
      </c>
      <c r="V149">
        <f ca="1">IFERROR(IF(0=LEN(ReferenceData!$V$149),"",ReferenceData!$V$149),"")</f>
        <v>5.386616858</v>
      </c>
      <c r="W149">
        <f ca="1">IFERROR(IF(0=LEN(ReferenceData!$W$149),"",ReferenceData!$W$149),"")</f>
        <v>5.3788965519999996</v>
      </c>
      <c r="X149">
        <f ca="1">IFERROR(IF(0=LEN(ReferenceData!$X$149),"",ReferenceData!$X$149),"")</f>
        <v>5.3150000000000004</v>
      </c>
      <c r="Y149">
        <f ca="1">IFERROR(IF(0=LEN(ReferenceData!$Y$149),"",ReferenceData!$Y$149),"")</f>
        <v>5.2883333329999997</v>
      </c>
      <c r="Z149">
        <f ca="1">IFERROR(IF(0=LEN(ReferenceData!$Z$149),"",ReferenceData!$Z$149),"")</f>
        <v>5.4168846149999998</v>
      </c>
      <c r="AA149">
        <f ca="1">IFERROR(IF(0=LEN(ReferenceData!$AA$149),"",ReferenceData!$AA$149),"")</f>
        <v>5.3659080460000004</v>
      </c>
      <c r="AB149">
        <f ca="1">IFERROR(IF(0=LEN(ReferenceData!$AB$149),"",ReferenceData!$AB$149),"")</f>
        <v>5.3400344830000002</v>
      </c>
      <c r="AC149">
        <f ca="1">IFERROR(IF(0=LEN(ReferenceData!$AC$149),"",ReferenceData!$AC$149),"")</f>
        <v>5.2708269230000004</v>
      </c>
      <c r="AD149">
        <f ca="1">IFERROR(IF(0=LEN(ReferenceData!$AD$149),"",ReferenceData!$AD$149),"")</f>
        <v>5.2326819919999998</v>
      </c>
      <c r="AE149">
        <f ca="1">IFERROR(IF(0=LEN(ReferenceData!$AE$149),"",ReferenceData!$AE$149),"")</f>
        <v>5.1882643679999996</v>
      </c>
      <c r="AF149">
        <f ca="1">IFERROR(IF(0=LEN(ReferenceData!$AF$149),"",ReferenceData!$AF$149),"")</f>
        <v>5.1887692310000002</v>
      </c>
      <c r="AG149">
        <f ca="1">IFERROR(IF(0=LEN(ReferenceData!$AG$149),"",ReferenceData!$AG$149),"")</f>
        <v>5.1760000000000002</v>
      </c>
      <c r="AH149">
        <f ca="1">IFERROR(IF(0=LEN(ReferenceData!$AH$149),"",ReferenceData!$AH$149),"")</f>
        <v>5.1345725189999998</v>
      </c>
      <c r="AI149">
        <f ca="1">IFERROR(IF(0=LEN(ReferenceData!$AI$149),"",ReferenceData!$AI$149),"")</f>
        <v>5.0562461540000001</v>
      </c>
      <c r="AJ149">
        <f ca="1">IFERROR(IF(0=LEN(ReferenceData!$AJ$149),"",ReferenceData!$AJ$149),"")</f>
        <v>4.8965419849999998</v>
      </c>
      <c r="AK149">
        <f ca="1">IFERROR(IF(0=LEN(ReferenceData!$AK$149),"",ReferenceData!$AK$149),"")</f>
        <v>4.849412214</v>
      </c>
      <c r="AL149">
        <f ca="1">IFERROR(IF(0=LEN(ReferenceData!$AL$149),"",ReferenceData!$AL$149),"")</f>
        <v>4.8292038460000004</v>
      </c>
      <c r="AM149">
        <f ca="1">IFERROR(IF(0=LEN(ReferenceData!$AM$149),"",ReferenceData!$AM$149),"")</f>
        <v>4.760748092</v>
      </c>
      <c r="AN149">
        <f ca="1">IFERROR(IF(0=LEN(ReferenceData!$AN$149),"",ReferenceData!$AN$149),"")</f>
        <v>4.7360615380000004</v>
      </c>
      <c r="AO149">
        <f ca="1">IFERROR(IF(0=LEN(ReferenceData!$AO$149),"",ReferenceData!$AO$149),"")</f>
        <v>4.6979272029999999</v>
      </c>
      <c r="AP149">
        <f ca="1">IFERROR(IF(0=LEN(ReferenceData!$AP$149),"",ReferenceData!$AP$149),"")</f>
        <v>4.6878015270000004</v>
      </c>
      <c r="AQ149">
        <f ca="1">IFERROR(IF(0=LEN(ReferenceData!$AQ$149),"",ReferenceData!$AQ$149),"")</f>
        <v>4.6009807690000004</v>
      </c>
      <c r="AR149">
        <f ca="1">IFERROR(IF(0=LEN(ReferenceData!$AR$149),"",ReferenceData!$AR$149),"")</f>
        <v>4.5466538459999999</v>
      </c>
      <c r="AS149">
        <f ca="1">IFERROR(IF(0=LEN(ReferenceData!$AS$149),"",ReferenceData!$AS$149),"")</f>
        <v>4.4930000000000003</v>
      </c>
      <c r="AT149">
        <f ca="1">IFERROR(IF(0=LEN(ReferenceData!$AT$149),"",ReferenceData!$AT$149),"")</f>
        <v>4.5053115379999999</v>
      </c>
      <c r="AU149">
        <f ca="1">IFERROR(IF(0=LEN(ReferenceData!$AU$149),"",ReferenceData!$AU$149),"")</f>
        <v>4.4780576920000001</v>
      </c>
      <c r="AV149">
        <f ca="1">IFERROR(IF(0=LEN(ReferenceData!$AV$149),"",ReferenceData!$AV$149),"")</f>
        <v>4.5074712640000003</v>
      </c>
      <c r="AW149">
        <f ca="1">IFERROR(IF(0=LEN(ReferenceData!$AW$149),"",ReferenceData!$AW$149),"")</f>
        <v>4.4919846149999998</v>
      </c>
      <c r="AX149">
        <f ca="1">IFERROR(IF(0=LEN(ReferenceData!$AX$149),"",ReferenceData!$AX$149),"")</f>
        <v>4.4911609199999996</v>
      </c>
      <c r="AY149">
        <f ca="1">IFERROR(IF(0=LEN(ReferenceData!$AY$149),"",ReferenceData!$AY$149),"")</f>
        <v>4.4638965519999996</v>
      </c>
      <c r="AZ149">
        <f ca="1">IFERROR(IF(0=LEN(ReferenceData!$AZ$149),"",ReferenceData!$AZ$149),"")</f>
        <v>4.3713653849999998</v>
      </c>
      <c r="BA149">
        <f ca="1">IFERROR(IF(0=LEN(ReferenceData!$BA$149),"",ReferenceData!$BA$149),"")</f>
        <v>4.3304022990000002</v>
      </c>
      <c r="BB149">
        <f ca="1">IFERROR(IF(0=LEN(ReferenceData!$BB$149),"",ReferenceData!$BB$149),"")</f>
        <v>4.2700459769999997</v>
      </c>
      <c r="BC149">
        <f ca="1">IFERROR(IF(0=LEN(ReferenceData!$BC$149),"",ReferenceData!$BC$149),"")</f>
        <v>4.3594461539999996</v>
      </c>
      <c r="BD149">
        <f ca="1">IFERROR(IF(0=LEN(ReferenceData!$BD$149),"",ReferenceData!$BD$149),"")</f>
        <v>4.4320000000000004</v>
      </c>
      <c r="BE149">
        <f ca="1">IFERROR(IF(0=LEN(ReferenceData!$BE$149),"",ReferenceData!$BE$149),"")</f>
        <v>4.4349999999999996</v>
      </c>
      <c r="BF149">
        <f ca="1">IFERROR(IF(0=LEN(ReferenceData!$BF$149),"",ReferenceData!$BF$149),"")</f>
        <v>4.4569846149999996</v>
      </c>
      <c r="BG149">
        <f ca="1">IFERROR(IF(0=LEN(ReferenceData!$BG$149),"",ReferenceData!$BG$149),"")</f>
        <v>4.5485747129999998</v>
      </c>
      <c r="BH149">
        <f ca="1">IFERROR(IF(0=LEN(ReferenceData!$BH$149),"",ReferenceData!$BH$149),"")</f>
        <v>4.5022758620000003</v>
      </c>
      <c r="BI149">
        <f ca="1">IFERROR(IF(0=LEN(ReferenceData!$BI$149),"",ReferenceData!$BI$149),"")</f>
        <v>4.4816769230000002</v>
      </c>
      <c r="BJ149">
        <f ca="1">IFERROR(IF(0=LEN(ReferenceData!$BJ$149),"",ReferenceData!$BJ$149),"")</f>
        <v>4.4196590039999997</v>
      </c>
      <c r="BK149">
        <f ca="1">IFERROR(IF(0=LEN(ReferenceData!$BK$149),"",ReferenceData!$BK$149),"")</f>
        <v>4.4004153849999996</v>
      </c>
      <c r="BL149">
        <f ca="1">IFERROR(IF(0=LEN(ReferenceData!$BL$149),"",ReferenceData!$BL$149),"")</f>
        <v>4.389630769</v>
      </c>
      <c r="BM149">
        <f ca="1">IFERROR(IF(0=LEN(ReferenceData!$BM$149),"",ReferenceData!$BM$149),"")</f>
        <v>4.3549157090000001</v>
      </c>
      <c r="BN149">
        <f ca="1">IFERROR(IF(0=LEN(ReferenceData!$BN$149),"",ReferenceData!$BN$149),"")</f>
        <v>4.3288653850000003</v>
      </c>
      <c r="BO149">
        <f ca="1">IFERROR(IF(0=LEN(ReferenceData!$BO$149),"",ReferenceData!$BO$149),"")</f>
        <v>4.2835670500000003</v>
      </c>
      <c r="BP149">
        <f ca="1">IFERROR(IF(0=LEN(ReferenceData!$BP$149),"",ReferenceData!$BP$149),"")</f>
        <v>4.2352298849999999</v>
      </c>
      <c r="BQ149">
        <f ca="1">IFERROR(IF(0=LEN(ReferenceData!$BQ$149),"",ReferenceData!$BQ$149),"")</f>
        <v>4.2050000000000001</v>
      </c>
      <c r="BR149">
        <f ca="1">IFERROR(IF(0=LEN(ReferenceData!$BR$149),"",ReferenceData!$BR$149),"")</f>
        <v>4.1792999999999996</v>
      </c>
      <c r="BS149">
        <f ca="1">IFERROR(IF(0=LEN(ReferenceData!$BS$149),"",ReferenceData!$BS$149),"")</f>
        <v>4.0720651339999998</v>
      </c>
      <c r="BT149">
        <f ca="1">IFERROR(IF(0=LEN(ReferenceData!$BT$149),"",ReferenceData!$BT$149),"")</f>
        <v>4.045776923</v>
      </c>
      <c r="BU149">
        <f ca="1">IFERROR(IF(0=LEN(ReferenceData!$BU$149),"",ReferenceData!$BU$149),"")</f>
        <v>4.0163153850000004</v>
      </c>
      <c r="BV149">
        <f ca="1">IFERROR(IF(0=LEN(ReferenceData!$BV$149),"",ReferenceData!$BV$149),"")</f>
        <v>3.914314176</v>
      </c>
      <c r="BW149">
        <f ca="1">IFERROR(IF(0=LEN(ReferenceData!$BW$149),"",ReferenceData!$BW$149),"")</f>
        <v>3.8787230770000001</v>
      </c>
      <c r="BX149">
        <f ca="1">IFERROR(IF(0=LEN(ReferenceData!$BX$149),"",ReferenceData!$BX$149),"")</f>
        <v>3.8631570879999999</v>
      </c>
      <c r="BY149">
        <f ca="1">IFERROR(IF(0=LEN(ReferenceData!$BY$149),"",ReferenceData!$BY$149),"")</f>
        <v>3.818950192</v>
      </c>
      <c r="BZ149">
        <f ca="1">IFERROR(IF(0=LEN(ReferenceData!$BZ$149),"",ReferenceData!$BZ$149),"")</f>
        <v>3.7602307690000001</v>
      </c>
      <c r="CA149">
        <f ca="1">IFERROR(IF(0=LEN(ReferenceData!$CA$149),"",ReferenceData!$CA$149),"")</f>
        <v>3.7317203069999998</v>
      </c>
      <c r="CB149">
        <f ca="1">IFERROR(IF(0=LEN(ReferenceData!$CB$149),"",ReferenceData!$CB$149),"")</f>
        <v>3.6840038169999998</v>
      </c>
      <c r="CC149">
        <f ca="1">IFERROR(IF(0=LEN(ReferenceData!$CC$149),"",ReferenceData!$CC$149),"")</f>
        <v>3.6440000000000001</v>
      </c>
      <c r="CD149">
        <f ca="1">IFERROR(IF(0=LEN(ReferenceData!$CD$149),"",ReferenceData!$CD$149),"")</f>
        <v>3.611839695</v>
      </c>
      <c r="CE149">
        <f ca="1">IFERROR(IF(0=LEN(ReferenceData!$CE$149),"",ReferenceData!$CE$149),"")</f>
        <v>3.5617251909999998</v>
      </c>
      <c r="CF149">
        <f ca="1">IFERROR(IF(0=LEN(ReferenceData!$CF$149),"",ReferenceData!$CF$149),"")</f>
        <v>3.5409999999999999</v>
      </c>
      <c r="CG149">
        <f ca="1">IFERROR(IF(0=LEN(ReferenceData!$CG$149),"",ReferenceData!$CG$149),"")</f>
        <v>3.51178626</v>
      </c>
      <c r="CH149">
        <f ca="1">IFERROR(IF(0=LEN(ReferenceData!$CH$149),"",ReferenceData!$CH$149),"")</f>
        <v>3.5043846150000002</v>
      </c>
      <c r="CI149">
        <f ca="1">IFERROR(IF(0=LEN(ReferenceData!$CI$149),"",ReferenceData!$CI$149),"")</f>
        <v>3.4894444440000001</v>
      </c>
      <c r="CJ149">
        <f ca="1">IFERROR(IF(0=LEN(ReferenceData!$CJ$149),"",ReferenceData!$CJ$149),"")</f>
        <v>3.4826488549999999</v>
      </c>
      <c r="CK149">
        <f ca="1">IFERROR(IF(0=LEN(ReferenceData!$CK$149),"",ReferenceData!$CK$149),"")</f>
        <v>3.4011346150000001</v>
      </c>
    </row>
    <row r="150" spans="1:89">
      <c r="A150" t="str">
        <f>IFERROR(IF(0=LEN(ReferenceData!$A$150),"",ReferenceData!$A$150),"")</f>
        <v xml:space="preserve">    Monogram Residential Trust Inc</v>
      </c>
      <c r="B150" t="str">
        <f>IFERROR(IF(0=LEN(ReferenceData!$B$150),"",ReferenceData!$B$150),"")</f>
        <v>MORE US Equity</v>
      </c>
      <c r="C150" t="str">
        <f>IFERROR(IF(0=LEN(ReferenceData!$C$150),"",ReferenceData!$C$150),"")</f>
        <v>BE895</v>
      </c>
      <c r="D150" t="str">
        <f>IFERROR(IF(0=LEN(ReferenceData!$D$150),"",ReferenceData!$D$150),"")</f>
        <v>BEST_AFFOPS</v>
      </c>
      <c r="E150" t="str">
        <f>IFERROR(IF(0=LEN(ReferenceData!$E$150),"",ReferenceData!$E$150),"")</f>
        <v>动态</v>
      </c>
      <c r="F150" t="str">
        <f ca="1">IFERROR(IF(0=LEN(ReferenceData!$F$150),"",ReferenceData!$F$150),"")</f>
        <v/>
      </c>
      <c r="G150" t="str">
        <f ca="1">IFERROR(IF(0=LEN(ReferenceData!$G$150),"",ReferenceData!$G$150),"")</f>
        <v/>
      </c>
      <c r="H150" t="str">
        <f ca="1">IFERROR(IF(0=LEN(ReferenceData!$H$150),"",ReferenceData!$H$150),"")</f>
        <v/>
      </c>
      <c r="I150">
        <f ca="1">IFERROR(IF(0=LEN(ReferenceData!$I$150),"",ReferenceData!$I$150),"")</f>
        <v>0.47</v>
      </c>
      <c r="J150">
        <f ca="1">IFERROR(IF(0=LEN(ReferenceData!$J$150),"",ReferenceData!$J$150),"")</f>
        <v>0.46517241399999998</v>
      </c>
      <c r="K150">
        <f ca="1">IFERROR(IF(0=LEN(ReferenceData!$K$150),"",ReferenceData!$K$150),"")</f>
        <v>0.460114943</v>
      </c>
      <c r="L150">
        <f ca="1">IFERROR(IF(0=LEN(ReferenceData!$L$150),"",ReferenceData!$L$150),"")</f>
        <v>0.45500000000000002</v>
      </c>
      <c r="M150">
        <f ca="1">IFERROR(IF(0=LEN(ReferenceData!$M$150),"",ReferenceData!$M$150),"")</f>
        <v>0.457241379</v>
      </c>
      <c r="N150">
        <f ca="1">IFERROR(IF(0=LEN(ReferenceData!$N$150),"",ReferenceData!$N$150),"")</f>
        <v>0.44119540200000001</v>
      </c>
      <c r="O150">
        <f ca="1">IFERROR(IF(0=LEN(ReferenceData!$O$150),"",ReferenceData!$O$150),"")</f>
        <v>0.4365</v>
      </c>
      <c r="P150">
        <f ca="1">IFERROR(IF(0=LEN(ReferenceData!$P$150),"",ReferenceData!$P$150),"")</f>
        <v>0.43213410000000002</v>
      </c>
      <c r="Q150">
        <f ca="1">IFERROR(IF(0=LEN(ReferenceData!$Q$150),"",ReferenceData!$Q$150),"")</f>
        <v>0.41680769200000001</v>
      </c>
      <c r="R150">
        <f ca="1">IFERROR(IF(0=LEN(ReferenceData!$R$150),"",ReferenceData!$R$150),"")</f>
        <v>0.41449999999999998</v>
      </c>
      <c r="S150">
        <f ca="1">IFERROR(IF(0=LEN(ReferenceData!$S$150),"",ReferenceData!$S$150),"")</f>
        <v>0.40609578499999999</v>
      </c>
      <c r="T150">
        <f ca="1">IFERROR(IF(0=LEN(ReferenceData!$T$150),"",ReferenceData!$T$150),"")</f>
        <v>0.41902682000000002</v>
      </c>
      <c r="U150">
        <f ca="1">IFERROR(IF(0=LEN(ReferenceData!$U$150),"",ReferenceData!$U$150),"")</f>
        <v>0.433</v>
      </c>
      <c r="V150">
        <f ca="1">IFERROR(IF(0=LEN(ReferenceData!$V$150),"",ReferenceData!$V$150),"")</f>
        <v>0.42157088100000001</v>
      </c>
      <c r="W150">
        <f ca="1">IFERROR(IF(0=LEN(ReferenceData!$W$150),"",ReferenceData!$W$150),"")</f>
        <v>0.42482758599999998</v>
      </c>
      <c r="X150">
        <f ca="1">IFERROR(IF(0=LEN(ReferenceData!$X$150),"",ReferenceData!$X$150),"")</f>
        <v>0.42499999999999999</v>
      </c>
      <c r="Y150">
        <f ca="1">IFERROR(IF(0=LEN(ReferenceData!$Y$150),"",ReferenceData!$Y$150),"")</f>
        <v>0.41666666699999999</v>
      </c>
      <c r="Z150">
        <f ca="1">IFERROR(IF(0=LEN(ReferenceData!$Z$150),"",ReferenceData!$Z$150),"")</f>
        <v>0.43769230799999997</v>
      </c>
      <c r="AA150">
        <f ca="1">IFERROR(IF(0=LEN(ReferenceData!$AA$150),"",ReferenceData!$AA$150),"")</f>
        <v>0.438302682</v>
      </c>
      <c r="AB150">
        <f ca="1">IFERROR(IF(0=LEN(ReferenceData!$AB$150),"",ReferenceData!$AB$150),"")</f>
        <v>0.387241379</v>
      </c>
      <c r="AC150">
        <f ca="1">IFERROR(IF(0=LEN(ReferenceData!$AC$150),"",ReferenceData!$AC$150),"")</f>
        <v>0.49942307699999999</v>
      </c>
      <c r="AD150">
        <f ca="1">IFERROR(IF(0=LEN(ReferenceData!$AD$150),"",ReferenceData!$AD$150),"")</f>
        <v>0.49241379299999999</v>
      </c>
      <c r="AE150">
        <f ca="1">IFERROR(IF(0=LEN(ReferenceData!$AE$150),"",ReferenceData!$AE$150),"")</f>
        <v>0.48448275899999999</v>
      </c>
      <c r="AF150">
        <f ca="1">IFERROR(IF(0=LEN(ReferenceData!$AF$150),"",ReferenceData!$AF$150),"")</f>
        <v>0.47538461500000001</v>
      </c>
      <c r="AG150">
        <f ca="1">IFERROR(IF(0=LEN(ReferenceData!$AG$150),"",ReferenceData!$AG$150),"")</f>
        <v>0.47</v>
      </c>
      <c r="AH150" t="str">
        <f ca="1">IFERROR(IF(0=LEN(ReferenceData!$AH$150),"",ReferenceData!$AH$150),"")</f>
        <v/>
      </c>
      <c r="AI150" t="str">
        <f ca="1">IFERROR(IF(0=LEN(ReferenceData!$AI$150),"",ReferenceData!$AI$150),"")</f>
        <v/>
      </c>
      <c r="AJ150" t="str">
        <f ca="1">IFERROR(IF(0=LEN(ReferenceData!$AJ$150),"",ReferenceData!$AJ$150),"")</f>
        <v/>
      </c>
      <c r="AK150" t="str">
        <f ca="1">IFERROR(IF(0=LEN(ReferenceData!$AK$150),"",ReferenceData!$AK$150),"")</f>
        <v/>
      </c>
      <c r="AL150" t="str">
        <f ca="1">IFERROR(IF(0=LEN(ReferenceData!$AL$150),"",ReferenceData!$AL$150),"")</f>
        <v/>
      </c>
      <c r="AM150" t="str">
        <f ca="1">IFERROR(IF(0=LEN(ReferenceData!$AM$150),"",ReferenceData!$AM$150),"")</f>
        <v/>
      </c>
      <c r="AN150" t="str">
        <f ca="1">IFERROR(IF(0=LEN(ReferenceData!$AN$150),"",ReferenceData!$AN$150),"")</f>
        <v/>
      </c>
      <c r="AO150" t="str">
        <f ca="1">IFERROR(IF(0=LEN(ReferenceData!$AO$150),"",ReferenceData!$AO$150),"")</f>
        <v/>
      </c>
      <c r="AP150" t="str">
        <f ca="1">IFERROR(IF(0=LEN(ReferenceData!$AP$150),"",ReferenceData!$AP$150),"")</f>
        <v/>
      </c>
      <c r="AQ150" t="str">
        <f ca="1">IFERROR(IF(0=LEN(ReferenceData!$AQ$150),"",ReferenceData!$AQ$150),"")</f>
        <v/>
      </c>
      <c r="AR150" t="str">
        <f ca="1">IFERROR(IF(0=LEN(ReferenceData!$AR$150),"",ReferenceData!$AR$150),"")</f>
        <v/>
      </c>
      <c r="AS150" t="str">
        <f ca="1">IFERROR(IF(0=LEN(ReferenceData!$AS$150),"",ReferenceData!$AS$150),"")</f>
        <v/>
      </c>
      <c r="AT150" t="str">
        <f ca="1">IFERROR(IF(0=LEN(ReferenceData!$AT$150),"",ReferenceData!$AT$150),"")</f>
        <v/>
      </c>
      <c r="AU150" t="str">
        <f ca="1">IFERROR(IF(0=LEN(ReferenceData!$AU$150),"",ReferenceData!$AU$150),"")</f>
        <v/>
      </c>
      <c r="AV150" t="str">
        <f ca="1">IFERROR(IF(0=LEN(ReferenceData!$AV$150),"",ReferenceData!$AV$150),"")</f>
        <v/>
      </c>
      <c r="AW150" t="str">
        <f ca="1">IFERROR(IF(0=LEN(ReferenceData!$AW$150),"",ReferenceData!$AW$150),"")</f>
        <v/>
      </c>
      <c r="AX150" t="str">
        <f ca="1">IFERROR(IF(0=LEN(ReferenceData!$AX$150),"",ReferenceData!$AX$150),"")</f>
        <v/>
      </c>
      <c r="AY150" t="str">
        <f ca="1">IFERROR(IF(0=LEN(ReferenceData!$AY$150),"",ReferenceData!$AY$150),"")</f>
        <v/>
      </c>
      <c r="AZ150" t="str">
        <f ca="1">IFERROR(IF(0=LEN(ReferenceData!$AZ$150),"",ReferenceData!$AZ$150),"")</f>
        <v/>
      </c>
      <c r="BA150" t="str">
        <f ca="1">IFERROR(IF(0=LEN(ReferenceData!$BA$150),"",ReferenceData!$BA$150),"")</f>
        <v/>
      </c>
      <c r="BB150" t="str">
        <f ca="1">IFERROR(IF(0=LEN(ReferenceData!$BB$150),"",ReferenceData!$BB$150),"")</f>
        <v/>
      </c>
      <c r="BC150" t="str">
        <f ca="1">IFERROR(IF(0=LEN(ReferenceData!$BC$150),"",ReferenceData!$BC$150),"")</f>
        <v/>
      </c>
      <c r="BD150" t="str">
        <f ca="1">IFERROR(IF(0=LEN(ReferenceData!$BD$150),"",ReferenceData!$BD$150),"")</f>
        <v/>
      </c>
      <c r="BE150" t="str">
        <f ca="1">IFERROR(IF(0=LEN(ReferenceData!$BE$150),"",ReferenceData!$BE$150),"")</f>
        <v/>
      </c>
      <c r="BF150" t="str">
        <f ca="1">IFERROR(IF(0=LEN(ReferenceData!$BF$150),"",ReferenceData!$BF$150),"")</f>
        <v/>
      </c>
      <c r="BG150" t="str">
        <f ca="1">IFERROR(IF(0=LEN(ReferenceData!$BG$150),"",ReferenceData!$BG$150),"")</f>
        <v/>
      </c>
      <c r="BH150" t="str">
        <f ca="1">IFERROR(IF(0=LEN(ReferenceData!$BH$150),"",ReferenceData!$BH$150),"")</f>
        <v/>
      </c>
      <c r="BI150" t="str">
        <f ca="1">IFERROR(IF(0=LEN(ReferenceData!$BI$150),"",ReferenceData!$BI$150),"")</f>
        <v/>
      </c>
      <c r="BJ150" t="str">
        <f ca="1">IFERROR(IF(0=LEN(ReferenceData!$BJ$150),"",ReferenceData!$BJ$150),"")</f>
        <v/>
      </c>
      <c r="BK150" t="str">
        <f ca="1">IFERROR(IF(0=LEN(ReferenceData!$BK$150),"",ReferenceData!$BK$150),"")</f>
        <v/>
      </c>
      <c r="BL150" t="str">
        <f ca="1">IFERROR(IF(0=LEN(ReferenceData!$BL$150),"",ReferenceData!$BL$150),"")</f>
        <v/>
      </c>
      <c r="BM150" t="str">
        <f ca="1">IFERROR(IF(0=LEN(ReferenceData!$BM$150),"",ReferenceData!$BM$150),"")</f>
        <v/>
      </c>
      <c r="BN150" t="str">
        <f ca="1">IFERROR(IF(0=LEN(ReferenceData!$BN$150),"",ReferenceData!$BN$150),"")</f>
        <v/>
      </c>
      <c r="BO150" t="str">
        <f ca="1">IFERROR(IF(0=LEN(ReferenceData!$BO$150),"",ReferenceData!$BO$150),"")</f>
        <v/>
      </c>
      <c r="BP150" t="str">
        <f ca="1">IFERROR(IF(0=LEN(ReferenceData!$BP$150),"",ReferenceData!$BP$150),"")</f>
        <v/>
      </c>
      <c r="BQ150" t="str">
        <f ca="1">IFERROR(IF(0=LEN(ReferenceData!$BQ$150),"",ReferenceData!$BQ$150),"")</f>
        <v/>
      </c>
      <c r="BR150" t="str">
        <f ca="1">IFERROR(IF(0=LEN(ReferenceData!$BR$150),"",ReferenceData!$BR$150),"")</f>
        <v/>
      </c>
      <c r="BS150" t="str">
        <f ca="1">IFERROR(IF(0=LEN(ReferenceData!$BS$150),"",ReferenceData!$BS$150),"")</f>
        <v/>
      </c>
      <c r="BT150" t="str">
        <f ca="1">IFERROR(IF(0=LEN(ReferenceData!$BT$150),"",ReferenceData!$BT$150),"")</f>
        <v/>
      </c>
      <c r="BU150" t="str">
        <f ca="1">IFERROR(IF(0=LEN(ReferenceData!$BU$150),"",ReferenceData!$BU$150),"")</f>
        <v/>
      </c>
      <c r="BV150" t="str">
        <f ca="1">IFERROR(IF(0=LEN(ReferenceData!$BV$150),"",ReferenceData!$BV$150),"")</f>
        <v/>
      </c>
      <c r="BW150" t="str">
        <f ca="1">IFERROR(IF(0=LEN(ReferenceData!$BW$150),"",ReferenceData!$BW$150),"")</f>
        <v/>
      </c>
      <c r="BX150" t="str">
        <f ca="1">IFERROR(IF(0=LEN(ReferenceData!$BX$150),"",ReferenceData!$BX$150),"")</f>
        <v/>
      </c>
      <c r="BY150" t="str">
        <f ca="1">IFERROR(IF(0=LEN(ReferenceData!$BY$150),"",ReferenceData!$BY$150),"")</f>
        <v/>
      </c>
      <c r="BZ150" t="str">
        <f ca="1">IFERROR(IF(0=LEN(ReferenceData!$BZ$150),"",ReferenceData!$BZ$150),"")</f>
        <v/>
      </c>
      <c r="CA150" t="str">
        <f ca="1">IFERROR(IF(0=LEN(ReferenceData!$CA$150),"",ReferenceData!$CA$150),"")</f>
        <v/>
      </c>
      <c r="CB150" t="str">
        <f ca="1">IFERROR(IF(0=LEN(ReferenceData!$CB$150),"",ReferenceData!$CB$150),"")</f>
        <v/>
      </c>
      <c r="CC150" t="str">
        <f ca="1">IFERROR(IF(0=LEN(ReferenceData!$CC$150),"",ReferenceData!$CC$150),"")</f>
        <v/>
      </c>
      <c r="CD150" t="str">
        <f ca="1">IFERROR(IF(0=LEN(ReferenceData!$CD$150),"",ReferenceData!$CD$150),"")</f>
        <v/>
      </c>
      <c r="CE150" t="str">
        <f ca="1">IFERROR(IF(0=LEN(ReferenceData!$CE$150),"",ReferenceData!$CE$150),"")</f>
        <v/>
      </c>
      <c r="CF150" t="str">
        <f ca="1">IFERROR(IF(0=LEN(ReferenceData!$CF$150),"",ReferenceData!$CF$150),"")</f>
        <v/>
      </c>
      <c r="CG150" t="str">
        <f ca="1">IFERROR(IF(0=LEN(ReferenceData!$CG$150),"",ReferenceData!$CG$150),"")</f>
        <v/>
      </c>
      <c r="CH150" t="str">
        <f ca="1">IFERROR(IF(0=LEN(ReferenceData!$CH$150),"",ReferenceData!$CH$150),"")</f>
        <v/>
      </c>
      <c r="CI150" t="str">
        <f ca="1">IFERROR(IF(0=LEN(ReferenceData!$CI$150),"",ReferenceData!$CI$150),"")</f>
        <v/>
      </c>
      <c r="CJ150" t="str">
        <f ca="1">IFERROR(IF(0=LEN(ReferenceData!$CJ$150),"",ReferenceData!$CJ$150),"")</f>
        <v/>
      </c>
      <c r="CK150" t="str">
        <f ca="1">IFERROR(IF(0=LEN(ReferenceData!$CK$150),"",ReferenceData!$CK$150),"")</f>
        <v/>
      </c>
    </row>
    <row r="151" spans="1:89">
      <c r="A151" t="str">
        <f>IFERROR(IF(0=LEN(ReferenceData!$A$151),"",ReferenceData!$A$151),"")</f>
        <v xml:space="preserve">    UDR Inc</v>
      </c>
      <c r="B151" t="str">
        <f>IFERROR(IF(0=LEN(ReferenceData!$B$151),"",ReferenceData!$B$151),"")</f>
        <v>UDR US Equity</v>
      </c>
      <c r="C151" t="str">
        <f>IFERROR(IF(0=LEN(ReferenceData!$C$151),"",ReferenceData!$C$151),"")</f>
        <v>BE895</v>
      </c>
      <c r="D151" t="str">
        <f>IFERROR(IF(0=LEN(ReferenceData!$D$151),"",ReferenceData!$D$151),"")</f>
        <v>BEST_AFFOPS</v>
      </c>
      <c r="E151" t="str">
        <f>IFERROR(IF(0=LEN(ReferenceData!$E$151),"",ReferenceData!$E$151),"")</f>
        <v>动态</v>
      </c>
      <c r="F151">
        <f ca="1">IFERROR(IF(0=LEN(ReferenceData!$F$151),"",ReferenceData!$F$151),"")</f>
        <v>1.8101230770000001</v>
      </c>
      <c r="G151">
        <f ca="1">IFERROR(IF(0=LEN(ReferenceData!$G$151),"",ReferenceData!$G$151),"")</f>
        <v>1.8039693489999999</v>
      </c>
      <c r="H151">
        <f ca="1">IFERROR(IF(0=LEN(ReferenceData!$H$151),"",ReferenceData!$H$151),"")</f>
        <v>1.813812261</v>
      </c>
      <c r="I151">
        <f ca="1">IFERROR(IF(0=LEN(ReferenceData!$I$151),"",ReferenceData!$I$151),"")</f>
        <v>1.8</v>
      </c>
      <c r="J151">
        <f ca="1">IFERROR(IF(0=LEN(ReferenceData!$J$151),"",ReferenceData!$J$151),"")</f>
        <v>1.791954023</v>
      </c>
      <c r="K151">
        <f ca="1">IFERROR(IF(0=LEN(ReferenceData!$K$151),"",ReferenceData!$K$151),"")</f>
        <v>1.7860306509999999</v>
      </c>
      <c r="L151">
        <f ca="1">IFERROR(IF(0=LEN(ReferenceData!$L$151),"",ReferenceData!$L$151),"")</f>
        <v>1.77725</v>
      </c>
      <c r="M151">
        <f ca="1">IFERROR(IF(0=LEN(ReferenceData!$M$151),"",ReferenceData!$M$151),"")</f>
        <v>1.7771072800000001</v>
      </c>
      <c r="N151">
        <f ca="1">IFERROR(IF(0=LEN(ReferenceData!$N$151),"",ReferenceData!$N$151),"")</f>
        <v>1.749490421</v>
      </c>
      <c r="O151">
        <f ca="1">IFERROR(IF(0=LEN(ReferenceData!$O$151),"",ReferenceData!$O$151),"")</f>
        <v>1.7475000000000001</v>
      </c>
      <c r="P151">
        <f ca="1">IFERROR(IF(0=LEN(ReferenceData!$P$151),"",ReferenceData!$P$151),"")</f>
        <v>1.7388505750000001</v>
      </c>
      <c r="Q151">
        <f ca="1">IFERROR(IF(0=LEN(ReferenceData!$Q$151),"",ReferenceData!$Q$151),"")</f>
        <v>1.7025192309999999</v>
      </c>
      <c r="R151">
        <f ca="1">IFERROR(IF(0=LEN(ReferenceData!$R$151),"",ReferenceData!$R$151),"")</f>
        <v>1.6815</v>
      </c>
      <c r="S151">
        <f ca="1">IFERROR(IF(0=LEN(ReferenceData!$S$151),"",ReferenceData!$S$151),"")</f>
        <v>1.680509579</v>
      </c>
      <c r="T151">
        <f ca="1">IFERROR(IF(0=LEN(ReferenceData!$T$151),"",ReferenceData!$T$151),"")</f>
        <v>1.717578544</v>
      </c>
      <c r="U151">
        <f ca="1">IFERROR(IF(0=LEN(ReferenceData!$U$151),"",ReferenceData!$U$151),"")</f>
        <v>1.71</v>
      </c>
      <c r="V151">
        <f ca="1">IFERROR(IF(0=LEN(ReferenceData!$V$151),"",ReferenceData!$V$151),"")</f>
        <v>1.701003831</v>
      </c>
      <c r="W151">
        <f ca="1">IFERROR(IF(0=LEN(ReferenceData!$W$151),"",ReferenceData!$W$151),"")</f>
        <v>1.6810306509999999</v>
      </c>
      <c r="X151">
        <f ca="1">IFERROR(IF(0=LEN(ReferenceData!$X$151),"",ReferenceData!$X$151),"")</f>
        <v>1.6884999999999999</v>
      </c>
      <c r="Y151">
        <f ca="1">IFERROR(IF(0=LEN(ReferenceData!$Y$151),"",ReferenceData!$Y$151),"")</f>
        <v>1.6843333330000001</v>
      </c>
      <c r="Z151">
        <f ca="1">IFERROR(IF(0=LEN(ReferenceData!$Z$151),"",ReferenceData!$Z$151),"")</f>
        <v>1.6779999999999999</v>
      </c>
      <c r="AA151">
        <f ca="1">IFERROR(IF(0=LEN(ReferenceData!$AA$151),"",ReferenceData!$AA$151),"")</f>
        <v>1.666291188</v>
      </c>
      <c r="AB151">
        <f ca="1">IFERROR(IF(0=LEN(ReferenceData!$AB$151),"",ReferenceData!$AB$151),"")</f>
        <v>1.6623448279999999</v>
      </c>
      <c r="AC151">
        <f ca="1">IFERROR(IF(0=LEN(ReferenceData!$AC$151),"",ReferenceData!$AC$151),"")</f>
        <v>1.6508461539999999</v>
      </c>
      <c r="AD151">
        <f ca="1">IFERROR(IF(0=LEN(ReferenceData!$AD$151),"",ReferenceData!$AD$151),"")</f>
        <v>1.6501302680000001</v>
      </c>
      <c r="AE151">
        <f ca="1">IFERROR(IF(0=LEN(ReferenceData!$AE$151),"",ReferenceData!$AE$151),"")</f>
        <v>1.640632184</v>
      </c>
      <c r="AF151">
        <f ca="1">IFERROR(IF(0=LEN(ReferenceData!$AF$151),"",ReferenceData!$AF$151),"")</f>
        <v>1.644153846</v>
      </c>
      <c r="AG151">
        <f ca="1">IFERROR(IF(0=LEN(ReferenceData!$AG$151),"",ReferenceData!$AG$151),"")</f>
        <v>1.6339999999999999</v>
      </c>
      <c r="AH151">
        <f ca="1">IFERROR(IF(0=LEN(ReferenceData!$AH$151),"",ReferenceData!$AH$151),"")</f>
        <v>1.6218511449999999</v>
      </c>
      <c r="AI151">
        <f ca="1">IFERROR(IF(0=LEN(ReferenceData!$AI$151),"",ReferenceData!$AI$151),"")</f>
        <v>1.6002000000000001</v>
      </c>
      <c r="AJ151">
        <f ca="1">IFERROR(IF(0=LEN(ReferenceData!$AJ$151),"",ReferenceData!$AJ$151),"")</f>
        <v>1.5832671760000001</v>
      </c>
      <c r="AK151">
        <f ca="1">IFERROR(IF(0=LEN(ReferenceData!$AK$151),"",ReferenceData!$AK$151),"")</f>
        <v>1.5746717560000001</v>
      </c>
      <c r="AL151">
        <f ca="1">IFERROR(IF(0=LEN(ReferenceData!$AL$151),"",ReferenceData!$AL$151),"")</f>
        <v>1.552596154</v>
      </c>
      <c r="AM151">
        <f ca="1">IFERROR(IF(0=LEN(ReferenceData!$AM$151),"",ReferenceData!$AM$151),"")</f>
        <v>1.5300458020000001</v>
      </c>
      <c r="AN151">
        <f ca="1">IFERROR(IF(0=LEN(ReferenceData!$AN$151),"",ReferenceData!$AN$151),"")</f>
        <v>1.511661538</v>
      </c>
      <c r="AO151">
        <f ca="1">IFERROR(IF(0=LEN(ReferenceData!$AO$151),"",ReferenceData!$AO$151),"")</f>
        <v>1.492597701</v>
      </c>
      <c r="AP151">
        <f ca="1">IFERROR(IF(0=LEN(ReferenceData!$AP$151),"",ReferenceData!$AP$151),"")</f>
        <v>1.468034351</v>
      </c>
      <c r="AQ151">
        <f ca="1">IFERROR(IF(0=LEN(ReferenceData!$AQ$151),"",ReferenceData!$AQ$151),"")</f>
        <v>1.4590307689999999</v>
      </c>
      <c r="AR151">
        <f ca="1">IFERROR(IF(0=LEN(ReferenceData!$AR$151),"",ReferenceData!$AR$151),"")</f>
        <v>1.479288462</v>
      </c>
      <c r="AS151">
        <f ca="1">IFERROR(IF(0=LEN(ReferenceData!$AS$151),"",ReferenceData!$AS$151),"")</f>
        <v>1.488</v>
      </c>
      <c r="AT151">
        <f ca="1">IFERROR(IF(0=LEN(ReferenceData!$AT$151),"",ReferenceData!$AT$151),"")</f>
        <v>1.464207692</v>
      </c>
      <c r="AU151">
        <f ca="1">IFERROR(IF(0=LEN(ReferenceData!$AU$151),"",ReferenceData!$AU$151),"")</f>
        <v>1.4326192310000001</v>
      </c>
      <c r="AV151">
        <f ca="1">IFERROR(IF(0=LEN(ReferenceData!$AV$151),"",ReferenceData!$AV$151),"")</f>
        <v>1.417701149</v>
      </c>
      <c r="AW151">
        <f ca="1">IFERROR(IF(0=LEN(ReferenceData!$AW$151),"",ReferenceData!$AW$151),"")</f>
        <v>1.3938923080000001</v>
      </c>
      <c r="AX151">
        <f ca="1">IFERROR(IF(0=LEN(ReferenceData!$AX$151),"",ReferenceData!$AX$151),"")</f>
        <v>1.383601533</v>
      </c>
      <c r="AY151">
        <f ca="1">IFERROR(IF(0=LEN(ReferenceData!$AY$151),"",ReferenceData!$AY$151),"")</f>
        <v>1.359574713</v>
      </c>
      <c r="AZ151">
        <f ca="1">IFERROR(IF(0=LEN(ReferenceData!$AZ$151),"",ReferenceData!$AZ$151),"")</f>
        <v>1.353865385</v>
      </c>
      <c r="BA151">
        <f ca="1">IFERROR(IF(0=LEN(ReferenceData!$BA$151),"",ReferenceData!$BA$151),"")</f>
        <v>1.351302682</v>
      </c>
      <c r="BB151">
        <f ca="1">IFERROR(IF(0=LEN(ReferenceData!$BB$151),"",ReferenceData!$BB$151),"")</f>
        <v>1.3525210729999999</v>
      </c>
      <c r="BC151">
        <f ca="1">IFERROR(IF(0=LEN(ReferenceData!$BC$151),"",ReferenceData!$BC$151),"")</f>
        <v>1.337769231</v>
      </c>
      <c r="BD151">
        <f ca="1">IFERROR(IF(0=LEN(ReferenceData!$BD$151),"",ReferenceData!$BD$151),"")</f>
        <v>1.3286307690000001</v>
      </c>
      <c r="BE151">
        <f ca="1">IFERROR(IF(0=LEN(ReferenceData!$BE$151),"",ReferenceData!$BE$151),"")</f>
        <v>1.3160000000000001</v>
      </c>
      <c r="BF151">
        <f ca="1">IFERROR(IF(0=LEN(ReferenceData!$BF$151),"",ReferenceData!$BF$151),"")</f>
        <v>1.3059230770000001</v>
      </c>
      <c r="BG151">
        <f ca="1">IFERROR(IF(0=LEN(ReferenceData!$BG$151),"",ReferenceData!$BG$151),"")</f>
        <v>1.306961686</v>
      </c>
      <c r="BH151">
        <f ca="1">IFERROR(IF(0=LEN(ReferenceData!$BH$151),"",ReferenceData!$BH$151),"")</f>
        <v>1.293022989</v>
      </c>
      <c r="BI151">
        <f ca="1">IFERROR(IF(0=LEN(ReferenceData!$BI$151),"",ReferenceData!$BI$151),"")</f>
        <v>1.283896154</v>
      </c>
      <c r="BJ151">
        <f ca="1">IFERROR(IF(0=LEN(ReferenceData!$BJ$151),"",ReferenceData!$BJ$151),"")</f>
        <v>1.272666667</v>
      </c>
      <c r="BK151">
        <f ca="1">IFERROR(IF(0=LEN(ReferenceData!$BK$151),"",ReferenceData!$BK$151),"")</f>
        <v>1.2483692310000001</v>
      </c>
      <c r="BL151">
        <f ca="1">IFERROR(IF(0=LEN(ReferenceData!$BL$151),"",ReferenceData!$BL$151),"")</f>
        <v>1.2353076919999999</v>
      </c>
      <c r="BM151">
        <f ca="1">IFERROR(IF(0=LEN(ReferenceData!$BM$151),"",ReferenceData!$BM$151),"")</f>
        <v>1.2229731800000001</v>
      </c>
      <c r="BN151">
        <f ca="1">IFERROR(IF(0=LEN(ReferenceData!$BN$151),"",ReferenceData!$BN$151),"")</f>
        <v>1.226746154</v>
      </c>
      <c r="BO151">
        <f ca="1">IFERROR(IF(0=LEN(ReferenceData!$BO$151),"",ReferenceData!$BO$151),"")</f>
        <v>1.2281455939999999</v>
      </c>
      <c r="BP151">
        <f ca="1">IFERROR(IF(0=LEN(ReferenceData!$BP$151),"",ReferenceData!$BP$151),"")</f>
        <v>1.2569885059999999</v>
      </c>
      <c r="BQ151">
        <f ca="1">IFERROR(IF(0=LEN(ReferenceData!$BQ$151),"",ReferenceData!$BQ$151),"")</f>
        <v>1.2509999999999999</v>
      </c>
      <c r="BR151">
        <f ca="1">IFERROR(IF(0=LEN(ReferenceData!$BR$151),"",ReferenceData!$BR$151),"")</f>
        <v>1.2710846149999999</v>
      </c>
      <c r="BS151">
        <f ca="1">IFERROR(IF(0=LEN(ReferenceData!$BS$151),"",ReferenceData!$BS$151),"")</f>
        <v>1.2663486589999999</v>
      </c>
      <c r="BT151">
        <f ca="1">IFERROR(IF(0=LEN(ReferenceData!$BT$151),"",ReferenceData!$BT$151),"")</f>
        <v>1.2423615379999999</v>
      </c>
      <c r="BU151">
        <f ca="1">IFERROR(IF(0=LEN(ReferenceData!$BU$151),"",ReferenceData!$BU$151),"")</f>
        <v>1.2345923080000001</v>
      </c>
      <c r="BV151">
        <f ca="1">IFERROR(IF(0=LEN(ReferenceData!$BV$151),"",ReferenceData!$BV$151),"")</f>
        <v>1.2234904209999999</v>
      </c>
      <c r="BW151">
        <f ca="1">IFERROR(IF(0=LEN(ReferenceData!$BW$151),"",ReferenceData!$BW$151),"")</f>
        <v>1.218142308</v>
      </c>
      <c r="BX151">
        <f ca="1">IFERROR(IF(0=LEN(ReferenceData!$BX$151),"",ReferenceData!$BX$151),"")</f>
        <v>1.222344828</v>
      </c>
      <c r="BY151">
        <f ca="1">IFERROR(IF(0=LEN(ReferenceData!$BY$151),"",ReferenceData!$BY$151),"")</f>
        <v>1.222927203</v>
      </c>
      <c r="BZ151">
        <f ca="1">IFERROR(IF(0=LEN(ReferenceData!$BZ$151),"",ReferenceData!$BZ$151),"")</f>
        <v>1.2428153850000001</v>
      </c>
      <c r="CA151">
        <f ca="1">IFERROR(IF(0=LEN(ReferenceData!$CA$151),"",ReferenceData!$CA$151),"")</f>
        <v>1.237770115</v>
      </c>
      <c r="CB151">
        <f ca="1">IFERROR(IF(0=LEN(ReferenceData!$CB$151),"",ReferenceData!$CB$151),"")</f>
        <v>1.258041985</v>
      </c>
      <c r="CC151">
        <f ca="1">IFERROR(IF(0=LEN(ReferenceData!$CC$151),"",ReferenceData!$CC$151),"")</f>
        <v>1.2529999999999999</v>
      </c>
      <c r="CD151">
        <f ca="1">IFERROR(IF(0=LEN(ReferenceData!$CD$151),"",ReferenceData!$CD$151),"")</f>
        <v>1.237816794</v>
      </c>
      <c r="CE151">
        <f ca="1">IFERROR(IF(0=LEN(ReferenceData!$CE$151),"",ReferenceData!$CE$151),"")</f>
        <v>1.2113053439999999</v>
      </c>
      <c r="CF151">
        <f ca="1">IFERROR(IF(0=LEN(ReferenceData!$CF$151),"",ReferenceData!$CF$151),"")</f>
        <v>1.1877500000000001</v>
      </c>
      <c r="CG151">
        <f ca="1">IFERROR(IF(0=LEN(ReferenceData!$CG$151),"",ReferenceData!$CG$151),"")</f>
        <v>1.1755229009999999</v>
      </c>
      <c r="CH151">
        <f ca="1">IFERROR(IF(0=LEN(ReferenceData!$CH$151),"",ReferenceData!$CH$151),"")</f>
        <v>1.1333461540000001</v>
      </c>
      <c r="CI151">
        <f ca="1">IFERROR(IF(0=LEN(ReferenceData!$CI$151),"",ReferenceData!$CI$151),"")</f>
        <v>1.1303026819999999</v>
      </c>
      <c r="CJ151">
        <f ca="1">IFERROR(IF(0=LEN(ReferenceData!$CJ$151),"",ReferenceData!$CJ$151),"")</f>
        <v>1.1227633589999999</v>
      </c>
      <c r="CK151">
        <f ca="1">IFERROR(IF(0=LEN(ReferenceData!$CK$151),"",ReferenceData!$CK$151),"")</f>
        <v>1.096615385</v>
      </c>
    </row>
    <row r="152" spans="1:89">
      <c r="A152" t="str">
        <f>IFERROR(IF(0=LEN(ReferenceData!$A$152),"",ReferenceData!$A$152),"")</f>
        <v>2017年预测每股FAD</v>
      </c>
      <c r="B152" t="str">
        <f>IFERROR(IF(0=LEN(ReferenceData!$B$152),"",ReferenceData!$B$152),"")</f>
        <v/>
      </c>
      <c r="C152" t="str">
        <f>IFERROR(IF(0=LEN(ReferenceData!$C$152),"",ReferenceData!$C$152),"")</f>
        <v/>
      </c>
      <c r="D152" t="str">
        <f>IFERROR(IF(0=LEN(ReferenceData!$D$152),"",ReferenceData!$D$152),"")</f>
        <v/>
      </c>
      <c r="E152" t="str">
        <f>IFERROR(IF(0=LEN(ReferenceData!$E$152),"",ReferenceData!$E$152),"")</f>
        <v>Sum</v>
      </c>
      <c r="F152" t="str">
        <f ca="1">IFERROR(IF(0=LEN(ReferenceData!$F$152),"",ReferenceData!$F$152),"")</f>
        <v/>
      </c>
      <c r="G152" t="str">
        <f ca="1">IFERROR(IF(0=LEN(ReferenceData!$G$152),"",ReferenceData!$G$152),"")</f>
        <v/>
      </c>
      <c r="H152">
        <f ca="1">IFERROR(IF(0=LEN(ReferenceData!$H$152),"",ReferenceData!$H$152),"")</f>
        <v>34.529999999999994</v>
      </c>
      <c r="I152">
        <f ca="1">IFERROR(IF(0=LEN(ReferenceData!$I$152),"",ReferenceData!$I$152),"")</f>
        <v>34.402999999999999</v>
      </c>
      <c r="J152">
        <f ca="1">IFERROR(IF(0=LEN(ReferenceData!$J$152),"",ReferenceData!$J$152),"")</f>
        <v>34.395000000000003</v>
      </c>
      <c r="K152">
        <f ca="1">IFERROR(IF(0=LEN(ReferenceData!$K$152),"",ReferenceData!$K$152),"")</f>
        <v>34.541000000000004</v>
      </c>
      <c r="L152">
        <f ca="1">IFERROR(IF(0=LEN(ReferenceData!$L$152),"",ReferenceData!$L$152),"")</f>
        <v>35.053000000000004</v>
      </c>
      <c r="M152">
        <f ca="1">IFERROR(IF(0=LEN(ReferenceData!$M$152),"",ReferenceData!$M$152),"")</f>
        <v>35.112000000000002</v>
      </c>
      <c r="N152">
        <f ca="1">IFERROR(IF(0=LEN(ReferenceData!$N$152),"",ReferenceData!$N$152),"")</f>
        <v>35.165999999999997</v>
      </c>
      <c r="O152">
        <f ca="1">IFERROR(IF(0=LEN(ReferenceData!$O$152),"",ReferenceData!$O$152),"")</f>
        <v>35.033000000000001</v>
      </c>
      <c r="P152">
        <f ca="1">IFERROR(IF(0=LEN(ReferenceData!$P$152),"",ReferenceData!$P$152),"")</f>
        <v>35.034999999999997</v>
      </c>
      <c r="Q152">
        <f ca="1">IFERROR(IF(0=LEN(ReferenceData!$Q$152),"",ReferenceData!$Q$152),"")</f>
        <v>34.953999999999994</v>
      </c>
      <c r="R152">
        <f ca="1">IFERROR(IF(0=LEN(ReferenceData!$R$152),"",ReferenceData!$R$152),"")</f>
        <v>34.752999999999993</v>
      </c>
      <c r="S152">
        <f ca="1">IFERROR(IF(0=LEN(ReferenceData!$S$152),"",ReferenceData!$S$152),"")</f>
        <v>34.770000000000003</v>
      </c>
      <c r="T152">
        <f ca="1">IFERROR(IF(0=LEN(ReferenceData!$T$152),"",ReferenceData!$T$152),"")</f>
        <v>35.265000000000001</v>
      </c>
      <c r="U152">
        <f ca="1">IFERROR(IF(0=LEN(ReferenceData!$U$152),"",ReferenceData!$U$152),"")</f>
        <v>35.315000000000005</v>
      </c>
      <c r="V152">
        <f ca="1">IFERROR(IF(0=LEN(ReferenceData!$V$152),"",ReferenceData!$V$152),"")</f>
        <v>35.458000000000006</v>
      </c>
      <c r="W152">
        <f ca="1">IFERROR(IF(0=LEN(ReferenceData!$W$152),"",ReferenceData!$W$152),"")</f>
        <v>35.419999999999995</v>
      </c>
      <c r="X152">
        <f ca="1">IFERROR(IF(0=LEN(ReferenceData!$X$152),"",ReferenceData!$X$152),"")</f>
        <v>35.515000000000001</v>
      </c>
      <c r="Y152">
        <f ca="1">IFERROR(IF(0=LEN(ReferenceData!$Y$152),"",ReferenceData!$Y$152),"")</f>
        <v>35.525000000000006</v>
      </c>
      <c r="Z152">
        <f ca="1">IFERROR(IF(0=LEN(ReferenceData!$Z$152),"",ReferenceData!$Z$152),"")</f>
        <v>35.832999999999998</v>
      </c>
      <c r="AA152">
        <f ca="1">IFERROR(IF(0=LEN(ReferenceData!$AA$152),"",ReferenceData!$AA$152),"")</f>
        <v>35.980000000000004</v>
      </c>
      <c r="AB152">
        <f ca="1">IFERROR(IF(0=LEN(ReferenceData!$AB$152),"",ReferenceData!$AB$152),"")</f>
        <v>36.041000000000004</v>
      </c>
      <c r="AC152">
        <f ca="1">IFERROR(IF(0=LEN(ReferenceData!$AC$152),"",ReferenceData!$AC$152),"")</f>
        <v>35.975000000000009</v>
      </c>
      <c r="AD152">
        <f ca="1">IFERROR(IF(0=LEN(ReferenceData!$AD$152),"",ReferenceData!$AD$152),"")</f>
        <v>36.161999999999999</v>
      </c>
      <c r="AE152">
        <f ca="1">IFERROR(IF(0=LEN(ReferenceData!$AE$152),"",ReferenceData!$AE$152),"")</f>
        <v>36.765000000000001</v>
      </c>
      <c r="AF152">
        <f ca="1">IFERROR(IF(0=LEN(ReferenceData!$AF$152),"",ReferenceData!$AF$152),"")</f>
        <v>36.978000000000002</v>
      </c>
      <c r="AG152">
        <f ca="1">IFERROR(IF(0=LEN(ReferenceData!$AG$152),"",ReferenceData!$AG$152),"")</f>
        <v>36.981000000000002</v>
      </c>
      <c r="AH152">
        <f ca="1">IFERROR(IF(0=LEN(ReferenceData!$AH$152),"",ReferenceData!$AH$152),"")</f>
        <v>36.677</v>
      </c>
      <c r="AI152">
        <f ca="1">IFERROR(IF(0=LEN(ReferenceData!$AI$152),"",ReferenceData!$AI$152),"")</f>
        <v>36.622</v>
      </c>
      <c r="AJ152">
        <f ca="1">IFERROR(IF(0=LEN(ReferenceData!$AJ$152),"",ReferenceData!$AJ$152),"")</f>
        <v>25.280999999999999</v>
      </c>
      <c r="AK152">
        <f ca="1">IFERROR(IF(0=LEN(ReferenceData!$AK$152),"",ReferenceData!$AK$152),"")</f>
        <v>33.35</v>
      </c>
      <c r="AL152">
        <f ca="1">IFERROR(IF(0=LEN(ReferenceData!$AL$152),"",ReferenceData!$AL$152),"")</f>
        <v>33.935000000000002</v>
      </c>
      <c r="AM152">
        <f ca="1">IFERROR(IF(0=LEN(ReferenceData!$AM$152),"",ReferenceData!$AM$152),"")</f>
        <v>7.13</v>
      </c>
      <c r="AN152">
        <f ca="1">IFERROR(IF(0=LEN(ReferenceData!$AN$152),"",ReferenceData!$AN$152),"")</f>
        <v>17.630000000000003</v>
      </c>
      <c r="AO152">
        <f ca="1">IFERROR(IF(0=LEN(ReferenceData!$AO$152),"",ReferenceData!$AO$152),"")</f>
        <v>32.824999999999996</v>
      </c>
      <c r="AP152">
        <f ca="1">IFERROR(IF(0=LEN(ReferenceData!$AP$152),"",ReferenceData!$AP$152),"")</f>
        <v>10.039999999999999</v>
      </c>
      <c r="AQ152">
        <f ca="1">IFERROR(IF(0=LEN(ReferenceData!$AQ$152),"",ReferenceData!$AQ$152),"")</f>
        <v>14.999999999999998</v>
      </c>
      <c r="AR152">
        <f ca="1">IFERROR(IF(0=LEN(ReferenceData!$AR$152),"",ReferenceData!$AR$152),"")</f>
        <v>12.09</v>
      </c>
      <c r="AS152" t="str">
        <f ca="1">IFERROR(IF(0=LEN(ReferenceData!$AS$152),"",ReferenceData!$AS$152),"")</f>
        <v/>
      </c>
      <c r="AT152" t="str">
        <f ca="1">IFERROR(IF(0=LEN(ReferenceData!$AT$152),"",ReferenceData!$AT$152),"")</f>
        <v/>
      </c>
      <c r="AU152" t="str">
        <f ca="1">IFERROR(IF(0=LEN(ReferenceData!$AU$152),"",ReferenceData!$AU$152),"")</f>
        <v/>
      </c>
      <c r="AV152" t="str">
        <f ca="1">IFERROR(IF(0=LEN(ReferenceData!$AV$152),"",ReferenceData!$AV$152),"")</f>
        <v/>
      </c>
      <c r="AW152" t="str">
        <f ca="1">IFERROR(IF(0=LEN(ReferenceData!$AW$152),"",ReferenceData!$AW$152),"")</f>
        <v/>
      </c>
      <c r="AX152" t="str">
        <f ca="1">IFERROR(IF(0=LEN(ReferenceData!$AX$152),"",ReferenceData!$AX$152),"")</f>
        <v/>
      </c>
      <c r="AY152" t="str">
        <f ca="1">IFERROR(IF(0=LEN(ReferenceData!$AY$152),"",ReferenceData!$AY$152),"")</f>
        <v/>
      </c>
      <c r="AZ152" t="str">
        <f ca="1">IFERROR(IF(0=LEN(ReferenceData!$AZ$152),"",ReferenceData!$AZ$152),"")</f>
        <v/>
      </c>
      <c r="BA152" t="str">
        <f ca="1">IFERROR(IF(0=LEN(ReferenceData!$BA$152),"",ReferenceData!$BA$152),"")</f>
        <v/>
      </c>
      <c r="BB152" t="str">
        <f ca="1">IFERROR(IF(0=LEN(ReferenceData!$BB$152),"",ReferenceData!$BB$152),"")</f>
        <v/>
      </c>
      <c r="BC152" t="str">
        <f ca="1">IFERROR(IF(0=LEN(ReferenceData!$BC$152),"",ReferenceData!$BC$152),"")</f>
        <v/>
      </c>
      <c r="BD152" t="str">
        <f ca="1">IFERROR(IF(0=LEN(ReferenceData!$BD$152),"",ReferenceData!$BD$152),"")</f>
        <v/>
      </c>
      <c r="BE152" t="str">
        <f ca="1">IFERROR(IF(0=LEN(ReferenceData!$BE$152),"",ReferenceData!$BE$152),"")</f>
        <v/>
      </c>
      <c r="BF152" t="str">
        <f ca="1">IFERROR(IF(0=LEN(ReferenceData!$BF$152),"",ReferenceData!$BF$152),"")</f>
        <v/>
      </c>
      <c r="BG152" t="str">
        <f ca="1">IFERROR(IF(0=LEN(ReferenceData!$BG$152),"",ReferenceData!$BG$152),"")</f>
        <v/>
      </c>
      <c r="BH152" t="str">
        <f ca="1">IFERROR(IF(0=LEN(ReferenceData!$BH$152),"",ReferenceData!$BH$152),"")</f>
        <v/>
      </c>
      <c r="BI152" t="str">
        <f ca="1">IFERROR(IF(0=LEN(ReferenceData!$BI$152),"",ReferenceData!$BI$152),"")</f>
        <v/>
      </c>
      <c r="BJ152" t="str">
        <f ca="1">IFERROR(IF(0=LEN(ReferenceData!$BJ$152),"",ReferenceData!$BJ$152),"")</f>
        <v/>
      </c>
      <c r="BK152" t="str">
        <f ca="1">IFERROR(IF(0=LEN(ReferenceData!$BK$152),"",ReferenceData!$BK$152),"")</f>
        <v/>
      </c>
      <c r="BL152" t="str">
        <f ca="1">IFERROR(IF(0=LEN(ReferenceData!$BL$152),"",ReferenceData!$BL$152),"")</f>
        <v/>
      </c>
      <c r="BM152" t="str">
        <f ca="1">IFERROR(IF(0=LEN(ReferenceData!$BM$152),"",ReferenceData!$BM$152),"")</f>
        <v/>
      </c>
      <c r="BN152" t="str">
        <f ca="1">IFERROR(IF(0=LEN(ReferenceData!$BN$152),"",ReferenceData!$BN$152),"")</f>
        <v/>
      </c>
      <c r="BO152" t="str">
        <f ca="1">IFERROR(IF(0=LEN(ReferenceData!$BO$152),"",ReferenceData!$BO$152),"")</f>
        <v/>
      </c>
      <c r="BP152" t="str">
        <f ca="1">IFERROR(IF(0=LEN(ReferenceData!$BP$152),"",ReferenceData!$BP$152),"")</f>
        <v/>
      </c>
      <c r="BQ152" t="str">
        <f ca="1">IFERROR(IF(0=LEN(ReferenceData!$BQ$152),"",ReferenceData!$BQ$152),"")</f>
        <v/>
      </c>
      <c r="BR152" t="str">
        <f ca="1">IFERROR(IF(0=LEN(ReferenceData!$BR$152),"",ReferenceData!$BR$152),"")</f>
        <v/>
      </c>
      <c r="BS152" t="str">
        <f ca="1">IFERROR(IF(0=LEN(ReferenceData!$BS$152),"",ReferenceData!$BS$152),"")</f>
        <v/>
      </c>
      <c r="BT152" t="str">
        <f ca="1">IFERROR(IF(0=LEN(ReferenceData!$BT$152),"",ReferenceData!$BT$152),"")</f>
        <v/>
      </c>
      <c r="BU152" t="str">
        <f ca="1">IFERROR(IF(0=LEN(ReferenceData!$BU$152),"",ReferenceData!$BU$152),"")</f>
        <v/>
      </c>
      <c r="BV152" t="str">
        <f ca="1">IFERROR(IF(0=LEN(ReferenceData!$BV$152),"",ReferenceData!$BV$152),"")</f>
        <v/>
      </c>
      <c r="BW152" t="str">
        <f ca="1">IFERROR(IF(0=LEN(ReferenceData!$BW$152),"",ReferenceData!$BW$152),"")</f>
        <v/>
      </c>
      <c r="BX152" t="str">
        <f ca="1">IFERROR(IF(0=LEN(ReferenceData!$BX$152),"",ReferenceData!$BX$152),"")</f>
        <v/>
      </c>
      <c r="BY152" t="str">
        <f ca="1">IFERROR(IF(0=LEN(ReferenceData!$BY$152),"",ReferenceData!$BY$152),"")</f>
        <v/>
      </c>
      <c r="BZ152" t="str">
        <f ca="1">IFERROR(IF(0=LEN(ReferenceData!$BZ$152),"",ReferenceData!$BZ$152),"")</f>
        <v/>
      </c>
      <c r="CA152" t="str">
        <f ca="1">IFERROR(IF(0=LEN(ReferenceData!$CA$152),"",ReferenceData!$CA$152),"")</f>
        <v/>
      </c>
      <c r="CB152" t="str">
        <f ca="1">IFERROR(IF(0=LEN(ReferenceData!$CB$152),"",ReferenceData!$CB$152),"")</f>
        <v/>
      </c>
      <c r="CC152" t="str">
        <f ca="1">IFERROR(IF(0=LEN(ReferenceData!$CC$152),"",ReferenceData!$CC$152),"")</f>
        <v/>
      </c>
      <c r="CD152" t="str">
        <f ca="1">IFERROR(IF(0=LEN(ReferenceData!$CD$152),"",ReferenceData!$CD$152),"")</f>
        <v/>
      </c>
      <c r="CE152" t="str">
        <f ca="1">IFERROR(IF(0=LEN(ReferenceData!$CE$152),"",ReferenceData!$CE$152),"")</f>
        <v/>
      </c>
      <c r="CF152" t="str">
        <f ca="1">IFERROR(IF(0=LEN(ReferenceData!$CF$152),"",ReferenceData!$CF$152),"")</f>
        <v/>
      </c>
      <c r="CG152" t="str">
        <f ca="1">IFERROR(IF(0=LEN(ReferenceData!$CG$152),"",ReferenceData!$CG$152),"")</f>
        <v/>
      </c>
      <c r="CH152" t="str">
        <f ca="1">IFERROR(IF(0=LEN(ReferenceData!$CH$152),"",ReferenceData!$CH$152),"")</f>
        <v/>
      </c>
      <c r="CI152" t="str">
        <f ca="1">IFERROR(IF(0=LEN(ReferenceData!$CI$152),"",ReferenceData!$CI$152),"")</f>
        <v/>
      </c>
      <c r="CJ152" t="str">
        <f ca="1">IFERROR(IF(0=LEN(ReferenceData!$CJ$152),"",ReferenceData!$CJ$152),"")</f>
        <v/>
      </c>
      <c r="CK152" t="str">
        <f ca="1">IFERROR(IF(0=LEN(ReferenceData!$CK$152),"",ReferenceData!$CK$152),"")</f>
        <v/>
      </c>
    </row>
    <row r="153" spans="1:89">
      <c r="A153" t="str">
        <f>IFERROR(IF(0=LEN(ReferenceData!$A$153),"",ReferenceData!$A$153),"")</f>
        <v xml:space="preserve">    Apartment Investment &amp; Managem</v>
      </c>
      <c r="B153" t="str">
        <f>IFERROR(IF(0=LEN(ReferenceData!$B$153),"",ReferenceData!$B$153),"")</f>
        <v>AIV US Equity</v>
      </c>
      <c r="C153" t="str">
        <f>IFERROR(IF(0=LEN(ReferenceData!$C$153),"",ReferenceData!$C$153),"")</f>
        <v>BE895</v>
      </c>
      <c r="D153" t="str">
        <f>IFERROR(IF(0=LEN(ReferenceData!$D$153),"",ReferenceData!$D$153),"")</f>
        <v>BEST_AFFOPS</v>
      </c>
      <c r="E153" t="str">
        <f>IFERROR(IF(0=LEN(ReferenceData!$E$153),"",ReferenceData!$E$153),"")</f>
        <v>动态</v>
      </c>
      <c r="F153" t="str">
        <f ca="1">IFERROR(IF(0=LEN(ReferenceData!$F$153),"",ReferenceData!$F$153),"")</f>
        <v/>
      </c>
      <c r="G153" t="str">
        <f ca="1">IFERROR(IF(0=LEN(ReferenceData!$G$153),"",ReferenceData!$G$153),"")</f>
        <v/>
      </c>
      <c r="H153">
        <f ca="1">IFERROR(IF(0=LEN(ReferenceData!$H$153),"",ReferenceData!$H$153),"")</f>
        <v>2.113</v>
      </c>
      <c r="I153">
        <f ca="1">IFERROR(IF(0=LEN(ReferenceData!$I$153),"",ReferenceData!$I$153),"")</f>
        <v>2.1120000000000001</v>
      </c>
      <c r="J153">
        <f ca="1">IFERROR(IF(0=LEN(ReferenceData!$J$153),"",ReferenceData!$J$153),"")</f>
        <v>2.1080000000000001</v>
      </c>
      <c r="K153">
        <f ca="1">IFERROR(IF(0=LEN(ReferenceData!$K$153),"",ReferenceData!$K$153),"")</f>
        <v>2.1030000000000002</v>
      </c>
      <c r="L153">
        <f ca="1">IFERROR(IF(0=LEN(ReferenceData!$L$153),"",ReferenceData!$L$153),"")</f>
        <v>2.1</v>
      </c>
      <c r="M153">
        <f ca="1">IFERROR(IF(0=LEN(ReferenceData!$M$153),"",ReferenceData!$M$153),"")</f>
        <v>2.113</v>
      </c>
      <c r="N153">
        <f ca="1">IFERROR(IF(0=LEN(ReferenceData!$N$153),"",ReferenceData!$N$153),"")</f>
        <v>2.1659999999999999</v>
      </c>
      <c r="O153">
        <f ca="1">IFERROR(IF(0=LEN(ReferenceData!$O$153),"",ReferenceData!$O$153),"")</f>
        <v>2.1080000000000001</v>
      </c>
      <c r="P153">
        <f ca="1">IFERROR(IF(0=LEN(ReferenceData!$P$153),"",ReferenceData!$P$153),"")</f>
        <v>2.1080000000000001</v>
      </c>
      <c r="Q153">
        <f ca="1">IFERROR(IF(0=LEN(ReferenceData!$Q$153),"",ReferenceData!$Q$153),"")</f>
        <v>2.133</v>
      </c>
      <c r="R153">
        <f ca="1">IFERROR(IF(0=LEN(ReferenceData!$R$153),"",ReferenceData!$R$153),"")</f>
        <v>2.036</v>
      </c>
      <c r="S153">
        <f ca="1">IFERROR(IF(0=LEN(ReferenceData!$S$153),"",ReferenceData!$S$153),"")</f>
        <v>2.0339999999999998</v>
      </c>
      <c r="T153">
        <f ca="1">IFERROR(IF(0=LEN(ReferenceData!$T$153),"",ReferenceData!$T$153),"")</f>
        <v>2.121</v>
      </c>
      <c r="U153">
        <f ca="1">IFERROR(IF(0=LEN(ReferenceData!$U$153),"",ReferenceData!$U$153),"")</f>
        <v>2.129</v>
      </c>
      <c r="V153">
        <f ca="1">IFERROR(IF(0=LEN(ReferenceData!$V$153),"",ReferenceData!$V$153),"")</f>
        <v>2.14</v>
      </c>
      <c r="W153">
        <f ca="1">IFERROR(IF(0=LEN(ReferenceData!$W$153),"",ReferenceData!$W$153),"")</f>
        <v>2.14</v>
      </c>
      <c r="X153">
        <f ca="1">IFERROR(IF(0=LEN(ReferenceData!$X$153),"",ReferenceData!$X$153),"")</f>
        <v>2.1539999999999999</v>
      </c>
      <c r="Y153">
        <f ca="1">IFERROR(IF(0=LEN(ReferenceData!$Y$153),"",ReferenceData!$Y$153),"")</f>
        <v>2.1539999999999999</v>
      </c>
      <c r="Z153">
        <f ca="1">IFERROR(IF(0=LEN(ReferenceData!$Z$153),"",ReferenceData!$Z$153),"")</f>
        <v>2.15</v>
      </c>
      <c r="AA153">
        <f ca="1">IFERROR(IF(0=LEN(ReferenceData!$AA$153),"",ReferenceData!$AA$153),"")</f>
        <v>2.1539999999999999</v>
      </c>
      <c r="AB153">
        <f ca="1">IFERROR(IF(0=LEN(ReferenceData!$AB$153),"",ReferenceData!$AB$153),"")</f>
        <v>2.16</v>
      </c>
      <c r="AC153">
        <f ca="1">IFERROR(IF(0=LEN(ReferenceData!$AC$153),"",ReferenceData!$AC$153),"")</f>
        <v>2.137</v>
      </c>
      <c r="AD153">
        <f ca="1">IFERROR(IF(0=LEN(ReferenceData!$AD$153),"",ReferenceData!$AD$153),"")</f>
        <v>2.1339999999999999</v>
      </c>
      <c r="AE153">
        <f ca="1">IFERROR(IF(0=LEN(ReferenceData!$AE$153),"",ReferenceData!$AE$153),"")</f>
        <v>2.1800000000000002</v>
      </c>
      <c r="AF153">
        <f ca="1">IFERROR(IF(0=LEN(ReferenceData!$AF$153),"",ReferenceData!$AF$153),"")</f>
        <v>2.1970000000000001</v>
      </c>
      <c r="AG153">
        <f ca="1">IFERROR(IF(0=LEN(ReferenceData!$AG$153),"",ReferenceData!$AG$153),"")</f>
        <v>2.1970000000000001</v>
      </c>
      <c r="AH153">
        <f ca="1">IFERROR(IF(0=LEN(ReferenceData!$AH$153),"",ReferenceData!$AH$153),"")</f>
        <v>2.2050000000000001</v>
      </c>
      <c r="AI153">
        <f ca="1">IFERROR(IF(0=LEN(ReferenceData!$AI$153),"",ReferenceData!$AI$153),"")</f>
        <v>2.375</v>
      </c>
      <c r="AJ153" t="str">
        <f ca="1">IFERROR(IF(0=LEN(ReferenceData!$AJ$153),"",ReferenceData!$AJ$153),"")</f>
        <v/>
      </c>
      <c r="AK153" t="str">
        <f ca="1">IFERROR(IF(0=LEN(ReferenceData!$AK$153),"",ReferenceData!$AK$153),"")</f>
        <v/>
      </c>
      <c r="AL153" t="str">
        <f ca="1">IFERROR(IF(0=LEN(ReferenceData!$AL$153),"",ReferenceData!$AL$153),"")</f>
        <v/>
      </c>
      <c r="AM153" t="str">
        <f ca="1">IFERROR(IF(0=LEN(ReferenceData!$AM$153),"",ReferenceData!$AM$153),"")</f>
        <v/>
      </c>
      <c r="AN153" t="str">
        <f ca="1">IFERROR(IF(0=LEN(ReferenceData!$AN$153),"",ReferenceData!$AN$153),"")</f>
        <v/>
      </c>
      <c r="AO153" t="str">
        <f ca="1">IFERROR(IF(0=LEN(ReferenceData!$AO$153),"",ReferenceData!$AO$153),"")</f>
        <v/>
      </c>
      <c r="AP153" t="str">
        <f ca="1">IFERROR(IF(0=LEN(ReferenceData!$AP$153),"",ReferenceData!$AP$153),"")</f>
        <v/>
      </c>
      <c r="AQ153" t="str">
        <f ca="1">IFERROR(IF(0=LEN(ReferenceData!$AQ$153),"",ReferenceData!$AQ$153),"")</f>
        <v/>
      </c>
      <c r="AR153" t="str">
        <f ca="1">IFERROR(IF(0=LEN(ReferenceData!$AR$153),"",ReferenceData!$AR$153),"")</f>
        <v/>
      </c>
      <c r="AS153" t="str">
        <f ca="1">IFERROR(IF(0=LEN(ReferenceData!$AS$153),"",ReferenceData!$AS$153),"")</f>
        <v/>
      </c>
      <c r="AT153" t="str">
        <f ca="1">IFERROR(IF(0=LEN(ReferenceData!$AT$153),"",ReferenceData!$AT$153),"")</f>
        <v/>
      </c>
      <c r="AU153" t="str">
        <f ca="1">IFERROR(IF(0=LEN(ReferenceData!$AU$153),"",ReferenceData!$AU$153),"")</f>
        <v/>
      </c>
      <c r="AV153" t="str">
        <f ca="1">IFERROR(IF(0=LEN(ReferenceData!$AV$153),"",ReferenceData!$AV$153),"")</f>
        <v/>
      </c>
      <c r="AW153" t="str">
        <f ca="1">IFERROR(IF(0=LEN(ReferenceData!$AW$153),"",ReferenceData!$AW$153),"")</f>
        <v/>
      </c>
      <c r="AX153" t="str">
        <f ca="1">IFERROR(IF(0=LEN(ReferenceData!$AX$153),"",ReferenceData!$AX$153),"")</f>
        <v/>
      </c>
      <c r="AY153" t="str">
        <f ca="1">IFERROR(IF(0=LEN(ReferenceData!$AY$153),"",ReferenceData!$AY$153),"")</f>
        <v/>
      </c>
      <c r="AZ153" t="str">
        <f ca="1">IFERROR(IF(0=LEN(ReferenceData!$AZ$153),"",ReferenceData!$AZ$153),"")</f>
        <v/>
      </c>
      <c r="BA153" t="str">
        <f ca="1">IFERROR(IF(0=LEN(ReferenceData!$BA$153),"",ReferenceData!$BA$153),"")</f>
        <v/>
      </c>
      <c r="BB153" t="str">
        <f ca="1">IFERROR(IF(0=LEN(ReferenceData!$BB$153),"",ReferenceData!$BB$153),"")</f>
        <v/>
      </c>
      <c r="BC153" t="str">
        <f ca="1">IFERROR(IF(0=LEN(ReferenceData!$BC$153),"",ReferenceData!$BC$153),"")</f>
        <v/>
      </c>
      <c r="BD153" t="str">
        <f ca="1">IFERROR(IF(0=LEN(ReferenceData!$BD$153),"",ReferenceData!$BD$153),"")</f>
        <v/>
      </c>
      <c r="BE153" t="str">
        <f ca="1">IFERROR(IF(0=LEN(ReferenceData!$BE$153),"",ReferenceData!$BE$153),"")</f>
        <v/>
      </c>
      <c r="BF153" t="str">
        <f ca="1">IFERROR(IF(0=LEN(ReferenceData!$BF$153),"",ReferenceData!$BF$153),"")</f>
        <v/>
      </c>
      <c r="BG153" t="str">
        <f ca="1">IFERROR(IF(0=LEN(ReferenceData!$BG$153),"",ReferenceData!$BG$153),"")</f>
        <v/>
      </c>
      <c r="BH153" t="str">
        <f ca="1">IFERROR(IF(0=LEN(ReferenceData!$BH$153),"",ReferenceData!$BH$153),"")</f>
        <v/>
      </c>
      <c r="BI153" t="str">
        <f ca="1">IFERROR(IF(0=LEN(ReferenceData!$BI$153),"",ReferenceData!$BI$153),"")</f>
        <v/>
      </c>
      <c r="BJ153" t="str">
        <f ca="1">IFERROR(IF(0=LEN(ReferenceData!$BJ$153),"",ReferenceData!$BJ$153),"")</f>
        <v/>
      </c>
      <c r="BK153" t="str">
        <f ca="1">IFERROR(IF(0=LEN(ReferenceData!$BK$153),"",ReferenceData!$BK$153),"")</f>
        <v/>
      </c>
      <c r="BL153" t="str">
        <f ca="1">IFERROR(IF(0=LEN(ReferenceData!$BL$153),"",ReferenceData!$BL$153),"")</f>
        <v/>
      </c>
      <c r="BM153" t="str">
        <f ca="1">IFERROR(IF(0=LEN(ReferenceData!$BM$153),"",ReferenceData!$BM$153),"")</f>
        <v/>
      </c>
      <c r="BN153" t="str">
        <f ca="1">IFERROR(IF(0=LEN(ReferenceData!$BN$153),"",ReferenceData!$BN$153),"")</f>
        <v/>
      </c>
      <c r="BO153" t="str">
        <f ca="1">IFERROR(IF(0=LEN(ReferenceData!$BO$153),"",ReferenceData!$BO$153),"")</f>
        <v/>
      </c>
      <c r="BP153" t="str">
        <f ca="1">IFERROR(IF(0=LEN(ReferenceData!$BP$153),"",ReferenceData!$BP$153),"")</f>
        <v/>
      </c>
      <c r="BQ153" t="str">
        <f ca="1">IFERROR(IF(0=LEN(ReferenceData!$BQ$153),"",ReferenceData!$BQ$153),"")</f>
        <v/>
      </c>
      <c r="BR153" t="str">
        <f ca="1">IFERROR(IF(0=LEN(ReferenceData!$BR$153),"",ReferenceData!$BR$153),"")</f>
        <v/>
      </c>
      <c r="BS153" t="str">
        <f ca="1">IFERROR(IF(0=LEN(ReferenceData!$BS$153),"",ReferenceData!$BS$153),"")</f>
        <v/>
      </c>
      <c r="BT153" t="str">
        <f ca="1">IFERROR(IF(0=LEN(ReferenceData!$BT$153),"",ReferenceData!$BT$153),"")</f>
        <v/>
      </c>
      <c r="BU153" t="str">
        <f ca="1">IFERROR(IF(0=LEN(ReferenceData!$BU$153),"",ReferenceData!$BU$153),"")</f>
        <v/>
      </c>
      <c r="BV153" t="str">
        <f ca="1">IFERROR(IF(0=LEN(ReferenceData!$BV$153),"",ReferenceData!$BV$153),"")</f>
        <v/>
      </c>
      <c r="BW153" t="str">
        <f ca="1">IFERROR(IF(0=LEN(ReferenceData!$BW$153),"",ReferenceData!$BW$153),"")</f>
        <v/>
      </c>
      <c r="BX153" t="str">
        <f ca="1">IFERROR(IF(0=LEN(ReferenceData!$BX$153),"",ReferenceData!$BX$153),"")</f>
        <v/>
      </c>
      <c r="BY153" t="str">
        <f ca="1">IFERROR(IF(0=LEN(ReferenceData!$BY$153),"",ReferenceData!$BY$153),"")</f>
        <v/>
      </c>
      <c r="BZ153" t="str">
        <f ca="1">IFERROR(IF(0=LEN(ReferenceData!$BZ$153),"",ReferenceData!$BZ$153),"")</f>
        <v/>
      </c>
      <c r="CA153" t="str">
        <f ca="1">IFERROR(IF(0=LEN(ReferenceData!$CA$153),"",ReferenceData!$CA$153),"")</f>
        <v/>
      </c>
      <c r="CB153" t="str">
        <f ca="1">IFERROR(IF(0=LEN(ReferenceData!$CB$153),"",ReferenceData!$CB$153),"")</f>
        <v/>
      </c>
      <c r="CC153" t="str">
        <f ca="1">IFERROR(IF(0=LEN(ReferenceData!$CC$153),"",ReferenceData!$CC$153),"")</f>
        <v/>
      </c>
      <c r="CD153" t="str">
        <f ca="1">IFERROR(IF(0=LEN(ReferenceData!$CD$153),"",ReferenceData!$CD$153),"")</f>
        <v/>
      </c>
      <c r="CE153" t="str">
        <f ca="1">IFERROR(IF(0=LEN(ReferenceData!$CE$153),"",ReferenceData!$CE$153),"")</f>
        <v/>
      </c>
      <c r="CF153" t="str">
        <f ca="1">IFERROR(IF(0=LEN(ReferenceData!$CF$153),"",ReferenceData!$CF$153),"")</f>
        <v/>
      </c>
      <c r="CG153" t="str">
        <f ca="1">IFERROR(IF(0=LEN(ReferenceData!$CG$153),"",ReferenceData!$CG$153),"")</f>
        <v/>
      </c>
      <c r="CH153" t="str">
        <f ca="1">IFERROR(IF(0=LEN(ReferenceData!$CH$153),"",ReferenceData!$CH$153),"")</f>
        <v/>
      </c>
      <c r="CI153" t="str">
        <f ca="1">IFERROR(IF(0=LEN(ReferenceData!$CI$153),"",ReferenceData!$CI$153),"")</f>
        <v/>
      </c>
      <c r="CJ153" t="str">
        <f ca="1">IFERROR(IF(0=LEN(ReferenceData!$CJ$153),"",ReferenceData!$CJ$153),"")</f>
        <v/>
      </c>
      <c r="CK153" t="str">
        <f ca="1">IFERROR(IF(0=LEN(ReferenceData!$CK$153),"",ReferenceData!$CK$153),"")</f>
        <v/>
      </c>
    </row>
    <row r="154" spans="1:89">
      <c r="A154" t="str">
        <f>IFERROR(IF(0=LEN(ReferenceData!$A$154),"",ReferenceData!$A$154),"")</f>
        <v xml:space="preserve">    AvalonBay Communities Inc</v>
      </c>
      <c r="B154" t="str">
        <f>IFERROR(IF(0=LEN(ReferenceData!$B$154),"",ReferenceData!$B$154),"")</f>
        <v>AVB US Equity</v>
      </c>
      <c r="C154" t="str">
        <f>IFERROR(IF(0=LEN(ReferenceData!$C$154),"",ReferenceData!$C$154),"")</f>
        <v>BE895</v>
      </c>
      <c r="D154" t="str">
        <f>IFERROR(IF(0=LEN(ReferenceData!$D$154),"",ReferenceData!$D$154),"")</f>
        <v>BEST_AFFOPS</v>
      </c>
      <c r="E154" t="str">
        <f>IFERROR(IF(0=LEN(ReferenceData!$E$154),"",ReferenceData!$E$154),"")</f>
        <v>动态</v>
      </c>
      <c r="F154" t="str">
        <f ca="1">IFERROR(IF(0=LEN(ReferenceData!$F$154),"",ReferenceData!$F$154),"")</f>
        <v/>
      </c>
      <c r="G154" t="str">
        <f ca="1">IFERROR(IF(0=LEN(ReferenceData!$G$154),"",ReferenceData!$G$154),"")</f>
        <v/>
      </c>
      <c r="H154">
        <f ca="1">IFERROR(IF(0=LEN(ReferenceData!$H$154),"",ReferenceData!$H$154),"")</f>
        <v>8.0399999999999991</v>
      </c>
      <c r="I154">
        <f ca="1">IFERROR(IF(0=LEN(ReferenceData!$I$154),"",ReferenceData!$I$154),"")</f>
        <v>8.0220000000000002</v>
      </c>
      <c r="J154">
        <f ca="1">IFERROR(IF(0=LEN(ReferenceData!$J$154),"",ReferenceData!$J$154),"")</f>
        <v>7.99</v>
      </c>
      <c r="K154">
        <f ca="1">IFERROR(IF(0=LEN(ReferenceData!$K$154),"",ReferenceData!$K$154),"")</f>
        <v>8.0570000000000004</v>
      </c>
      <c r="L154">
        <f ca="1">IFERROR(IF(0=LEN(ReferenceData!$L$154),"",ReferenceData!$L$154),"")</f>
        <v>8.0440000000000005</v>
      </c>
      <c r="M154">
        <f ca="1">IFERROR(IF(0=LEN(ReferenceData!$M$154),"",ReferenceData!$M$154),"")</f>
        <v>8.1389999999999993</v>
      </c>
      <c r="N154">
        <f ca="1">IFERROR(IF(0=LEN(ReferenceData!$N$154),"",ReferenceData!$N$154),"")</f>
        <v>8.14</v>
      </c>
      <c r="O154">
        <f ca="1">IFERROR(IF(0=LEN(ReferenceData!$O$154),"",ReferenceData!$O$154),"")</f>
        <v>8.1280000000000001</v>
      </c>
      <c r="P154">
        <f ca="1">IFERROR(IF(0=LEN(ReferenceData!$P$154),"",ReferenceData!$P$154),"")</f>
        <v>8.1460000000000008</v>
      </c>
      <c r="Q154">
        <f ca="1">IFERROR(IF(0=LEN(ReferenceData!$Q$154),"",ReferenceData!$Q$154),"")</f>
        <v>8.0920000000000005</v>
      </c>
      <c r="R154">
        <f ca="1">IFERROR(IF(0=LEN(ReferenceData!$R$154),"",ReferenceData!$R$154),"")</f>
        <v>8.1509999999999998</v>
      </c>
      <c r="S154">
        <f ca="1">IFERROR(IF(0=LEN(ReferenceData!$S$154),"",ReferenceData!$S$154),"")</f>
        <v>8.1379999999999999</v>
      </c>
      <c r="T154">
        <f ca="1">IFERROR(IF(0=LEN(ReferenceData!$T$154),"",ReferenceData!$T$154),"")</f>
        <v>8.1359999999999992</v>
      </c>
      <c r="U154">
        <f ca="1">IFERROR(IF(0=LEN(ReferenceData!$U$154),"",ReferenceData!$U$154),"")</f>
        <v>8.1530000000000005</v>
      </c>
      <c r="V154">
        <f ca="1">IFERROR(IF(0=LEN(ReferenceData!$V$154),"",ReferenceData!$V$154),"")</f>
        <v>8.2029999999999994</v>
      </c>
      <c r="W154">
        <f ca="1">IFERROR(IF(0=LEN(ReferenceData!$W$154),"",ReferenceData!$W$154),"")</f>
        <v>8.19</v>
      </c>
      <c r="X154">
        <f ca="1">IFERROR(IF(0=LEN(ReferenceData!$X$154),"",ReferenceData!$X$154),"")</f>
        <v>8.2959999999999994</v>
      </c>
      <c r="Y154">
        <f ca="1">IFERROR(IF(0=LEN(ReferenceData!$Y$154),"",ReferenceData!$Y$154),"")</f>
        <v>8.2829999999999995</v>
      </c>
      <c r="Z154">
        <f ca="1">IFERROR(IF(0=LEN(ReferenceData!$Z$154),"",ReferenceData!$Z$154),"")</f>
        <v>8.3710000000000004</v>
      </c>
      <c r="AA154">
        <f ca="1">IFERROR(IF(0=LEN(ReferenceData!$AA$154),"",ReferenceData!$AA$154),"")</f>
        <v>8.4280000000000008</v>
      </c>
      <c r="AB154">
        <f ca="1">IFERROR(IF(0=LEN(ReferenceData!$AB$154),"",ReferenceData!$AB$154),"")</f>
        <v>8.3989999999999991</v>
      </c>
      <c r="AC154">
        <f ca="1">IFERROR(IF(0=LEN(ReferenceData!$AC$154),"",ReferenceData!$AC$154),"")</f>
        <v>8.3800000000000008</v>
      </c>
      <c r="AD154">
        <f ca="1">IFERROR(IF(0=LEN(ReferenceData!$AD$154),"",ReferenceData!$AD$154),"")</f>
        <v>8.52</v>
      </c>
      <c r="AE154">
        <f ca="1">IFERROR(IF(0=LEN(ReferenceData!$AE$154),"",ReferenceData!$AE$154),"")</f>
        <v>8.4890000000000008</v>
      </c>
      <c r="AF154">
        <f ca="1">IFERROR(IF(0=LEN(ReferenceData!$AF$154),"",ReferenceData!$AF$154),"")</f>
        <v>8.5619999999999994</v>
      </c>
      <c r="AG154">
        <f ca="1">IFERROR(IF(0=LEN(ReferenceData!$AG$154),"",ReferenceData!$AG$154),"")</f>
        <v>8.49</v>
      </c>
      <c r="AH154">
        <f ca="1">IFERROR(IF(0=LEN(ReferenceData!$AH$154),"",ReferenceData!$AH$154),"")</f>
        <v>8.4730000000000008</v>
      </c>
      <c r="AI154">
        <f ca="1">IFERROR(IF(0=LEN(ReferenceData!$AI$154),"",ReferenceData!$AI$154),"")</f>
        <v>8.4730000000000008</v>
      </c>
      <c r="AJ154" t="str">
        <f ca="1">IFERROR(IF(0=LEN(ReferenceData!$AJ$154),"",ReferenceData!$AJ$154),"")</f>
        <v/>
      </c>
      <c r="AK154">
        <f ca="1">IFERROR(IF(0=LEN(ReferenceData!$AK$154),"",ReferenceData!$AK$154),"")</f>
        <v>8.09</v>
      </c>
      <c r="AL154">
        <f ca="1">IFERROR(IF(0=LEN(ReferenceData!$AL$154),"",ReferenceData!$AL$154),"")</f>
        <v>8.0449999999999999</v>
      </c>
      <c r="AM154" t="str">
        <f ca="1">IFERROR(IF(0=LEN(ReferenceData!$AM$154),"",ReferenceData!$AM$154),"")</f>
        <v/>
      </c>
      <c r="AN154" t="str">
        <f ca="1">IFERROR(IF(0=LEN(ReferenceData!$AN$154),"",ReferenceData!$AN$154),"")</f>
        <v/>
      </c>
      <c r="AO154">
        <f ca="1">IFERROR(IF(0=LEN(ReferenceData!$AO$154),"",ReferenceData!$AO$154),"")</f>
        <v>7.65</v>
      </c>
      <c r="AP154" t="str">
        <f ca="1">IFERROR(IF(0=LEN(ReferenceData!$AP$154),"",ReferenceData!$AP$154),"")</f>
        <v/>
      </c>
      <c r="AQ154" t="str">
        <f ca="1">IFERROR(IF(0=LEN(ReferenceData!$AQ$154),"",ReferenceData!$AQ$154),"")</f>
        <v/>
      </c>
      <c r="AR154">
        <f ca="1">IFERROR(IF(0=LEN(ReferenceData!$AR$154),"",ReferenceData!$AR$154),"")</f>
        <v>7.7</v>
      </c>
      <c r="AS154" t="str">
        <f ca="1">IFERROR(IF(0=LEN(ReferenceData!$AS$154),"",ReferenceData!$AS$154),"")</f>
        <v/>
      </c>
      <c r="AT154" t="str">
        <f ca="1">IFERROR(IF(0=LEN(ReferenceData!$AT$154),"",ReferenceData!$AT$154),"")</f>
        <v/>
      </c>
      <c r="AU154" t="str">
        <f ca="1">IFERROR(IF(0=LEN(ReferenceData!$AU$154),"",ReferenceData!$AU$154),"")</f>
        <v/>
      </c>
      <c r="AV154" t="str">
        <f ca="1">IFERROR(IF(0=LEN(ReferenceData!$AV$154),"",ReferenceData!$AV$154),"")</f>
        <v/>
      </c>
      <c r="AW154" t="str">
        <f ca="1">IFERROR(IF(0=LEN(ReferenceData!$AW$154),"",ReferenceData!$AW$154),"")</f>
        <v/>
      </c>
      <c r="AX154" t="str">
        <f ca="1">IFERROR(IF(0=LEN(ReferenceData!$AX$154),"",ReferenceData!$AX$154),"")</f>
        <v/>
      </c>
      <c r="AY154" t="str">
        <f ca="1">IFERROR(IF(0=LEN(ReferenceData!$AY$154),"",ReferenceData!$AY$154),"")</f>
        <v/>
      </c>
      <c r="AZ154" t="str">
        <f ca="1">IFERROR(IF(0=LEN(ReferenceData!$AZ$154),"",ReferenceData!$AZ$154),"")</f>
        <v/>
      </c>
      <c r="BA154" t="str">
        <f ca="1">IFERROR(IF(0=LEN(ReferenceData!$BA$154),"",ReferenceData!$BA$154),"")</f>
        <v/>
      </c>
      <c r="BB154" t="str">
        <f ca="1">IFERROR(IF(0=LEN(ReferenceData!$BB$154),"",ReferenceData!$BB$154),"")</f>
        <v/>
      </c>
      <c r="BC154" t="str">
        <f ca="1">IFERROR(IF(0=LEN(ReferenceData!$BC$154),"",ReferenceData!$BC$154),"")</f>
        <v/>
      </c>
      <c r="BD154" t="str">
        <f ca="1">IFERROR(IF(0=LEN(ReferenceData!$BD$154),"",ReferenceData!$BD$154),"")</f>
        <v/>
      </c>
      <c r="BE154" t="str">
        <f ca="1">IFERROR(IF(0=LEN(ReferenceData!$BE$154),"",ReferenceData!$BE$154),"")</f>
        <v/>
      </c>
      <c r="BF154" t="str">
        <f ca="1">IFERROR(IF(0=LEN(ReferenceData!$BF$154),"",ReferenceData!$BF$154),"")</f>
        <v/>
      </c>
      <c r="BG154" t="str">
        <f ca="1">IFERROR(IF(0=LEN(ReferenceData!$BG$154),"",ReferenceData!$BG$154),"")</f>
        <v/>
      </c>
      <c r="BH154" t="str">
        <f ca="1">IFERROR(IF(0=LEN(ReferenceData!$BH$154),"",ReferenceData!$BH$154),"")</f>
        <v/>
      </c>
      <c r="BI154" t="str">
        <f ca="1">IFERROR(IF(0=LEN(ReferenceData!$BI$154),"",ReferenceData!$BI$154),"")</f>
        <v/>
      </c>
      <c r="BJ154" t="str">
        <f ca="1">IFERROR(IF(0=LEN(ReferenceData!$BJ$154),"",ReferenceData!$BJ$154),"")</f>
        <v/>
      </c>
      <c r="BK154" t="str">
        <f ca="1">IFERROR(IF(0=LEN(ReferenceData!$BK$154),"",ReferenceData!$BK$154),"")</f>
        <v/>
      </c>
      <c r="BL154" t="str">
        <f ca="1">IFERROR(IF(0=LEN(ReferenceData!$BL$154),"",ReferenceData!$BL$154),"")</f>
        <v/>
      </c>
      <c r="BM154" t="str">
        <f ca="1">IFERROR(IF(0=LEN(ReferenceData!$BM$154),"",ReferenceData!$BM$154),"")</f>
        <v/>
      </c>
      <c r="BN154" t="str">
        <f ca="1">IFERROR(IF(0=LEN(ReferenceData!$BN$154),"",ReferenceData!$BN$154),"")</f>
        <v/>
      </c>
      <c r="BO154" t="str">
        <f ca="1">IFERROR(IF(0=LEN(ReferenceData!$BO$154),"",ReferenceData!$BO$154),"")</f>
        <v/>
      </c>
      <c r="BP154" t="str">
        <f ca="1">IFERROR(IF(0=LEN(ReferenceData!$BP$154),"",ReferenceData!$BP$154),"")</f>
        <v/>
      </c>
      <c r="BQ154" t="str">
        <f ca="1">IFERROR(IF(0=LEN(ReferenceData!$BQ$154),"",ReferenceData!$BQ$154),"")</f>
        <v/>
      </c>
      <c r="BR154" t="str">
        <f ca="1">IFERROR(IF(0=LEN(ReferenceData!$BR$154),"",ReferenceData!$BR$154),"")</f>
        <v/>
      </c>
      <c r="BS154" t="str">
        <f ca="1">IFERROR(IF(0=LEN(ReferenceData!$BS$154),"",ReferenceData!$BS$154),"")</f>
        <v/>
      </c>
      <c r="BT154" t="str">
        <f ca="1">IFERROR(IF(0=LEN(ReferenceData!$BT$154),"",ReferenceData!$BT$154),"")</f>
        <v/>
      </c>
      <c r="BU154" t="str">
        <f ca="1">IFERROR(IF(0=LEN(ReferenceData!$BU$154),"",ReferenceData!$BU$154),"")</f>
        <v/>
      </c>
      <c r="BV154" t="str">
        <f ca="1">IFERROR(IF(0=LEN(ReferenceData!$BV$154),"",ReferenceData!$BV$154),"")</f>
        <v/>
      </c>
      <c r="BW154" t="str">
        <f ca="1">IFERROR(IF(0=LEN(ReferenceData!$BW$154),"",ReferenceData!$BW$154),"")</f>
        <v/>
      </c>
      <c r="BX154" t="str">
        <f ca="1">IFERROR(IF(0=LEN(ReferenceData!$BX$154),"",ReferenceData!$BX$154),"")</f>
        <v/>
      </c>
      <c r="BY154" t="str">
        <f ca="1">IFERROR(IF(0=LEN(ReferenceData!$BY$154),"",ReferenceData!$BY$154),"")</f>
        <v/>
      </c>
      <c r="BZ154" t="str">
        <f ca="1">IFERROR(IF(0=LEN(ReferenceData!$BZ$154),"",ReferenceData!$BZ$154),"")</f>
        <v/>
      </c>
      <c r="CA154" t="str">
        <f ca="1">IFERROR(IF(0=LEN(ReferenceData!$CA$154),"",ReferenceData!$CA$154),"")</f>
        <v/>
      </c>
      <c r="CB154" t="str">
        <f ca="1">IFERROR(IF(0=LEN(ReferenceData!$CB$154),"",ReferenceData!$CB$154),"")</f>
        <v/>
      </c>
      <c r="CC154" t="str">
        <f ca="1">IFERROR(IF(0=LEN(ReferenceData!$CC$154),"",ReferenceData!$CC$154),"")</f>
        <v/>
      </c>
      <c r="CD154" t="str">
        <f ca="1">IFERROR(IF(0=LEN(ReferenceData!$CD$154),"",ReferenceData!$CD$154),"")</f>
        <v/>
      </c>
      <c r="CE154" t="str">
        <f ca="1">IFERROR(IF(0=LEN(ReferenceData!$CE$154),"",ReferenceData!$CE$154),"")</f>
        <v/>
      </c>
      <c r="CF154" t="str">
        <f ca="1">IFERROR(IF(0=LEN(ReferenceData!$CF$154),"",ReferenceData!$CF$154),"")</f>
        <v/>
      </c>
      <c r="CG154" t="str">
        <f ca="1">IFERROR(IF(0=LEN(ReferenceData!$CG$154),"",ReferenceData!$CG$154),"")</f>
        <v/>
      </c>
      <c r="CH154" t="str">
        <f ca="1">IFERROR(IF(0=LEN(ReferenceData!$CH$154),"",ReferenceData!$CH$154),"")</f>
        <v/>
      </c>
      <c r="CI154" t="str">
        <f ca="1">IFERROR(IF(0=LEN(ReferenceData!$CI$154),"",ReferenceData!$CI$154),"")</f>
        <v/>
      </c>
      <c r="CJ154" t="str">
        <f ca="1">IFERROR(IF(0=LEN(ReferenceData!$CJ$154),"",ReferenceData!$CJ$154),"")</f>
        <v/>
      </c>
      <c r="CK154" t="str">
        <f ca="1">IFERROR(IF(0=LEN(ReferenceData!$CK$154),"",ReferenceData!$CK$154),"")</f>
        <v/>
      </c>
    </row>
    <row r="155" spans="1:89">
      <c r="A155" t="str">
        <f>IFERROR(IF(0=LEN(ReferenceData!$A$155),"",ReferenceData!$A$155),"")</f>
        <v xml:space="preserve">    Camden Property Trust</v>
      </c>
      <c r="B155" t="str">
        <f>IFERROR(IF(0=LEN(ReferenceData!$B$155),"",ReferenceData!$B$155),"")</f>
        <v>CPT US Equity</v>
      </c>
      <c r="C155" t="str">
        <f>IFERROR(IF(0=LEN(ReferenceData!$C$155),"",ReferenceData!$C$155),"")</f>
        <v>BE895</v>
      </c>
      <c r="D155" t="str">
        <f>IFERROR(IF(0=LEN(ReferenceData!$D$155),"",ReferenceData!$D$155),"")</f>
        <v>BEST_AFFOPS</v>
      </c>
      <c r="E155" t="str">
        <f>IFERROR(IF(0=LEN(ReferenceData!$E$155),"",ReferenceData!$E$155),"")</f>
        <v>动态</v>
      </c>
      <c r="F155" t="str">
        <f ca="1">IFERROR(IF(0=LEN(ReferenceData!$F$155),"",ReferenceData!$F$155),"")</f>
        <v/>
      </c>
      <c r="G155" t="str">
        <f ca="1">IFERROR(IF(0=LEN(ReferenceData!$G$155),"",ReferenceData!$G$155),"")</f>
        <v/>
      </c>
      <c r="H155">
        <f ca="1">IFERROR(IF(0=LEN(ReferenceData!$H$155),"",ReferenceData!$H$155),"")</f>
        <v>3.859</v>
      </c>
      <c r="I155">
        <f ca="1">IFERROR(IF(0=LEN(ReferenceData!$I$155),"",ReferenceData!$I$155),"")</f>
        <v>3.843</v>
      </c>
      <c r="J155">
        <f ca="1">IFERROR(IF(0=LEN(ReferenceData!$J$155),"",ReferenceData!$J$155),"")</f>
        <v>3.8380000000000001</v>
      </c>
      <c r="K155">
        <f ca="1">IFERROR(IF(0=LEN(ReferenceData!$K$155),"",ReferenceData!$K$155),"")</f>
        <v>3.8260000000000001</v>
      </c>
      <c r="L155">
        <f ca="1">IFERROR(IF(0=LEN(ReferenceData!$L$155),"",ReferenceData!$L$155),"")</f>
        <v>3.8879999999999999</v>
      </c>
      <c r="M155">
        <f ca="1">IFERROR(IF(0=LEN(ReferenceData!$M$155),"",ReferenceData!$M$155),"")</f>
        <v>3.9430000000000001</v>
      </c>
      <c r="N155">
        <f ca="1">IFERROR(IF(0=LEN(ReferenceData!$N$155),"",ReferenceData!$N$155),"")</f>
        <v>3.9529999999999998</v>
      </c>
      <c r="O155">
        <f ca="1">IFERROR(IF(0=LEN(ReferenceData!$O$155),"",ReferenceData!$O$155),"")</f>
        <v>3.9249999999999998</v>
      </c>
      <c r="P155">
        <f ca="1">IFERROR(IF(0=LEN(ReferenceData!$P$155),"",ReferenceData!$P$155),"")</f>
        <v>3.9169999999999998</v>
      </c>
      <c r="Q155">
        <f ca="1">IFERROR(IF(0=LEN(ReferenceData!$Q$155),"",ReferenceData!$Q$155),"")</f>
        <v>3.94</v>
      </c>
      <c r="R155">
        <f ca="1">IFERROR(IF(0=LEN(ReferenceData!$R$155),"",ReferenceData!$R$155),"")</f>
        <v>3.835</v>
      </c>
      <c r="S155">
        <f ca="1">IFERROR(IF(0=LEN(ReferenceData!$S$155),"",ReferenceData!$S$155),"")</f>
        <v>3.835</v>
      </c>
      <c r="T155">
        <f ca="1">IFERROR(IF(0=LEN(ReferenceData!$T$155),"",ReferenceData!$T$155),"")</f>
        <v>3.956</v>
      </c>
      <c r="U155">
        <f ca="1">IFERROR(IF(0=LEN(ReferenceData!$U$155),"",ReferenceData!$U$155),"")</f>
        <v>3.9590000000000001</v>
      </c>
      <c r="V155">
        <f ca="1">IFERROR(IF(0=LEN(ReferenceData!$V$155),"",ReferenceData!$V$155),"")</f>
        <v>3.9340000000000002</v>
      </c>
      <c r="W155">
        <f ca="1">IFERROR(IF(0=LEN(ReferenceData!$W$155),"",ReferenceData!$W$155),"")</f>
        <v>3.8759999999999999</v>
      </c>
      <c r="X155">
        <f ca="1">IFERROR(IF(0=LEN(ReferenceData!$X$155),"",ReferenceData!$X$155),"")</f>
        <v>3.8889999999999998</v>
      </c>
      <c r="Y155">
        <f ca="1">IFERROR(IF(0=LEN(ReferenceData!$Y$155),"",ReferenceData!$Y$155),"")</f>
        <v>3.8849999999999998</v>
      </c>
      <c r="Z155">
        <f ca="1">IFERROR(IF(0=LEN(ReferenceData!$Z$155),"",ReferenceData!$Z$155),"")</f>
        <v>3.8679999999999999</v>
      </c>
      <c r="AA155">
        <f ca="1">IFERROR(IF(0=LEN(ReferenceData!$AA$155),"",ReferenceData!$AA$155),"")</f>
        <v>3.8759999999999999</v>
      </c>
      <c r="AB155">
        <f ca="1">IFERROR(IF(0=LEN(ReferenceData!$AB$155),"",ReferenceData!$AB$155),"")</f>
        <v>3.9249999999999998</v>
      </c>
      <c r="AC155">
        <f ca="1">IFERROR(IF(0=LEN(ReferenceData!$AC$155),"",ReferenceData!$AC$155),"")</f>
        <v>4.2839999999999998</v>
      </c>
      <c r="AD155">
        <f ca="1">IFERROR(IF(0=LEN(ReferenceData!$AD$155),"",ReferenceData!$AD$155),"")</f>
        <v>4.3319999999999999</v>
      </c>
      <c r="AE155">
        <f ca="1">IFERROR(IF(0=LEN(ReferenceData!$AE$155),"",ReferenceData!$AE$155),"")</f>
        <v>4.3209999999999997</v>
      </c>
      <c r="AF155">
        <f ca="1">IFERROR(IF(0=LEN(ReferenceData!$AF$155),"",ReferenceData!$AF$155),"")</f>
        <v>4.3410000000000002</v>
      </c>
      <c r="AG155">
        <f ca="1">IFERROR(IF(0=LEN(ReferenceData!$AG$155),"",ReferenceData!$AG$155),"")</f>
        <v>4.3120000000000003</v>
      </c>
      <c r="AH155">
        <f ca="1">IFERROR(IF(0=LEN(ReferenceData!$AH$155),"",ReferenceData!$AH$155),"")</f>
        <v>4.3600000000000003</v>
      </c>
      <c r="AI155">
        <f ca="1">IFERROR(IF(0=LEN(ReferenceData!$AI$155),"",ReferenceData!$AI$155),"")</f>
        <v>4.3650000000000002</v>
      </c>
      <c r="AJ155">
        <f ca="1">IFERROR(IF(0=LEN(ReferenceData!$AJ$155),"",ReferenceData!$AJ$155),"")</f>
        <v>4.375</v>
      </c>
      <c r="AK155">
        <f ca="1">IFERROR(IF(0=LEN(ReferenceData!$AK$155),"",ReferenceData!$AK$155),"")</f>
        <v>4.375</v>
      </c>
      <c r="AL155">
        <f ca="1">IFERROR(IF(0=LEN(ReferenceData!$AL$155),"",ReferenceData!$AL$155),"")</f>
        <v>4.37</v>
      </c>
      <c r="AM155" t="str">
        <f ca="1">IFERROR(IF(0=LEN(ReferenceData!$AM$155),"",ReferenceData!$AM$155),"")</f>
        <v/>
      </c>
      <c r="AN155" t="str">
        <f ca="1">IFERROR(IF(0=LEN(ReferenceData!$AN$155),"",ReferenceData!$AN$155),"")</f>
        <v/>
      </c>
      <c r="AO155">
        <f ca="1">IFERROR(IF(0=LEN(ReferenceData!$AO$155),"",ReferenceData!$AO$155),"")</f>
        <v>4.37</v>
      </c>
      <c r="AP155" t="str">
        <f ca="1">IFERROR(IF(0=LEN(ReferenceData!$AP$155),"",ReferenceData!$AP$155),"")</f>
        <v/>
      </c>
      <c r="AQ155" t="str">
        <f ca="1">IFERROR(IF(0=LEN(ReferenceData!$AQ$155),"",ReferenceData!$AQ$155),"")</f>
        <v/>
      </c>
      <c r="AR155">
        <f ca="1">IFERROR(IF(0=LEN(ReferenceData!$AR$155),"",ReferenceData!$AR$155),"")</f>
        <v>4.3899999999999997</v>
      </c>
      <c r="AS155" t="str">
        <f ca="1">IFERROR(IF(0=LEN(ReferenceData!$AS$155),"",ReferenceData!$AS$155),"")</f>
        <v/>
      </c>
      <c r="AT155" t="str">
        <f ca="1">IFERROR(IF(0=LEN(ReferenceData!$AT$155),"",ReferenceData!$AT$155),"")</f>
        <v/>
      </c>
      <c r="AU155" t="str">
        <f ca="1">IFERROR(IF(0=LEN(ReferenceData!$AU$155),"",ReferenceData!$AU$155),"")</f>
        <v/>
      </c>
      <c r="AV155" t="str">
        <f ca="1">IFERROR(IF(0=LEN(ReferenceData!$AV$155),"",ReferenceData!$AV$155),"")</f>
        <v/>
      </c>
      <c r="AW155" t="str">
        <f ca="1">IFERROR(IF(0=LEN(ReferenceData!$AW$155),"",ReferenceData!$AW$155),"")</f>
        <v/>
      </c>
      <c r="AX155" t="str">
        <f ca="1">IFERROR(IF(0=LEN(ReferenceData!$AX$155),"",ReferenceData!$AX$155),"")</f>
        <v/>
      </c>
      <c r="AY155" t="str">
        <f ca="1">IFERROR(IF(0=LEN(ReferenceData!$AY$155),"",ReferenceData!$AY$155),"")</f>
        <v/>
      </c>
      <c r="AZ155" t="str">
        <f ca="1">IFERROR(IF(0=LEN(ReferenceData!$AZ$155),"",ReferenceData!$AZ$155),"")</f>
        <v/>
      </c>
      <c r="BA155" t="str">
        <f ca="1">IFERROR(IF(0=LEN(ReferenceData!$BA$155),"",ReferenceData!$BA$155),"")</f>
        <v/>
      </c>
      <c r="BB155" t="str">
        <f ca="1">IFERROR(IF(0=LEN(ReferenceData!$BB$155),"",ReferenceData!$BB$155),"")</f>
        <v/>
      </c>
      <c r="BC155" t="str">
        <f ca="1">IFERROR(IF(0=LEN(ReferenceData!$BC$155),"",ReferenceData!$BC$155),"")</f>
        <v/>
      </c>
      <c r="BD155" t="str">
        <f ca="1">IFERROR(IF(0=LEN(ReferenceData!$BD$155),"",ReferenceData!$BD$155),"")</f>
        <v/>
      </c>
      <c r="BE155" t="str">
        <f ca="1">IFERROR(IF(0=LEN(ReferenceData!$BE$155),"",ReferenceData!$BE$155),"")</f>
        <v/>
      </c>
      <c r="BF155" t="str">
        <f ca="1">IFERROR(IF(0=LEN(ReferenceData!$BF$155),"",ReferenceData!$BF$155),"")</f>
        <v/>
      </c>
      <c r="BG155" t="str">
        <f ca="1">IFERROR(IF(0=LEN(ReferenceData!$BG$155),"",ReferenceData!$BG$155),"")</f>
        <v/>
      </c>
      <c r="BH155" t="str">
        <f ca="1">IFERROR(IF(0=LEN(ReferenceData!$BH$155),"",ReferenceData!$BH$155),"")</f>
        <v/>
      </c>
      <c r="BI155" t="str">
        <f ca="1">IFERROR(IF(0=LEN(ReferenceData!$BI$155),"",ReferenceData!$BI$155),"")</f>
        <v/>
      </c>
      <c r="BJ155" t="str">
        <f ca="1">IFERROR(IF(0=LEN(ReferenceData!$BJ$155),"",ReferenceData!$BJ$155),"")</f>
        <v/>
      </c>
      <c r="BK155" t="str">
        <f ca="1">IFERROR(IF(0=LEN(ReferenceData!$BK$155),"",ReferenceData!$BK$155),"")</f>
        <v/>
      </c>
      <c r="BL155" t="str">
        <f ca="1">IFERROR(IF(0=LEN(ReferenceData!$BL$155),"",ReferenceData!$BL$155),"")</f>
        <v/>
      </c>
      <c r="BM155" t="str">
        <f ca="1">IFERROR(IF(0=LEN(ReferenceData!$BM$155),"",ReferenceData!$BM$155),"")</f>
        <v/>
      </c>
      <c r="BN155" t="str">
        <f ca="1">IFERROR(IF(0=LEN(ReferenceData!$BN$155),"",ReferenceData!$BN$155),"")</f>
        <v/>
      </c>
      <c r="BO155" t="str">
        <f ca="1">IFERROR(IF(0=LEN(ReferenceData!$BO$155),"",ReferenceData!$BO$155),"")</f>
        <v/>
      </c>
      <c r="BP155" t="str">
        <f ca="1">IFERROR(IF(0=LEN(ReferenceData!$BP$155),"",ReferenceData!$BP$155),"")</f>
        <v/>
      </c>
      <c r="BQ155" t="str">
        <f ca="1">IFERROR(IF(0=LEN(ReferenceData!$BQ$155),"",ReferenceData!$BQ$155),"")</f>
        <v/>
      </c>
      <c r="BR155" t="str">
        <f ca="1">IFERROR(IF(0=LEN(ReferenceData!$BR$155),"",ReferenceData!$BR$155),"")</f>
        <v/>
      </c>
      <c r="BS155" t="str">
        <f ca="1">IFERROR(IF(0=LEN(ReferenceData!$BS$155),"",ReferenceData!$BS$155),"")</f>
        <v/>
      </c>
      <c r="BT155" t="str">
        <f ca="1">IFERROR(IF(0=LEN(ReferenceData!$BT$155),"",ReferenceData!$BT$155),"")</f>
        <v/>
      </c>
      <c r="BU155" t="str">
        <f ca="1">IFERROR(IF(0=LEN(ReferenceData!$BU$155),"",ReferenceData!$BU$155),"")</f>
        <v/>
      </c>
      <c r="BV155" t="str">
        <f ca="1">IFERROR(IF(0=LEN(ReferenceData!$BV$155),"",ReferenceData!$BV$155),"")</f>
        <v/>
      </c>
      <c r="BW155" t="str">
        <f ca="1">IFERROR(IF(0=LEN(ReferenceData!$BW$155),"",ReferenceData!$BW$155),"")</f>
        <v/>
      </c>
      <c r="BX155" t="str">
        <f ca="1">IFERROR(IF(0=LEN(ReferenceData!$BX$155),"",ReferenceData!$BX$155),"")</f>
        <v/>
      </c>
      <c r="BY155" t="str">
        <f ca="1">IFERROR(IF(0=LEN(ReferenceData!$BY$155),"",ReferenceData!$BY$155),"")</f>
        <v/>
      </c>
      <c r="BZ155" t="str">
        <f ca="1">IFERROR(IF(0=LEN(ReferenceData!$BZ$155),"",ReferenceData!$BZ$155),"")</f>
        <v/>
      </c>
      <c r="CA155" t="str">
        <f ca="1">IFERROR(IF(0=LEN(ReferenceData!$CA$155),"",ReferenceData!$CA$155),"")</f>
        <v/>
      </c>
      <c r="CB155" t="str">
        <f ca="1">IFERROR(IF(0=LEN(ReferenceData!$CB$155),"",ReferenceData!$CB$155),"")</f>
        <v/>
      </c>
      <c r="CC155" t="str">
        <f ca="1">IFERROR(IF(0=LEN(ReferenceData!$CC$155),"",ReferenceData!$CC$155),"")</f>
        <v/>
      </c>
      <c r="CD155" t="str">
        <f ca="1">IFERROR(IF(0=LEN(ReferenceData!$CD$155),"",ReferenceData!$CD$155),"")</f>
        <v/>
      </c>
      <c r="CE155" t="str">
        <f ca="1">IFERROR(IF(0=LEN(ReferenceData!$CE$155),"",ReferenceData!$CE$155),"")</f>
        <v/>
      </c>
      <c r="CF155" t="str">
        <f ca="1">IFERROR(IF(0=LEN(ReferenceData!$CF$155),"",ReferenceData!$CF$155),"")</f>
        <v/>
      </c>
      <c r="CG155" t="str">
        <f ca="1">IFERROR(IF(0=LEN(ReferenceData!$CG$155),"",ReferenceData!$CG$155),"")</f>
        <v/>
      </c>
      <c r="CH155" t="str">
        <f ca="1">IFERROR(IF(0=LEN(ReferenceData!$CH$155),"",ReferenceData!$CH$155),"")</f>
        <v/>
      </c>
      <c r="CI155" t="str">
        <f ca="1">IFERROR(IF(0=LEN(ReferenceData!$CI$155),"",ReferenceData!$CI$155),"")</f>
        <v/>
      </c>
      <c r="CJ155" t="str">
        <f ca="1">IFERROR(IF(0=LEN(ReferenceData!$CJ$155),"",ReferenceData!$CJ$155),"")</f>
        <v/>
      </c>
      <c r="CK155" t="str">
        <f ca="1">IFERROR(IF(0=LEN(ReferenceData!$CK$155),"",ReferenceData!$CK$155),"")</f>
        <v/>
      </c>
    </row>
    <row r="156" spans="1:89">
      <c r="A156" t="str">
        <f>IFERROR(IF(0=LEN(ReferenceData!$A$156),"",ReferenceData!$A$156),"")</f>
        <v xml:space="preserve">    Equity Residential</v>
      </c>
      <c r="B156" t="str">
        <f>IFERROR(IF(0=LEN(ReferenceData!$B$156),"",ReferenceData!$B$156),"")</f>
        <v>EQR US Equity</v>
      </c>
      <c r="C156" t="str">
        <f>IFERROR(IF(0=LEN(ReferenceData!$C$156),"",ReferenceData!$C$156),"")</f>
        <v>BE895</v>
      </c>
      <c r="D156" t="str">
        <f>IFERROR(IF(0=LEN(ReferenceData!$D$156),"",ReferenceData!$D$156),"")</f>
        <v>BEST_AFFOPS</v>
      </c>
      <c r="E156" t="str">
        <f>IFERROR(IF(0=LEN(ReferenceData!$E$156),"",ReferenceData!$E$156),"")</f>
        <v>动态</v>
      </c>
      <c r="F156" t="str">
        <f ca="1">IFERROR(IF(0=LEN(ReferenceData!$F$156),"",ReferenceData!$F$156),"")</f>
        <v/>
      </c>
      <c r="G156" t="str">
        <f ca="1">IFERROR(IF(0=LEN(ReferenceData!$G$156),"",ReferenceData!$G$156),"")</f>
        <v/>
      </c>
      <c r="H156">
        <f ca="1">IFERROR(IF(0=LEN(ReferenceData!$H$156),"",ReferenceData!$H$156),"")</f>
        <v>2.7210000000000001</v>
      </c>
      <c r="I156">
        <f ca="1">IFERROR(IF(0=LEN(ReferenceData!$I$156),"",ReferenceData!$I$156),"")</f>
        <v>2.7229999999999999</v>
      </c>
      <c r="J156">
        <f ca="1">IFERROR(IF(0=LEN(ReferenceData!$J$156),"",ReferenceData!$J$156),"")</f>
        <v>2.706</v>
      </c>
      <c r="K156">
        <f ca="1">IFERROR(IF(0=LEN(ReferenceData!$K$156),"",ReferenceData!$K$156),"")</f>
        <v>2.7290000000000001</v>
      </c>
      <c r="L156">
        <f ca="1">IFERROR(IF(0=LEN(ReferenceData!$L$156),"",ReferenceData!$L$156),"")</f>
        <v>2.7080000000000002</v>
      </c>
      <c r="M156">
        <f ca="1">IFERROR(IF(0=LEN(ReferenceData!$M$156),"",ReferenceData!$M$156),"")</f>
        <v>2.74</v>
      </c>
      <c r="N156">
        <f ca="1">IFERROR(IF(0=LEN(ReferenceData!$N$156),"",ReferenceData!$N$156),"")</f>
        <v>2.6960000000000002</v>
      </c>
      <c r="O156">
        <f ca="1">IFERROR(IF(0=LEN(ReferenceData!$O$156),"",ReferenceData!$O$156),"")</f>
        <v>2.7450000000000001</v>
      </c>
      <c r="P156">
        <f ca="1">IFERROR(IF(0=LEN(ReferenceData!$P$156),"",ReferenceData!$P$156),"")</f>
        <v>2.7410000000000001</v>
      </c>
      <c r="Q156">
        <f ca="1">IFERROR(IF(0=LEN(ReferenceData!$Q$156),"",ReferenceData!$Q$156),"")</f>
        <v>2.76</v>
      </c>
      <c r="R156">
        <f ca="1">IFERROR(IF(0=LEN(ReferenceData!$R$156),"",ReferenceData!$R$156),"")</f>
        <v>2.7250000000000001</v>
      </c>
      <c r="S156">
        <f ca="1">IFERROR(IF(0=LEN(ReferenceData!$S$156),"",ReferenceData!$S$156),"")</f>
        <v>2.75</v>
      </c>
      <c r="T156">
        <f ca="1">IFERROR(IF(0=LEN(ReferenceData!$T$156),"",ReferenceData!$T$156),"")</f>
        <v>2.819</v>
      </c>
      <c r="U156">
        <f ca="1">IFERROR(IF(0=LEN(ReferenceData!$U$156),"",ReferenceData!$U$156),"")</f>
        <v>2.8260000000000001</v>
      </c>
      <c r="V156">
        <f ca="1">IFERROR(IF(0=LEN(ReferenceData!$V$156),"",ReferenceData!$V$156),"")</f>
        <v>2.8140000000000001</v>
      </c>
      <c r="W156">
        <f ca="1">IFERROR(IF(0=LEN(ReferenceData!$W$156),"",ReferenceData!$W$156),"")</f>
        <v>2.82</v>
      </c>
      <c r="X156">
        <f ca="1">IFERROR(IF(0=LEN(ReferenceData!$X$156),"",ReferenceData!$X$156),"")</f>
        <v>2.8239999999999998</v>
      </c>
      <c r="Y156">
        <f ca="1">IFERROR(IF(0=LEN(ReferenceData!$Y$156),"",ReferenceData!$Y$156),"")</f>
        <v>2.8439999999999999</v>
      </c>
      <c r="Z156">
        <f ca="1">IFERROR(IF(0=LEN(ReferenceData!$Z$156),"",ReferenceData!$Z$156),"")</f>
        <v>2.883</v>
      </c>
      <c r="AA156">
        <f ca="1">IFERROR(IF(0=LEN(ReferenceData!$AA$156),"",ReferenceData!$AA$156),"")</f>
        <v>2.9769999999999999</v>
      </c>
      <c r="AB156">
        <f ca="1">IFERROR(IF(0=LEN(ReferenceData!$AB$156),"",ReferenceData!$AB$156),"")</f>
        <v>3.0009999999999999</v>
      </c>
      <c r="AC156">
        <f ca="1">IFERROR(IF(0=LEN(ReferenceData!$AC$156),"",ReferenceData!$AC$156),"")</f>
        <v>2.9830000000000001</v>
      </c>
      <c r="AD156">
        <f ca="1">IFERROR(IF(0=LEN(ReferenceData!$AD$156),"",ReferenceData!$AD$156),"")</f>
        <v>3.0169999999999999</v>
      </c>
      <c r="AE156">
        <f ca="1">IFERROR(IF(0=LEN(ReferenceData!$AE$156),"",ReferenceData!$AE$156),"")</f>
        <v>3.0270000000000001</v>
      </c>
      <c r="AF156">
        <f ca="1">IFERROR(IF(0=LEN(ReferenceData!$AF$156),"",ReferenceData!$AF$156),"")</f>
        <v>3.1640000000000001</v>
      </c>
      <c r="AG156">
        <f ca="1">IFERROR(IF(0=LEN(ReferenceData!$AG$156),"",ReferenceData!$AG$156),"")</f>
        <v>3.1509999999999998</v>
      </c>
      <c r="AH156">
        <f ca="1">IFERROR(IF(0=LEN(ReferenceData!$AH$156),"",ReferenceData!$AH$156),"")</f>
        <v>3.2149999999999999</v>
      </c>
      <c r="AI156">
        <f ca="1">IFERROR(IF(0=LEN(ReferenceData!$AI$156),"",ReferenceData!$AI$156),"")</f>
        <v>3.2959999999999998</v>
      </c>
      <c r="AJ156">
        <f ca="1">IFERROR(IF(0=LEN(ReferenceData!$AJ$156),"",ReferenceData!$AJ$156),"")</f>
        <v>3.5059999999999998</v>
      </c>
      <c r="AK156">
        <f ca="1">IFERROR(IF(0=LEN(ReferenceData!$AK$156),"",ReferenceData!$AK$156),"")</f>
        <v>3.4780000000000002</v>
      </c>
      <c r="AL156">
        <f ca="1">IFERROR(IF(0=LEN(ReferenceData!$AL$156),"",ReferenceData!$AL$156),"")</f>
        <v>3.66</v>
      </c>
      <c r="AM156" t="str">
        <f ca="1">IFERROR(IF(0=LEN(ReferenceData!$AM$156),"",ReferenceData!$AM$156),"")</f>
        <v/>
      </c>
      <c r="AN156" t="str">
        <f ca="1">IFERROR(IF(0=LEN(ReferenceData!$AN$156),"",ReferenceData!$AN$156),"")</f>
        <v/>
      </c>
      <c r="AO156">
        <f ca="1">IFERROR(IF(0=LEN(ReferenceData!$AO$156),"",ReferenceData!$AO$156),"")</f>
        <v>3.45</v>
      </c>
      <c r="AP156" t="str">
        <f ca="1">IFERROR(IF(0=LEN(ReferenceData!$AP$156),"",ReferenceData!$AP$156),"")</f>
        <v/>
      </c>
      <c r="AQ156">
        <f ca="1">IFERROR(IF(0=LEN(ReferenceData!$AQ$156),"",ReferenceData!$AQ$156),"")</f>
        <v>3.4249999999999998</v>
      </c>
      <c r="AR156" t="str">
        <f ca="1">IFERROR(IF(0=LEN(ReferenceData!$AR$156),"",ReferenceData!$AR$156),"")</f>
        <v/>
      </c>
      <c r="AS156" t="str">
        <f ca="1">IFERROR(IF(0=LEN(ReferenceData!$AS$156),"",ReferenceData!$AS$156),"")</f>
        <v/>
      </c>
      <c r="AT156" t="str">
        <f ca="1">IFERROR(IF(0=LEN(ReferenceData!$AT$156),"",ReferenceData!$AT$156),"")</f>
        <v/>
      </c>
      <c r="AU156" t="str">
        <f ca="1">IFERROR(IF(0=LEN(ReferenceData!$AU$156),"",ReferenceData!$AU$156),"")</f>
        <v/>
      </c>
      <c r="AV156" t="str">
        <f ca="1">IFERROR(IF(0=LEN(ReferenceData!$AV$156),"",ReferenceData!$AV$156),"")</f>
        <v/>
      </c>
      <c r="AW156" t="str">
        <f ca="1">IFERROR(IF(0=LEN(ReferenceData!$AW$156),"",ReferenceData!$AW$156),"")</f>
        <v/>
      </c>
      <c r="AX156" t="str">
        <f ca="1">IFERROR(IF(0=LEN(ReferenceData!$AX$156),"",ReferenceData!$AX$156),"")</f>
        <v/>
      </c>
      <c r="AY156" t="str">
        <f ca="1">IFERROR(IF(0=LEN(ReferenceData!$AY$156),"",ReferenceData!$AY$156),"")</f>
        <v/>
      </c>
      <c r="AZ156" t="str">
        <f ca="1">IFERROR(IF(0=LEN(ReferenceData!$AZ$156),"",ReferenceData!$AZ$156),"")</f>
        <v/>
      </c>
      <c r="BA156" t="str">
        <f ca="1">IFERROR(IF(0=LEN(ReferenceData!$BA$156),"",ReferenceData!$BA$156),"")</f>
        <v/>
      </c>
      <c r="BB156" t="str">
        <f ca="1">IFERROR(IF(0=LEN(ReferenceData!$BB$156),"",ReferenceData!$BB$156),"")</f>
        <v/>
      </c>
      <c r="BC156" t="str">
        <f ca="1">IFERROR(IF(0=LEN(ReferenceData!$BC$156),"",ReferenceData!$BC$156),"")</f>
        <v/>
      </c>
      <c r="BD156" t="str">
        <f ca="1">IFERROR(IF(0=LEN(ReferenceData!$BD$156),"",ReferenceData!$BD$156),"")</f>
        <v/>
      </c>
      <c r="BE156" t="str">
        <f ca="1">IFERROR(IF(0=LEN(ReferenceData!$BE$156),"",ReferenceData!$BE$156),"")</f>
        <v/>
      </c>
      <c r="BF156" t="str">
        <f ca="1">IFERROR(IF(0=LEN(ReferenceData!$BF$156),"",ReferenceData!$BF$156),"")</f>
        <v/>
      </c>
      <c r="BG156" t="str">
        <f ca="1">IFERROR(IF(0=LEN(ReferenceData!$BG$156),"",ReferenceData!$BG$156),"")</f>
        <v/>
      </c>
      <c r="BH156" t="str">
        <f ca="1">IFERROR(IF(0=LEN(ReferenceData!$BH$156),"",ReferenceData!$BH$156),"")</f>
        <v/>
      </c>
      <c r="BI156" t="str">
        <f ca="1">IFERROR(IF(0=LEN(ReferenceData!$BI$156),"",ReferenceData!$BI$156),"")</f>
        <v/>
      </c>
      <c r="BJ156" t="str">
        <f ca="1">IFERROR(IF(0=LEN(ReferenceData!$BJ$156),"",ReferenceData!$BJ$156),"")</f>
        <v/>
      </c>
      <c r="BK156" t="str">
        <f ca="1">IFERROR(IF(0=LEN(ReferenceData!$BK$156),"",ReferenceData!$BK$156),"")</f>
        <v/>
      </c>
      <c r="BL156" t="str">
        <f ca="1">IFERROR(IF(0=LEN(ReferenceData!$BL$156),"",ReferenceData!$BL$156),"")</f>
        <v/>
      </c>
      <c r="BM156" t="str">
        <f ca="1">IFERROR(IF(0=LEN(ReferenceData!$BM$156),"",ReferenceData!$BM$156),"")</f>
        <v/>
      </c>
      <c r="BN156" t="str">
        <f ca="1">IFERROR(IF(0=LEN(ReferenceData!$BN$156),"",ReferenceData!$BN$156),"")</f>
        <v/>
      </c>
      <c r="BO156" t="str">
        <f ca="1">IFERROR(IF(0=LEN(ReferenceData!$BO$156),"",ReferenceData!$BO$156),"")</f>
        <v/>
      </c>
      <c r="BP156" t="str">
        <f ca="1">IFERROR(IF(0=LEN(ReferenceData!$BP$156),"",ReferenceData!$BP$156),"")</f>
        <v/>
      </c>
      <c r="BQ156" t="str">
        <f ca="1">IFERROR(IF(0=LEN(ReferenceData!$BQ$156),"",ReferenceData!$BQ$156),"")</f>
        <v/>
      </c>
      <c r="BR156" t="str">
        <f ca="1">IFERROR(IF(0=LEN(ReferenceData!$BR$156),"",ReferenceData!$BR$156),"")</f>
        <v/>
      </c>
      <c r="BS156" t="str">
        <f ca="1">IFERROR(IF(0=LEN(ReferenceData!$BS$156),"",ReferenceData!$BS$156),"")</f>
        <v/>
      </c>
      <c r="BT156" t="str">
        <f ca="1">IFERROR(IF(0=LEN(ReferenceData!$BT$156),"",ReferenceData!$BT$156),"")</f>
        <v/>
      </c>
      <c r="BU156" t="str">
        <f ca="1">IFERROR(IF(0=LEN(ReferenceData!$BU$156),"",ReferenceData!$BU$156),"")</f>
        <v/>
      </c>
      <c r="BV156" t="str">
        <f ca="1">IFERROR(IF(0=LEN(ReferenceData!$BV$156),"",ReferenceData!$BV$156),"")</f>
        <v/>
      </c>
      <c r="BW156" t="str">
        <f ca="1">IFERROR(IF(0=LEN(ReferenceData!$BW$156),"",ReferenceData!$BW$156),"")</f>
        <v/>
      </c>
      <c r="BX156" t="str">
        <f ca="1">IFERROR(IF(0=LEN(ReferenceData!$BX$156),"",ReferenceData!$BX$156),"")</f>
        <v/>
      </c>
      <c r="BY156" t="str">
        <f ca="1">IFERROR(IF(0=LEN(ReferenceData!$BY$156),"",ReferenceData!$BY$156),"")</f>
        <v/>
      </c>
      <c r="BZ156" t="str">
        <f ca="1">IFERROR(IF(0=LEN(ReferenceData!$BZ$156),"",ReferenceData!$BZ$156),"")</f>
        <v/>
      </c>
      <c r="CA156" t="str">
        <f ca="1">IFERROR(IF(0=LEN(ReferenceData!$CA$156),"",ReferenceData!$CA$156),"")</f>
        <v/>
      </c>
      <c r="CB156" t="str">
        <f ca="1">IFERROR(IF(0=LEN(ReferenceData!$CB$156),"",ReferenceData!$CB$156),"")</f>
        <v/>
      </c>
      <c r="CC156" t="str">
        <f ca="1">IFERROR(IF(0=LEN(ReferenceData!$CC$156),"",ReferenceData!$CC$156),"")</f>
        <v/>
      </c>
      <c r="CD156" t="str">
        <f ca="1">IFERROR(IF(0=LEN(ReferenceData!$CD$156),"",ReferenceData!$CD$156),"")</f>
        <v/>
      </c>
      <c r="CE156" t="str">
        <f ca="1">IFERROR(IF(0=LEN(ReferenceData!$CE$156),"",ReferenceData!$CE$156),"")</f>
        <v/>
      </c>
      <c r="CF156" t="str">
        <f ca="1">IFERROR(IF(0=LEN(ReferenceData!$CF$156),"",ReferenceData!$CF$156),"")</f>
        <v/>
      </c>
      <c r="CG156" t="str">
        <f ca="1">IFERROR(IF(0=LEN(ReferenceData!$CG$156),"",ReferenceData!$CG$156),"")</f>
        <v/>
      </c>
      <c r="CH156" t="str">
        <f ca="1">IFERROR(IF(0=LEN(ReferenceData!$CH$156),"",ReferenceData!$CH$156),"")</f>
        <v/>
      </c>
      <c r="CI156" t="str">
        <f ca="1">IFERROR(IF(0=LEN(ReferenceData!$CI$156),"",ReferenceData!$CI$156),"")</f>
        <v/>
      </c>
      <c r="CJ156" t="str">
        <f ca="1">IFERROR(IF(0=LEN(ReferenceData!$CJ$156),"",ReferenceData!$CJ$156),"")</f>
        <v/>
      </c>
      <c r="CK156" t="str">
        <f ca="1">IFERROR(IF(0=LEN(ReferenceData!$CK$156),"",ReferenceData!$CK$156),"")</f>
        <v/>
      </c>
    </row>
    <row r="157" spans="1:89">
      <c r="A157" t="str">
        <f>IFERROR(IF(0=LEN(ReferenceData!$A$157),"",ReferenceData!$A$157),"")</f>
        <v xml:space="preserve">    Essex Property Trust Inc</v>
      </c>
      <c r="B157" t="str">
        <f>IFERROR(IF(0=LEN(ReferenceData!$B$157),"",ReferenceData!$B$157),"")</f>
        <v>ESS US Equity</v>
      </c>
      <c r="C157" t="str">
        <f>IFERROR(IF(0=LEN(ReferenceData!$C$157),"",ReferenceData!$C$157),"")</f>
        <v>BE895</v>
      </c>
      <c r="D157" t="str">
        <f>IFERROR(IF(0=LEN(ReferenceData!$D$157),"",ReferenceData!$D$157),"")</f>
        <v>BEST_AFFOPS</v>
      </c>
      <c r="E157" t="str">
        <f>IFERROR(IF(0=LEN(ReferenceData!$E$157),"",ReferenceData!$E$157),"")</f>
        <v>动态</v>
      </c>
      <c r="F157" t="str">
        <f ca="1">IFERROR(IF(0=LEN(ReferenceData!$F$157),"",ReferenceData!$F$157),"")</f>
        <v/>
      </c>
      <c r="G157" t="str">
        <f ca="1">IFERROR(IF(0=LEN(ReferenceData!$G$157),"",ReferenceData!$G$157),"")</f>
        <v/>
      </c>
      <c r="H157">
        <f ca="1">IFERROR(IF(0=LEN(ReferenceData!$H$157),"",ReferenceData!$H$157),"")</f>
        <v>10.73</v>
      </c>
      <c r="I157">
        <f ca="1">IFERROR(IF(0=LEN(ReferenceData!$I$157),"",ReferenceData!$I$157),"")</f>
        <v>10.689</v>
      </c>
      <c r="J157">
        <f ca="1">IFERROR(IF(0=LEN(ReferenceData!$J$157),"",ReferenceData!$J$157),"")</f>
        <v>10.664999999999999</v>
      </c>
      <c r="K157">
        <f ca="1">IFERROR(IF(0=LEN(ReferenceData!$K$157),"",ReferenceData!$K$157),"")</f>
        <v>10.804</v>
      </c>
      <c r="L157">
        <f ca="1">IFERROR(IF(0=LEN(ReferenceData!$L$157),"",ReferenceData!$L$157),"")</f>
        <v>10.81</v>
      </c>
      <c r="M157">
        <f ca="1">IFERROR(IF(0=LEN(ReferenceData!$M$157),"",ReferenceData!$M$157),"")</f>
        <v>10.728999999999999</v>
      </c>
      <c r="N157">
        <f ca="1">IFERROR(IF(0=LEN(ReferenceData!$N$157),"",ReferenceData!$N$157),"")</f>
        <v>10.77</v>
      </c>
      <c r="O157">
        <f ca="1">IFERROR(IF(0=LEN(ReferenceData!$O$157),"",ReferenceData!$O$157),"")</f>
        <v>10.683</v>
      </c>
      <c r="P157">
        <f ca="1">IFERROR(IF(0=LEN(ReferenceData!$P$157),"",ReferenceData!$P$157),"")</f>
        <v>10.68</v>
      </c>
      <c r="Q157">
        <f ca="1">IFERROR(IF(0=LEN(ReferenceData!$Q$157),"",ReferenceData!$Q$157),"")</f>
        <v>10.679</v>
      </c>
      <c r="R157">
        <f ca="1">IFERROR(IF(0=LEN(ReferenceData!$R$157),"",ReferenceData!$R$157),"")</f>
        <v>10.692</v>
      </c>
      <c r="S157">
        <f ca="1">IFERROR(IF(0=LEN(ReferenceData!$S$157),"",ReferenceData!$S$157),"")</f>
        <v>10.69</v>
      </c>
      <c r="T157">
        <f ca="1">IFERROR(IF(0=LEN(ReferenceData!$T$157),"",ReferenceData!$T$157),"")</f>
        <v>10.792999999999999</v>
      </c>
      <c r="U157">
        <f ca="1">IFERROR(IF(0=LEN(ReferenceData!$U$157),"",ReferenceData!$U$157),"")</f>
        <v>10.804</v>
      </c>
      <c r="V157">
        <f ca="1">IFERROR(IF(0=LEN(ReferenceData!$V$157),"",ReferenceData!$V$157),"")</f>
        <v>10.816000000000001</v>
      </c>
      <c r="W157">
        <f ca="1">IFERROR(IF(0=LEN(ReferenceData!$W$157),"",ReferenceData!$W$157),"")</f>
        <v>10.829000000000001</v>
      </c>
      <c r="X157">
        <f ca="1">IFERROR(IF(0=LEN(ReferenceData!$X$157),"",ReferenceData!$X$157),"")</f>
        <v>10.814</v>
      </c>
      <c r="Y157">
        <f ca="1">IFERROR(IF(0=LEN(ReferenceData!$Y$157),"",ReferenceData!$Y$157),"")</f>
        <v>10.821</v>
      </c>
      <c r="Z157">
        <f ca="1">IFERROR(IF(0=LEN(ReferenceData!$Z$157),"",ReferenceData!$Z$157),"")</f>
        <v>10.819000000000001</v>
      </c>
      <c r="AA157">
        <f ca="1">IFERROR(IF(0=LEN(ReferenceData!$AA$157),"",ReferenceData!$AA$157),"")</f>
        <v>10.813000000000001</v>
      </c>
      <c r="AB157">
        <f ca="1">IFERROR(IF(0=LEN(ReferenceData!$AB$157),"",ReferenceData!$AB$157),"")</f>
        <v>10.868</v>
      </c>
      <c r="AC157">
        <f ca="1">IFERROR(IF(0=LEN(ReferenceData!$AC$157),"",ReferenceData!$AC$157),"")</f>
        <v>10.955</v>
      </c>
      <c r="AD157">
        <f ca="1">IFERROR(IF(0=LEN(ReferenceData!$AD$157),"",ReferenceData!$AD$157),"")</f>
        <v>10.933</v>
      </c>
      <c r="AE157">
        <f ca="1">IFERROR(IF(0=LEN(ReferenceData!$AE$157),"",ReferenceData!$AE$157),"")</f>
        <v>10.978999999999999</v>
      </c>
      <c r="AF157">
        <f ca="1">IFERROR(IF(0=LEN(ReferenceData!$AF$157),"",ReferenceData!$AF$157),"")</f>
        <v>10.91</v>
      </c>
      <c r="AG157">
        <f ca="1">IFERROR(IF(0=LEN(ReferenceData!$AG$157),"",ReferenceData!$AG$157),"")</f>
        <v>11.010999999999999</v>
      </c>
      <c r="AH157">
        <f ca="1">IFERROR(IF(0=LEN(ReferenceData!$AH$157),"",ReferenceData!$AH$157),"")</f>
        <v>11.112</v>
      </c>
      <c r="AI157">
        <f ca="1">IFERROR(IF(0=LEN(ReferenceData!$AI$157),"",ReferenceData!$AI$157),"")</f>
        <v>10.77</v>
      </c>
      <c r="AJ157">
        <f ca="1">IFERROR(IF(0=LEN(ReferenceData!$AJ$157),"",ReferenceData!$AJ$157),"")</f>
        <v>10.26</v>
      </c>
      <c r="AK157">
        <f ca="1">IFERROR(IF(0=LEN(ReferenceData!$AK$157),"",ReferenceData!$AK$157),"")</f>
        <v>10.26</v>
      </c>
      <c r="AL157">
        <f ca="1">IFERROR(IF(0=LEN(ReferenceData!$AL$157),"",ReferenceData!$AL$157),"")</f>
        <v>10.75</v>
      </c>
      <c r="AM157" t="str">
        <f ca="1">IFERROR(IF(0=LEN(ReferenceData!$AM$157),"",ReferenceData!$AM$157),"")</f>
        <v/>
      </c>
      <c r="AN157">
        <f ca="1">IFERROR(IF(0=LEN(ReferenceData!$AN$157),"",ReferenceData!$AN$157),"")</f>
        <v>10.515000000000001</v>
      </c>
      <c r="AO157">
        <f ca="1">IFERROR(IF(0=LEN(ReferenceData!$AO$157),"",ReferenceData!$AO$157),"")</f>
        <v>10.46</v>
      </c>
      <c r="AP157">
        <f ca="1">IFERROR(IF(0=LEN(ReferenceData!$AP$157),"",ReferenceData!$AP$157),"")</f>
        <v>10.039999999999999</v>
      </c>
      <c r="AQ157">
        <f ca="1">IFERROR(IF(0=LEN(ReferenceData!$AQ$157),"",ReferenceData!$AQ$157),"")</f>
        <v>9.92</v>
      </c>
      <c r="AR157" t="str">
        <f ca="1">IFERROR(IF(0=LEN(ReferenceData!$AR$157),"",ReferenceData!$AR$157),"")</f>
        <v/>
      </c>
      <c r="AS157" t="str">
        <f ca="1">IFERROR(IF(0=LEN(ReferenceData!$AS$157),"",ReferenceData!$AS$157),"")</f>
        <v/>
      </c>
      <c r="AT157" t="str">
        <f ca="1">IFERROR(IF(0=LEN(ReferenceData!$AT$157),"",ReferenceData!$AT$157),"")</f>
        <v/>
      </c>
      <c r="AU157" t="str">
        <f ca="1">IFERROR(IF(0=LEN(ReferenceData!$AU$157),"",ReferenceData!$AU$157),"")</f>
        <v/>
      </c>
      <c r="AV157" t="str">
        <f ca="1">IFERROR(IF(0=LEN(ReferenceData!$AV$157),"",ReferenceData!$AV$157),"")</f>
        <v/>
      </c>
      <c r="AW157" t="str">
        <f ca="1">IFERROR(IF(0=LEN(ReferenceData!$AW$157),"",ReferenceData!$AW$157),"")</f>
        <v/>
      </c>
      <c r="AX157" t="str">
        <f ca="1">IFERROR(IF(0=LEN(ReferenceData!$AX$157),"",ReferenceData!$AX$157),"")</f>
        <v/>
      </c>
      <c r="AY157" t="str">
        <f ca="1">IFERROR(IF(0=LEN(ReferenceData!$AY$157),"",ReferenceData!$AY$157),"")</f>
        <v/>
      </c>
      <c r="AZ157" t="str">
        <f ca="1">IFERROR(IF(0=LEN(ReferenceData!$AZ$157),"",ReferenceData!$AZ$157),"")</f>
        <v/>
      </c>
      <c r="BA157" t="str">
        <f ca="1">IFERROR(IF(0=LEN(ReferenceData!$BA$157),"",ReferenceData!$BA$157),"")</f>
        <v/>
      </c>
      <c r="BB157" t="str">
        <f ca="1">IFERROR(IF(0=LEN(ReferenceData!$BB$157),"",ReferenceData!$BB$157),"")</f>
        <v/>
      </c>
      <c r="BC157" t="str">
        <f ca="1">IFERROR(IF(0=LEN(ReferenceData!$BC$157),"",ReferenceData!$BC$157),"")</f>
        <v/>
      </c>
      <c r="BD157" t="str">
        <f ca="1">IFERROR(IF(0=LEN(ReferenceData!$BD$157),"",ReferenceData!$BD$157),"")</f>
        <v/>
      </c>
      <c r="BE157" t="str">
        <f ca="1">IFERROR(IF(0=LEN(ReferenceData!$BE$157),"",ReferenceData!$BE$157),"")</f>
        <v/>
      </c>
      <c r="BF157" t="str">
        <f ca="1">IFERROR(IF(0=LEN(ReferenceData!$BF$157),"",ReferenceData!$BF$157),"")</f>
        <v/>
      </c>
      <c r="BG157" t="str">
        <f ca="1">IFERROR(IF(0=LEN(ReferenceData!$BG$157),"",ReferenceData!$BG$157),"")</f>
        <v/>
      </c>
      <c r="BH157" t="str">
        <f ca="1">IFERROR(IF(0=LEN(ReferenceData!$BH$157),"",ReferenceData!$BH$157),"")</f>
        <v/>
      </c>
      <c r="BI157" t="str">
        <f ca="1">IFERROR(IF(0=LEN(ReferenceData!$BI$157),"",ReferenceData!$BI$157),"")</f>
        <v/>
      </c>
      <c r="BJ157" t="str">
        <f ca="1">IFERROR(IF(0=LEN(ReferenceData!$BJ$157),"",ReferenceData!$BJ$157),"")</f>
        <v/>
      </c>
      <c r="BK157" t="str">
        <f ca="1">IFERROR(IF(0=LEN(ReferenceData!$BK$157),"",ReferenceData!$BK$157),"")</f>
        <v/>
      </c>
      <c r="BL157" t="str">
        <f ca="1">IFERROR(IF(0=LEN(ReferenceData!$BL$157),"",ReferenceData!$BL$157),"")</f>
        <v/>
      </c>
      <c r="BM157" t="str">
        <f ca="1">IFERROR(IF(0=LEN(ReferenceData!$BM$157),"",ReferenceData!$BM$157),"")</f>
        <v/>
      </c>
      <c r="BN157" t="str">
        <f ca="1">IFERROR(IF(0=LEN(ReferenceData!$BN$157),"",ReferenceData!$BN$157),"")</f>
        <v/>
      </c>
      <c r="BO157" t="str">
        <f ca="1">IFERROR(IF(0=LEN(ReferenceData!$BO$157),"",ReferenceData!$BO$157),"")</f>
        <v/>
      </c>
      <c r="BP157" t="str">
        <f ca="1">IFERROR(IF(0=LEN(ReferenceData!$BP$157),"",ReferenceData!$BP$157),"")</f>
        <v/>
      </c>
      <c r="BQ157" t="str">
        <f ca="1">IFERROR(IF(0=LEN(ReferenceData!$BQ$157),"",ReferenceData!$BQ$157),"")</f>
        <v/>
      </c>
      <c r="BR157" t="str">
        <f ca="1">IFERROR(IF(0=LEN(ReferenceData!$BR$157),"",ReferenceData!$BR$157),"")</f>
        <v/>
      </c>
      <c r="BS157" t="str">
        <f ca="1">IFERROR(IF(0=LEN(ReferenceData!$BS$157),"",ReferenceData!$BS$157),"")</f>
        <v/>
      </c>
      <c r="BT157" t="str">
        <f ca="1">IFERROR(IF(0=LEN(ReferenceData!$BT$157),"",ReferenceData!$BT$157),"")</f>
        <v/>
      </c>
      <c r="BU157" t="str">
        <f ca="1">IFERROR(IF(0=LEN(ReferenceData!$BU$157),"",ReferenceData!$BU$157),"")</f>
        <v/>
      </c>
      <c r="BV157" t="str">
        <f ca="1">IFERROR(IF(0=LEN(ReferenceData!$BV$157),"",ReferenceData!$BV$157),"")</f>
        <v/>
      </c>
      <c r="BW157" t="str">
        <f ca="1">IFERROR(IF(0=LEN(ReferenceData!$BW$157),"",ReferenceData!$BW$157),"")</f>
        <v/>
      </c>
      <c r="BX157" t="str">
        <f ca="1">IFERROR(IF(0=LEN(ReferenceData!$BX$157),"",ReferenceData!$BX$157),"")</f>
        <v/>
      </c>
      <c r="BY157" t="str">
        <f ca="1">IFERROR(IF(0=LEN(ReferenceData!$BY$157),"",ReferenceData!$BY$157),"")</f>
        <v/>
      </c>
      <c r="BZ157" t="str">
        <f ca="1">IFERROR(IF(0=LEN(ReferenceData!$BZ$157),"",ReferenceData!$BZ$157),"")</f>
        <v/>
      </c>
      <c r="CA157" t="str">
        <f ca="1">IFERROR(IF(0=LEN(ReferenceData!$CA$157),"",ReferenceData!$CA$157),"")</f>
        <v/>
      </c>
      <c r="CB157" t="str">
        <f ca="1">IFERROR(IF(0=LEN(ReferenceData!$CB$157),"",ReferenceData!$CB$157),"")</f>
        <v/>
      </c>
      <c r="CC157" t="str">
        <f ca="1">IFERROR(IF(0=LEN(ReferenceData!$CC$157),"",ReferenceData!$CC$157),"")</f>
        <v/>
      </c>
      <c r="CD157" t="str">
        <f ca="1">IFERROR(IF(0=LEN(ReferenceData!$CD$157),"",ReferenceData!$CD$157),"")</f>
        <v/>
      </c>
      <c r="CE157" t="str">
        <f ca="1">IFERROR(IF(0=LEN(ReferenceData!$CE$157),"",ReferenceData!$CE$157),"")</f>
        <v/>
      </c>
      <c r="CF157" t="str">
        <f ca="1">IFERROR(IF(0=LEN(ReferenceData!$CF$157),"",ReferenceData!$CF$157),"")</f>
        <v/>
      </c>
      <c r="CG157" t="str">
        <f ca="1">IFERROR(IF(0=LEN(ReferenceData!$CG$157),"",ReferenceData!$CG$157),"")</f>
        <v/>
      </c>
      <c r="CH157" t="str">
        <f ca="1">IFERROR(IF(0=LEN(ReferenceData!$CH$157),"",ReferenceData!$CH$157),"")</f>
        <v/>
      </c>
      <c r="CI157" t="str">
        <f ca="1">IFERROR(IF(0=LEN(ReferenceData!$CI$157),"",ReferenceData!$CI$157),"")</f>
        <v/>
      </c>
      <c r="CJ157" t="str">
        <f ca="1">IFERROR(IF(0=LEN(ReferenceData!$CJ$157),"",ReferenceData!$CJ$157),"")</f>
        <v/>
      </c>
      <c r="CK157" t="str">
        <f ca="1">IFERROR(IF(0=LEN(ReferenceData!$CK$157),"",ReferenceData!$CK$157),"")</f>
        <v/>
      </c>
    </row>
    <row r="158" spans="1:89">
      <c r="A158" t="str">
        <f>IFERROR(IF(0=LEN(ReferenceData!$A$158),"",ReferenceData!$A$158),"")</f>
        <v xml:space="preserve">    Mid-America Apartment Communit</v>
      </c>
      <c r="B158" t="str">
        <f>IFERROR(IF(0=LEN(ReferenceData!$B$158),"",ReferenceData!$B$158),"")</f>
        <v>MAA US Equity</v>
      </c>
      <c r="C158" t="str">
        <f>IFERROR(IF(0=LEN(ReferenceData!$C$158),"",ReferenceData!$C$158),"")</f>
        <v>BE895</v>
      </c>
      <c r="D158" t="str">
        <f>IFERROR(IF(0=LEN(ReferenceData!$D$158),"",ReferenceData!$D$158),"")</f>
        <v>BEST_AFFOPS</v>
      </c>
      <c r="E158" t="str">
        <f>IFERROR(IF(0=LEN(ReferenceData!$E$158),"",ReferenceData!$E$158),"")</f>
        <v>动态</v>
      </c>
      <c r="F158" t="str">
        <f ca="1">IFERROR(IF(0=LEN(ReferenceData!$F$158),"",ReferenceData!$F$158),"")</f>
        <v/>
      </c>
      <c r="G158" t="str">
        <f ca="1">IFERROR(IF(0=LEN(ReferenceData!$G$158),"",ReferenceData!$G$158),"")</f>
        <v/>
      </c>
      <c r="H158">
        <f ca="1">IFERROR(IF(0=LEN(ReferenceData!$H$158),"",ReferenceData!$H$158),"")</f>
        <v>5.3710000000000004</v>
      </c>
      <c r="I158">
        <f ca="1">IFERROR(IF(0=LEN(ReferenceData!$I$158),"",ReferenceData!$I$158),"")</f>
        <v>5.306</v>
      </c>
      <c r="J158">
        <f ca="1">IFERROR(IF(0=LEN(ReferenceData!$J$158),"",ReferenceData!$J$158),"")</f>
        <v>5.3879999999999999</v>
      </c>
      <c r="K158">
        <f ca="1">IFERROR(IF(0=LEN(ReferenceData!$K$158),"",ReferenceData!$K$158),"")</f>
        <v>5.3220000000000001</v>
      </c>
      <c r="L158">
        <f ca="1">IFERROR(IF(0=LEN(ReferenceData!$L$158),"",ReferenceData!$L$158),"")</f>
        <v>5.3929999999999998</v>
      </c>
      <c r="M158">
        <f ca="1">IFERROR(IF(0=LEN(ReferenceData!$M$158),"",ReferenceData!$M$158),"")</f>
        <v>5.3330000000000002</v>
      </c>
      <c r="N158">
        <f ca="1">IFERROR(IF(0=LEN(ReferenceData!$N$158),"",ReferenceData!$N$158),"")</f>
        <v>5.34</v>
      </c>
      <c r="O158">
        <f ca="1">IFERROR(IF(0=LEN(ReferenceData!$O$158),"",ReferenceData!$O$158),"")</f>
        <v>5.3390000000000004</v>
      </c>
      <c r="P158">
        <f ca="1">IFERROR(IF(0=LEN(ReferenceData!$P$158),"",ReferenceData!$P$158),"")</f>
        <v>5.3380000000000001</v>
      </c>
      <c r="Q158">
        <f ca="1">IFERROR(IF(0=LEN(ReferenceData!$Q$158),"",ReferenceData!$Q$158),"")</f>
        <v>5.2649999999999997</v>
      </c>
      <c r="R158">
        <f ca="1">IFERROR(IF(0=LEN(ReferenceData!$R$158),"",ReferenceData!$R$158),"")</f>
        <v>5.2450000000000001</v>
      </c>
      <c r="S158">
        <f ca="1">IFERROR(IF(0=LEN(ReferenceData!$S$158),"",ReferenceData!$S$158),"")</f>
        <v>5.2560000000000002</v>
      </c>
      <c r="T158">
        <f ca="1">IFERROR(IF(0=LEN(ReferenceData!$T$158),"",ReferenceData!$T$158),"")</f>
        <v>5.3129999999999997</v>
      </c>
      <c r="U158">
        <f ca="1">IFERROR(IF(0=LEN(ReferenceData!$U$158),"",ReferenceData!$U$158),"")</f>
        <v>5.3010000000000002</v>
      </c>
      <c r="V158">
        <f ca="1">IFERROR(IF(0=LEN(ReferenceData!$V$158),"",ReferenceData!$V$158),"")</f>
        <v>5.4130000000000003</v>
      </c>
      <c r="W158">
        <f ca="1">IFERROR(IF(0=LEN(ReferenceData!$W$158),"",ReferenceData!$W$158),"")</f>
        <v>5.4320000000000004</v>
      </c>
      <c r="X158">
        <f ca="1">IFERROR(IF(0=LEN(ReferenceData!$X$158),"",ReferenceData!$X$158),"")</f>
        <v>5.3789999999999996</v>
      </c>
      <c r="Y158">
        <f ca="1">IFERROR(IF(0=LEN(ReferenceData!$Y$158),"",ReferenceData!$Y$158),"")</f>
        <v>5.3739999999999997</v>
      </c>
      <c r="Z158">
        <f ca="1">IFERROR(IF(0=LEN(ReferenceData!$Z$158),"",ReferenceData!$Z$158),"")</f>
        <v>5.54</v>
      </c>
      <c r="AA158">
        <f ca="1">IFERROR(IF(0=LEN(ReferenceData!$AA$158),"",ReferenceData!$AA$158),"")</f>
        <v>5.5209999999999999</v>
      </c>
      <c r="AB158">
        <f ca="1">IFERROR(IF(0=LEN(ReferenceData!$AB$158),"",ReferenceData!$AB$158),"")</f>
        <v>5.52</v>
      </c>
      <c r="AC158">
        <f ca="1">IFERROR(IF(0=LEN(ReferenceData!$AC$158),"",ReferenceData!$AC$158),"")</f>
        <v>5.4989999999999997</v>
      </c>
      <c r="AD158">
        <f ca="1">IFERROR(IF(0=LEN(ReferenceData!$AD$158),"",ReferenceData!$AD$158),"")</f>
        <v>5.4820000000000002</v>
      </c>
      <c r="AE158">
        <f ca="1">IFERROR(IF(0=LEN(ReferenceData!$AE$158),"",ReferenceData!$AE$158),"")</f>
        <v>5.4660000000000002</v>
      </c>
      <c r="AF158">
        <f ca="1">IFERROR(IF(0=LEN(ReferenceData!$AF$158),"",ReferenceData!$AF$158),"")</f>
        <v>5.4980000000000002</v>
      </c>
      <c r="AG158">
        <f ca="1">IFERROR(IF(0=LEN(ReferenceData!$AG$158),"",ReferenceData!$AG$158),"")</f>
        <v>5.5140000000000002</v>
      </c>
      <c r="AH158">
        <f ca="1">IFERROR(IF(0=LEN(ReferenceData!$AH$158),"",ReferenceData!$AH$158),"")</f>
        <v>5.5339999999999998</v>
      </c>
      <c r="AI158">
        <f ca="1">IFERROR(IF(0=LEN(ReferenceData!$AI$158),"",ReferenceData!$AI$158),"")</f>
        <v>5.6029999999999998</v>
      </c>
      <c r="AJ158">
        <f ca="1">IFERROR(IF(0=LEN(ReferenceData!$AJ$158),"",ReferenceData!$AJ$158),"")</f>
        <v>5.44</v>
      </c>
      <c r="AK158">
        <f ca="1">IFERROR(IF(0=LEN(ReferenceData!$AK$158),"",ReferenceData!$AK$158),"")</f>
        <v>5.44</v>
      </c>
      <c r="AL158">
        <f ca="1">IFERROR(IF(0=LEN(ReferenceData!$AL$158),"",ReferenceData!$AL$158),"")</f>
        <v>5.44</v>
      </c>
      <c r="AM158">
        <f ca="1">IFERROR(IF(0=LEN(ReferenceData!$AM$158),"",ReferenceData!$AM$158),"")</f>
        <v>5.46</v>
      </c>
      <c r="AN158">
        <f ca="1">IFERROR(IF(0=LEN(ReferenceData!$AN$158),"",ReferenceData!$AN$158),"")</f>
        <v>5.46</v>
      </c>
      <c r="AO158">
        <f ca="1">IFERROR(IF(0=LEN(ReferenceData!$AO$158),"",ReferenceData!$AO$158),"")</f>
        <v>5.26</v>
      </c>
      <c r="AP158" t="str">
        <f ca="1">IFERROR(IF(0=LEN(ReferenceData!$AP$158),"",ReferenceData!$AP$158),"")</f>
        <v/>
      </c>
      <c r="AQ158" t="str">
        <f ca="1">IFERROR(IF(0=LEN(ReferenceData!$AQ$158),"",ReferenceData!$AQ$158),"")</f>
        <v/>
      </c>
      <c r="AR158" t="str">
        <f ca="1">IFERROR(IF(0=LEN(ReferenceData!$AR$158),"",ReferenceData!$AR$158),"")</f>
        <v/>
      </c>
      <c r="AS158" t="str">
        <f ca="1">IFERROR(IF(0=LEN(ReferenceData!$AS$158),"",ReferenceData!$AS$158),"")</f>
        <v/>
      </c>
      <c r="AT158" t="str">
        <f ca="1">IFERROR(IF(0=LEN(ReferenceData!$AT$158),"",ReferenceData!$AT$158),"")</f>
        <v/>
      </c>
      <c r="AU158" t="str">
        <f ca="1">IFERROR(IF(0=LEN(ReferenceData!$AU$158),"",ReferenceData!$AU$158),"")</f>
        <v/>
      </c>
      <c r="AV158" t="str">
        <f ca="1">IFERROR(IF(0=LEN(ReferenceData!$AV$158),"",ReferenceData!$AV$158),"")</f>
        <v/>
      </c>
      <c r="AW158" t="str">
        <f ca="1">IFERROR(IF(0=LEN(ReferenceData!$AW$158),"",ReferenceData!$AW$158),"")</f>
        <v/>
      </c>
      <c r="AX158" t="str">
        <f ca="1">IFERROR(IF(0=LEN(ReferenceData!$AX$158),"",ReferenceData!$AX$158),"")</f>
        <v/>
      </c>
      <c r="AY158" t="str">
        <f ca="1">IFERROR(IF(0=LEN(ReferenceData!$AY$158),"",ReferenceData!$AY$158),"")</f>
        <v/>
      </c>
      <c r="AZ158" t="str">
        <f ca="1">IFERROR(IF(0=LEN(ReferenceData!$AZ$158),"",ReferenceData!$AZ$158),"")</f>
        <v/>
      </c>
      <c r="BA158" t="str">
        <f ca="1">IFERROR(IF(0=LEN(ReferenceData!$BA$158),"",ReferenceData!$BA$158),"")</f>
        <v/>
      </c>
      <c r="BB158" t="str">
        <f ca="1">IFERROR(IF(0=LEN(ReferenceData!$BB$158),"",ReferenceData!$BB$158),"")</f>
        <v/>
      </c>
      <c r="BC158" t="str">
        <f ca="1">IFERROR(IF(0=LEN(ReferenceData!$BC$158),"",ReferenceData!$BC$158),"")</f>
        <v/>
      </c>
      <c r="BD158" t="str">
        <f ca="1">IFERROR(IF(0=LEN(ReferenceData!$BD$158),"",ReferenceData!$BD$158),"")</f>
        <v/>
      </c>
      <c r="BE158" t="str">
        <f ca="1">IFERROR(IF(0=LEN(ReferenceData!$BE$158),"",ReferenceData!$BE$158),"")</f>
        <v/>
      </c>
      <c r="BF158" t="str">
        <f ca="1">IFERROR(IF(0=LEN(ReferenceData!$BF$158),"",ReferenceData!$BF$158),"")</f>
        <v/>
      </c>
      <c r="BG158" t="str">
        <f ca="1">IFERROR(IF(0=LEN(ReferenceData!$BG$158),"",ReferenceData!$BG$158),"")</f>
        <v/>
      </c>
      <c r="BH158" t="str">
        <f ca="1">IFERROR(IF(0=LEN(ReferenceData!$BH$158),"",ReferenceData!$BH$158),"")</f>
        <v/>
      </c>
      <c r="BI158" t="str">
        <f ca="1">IFERROR(IF(0=LEN(ReferenceData!$BI$158),"",ReferenceData!$BI$158),"")</f>
        <v/>
      </c>
      <c r="BJ158" t="str">
        <f ca="1">IFERROR(IF(0=LEN(ReferenceData!$BJ$158),"",ReferenceData!$BJ$158),"")</f>
        <v/>
      </c>
      <c r="BK158" t="str">
        <f ca="1">IFERROR(IF(0=LEN(ReferenceData!$BK$158),"",ReferenceData!$BK$158),"")</f>
        <v/>
      </c>
      <c r="BL158" t="str">
        <f ca="1">IFERROR(IF(0=LEN(ReferenceData!$BL$158),"",ReferenceData!$BL$158),"")</f>
        <v/>
      </c>
      <c r="BM158" t="str">
        <f ca="1">IFERROR(IF(0=LEN(ReferenceData!$BM$158),"",ReferenceData!$BM$158),"")</f>
        <v/>
      </c>
      <c r="BN158" t="str">
        <f ca="1">IFERROR(IF(0=LEN(ReferenceData!$BN$158),"",ReferenceData!$BN$158),"")</f>
        <v/>
      </c>
      <c r="BO158" t="str">
        <f ca="1">IFERROR(IF(0=LEN(ReferenceData!$BO$158),"",ReferenceData!$BO$158),"")</f>
        <v/>
      </c>
      <c r="BP158" t="str">
        <f ca="1">IFERROR(IF(0=LEN(ReferenceData!$BP$158),"",ReferenceData!$BP$158),"")</f>
        <v/>
      </c>
      <c r="BQ158" t="str">
        <f ca="1">IFERROR(IF(0=LEN(ReferenceData!$BQ$158),"",ReferenceData!$BQ$158),"")</f>
        <v/>
      </c>
      <c r="BR158" t="str">
        <f ca="1">IFERROR(IF(0=LEN(ReferenceData!$BR$158),"",ReferenceData!$BR$158),"")</f>
        <v/>
      </c>
      <c r="BS158" t="str">
        <f ca="1">IFERROR(IF(0=LEN(ReferenceData!$BS$158),"",ReferenceData!$BS$158),"")</f>
        <v/>
      </c>
      <c r="BT158" t="str">
        <f ca="1">IFERROR(IF(0=LEN(ReferenceData!$BT$158),"",ReferenceData!$BT$158),"")</f>
        <v/>
      </c>
      <c r="BU158" t="str">
        <f ca="1">IFERROR(IF(0=LEN(ReferenceData!$BU$158),"",ReferenceData!$BU$158),"")</f>
        <v/>
      </c>
      <c r="BV158" t="str">
        <f ca="1">IFERROR(IF(0=LEN(ReferenceData!$BV$158),"",ReferenceData!$BV$158),"")</f>
        <v/>
      </c>
      <c r="BW158" t="str">
        <f ca="1">IFERROR(IF(0=LEN(ReferenceData!$BW$158),"",ReferenceData!$BW$158),"")</f>
        <v/>
      </c>
      <c r="BX158" t="str">
        <f ca="1">IFERROR(IF(0=LEN(ReferenceData!$BX$158),"",ReferenceData!$BX$158),"")</f>
        <v/>
      </c>
      <c r="BY158" t="str">
        <f ca="1">IFERROR(IF(0=LEN(ReferenceData!$BY$158),"",ReferenceData!$BY$158),"")</f>
        <v/>
      </c>
      <c r="BZ158" t="str">
        <f ca="1">IFERROR(IF(0=LEN(ReferenceData!$BZ$158),"",ReferenceData!$BZ$158),"")</f>
        <v/>
      </c>
      <c r="CA158" t="str">
        <f ca="1">IFERROR(IF(0=LEN(ReferenceData!$CA$158),"",ReferenceData!$CA$158),"")</f>
        <v/>
      </c>
      <c r="CB158" t="str">
        <f ca="1">IFERROR(IF(0=LEN(ReferenceData!$CB$158),"",ReferenceData!$CB$158),"")</f>
        <v/>
      </c>
      <c r="CC158" t="str">
        <f ca="1">IFERROR(IF(0=LEN(ReferenceData!$CC$158),"",ReferenceData!$CC$158),"")</f>
        <v/>
      </c>
      <c r="CD158" t="str">
        <f ca="1">IFERROR(IF(0=LEN(ReferenceData!$CD$158),"",ReferenceData!$CD$158),"")</f>
        <v/>
      </c>
      <c r="CE158" t="str">
        <f ca="1">IFERROR(IF(0=LEN(ReferenceData!$CE$158),"",ReferenceData!$CE$158),"")</f>
        <v/>
      </c>
      <c r="CF158" t="str">
        <f ca="1">IFERROR(IF(0=LEN(ReferenceData!$CF$158),"",ReferenceData!$CF$158),"")</f>
        <v/>
      </c>
      <c r="CG158" t="str">
        <f ca="1">IFERROR(IF(0=LEN(ReferenceData!$CG$158),"",ReferenceData!$CG$158),"")</f>
        <v/>
      </c>
      <c r="CH158" t="str">
        <f ca="1">IFERROR(IF(0=LEN(ReferenceData!$CH$158),"",ReferenceData!$CH$158),"")</f>
        <v/>
      </c>
      <c r="CI158" t="str">
        <f ca="1">IFERROR(IF(0=LEN(ReferenceData!$CI$158),"",ReferenceData!$CI$158),"")</f>
        <v/>
      </c>
      <c r="CJ158" t="str">
        <f ca="1">IFERROR(IF(0=LEN(ReferenceData!$CJ$158),"",ReferenceData!$CJ$158),"")</f>
        <v/>
      </c>
      <c r="CK158" t="str">
        <f ca="1">IFERROR(IF(0=LEN(ReferenceData!$CK$158),"",ReferenceData!$CK$158),"")</f>
        <v/>
      </c>
    </row>
    <row r="159" spans="1:89">
      <c r="A159" t="str">
        <f>IFERROR(IF(0=LEN(ReferenceData!$A$159),"",ReferenceData!$A$159),"")</f>
        <v xml:space="preserve">    Monogram Residential Trust Inc</v>
      </c>
      <c r="B159" t="str">
        <f>IFERROR(IF(0=LEN(ReferenceData!$B$159),"",ReferenceData!$B$159),"")</f>
        <v>MORE US Equity</v>
      </c>
      <c r="C159" t="str">
        <f>IFERROR(IF(0=LEN(ReferenceData!$C$159),"",ReferenceData!$C$159),"")</f>
        <v>BE895</v>
      </c>
      <c r="D159" t="str">
        <f>IFERROR(IF(0=LEN(ReferenceData!$D$159),"",ReferenceData!$D$159),"")</f>
        <v>BEST_AFFOPS</v>
      </c>
      <c r="E159" t="str">
        <f>IFERROR(IF(0=LEN(ReferenceData!$E$159),"",ReferenceData!$E$159),"")</f>
        <v>动态</v>
      </c>
      <c r="F159" t="str">
        <f ca="1">IFERROR(IF(0=LEN(ReferenceData!$F$159),"",ReferenceData!$F$159),"")</f>
        <v/>
      </c>
      <c r="G159" t="str">
        <f ca="1">IFERROR(IF(0=LEN(ReferenceData!$G$159),"",ReferenceData!$G$159),"")</f>
        <v/>
      </c>
      <c r="H159" t="str">
        <f ca="1">IFERROR(IF(0=LEN(ReferenceData!$H$159),"",ReferenceData!$H$159),"")</f>
        <v/>
      </c>
      <c r="I159" t="str">
        <f ca="1">IFERROR(IF(0=LEN(ReferenceData!$I$159),"",ReferenceData!$I$159),"")</f>
        <v/>
      </c>
      <c r="J159" t="str">
        <f ca="1">IFERROR(IF(0=LEN(ReferenceData!$J$159),"",ReferenceData!$J$159),"")</f>
        <v/>
      </c>
      <c r="K159" t="str">
        <f ca="1">IFERROR(IF(0=LEN(ReferenceData!$K$159),"",ReferenceData!$K$159),"")</f>
        <v/>
      </c>
      <c r="L159">
        <f ca="1">IFERROR(IF(0=LEN(ReferenceData!$L$159),"",ReferenceData!$L$159),"")</f>
        <v>0.41</v>
      </c>
      <c r="M159">
        <f ca="1">IFERROR(IF(0=LEN(ReferenceData!$M$159),"",ReferenceData!$M$159),"")</f>
        <v>0.41499999999999998</v>
      </c>
      <c r="N159">
        <f ca="1">IFERROR(IF(0=LEN(ReferenceData!$N$159),"",ReferenceData!$N$159),"")</f>
        <v>0.40799999999999997</v>
      </c>
      <c r="O159">
        <f ca="1">IFERROR(IF(0=LEN(ReferenceData!$O$159),"",ReferenceData!$O$159),"")</f>
        <v>0.41</v>
      </c>
      <c r="P159">
        <f ca="1">IFERROR(IF(0=LEN(ReferenceData!$P$159),"",ReferenceData!$P$159),"")</f>
        <v>0.41</v>
      </c>
      <c r="Q159">
        <f ca="1">IFERROR(IF(0=LEN(ReferenceData!$Q$159),"",ReferenceData!$Q$159),"")</f>
        <v>0.40699999999999997</v>
      </c>
      <c r="R159">
        <f ca="1">IFERROR(IF(0=LEN(ReferenceData!$R$159),"",ReferenceData!$R$159),"")</f>
        <v>0.40699999999999997</v>
      </c>
      <c r="S159">
        <f ca="1">IFERROR(IF(0=LEN(ReferenceData!$S$159),"",ReferenceData!$S$159),"")</f>
        <v>0.4</v>
      </c>
      <c r="T159">
        <f ca="1">IFERROR(IF(0=LEN(ReferenceData!$T$159),"",ReferenceData!$T$159),"")</f>
        <v>0.41699999999999998</v>
      </c>
      <c r="U159">
        <f ca="1">IFERROR(IF(0=LEN(ReferenceData!$U$159),"",ReferenceData!$U$159),"")</f>
        <v>0.433</v>
      </c>
      <c r="V159">
        <f ca="1">IFERROR(IF(0=LEN(ReferenceData!$V$159),"",ReferenceData!$V$159),"")</f>
        <v>0.43</v>
      </c>
      <c r="W159">
        <f ca="1">IFERROR(IF(0=LEN(ReferenceData!$W$159),"",ReferenceData!$W$159),"")</f>
        <v>0.44</v>
      </c>
      <c r="X159">
        <f ca="1">IFERROR(IF(0=LEN(ReferenceData!$X$159),"",ReferenceData!$X$159),"")</f>
        <v>0.45</v>
      </c>
      <c r="Y159">
        <f ca="1">IFERROR(IF(0=LEN(ReferenceData!$Y$159),"",ReferenceData!$Y$159),"")</f>
        <v>0.45</v>
      </c>
      <c r="Z159">
        <f ca="1">IFERROR(IF(0=LEN(ReferenceData!$Z$159),"",ReferenceData!$Z$159),"")</f>
        <v>0.48</v>
      </c>
      <c r="AA159">
        <f ca="1">IFERROR(IF(0=LEN(ReferenceData!$AA$159),"",ReferenceData!$AA$159),"")</f>
        <v>0.49</v>
      </c>
      <c r="AB159">
        <f ca="1">IFERROR(IF(0=LEN(ReferenceData!$AB$159),"",ReferenceData!$AB$159),"")</f>
        <v>0.44</v>
      </c>
      <c r="AC159" t="str">
        <f ca="1">IFERROR(IF(0=LEN(ReferenceData!$AC$159),"",ReferenceData!$AC$159),"")</f>
        <v/>
      </c>
      <c r="AD159" t="str">
        <f ca="1">IFERROR(IF(0=LEN(ReferenceData!$AD$159),"",ReferenceData!$AD$159),"")</f>
        <v/>
      </c>
      <c r="AE159">
        <f ca="1">IFERROR(IF(0=LEN(ReferenceData!$AE$159),"",ReferenceData!$AE$159),"")</f>
        <v>0.56000000000000005</v>
      </c>
      <c r="AF159">
        <f ca="1">IFERROR(IF(0=LEN(ReferenceData!$AF$159),"",ReferenceData!$AF$159),"")</f>
        <v>0.54</v>
      </c>
      <c r="AG159">
        <f ca="1">IFERROR(IF(0=LEN(ReferenceData!$AG$159),"",ReferenceData!$AG$159),"")</f>
        <v>0.54</v>
      </c>
      <c r="AH159" t="str">
        <f ca="1">IFERROR(IF(0=LEN(ReferenceData!$AH$159),"",ReferenceData!$AH$159),"")</f>
        <v/>
      </c>
      <c r="AI159" t="str">
        <f ca="1">IFERROR(IF(0=LEN(ReferenceData!$AI$159),"",ReferenceData!$AI$159),"")</f>
        <v/>
      </c>
      <c r="AJ159" t="str">
        <f ca="1">IFERROR(IF(0=LEN(ReferenceData!$AJ$159),"",ReferenceData!$AJ$159),"")</f>
        <v/>
      </c>
      <c r="AK159" t="str">
        <f ca="1">IFERROR(IF(0=LEN(ReferenceData!$AK$159),"",ReferenceData!$AK$159),"")</f>
        <v/>
      </c>
      <c r="AL159" t="str">
        <f ca="1">IFERROR(IF(0=LEN(ReferenceData!$AL$159),"",ReferenceData!$AL$159),"")</f>
        <v/>
      </c>
      <c r="AM159" t="str">
        <f ca="1">IFERROR(IF(0=LEN(ReferenceData!$AM$159),"",ReferenceData!$AM$159),"")</f>
        <v/>
      </c>
      <c r="AN159" t="str">
        <f ca="1">IFERROR(IF(0=LEN(ReferenceData!$AN$159),"",ReferenceData!$AN$159),"")</f>
        <v/>
      </c>
      <c r="AO159" t="str">
        <f ca="1">IFERROR(IF(0=LEN(ReferenceData!$AO$159),"",ReferenceData!$AO$159),"")</f>
        <v/>
      </c>
      <c r="AP159" t="str">
        <f ca="1">IFERROR(IF(0=LEN(ReferenceData!$AP$159),"",ReferenceData!$AP$159),"")</f>
        <v/>
      </c>
      <c r="AQ159" t="str">
        <f ca="1">IFERROR(IF(0=LEN(ReferenceData!$AQ$159),"",ReferenceData!$AQ$159),"")</f>
        <v/>
      </c>
      <c r="AR159" t="str">
        <f ca="1">IFERROR(IF(0=LEN(ReferenceData!$AR$159),"",ReferenceData!$AR$159),"")</f>
        <v/>
      </c>
      <c r="AS159" t="str">
        <f ca="1">IFERROR(IF(0=LEN(ReferenceData!$AS$159),"",ReferenceData!$AS$159),"")</f>
        <v/>
      </c>
      <c r="AT159" t="str">
        <f ca="1">IFERROR(IF(0=LEN(ReferenceData!$AT$159),"",ReferenceData!$AT$159),"")</f>
        <v/>
      </c>
      <c r="AU159" t="str">
        <f ca="1">IFERROR(IF(0=LEN(ReferenceData!$AU$159),"",ReferenceData!$AU$159),"")</f>
        <v/>
      </c>
      <c r="AV159" t="str">
        <f ca="1">IFERROR(IF(0=LEN(ReferenceData!$AV$159),"",ReferenceData!$AV$159),"")</f>
        <v/>
      </c>
      <c r="AW159" t="str">
        <f ca="1">IFERROR(IF(0=LEN(ReferenceData!$AW$159),"",ReferenceData!$AW$159),"")</f>
        <v/>
      </c>
      <c r="AX159" t="str">
        <f ca="1">IFERROR(IF(0=LEN(ReferenceData!$AX$159),"",ReferenceData!$AX$159),"")</f>
        <v/>
      </c>
      <c r="AY159" t="str">
        <f ca="1">IFERROR(IF(0=LEN(ReferenceData!$AY$159),"",ReferenceData!$AY$159),"")</f>
        <v/>
      </c>
      <c r="AZ159" t="str">
        <f ca="1">IFERROR(IF(0=LEN(ReferenceData!$AZ$159),"",ReferenceData!$AZ$159),"")</f>
        <v/>
      </c>
      <c r="BA159" t="str">
        <f ca="1">IFERROR(IF(0=LEN(ReferenceData!$BA$159),"",ReferenceData!$BA$159),"")</f>
        <v/>
      </c>
      <c r="BB159" t="str">
        <f ca="1">IFERROR(IF(0=LEN(ReferenceData!$BB$159),"",ReferenceData!$BB$159),"")</f>
        <v/>
      </c>
      <c r="BC159" t="str">
        <f ca="1">IFERROR(IF(0=LEN(ReferenceData!$BC$159),"",ReferenceData!$BC$159),"")</f>
        <v/>
      </c>
      <c r="BD159" t="str">
        <f ca="1">IFERROR(IF(0=LEN(ReferenceData!$BD$159),"",ReferenceData!$BD$159),"")</f>
        <v/>
      </c>
      <c r="BE159" t="str">
        <f ca="1">IFERROR(IF(0=LEN(ReferenceData!$BE$159),"",ReferenceData!$BE$159),"")</f>
        <v/>
      </c>
      <c r="BF159" t="str">
        <f ca="1">IFERROR(IF(0=LEN(ReferenceData!$BF$159),"",ReferenceData!$BF$159),"")</f>
        <v/>
      </c>
      <c r="BG159" t="str">
        <f ca="1">IFERROR(IF(0=LEN(ReferenceData!$BG$159),"",ReferenceData!$BG$159),"")</f>
        <v/>
      </c>
      <c r="BH159" t="str">
        <f ca="1">IFERROR(IF(0=LEN(ReferenceData!$BH$159),"",ReferenceData!$BH$159),"")</f>
        <v/>
      </c>
      <c r="BI159" t="str">
        <f ca="1">IFERROR(IF(0=LEN(ReferenceData!$BI$159),"",ReferenceData!$BI$159),"")</f>
        <v/>
      </c>
      <c r="BJ159" t="str">
        <f ca="1">IFERROR(IF(0=LEN(ReferenceData!$BJ$159),"",ReferenceData!$BJ$159),"")</f>
        <v/>
      </c>
      <c r="BK159" t="str">
        <f ca="1">IFERROR(IF(0=LEN(ReferenceData!$BK$159),"",ReferenceData!$BK$159),"")</f>
        <v/>
      </c>
      <c r="BL159" t="str">
        <f ca="1">IFERROR(IF(0=LEN(ReferenceData!$BL$159),"",ReferenceData!$BL$159),"")</f>
        <v/>
      </c>
      <c r="BM159" t="str">
        <f ca="1">IFERROR(IF(0=LEN(ReferenceData!$BM$159),"",ReferenceData!$BM$159),"")</f>
        <v/>
      </c>
      <c r="BN159" t="str">
        <f ca="1">IFERROR(IF(0=LEN(ReferenceData!$BN$159),"",ReferenceData!$BN$159),"")</f>
        <v/>
      </c>
      <c r="BO159" t="str">
        <f ca="1">IFERROR(IF(0=LEN(ReferenceData!$BO$159),"",ReferenceData!$BO$159),"")</f>
        <v/>
      </c>
      <c r="BP159" t="str">
        <f ca="1">IFERROR(IF(0=LEN(ReferenceData!$BP$159),"",ReferenceData!$BP$159),"")</f>
        <v/>
      </c>
      <c r="BQ159" t="str">
        <f ca="1">IFERROR(IF(0=LEN(ReferenceData!$BQ$159),"",ReferenceData!$BQ$159),"")</f>
        <v/>
      </c>
      <c r="BR159" t="str">
        <f ca="1">IFERROR(IF(0=LEN(ReferenceData!$BR$159),"",ReferenceData!$BR$159),"")</f>
        <v/>
      </c>
      <c r="BS159" t="str">
        <f ca="1">IFERROR(IF(0=LEN(ReferenceData!$BS$159),"",ReferenceData!$BS$159),"")</f>
        <v/>
      </c>
      <c r="BT159" t="str">
        <f ca="1">IFERROR(IF(0=LEN(ReferenceData!$BT$159),"",ReferenceData!$BT$159),"")</f>
        <v/>
      </c>
      <c r="BU159" t="str">
        <f ca="1">IFERROR(IF(0=LEN(ReferenceData!$BU$159),"",ReferenceData!$BU$159),"")</f>
        <v/>
      </c>
      <c r="BV159" t="str">
        <f ca="1">IFERROR(IF(0=LEN(ReferenceData!$BV$159),"",ReferenceData!$BV$159),"")</f>
        <v/>
      </c>
      <c r="BW159" t="str">
        <f ca="1">IFERROR(IF(0=LEN(ReferenceData!$BW$159),"",ReferenceData!$BW$159),"")</f>
        <v/>
      </c>
      <c r="BX159" t="str">
        <f ca="1">IFERROR(IF(0=LEN(ReferenceData!$BX$159),"",ReferenceData!$BX$159),"")</f>
        <v/>
      </c>
      <c r="BY159" t="str">
        <f ca="1">IFERROR(IF(0=LEN(ReferenceData!$BY$159),"",ReferenceData!$BY$159),"")</f>
        <v/>
      </c>
      <c r="BZ159" t="str">
        <f ca="1">IFERROR(IF(0=LEN(ReferenceData!$BZ$159),"",ReferenceData!$BZ$159),"")</f>
        <v/>
      </c>
      <c r="CA159" t="str">
        <f ca="1">IFERROR(IF(0=LEN(ReferenceData!$CA$159),"",ReferenceData!$CA$159),"")</f>
        <v/>
      </c>
      <c r="CB159" t="str">
        <f ca="1">IFERROR(IF(0=LEN(ReferenceData!$CB$159),"",ReferenceData!$CB$159),"")</f>
        <v/>
      </c>
      <c r="CC159" t="str">
        <f ca="1">IFERROR(IF(0=LEN(ReferenceData!$CC$159),"",ReferenceData!$CC$159),"")</f>
        <v/>
      </c>
      <c r="CD159" t="str">
        <f ca="1">IFERROR(IF(0=LEN(ReferenceData!$CD$159),"",ReferenceData!$CD$159),"")</f>
        <v/>
      </c>
      <c r="CE159" t="str">
        <f ca="1">IFERROR(IF(0=LEN(ReferenceData!$CE$159),"",ReferenceData!$CE$159),"")</f>
        <v/>
      </c>
      <c r="CF159" t="str">
        <f ca="1">IFERROR(IF(0=LEN(ReferenceData!$CF$159),"",ReferenceData!$CF$159),"")</f>
        <v/>
      </c>
      <c r="CG159" t="str">
        <f ca="1">IFERROR(IF(0=LEN(ReferenceData!$CG$159),"",ReferenceData!$CG$159),"")</f>
        <v/>
      </c>
      <c r="CH159" t="str">
        <f ca="1">IFERROR(IF(0=LEN(ReferenceData!$CH$159),"",ReferenceData!$CH$159),"")</f>
        <v/>
      </c>
      <c r="CI159" t="str">
        <f ca="1">IFERROR(IF(0=LEN(ReferenceData!$CI$159),"",ReferenceData!$CI$159),"")</f>
        <v/>
      </c>
      <c r="CJ159" t="str">
        <f ca="1">IFERROR(IF(0=LEN(ReferenceData!$CJ$159),"",ReferenceData!$CJ$159),"")</f>
        <v/>
      </c>
      <c r="CK159" t="str">
        <f ca="1">IFERROR(IF(0=LEN(ReferenceData!$CK$159),"",ReferenceData!$CK$159),"")</f>
        <v/>
      </c>
    </row>
    <row r="160" spans="1:89">
      <c r="A160" t="str">
        <f>IFERROR(IF(0=LEN(ReferenceData!$A$160),"",ReferenceData!$A$160),"")</f>
        <v xml:space="preserve">    UDR Inc</v>
      </c>
      <c r="B160" t="str">
        <f>IFERROR(IF(0=LEN(ReferenceData!$B$160),"",ReferenceData!$B$160),"")</f>
        <v>UDR US Equity</v>
      </c>
      <c r="C160" t="str">
        <f>IFERROR(IF(0=LEN(ReferenceData!$C$160),"",ReferenceData!$C$160),"")</f>
        <v>BE895</v>
      </c>
      <c r="D160" t="str">
        <f>IFERROR(IF(0=LEN(ReferenceData!$D$160),"",ReferenceData!$D$160),"")</f>
        <v>BEST_AFFOPS</v>
      </c>
      <c r="E160" t="str">
        <f>IFERROR(IF(0=LEN(ReferenceData!$E$160),"",ReferenceData!$E$160),"")</f>
        <v>动态</v>
      </c>
      <c r="F160" t="str">
        <f ca="1">IFERROR(IF(0=LEN(ReferenceData!$F$160),"",ReferenceData!$F$160),"")</f>
        <v/>
      </c>
      <c r="G160" t="str">
        <f ca="1">IFERROR(IF(0=LEN(ReferenceData!$G$160),"",ReferenceData!$G$160),"")</f>
        <v/>
      </c>
      <c r="H160">
        <f ca="1">IFERROR(IF(0=LEN(ReferenceData!$H$160),"",ReferenceData!$H$160),"")</f>
        <v>1.696</v>
      </c>
      <c r="I160">
        <f ca="1">IFERROR(IF(0=LEN(ReferenceData!$I$160),"",ReferenceData!$I$160),"")</f>
        <v>1.708</v>
      </c>
      <c r="J160">
        <f ca="1">IFERROR(IF(0=LEN(ReferenceData!$J$160),"",ReferenceData!$J$160),"")</f>
        <v>1.7</v>
      </c>
      <c r="K160">
        <f ca="1">IFERROR(IF(0=LEN(ReferenceData!$K$160),"",ReferenceData!$K$160),"")</f>
        <v>1.7</v>
      </c>
      <c r="L160">
        <f ca="1">IFERROR(IF(0=LEN(ReferenceData!$L$160),"",ReferenceData!$L$160),"")</f>
        <v>1.7</v>
      </c>
      <c r="M160">
        <f ca="1">IFERROR(IF(0=LEN(ReferenceData!$M$160),"",ReferenceData!$M$160),"")</f>
        <v>1.7</v>
      </c>
      <c r="N160">
        <f ca="1">IFERROR(IF(0=LEN(ReferenceData!$N$160),"",ReferenceData!$N$160),"")</f>
        <v>1.6930000000000001</v>
      </c>
      <c r="O160">
        <f ca="1">IFERROR(IF(0=LEN(ReferenceData!$O$160),"",ReferenceData!$O$160),"")</f>
        <v>1.6950000000000001</v>
      </c>
      <c r="P160">
        <f ca="1">IFERROR(IF(0=LEN(ReferenceData!$P$160),"",ReferenceData!$P$160),"")</f>
        <v>1.6950000000000001</v>
      </c>
      <c r="Q160">
        <f ca="1">IFERROR(IF(0=LEN(ReferenceData!$Q$160),"",ReferenceData!$Q$160),"")</f>
        <v>1.6779999999999999</v>
      </c>
      <c r="R160">
        <f ca="1">IFERROR(IF(0=LEN(ReferenceData!$R$160),"",ReferenceData!$R$160),"")</f>
        <v>1.6619999999999999</v>
      </c>
      <c r="S160">
        <f ca="1">IFERROR(IF(0=LEN(ReferenceData!$S$160),"",ReferenceData!$S$160),"")</f>
        <v>1.667</v>
      </c>
      <c r="T160">
        <f ca="1">IFERROR(IF(0=LEN(ReferenceData!$T$160),"",ReferenceData!$T$160),"")</f>
        <v>1.71</v>
      </c>
      <c r="U160">
        <f ca="1">IFERROR(IF(0=LEN(ReferenceData!$U$160),"",ReferenceData!$U$160),"")</f>
        <v>1.71</v>
      </c>
      <c r="V160">
        <f ca="1">IFERROR(IF(0=LEN(ReferenceData!$V$160),"",ReferenceData!$V$160),"")</f>
        <v>1.708</v>
      </c>
      <c r="W160">
        <f ca="1">IFERROR(IF(0=LEN(ReferenceData!$W$160),"",ReferenceData!$W$160),"")</f>
        <v>1.6930000000000001</v>
      </c>
      <c r="X160">
        <f ca="1">IFERROR(IF(0=LEN(ReferenceData!$X$160),"",ReferenceData!$X$160),"")</f>
        <v>1.7090000000000001</v>
      </c>
      <c r="Y160">
        <f ca="1">IFERROR(IF(0=LEN(ReferenceData!$Y$160),"",ReferenceData!$Y$160),"")</f>
        <v>1.714</v>
      </c>
      <c r="Z160">
        <f ca="1">IFERROR(IF(0=LEN(ReferenceData!$Z$160),"",ReferenceData!$Z$160),"")</f>
        <v>1.722</v>
      </c>
      <c r="AA160">
        <f ca="1">IFERROR(IF(0=LEN(ReferenceData!$AA$160),"",ReferenceData!$AA$160),"")</f>
        <v>1.7210000000000001</v>
      </c>
      <c r="AB160">
        <f ca="1">IFERROR(IF(0=LEN(ReferenceData!$AB$160),"",ReferenceData!$AB$160),"")</f>
        <v>1.728</v>
      </c>
      <c r="AC160">
        <f ca="1">IFERROR(IF(0=LEN(ReferenceData!$AC$160),"",ReferenceData!$AC$160),"")</f>
        <v>1.7370000000000001</v>
      </c>
      <c r="AD160">
        <f ca="1">IFERROR(IF(0=LEN(ReferenceData!$AD$160),"",ReferenceData!$AD$160),"")</f>
        <v>1.744</v>
      </c>
      <c r="AE160">
        <f ca="1">IFERROR(IF(0=LEN(ReferenceData!$AE$160),"",ReferenceData!$AE$160),"")</f>
        <v>1.7430000000000001</v>
      </c>
      <c r="AF160">
        <f ca="1">IFERROR(IF(0=LEN(ReferenceData!$AF$160),"",ReferenceData!$AF$160),"")</f>
        <v>1.766</v>
      </c>
      <c r="AG160">
        <f ca="1">IFERROR(IF(0=LEN(ReferenceData!$AG$160),"",ReferenceData!$AG$160),"")</f>
        <v>1.766</v>
      </c>
      <c r="AH160">
        <f ca="1">IFERROR(IF(0=LEN(ReferenceData!$AH$160),"",ReferenceData!$AH$160),"")</f>
        <v>1.778</v>
      </c>
      <c r="AI160">
        <f ca="1">IFERROR(IF(0=LEN(ReferenceData!$AI$160),"",ReferenceData!$AI$160),"")</f>
        <v>1.74</v>
      </c>
      <c r="AJ160">
        <f ca="1">IFERROR(IF(0=LEN(ReferenceData!$AJ$160),"",ReferenceData!$AJ$160),"")</f>
        <v>1.7</v>
      </c>
      <c r="AK160">
        <f ca="1">IFERROR(IF(0=LEN(ReferenceData!$AK$160),"",ReferenceData!$AK$160),"")</f>
        <v>1.7070000000000001</v>
      </c>
      <c r="AL160">
        <f ca="1">IFERROR(IF(0=LEN(ReferenceData!$AL$160),"",ReferenceData!$AL$160),"")</f>
        <v>1.67</v>
      </c>
      <c r="AM160">
        <f ca="1">IFERROR(IF(0=LEN(ReferenceData!$AM$160),"",ReferenceData!$AM$160),"")</f>
        <v>1.67</v>
      </c>
      <c r="AN160">
        <f ca="1">IFERROR(IF(0=LEN(ReferenceData!$AN$160),"",ReferenceData!$AN$160),"")</f>
        <v>1.655</v>
      </c>
      <c r="AO160">
        <f ca="1">IFERROR(IF(0=LEN(ReferenceData!$AO$160),"",ReferenceData!$AO$160),"")</f>
        <v>1.635</v>
      </c>
      <c r="AP160" t="str">
        <f ca="1">IFERROR(IF(0=LEN(ReferenceData!$AP$160),"",ReferenceData!$AP$160),"")</f>
        <v/>
      </c>
      <c r="AQ160">
        <f ca="1">IFERROR(IF(0=LEN(ReferenceData!$AQ$160),"",ReferenceData!$AQ$160),"")</f>
        <v>1.655</v>
      </c>
      <c r="AR160" t="str">
        <f ca="1">IFERROR(IF(0=LEN(ReferenceData!$AR$160),"",ReferenceData!$AR$160),"")</f>
        <v/>
      </c>
      <c r="AS160" t="str">
        <f ca="1">IFERROR(IF(0=LEN(ReferenceData!$AS$160),"",ReferenceData!$AS$160),"")</f>
        <v/>
      </c>
      <c r="AT160" t="str">
        <f ca="1">IFERROR(IF(0=LEN(ReferenceData!$AT$160),"",ReferenceData!$AT$160),"")</f>
        <v/>
      </c>
      <c r="AU160" t="str">
        <f ca="1">IFERROR(IF(0=LEN(ReferenceData!$AU$160),"",ReferenceData!$AU$160),"")</f>
        <v/>
      </c>
      <c r="AV160" t="str">
        <f ca="1">IFERROR(IF(0=LEN(ReferenceData!$AV$160),"",ReferenceData!$AV$160),"")</f>
        <v/>
      </c>
      <c r="AW160" t="str">
        <f ca="1">IFERROR(IF(0=LEN(ReferenceData!$AW$160),"",ReferenceData!$AW$160),"")</f>
        <v/>
      </c>
      <c r="AX160" t="str">
        <f ca="1">IFERROR(IF(0=LEN(ReferenceData!$AX$160),"",ReferenceData!$AX$160),"")</f>
        <v/>
      </c>
      <c r="AY160" t="str">
        <f ca="1">IFERROR(IF(0=LEN(ReferenceData!$AY$160),"",ReferenceData!$AY$160),"")</f>
        <v/>
      </c>
      <c r="AZ160" t="str">
        <f ca="1">IFERROR(IF(0=LEN(ReferenceData!$AZ$160),"",ReferenceData!$AZ$160),"")</f>
        <v/>
      </c>
      <c r="BA160" t="str">
        <f ca="1">IFERROR(IF(0=LEN(ReferenceData!$BA$160),"",ReferenceData!$BA$160),"")</f>
        <v/>
      </c>
      <c r="BB160" t="str">
        <f ca="1">IFERROR(IF(0=LEN(ReferenceData!$BB$160),"",ReferenceData!$BB$160),"")</f>
        <v/>
      </c>
      <c r="BC160" t="str">
        <f ca="1">IFERROR(IF(0=LEN(ReferenceData!$BC$160),"",ReferenceData!$BC$160),"")</f>
        <v/>
      </c>
      <c r="BD160" t="str">
        <f ca="1">IFERROR(IF(0=LEN(ReferenceData!$BD$160),"",ReferenceData!$BD$160),"")</f>
        <v/>
      </c>
      <c r="BE160" t="str">
        <f ca="1">IFERROR(IF(0=LEN(ReferenceData!$BE$160),"",ReferenceData!$BE$160),"")</f>
        <v/>
      </c>
      <c r="BF160" t="str">
        <f ca="1">IFERROR(IF(0=LEN(ReferenceData!$BF$160),"",ReferenceData!$BF$160),"")</f>
        <v/>
      </c>
      <c r="BG160" t="str">
        <f ca="1">IFERROR(IF(0=LEN(ReferenceData!$BG$160),"",ReferenceData!$BG$160),"")</f>
        <v/>
      </c>
      <c r="BH160" t="str">
        <f ca="1">IFERROR(IF(0=LEN(ReferenceData!$BH$160),"",ReferenceData!$BH$160),"")</f>
        <v/>
      </c>
      <c r="BI160" t="str">
        <f ca="1">IFERROR(IF(0=LEN(ReferenceData!$BI$160),"",ReferenceData!$BI$160),"")</f>
        <v/>
      </c>
      <c r="BJ160" t="str">
        <f ca="1">IFERROR(IF(0=LEN(ReferenceData!$BJ$160),"",ReferenceData!$BJ$160),"")</f>
        <v/>
      </c>
      <c r="BK160" t="str">
        <f ca="1">IFERROR(IF(0=LEN(ReferenceData!$BK$160),"",ReferenceData!$BK$160),"")</f>
        <v/>
      </c>
      <c r="BL160" t="str">
        <f ca="1">IFERROR(IF(0=LEN(ReferenceData!$BL$160),"",ReferenceData!$BL$160),"")</f>
        <v/>
      </c>
      <c r="BM160" t="str">
        <f ca="1">IFERROR(IF(0=LEN(ReferenceData!$BM$160),"",ReferenceData!$BM$160),"")</f>
        <v/>
      </c>
      <c r="BN160" t="str">
        <f ca="1">IFERROR(IF(0=LEN(ReferenceData!$BN$160),"",ReferenceData!$BN$160),"")</f>
        <v/>
      </c>
      <c r="BO160" t="str">
        <f ca="1">IFERROR(IF(0=LEN(ReferenceData!$BO$160),"",ReferenceData!$BO$160),"")</f>
        <v/>
      </c>
      <c r="BP160" t="str">
        <f ca="1">IFERROR(IF(0=LEN(ReferenceData!$BP$160),"",ReferenceData!$BP$160),"")</f>
        <v/>
      </c>
      <c r="BQ160" t="str">
        <f ca="1">IFERROR(IF(0=LEN(ReferenceData!$BQ$160),"",ReferenceData!$BQ$160),"")</f>
        <v/>
      </c>
      <c r="BR160" t="str">
        <f ca="1">IFERROR(IF(0=LEN(ReferenceData!$BR$160),"",ReferenceData!$BR$160),"")</f>
        <v/>
      </c>
      <c r="BS160" t="str">
        <f ca="1">IFERROR(IF(0=LEN(ReferenceData!$BS$160),"",ReferenceData!$BS$160),"")</f>
        <v/>
      </c>
      <c r="BT160" t="str">
        <f ca="1">IFERROR(IF(0=LEN(ReferenceData!$BT$160),"",ReferenceData!$BT$160),"")</f>
        <v/>
      </c>
      <c r="BU160" t="str">
        <f ca="1">IFERROR(IF(0=LEN(ReferenceData!$BU$160),"",ReferenceData!$BU$160),"")</f>
        <v/>
      </c>
      <c r="BV160" t="str">
        <f ca="1">IFERROR(IF(0=LEN(ReferenceData!$BV$160),"",ReferenceData!$BV$160),"")</f>
        <v/>
      </c>
      <c r="BW160" t="str">
        <f ca="1">IFERROR(IF(0=LEN(ReferenceData!$BW$160),"",ReferenceData!$BW$160),"")</f>
        <v/>
      </c>
      <c r="BX160" t="str">
        <f ca="1">IFERROR(IF(0=LEN(ReferenceData!$BX$160),"",ReferenceData!$BX$160),"")</f>
        <v/>
      </c>
      <c r="BY160" t="str">
        <f ca="1">IFERROR(IF(0=LEN(ReferenceData!$BY$160),"",ReferenceData!$BY$160),"")</f>
        <v/>
      </c>
      <c r="BZ160" t="str">
        <f ca="1">IFERROR(IF(0=LEN(ReferenceData!$BZ$160),"",ReferenceData!$BZ$160),"")</f>
        <v/>
      </c>
      <c r="CA160" t="str">
        <f ca="1">IFERROR(IF(0=LEN(ReferenceData!$CA$160),"",ReferenceData!$CA$160),"")</f>
        <v/>
      </c>
      <c r="CB160" t="str">
        <f ca="1">IFERROR(IF(0=LEN(ReferenceData!$CB$160),"",ReferenceData!$CB$160),"")</f>
        <v/>
      </c>
      <c r="CC160" t="str">
        <f ca="1">IFERROR(IF(0=LEN(ReferenceData!$CC$160),"",ReferenceData!$CC$160),"")</f>
        <v/>
      </c>
      <c r="CD160" t="str">
        <f ca="1">IFERROR(IF(0=LEN(ReferenceData!$CD$160),"",ReferenceData!$CD$160),"")</f>
        <v/>
      </c>
      <c r="CE160" t="str">
        <f ca="1">IFERROR(IF(0=LEN(ReferenceData!$CE$160),"",ReferenceData!$CE$160),"")</f>
        <v/>
      </c>
      <c r="CF160" t="str">
        <f ca="1">IFERROR(IF(0=LEN(ReferenceData!$CF$160),"",ReferenceData!$CF$160),"")</f>
        <v/>
      </c>
      <c r="CG160" t="str">
        <f ca="1">IFERROR(IF(0=LEN(ReferenceData!$CG$160),"",ReferenceData!$CG$160),"")</f>
        <v/>
      </c>
      <c r="CH160" t="str">
        <f ca="1">IFERROR(IF(0=LEN(ReferenceData!$CH$160),"",ReferenceData!$CH$160),"")</f>
        <v/>
      </c>
      <c r="CI160" t="str">
        <f ca="1">IFERROR(IF(0=LEN(ReferenceData!$CI$160),"",ReferenceData!$CI$160),"")</f>
        <v/>
      </c>
      <c r="CJ160" t="str">
        <f ca="1">IFERROR(IF(0=LEN(ReferenceData!$CJ$160),"",ReferenceData!$CJ$160),"")</f>
        <v/>
      </c>
      <c r="CK160" t="str">
        <f ca="1">IFERROR(IF(0=LEN(ReferenceData!$CK$160),"",ReferenceData!$CK$160),"")</f>
        <v/>
      </c>
    </row>
    <row r="161" spans="1:89">
      <c r="A161" t="str">
        <f>IFERROR(IF(0=LEN(ReferenceData!$A$161),"",ReferenceData!$A$161),"")</f>
        <v>2018年预测每股FAD</v>
      </c>
      <c r="B161" t="str">
        <f>IFERROR(IF(0=LEN(ReferenceData!$B$161),"",ReferenceData!$B$161),"")</f>
        <v/>
      </c>
      <c r="C161" t="str">
        <f>IFERROR(IF(0=LEN(ReferenceData!$C$161),"",ReferenceData!$C$161),"")</f>
        <v/>
      </c>
      <c r="D161" t="str">
        <f>IFERROR(IF(0=LEN(ReferenceData!$D$161),"",ReferenceData!$D$161),"")</f>
        <v/>
      </c>
      <c r="E161" t="str">
        <f>IFERROR(IF(0=LEN(ReferenceData!$E$161),"",ReferenceData!$E$161),"")</f>
        <v>Sum</v>
      </c>
      <c r="F161">
        <f ca="1">IFERROR(IF(0=LEN(ReferenceData!$F$161),"",ReferenceData!$F$161),"")</f>
        <v>36.021000000000001</v>
      </c>
      <c r="G161">
        <f ca="1">IFERROR(IF(0=LEN(ReferenceData!$G$161),"",ReferenceData!$G$161),"")</f>
        <v>36.115000000000002</v>
      </c>
      <c r="H161">
        <f ca="1">IFERROR(IF(0=LEN(ReferenceData!$H$161),"",ReferenceData!$H$161),"")</f>
        <v>36.426000000000002</v>
      </c>
      <c r="I161">
        <f ca="1">IFERROR(IF(0=LEN(ReferenceData!$I$161),"",ReferenceData!$I$161),"")</f>
        <v>36.409999999999997</v>
      </c>
      <c r="J161">
        <f ca="1">IFERROR(IF(0=LEN(ReferenceData!$J$161),"",ReferenceData!$J$161),"")</f>
        <v>36.545999999999999</v>
      </c>
      <c r="K161">
        <f ca="1">IFERROR(IF(0=LEN(ReferenceData!$K$161),"",ReferenceData!$K$161),"")</f>
        <v>36.640999999999998</v>
      </c>
      <c r="L161">
        <f ca="1">IFERROR(IF(0=LEN(ReferenceData!$L$161),"",ReferenceData!$L$161),"")</f>
        <v>37.204999999999998</v>
      </c>
      <c r="M161">
        <f ca="1">IFERROR(IF(0=LEN(ReferenceData!$M$161),"",ReferenceData!$M$161),"")</f>
        <v>37.155000000000001</v>
      </c>
      <c r="N161">
        <f ca="1">IFERROR(IF(0=LEN(ReferenceData!$N$161),"",ReferenceData!$N$161),"")</f>
        <v>37.154000000000003</v>
      </c>
      <c r="O161">
        <f ca="1">IFERROR(IF(0=LEN(ReferenceData!$O$161),"",ReferenceData!$O$161),"")</f>
        <v>37.041000000000004</v>
      </c>
      <c r="P161">
        <f ca="1">IFERROR(IF(0=LEN(ReferenceData!$P$161),"",ReferenceData!$P$161),"")</f>
        <v>36.972999999999999</v>
      </c>
      <c r="Q161">
        <f ca="1">IFERROR(IF(0=LEN(ReferenceData!$Q$161),"",ReferenceData!$Q$161),"")</f>
        <v>37.014999999999993</v>
      </c>
      <c r="R161">
        <f ca="1">IFERROR(IF(0=LEN(ReferenceData!$R$161),"",ReferenceData!$R$161),"")</f>
        <v>36.928000000000004</v>
      </c>
      <c r="S161">
        <f ca="1">IFERROR(IF(0=LEN(ReferenceData!$S$161),"",ReferenceData!$S$161),"")</f>
        <v>36.934999999999995</v>
      </c>
      <c r="T161">
        <f ca="1">IFERROR(IF(0=LEN(ReferenceData!$T$161),"",ReferenceData!$T$161),"")</f>
        <v>37.201000000000001</v>
      </c>
      <c r="U161">
        <f ca="1">IFERROR(IF(0=LEN(ReferenceData!$U$161),"",ReferenceData!$U$161),"")</f>
        <v>37.01</v>
      </c>
      <c r="V161">
        <f ca="1">IFERROR(IF(0=LEN(ReferenceData!$V$161),"",ReferenceData!$V$161),"")</f>
        <v>37.075999999999993</v>
      </c>
      <c r="W161">
        <f ca="1">IFERROR(IF(0=LEN(ReferenceData!$W$161),"",ReferenceData!$W$161),"")</f>
        <v>37.106999999999999</v>
      </c>
      <c r="X161">
        <f ca="1">IFERROR(IF(0=LEN(ReferenceData!$X$161),"",ReferenceData!$X$161),"")</f>
        <v>34.842999999999996</v>
      </c>
      <c r="Y161">
        <f ca="1">IFERROR(IF(0=LEN(ReferenceData!$Y$161),"",ReferenceData!$Y$161),"")</f>
        <v>37.353999999999999</v>
      </c>
      <c r="Z161">
        <f ca="1">IFERROR(IF(0=LEN(ReferenceData!$Z$161),"",ReferenceData!$Z$161),"")</f>
        <v>37.431000000000004</v>
      </c>
      <c r="AA161">
        <f ca="1">IFERROR(IF(0=LEN(ReferenceData!$AA$161),"",ReferenceData!$AA$161),"")</f>
        <v>31.497</v>
      </c>
      <c r="AB161">
        <f ca="1">IFERROR(IF(0=LEN(ReferenceData!$AB$161),"",ReferenceData!$AB$161),"")</f>
        <v>27.15</v>
      </c>
      <c r="AC161">
        <f ca="1">IFERROR(IF(0=LEN(ReferenceData!$AC$161),"",ReferenceData!$AC$161),"")</f>
        <v>29.995000000000001</v>
      </c>
      <c r="AD161" t="str">
        <f ca="1">IFERROR(IF(0=LEN(ReferenceData!$AD$161),"",ReferenceData!$AD$161),"")</f>
        <v/>
      </c>
      <c r="AE161">
        <f ca="1">IFERROR(IF(0=LEN(ReferenceData!$AE$161),"",ReferenceData!$AE$161),"")</f>
        <v>22.88</v>
      </c>
      <c r="AF161">
        <f ca="1">IFERROR(IF(0=LEN(ReferenceData!$AF$161),"",ReferenceData!$AF$161),"")</f>
        <v>4.5</v>
      </c>
      <c r="AG161" t="str">
        <f ca="1">IFERROR(IF(0=LEN(ReferenceData!$AG$161),"",ReferenceData!$AG$161),"")</f>
        <v/>
      </c>
      <c r="AH161" t="str">
        <f ca="1">IFERROR(IF(0=LEN(ReferenceData!$AH$161),"",ReferenceData!$AH$161),"")</f>
        <v/>
      </c>
      <c r="AI161" t="str">
        <f ca="1">IFERROR(IF(0=LEN(ReferenceData!$AI$161),"",ReferenceData!$AI$161),"")</f>
        <v/>
      </c>
      <c r="AJ161" t="str">
        <f ca="1">IFERROR(IF(0=LEN(ReferenceData!$AJ$161),"",ReferenceData!$AJ$161),"")</f>
        <v/>
      </c>
      <c r="AK161" t="str">
        <f ca="1">IFERROR(IF(0=LEN(ReferenceData!$AK$161),"",ReferenceData!$AK$161),"")</f>
        <v/>
      </c>
      <c r="AL161" t="str">
        <f ca="1">IFERROR(IF(0=LEN(ReferenceData!$AL$161),"",ReferenceData!$AL$161),"")</f>
        <v/>
      </c>
      <c r="AM161" t="str">
        <f ca="1">IFERROR(IF(0=LEN(ReferenceData!$AM$161),"",ReferenceData!$AM$161),"")</f>
        <v/>
      </c>
      <c r="AN161" t="str">
        <f ca="1">IFERROR(IF(0=LEN(ReferenceData!$AN$161),"",ReferenceData!$AN$161),"")</f>
        <v/>
      </c>
      <c r="AO161" t="str">
        <f ca="1">IFERROR(IF(0=LEN(ReferenceData!$AO$161),"",ReferenceData!$AO$161),"")</f>
        <v/>
      </c>
      <c r="AP161" t="str">
        <f ca="1">IFERROR(IF(0=LEN(ReferenceData!$AP$161),"",ReferenceData!$AP$161),"")</f>
        <v/>
      </c>
      <c r="AQ161" t="str">
        <f ca="1">IFERROR(IF(0=LEN(ReferenceData!$AQ$161),"",ReferenceData!$AQ$161),"")</f>
        <v/>
      </c>
      <c r="AR161" t="str">
        <f ca="1">IFERROR(IF(0=LEN(ReferenceData!$AR$161),"",ReferenceData!$AR$161),"")</f>
        <v/>
      </c>
      <c r="AS161" t="str">
        <f ca="1">IFERROR(IF(0=LEN(ReferenceData!$AS$161),"",ReferenceData!$AS$161),"")</f>
        <v/>
      </c>
      <c r="AT161" t="str">
        <f ca="1">IFERROR(IF(0=LEN(ReferenceData!$AT$161),"",ReferenceData!$AT$161),"")</f>
        <v/>
      </c>
      <c r="AU161" t="str">
        <f ca="1">IFERROR(IF(0=LEN(ReferenceData!$AU$161),"",ReferenceData!$AU$161),"")</f>
        <v/>
      </c>
      <c r="AV161" t="str">
        <f ca="1">IFERROR(IF(0=LEN(ReferenceData!$AV$161),"",ReferenceData!$AV$161),"")</f>
        <v/>
      </c>
      <c r="AW161" t="str">
        <f ca="1">IFERROR(IF(0=LEN(ReferenceData!$AW$161),"",ReferenceData!$AW$161),"")</f>
        <v/>
      </c>
      <c r="AX161" t="str">
        <f ca="1">IFERROR(IF(0=LEN(ReferenceData!$AX$161),"",ReferenceData!$AX$161),"")</f>
        <v/>
      </c>
      <c r="AY161" t="str">
        <f ca="1">IFERROR(IF(0=LEN(ReferenceData!$AY$161),"",ReferenceData!$AY$161),"")</f>
        <v/>
      </c>
      <c r="AZ161" t="str">
        <f ca="1">IFERROR(IF(0=LEN(ReferenceData!$AZ$161),"",ReferenceData!$AZ$161),"")</f>
        <v/>
      </c>
      <c r="BA161" t="str">
        <f ca="1">IFERROR(IF(0=LEN(ReferenceData!$BA$161),"",ReferenceData!$BA$161),"")</f>
        <v/>
      </c>
      <c r="BB161" t="str">
        <f ca="1">IFERROR(IF(0=LEN(ReferenceData!$BB$161),"",ReferenceData!$BB$161),"")</f>
        <v/>
      </c>
      <c r="BC161" t="str">
        <f ca="1">IFERROR(IF(0=LEN(ReferenceData!$BC$161),"",ReferenceData!$BC$161),"")</f>
        <v/>
      </c>
      <c r="BD161" t="str">
        <f ca="1">IFERROR(IF(0=LEN(ReferenceData!$BD$161),"",ReferenceData!$BD$161),"")</f>
        <v/>
      </c>
      <c r="BE161" t="str">
        <f ca="1">IFERROR(IF(0=LEN(ReferenceData!$BE$161),"",ReferenceData!$BE$161),"")</f>
        <v/>
      </c>
      <c r="BF161" t="str">
        <f ca="1">IFERROR(IF(0=LEN(ReferenceData!$BF$161),"",ReferenceData!$BF$161),"")</f>
        <v/>
      </c>
      <c r="BG161" t="str">
        <f ca="1">IFERROR(IF(0=LEN(ReferenceData!$BG$161),"",ReferenceData!$BG$161),"")</f>
        <v/>
      </c>
      <c r="BH161" t="str">
        <f ca="1">IFERROR(IF(0=LEN(ReferenceData!$BH$161),"",ReferenceData!$BH$161),"")</f>
        <v/>
      </c>
      <c r="BI161" t="str">
        <f ca="1">IFERROR(IF(0=LEN(ReferenceData!$BI$161),"",ReferenceData!$BI$161),"")</f>
        <v/>
      </c>
      <c r="BJ161" t="str">
        <f ca="1">IFERROR(IF(0=LEN(ReferenceData!$BJ$161),"",ReferenceData!$BJ$161),"")</f>
        <v/>
      </c>
      <c r="BK161" t="str">
        <f ca="1">IFERROR(IF(0=LEN(ReferenceData!$BK$161),"",ReferenceData!$BK$161),"")</f>
        <v/>
      </c>
      <c r="BL161" t="str">
        <f ca="1">IFERROR(IF(0=LEN(ReferenceData!$BL$161),"",ReferenceData!$BL$161),"")</f>
        <v/>
      </c>
      <c r="BM161" t="str">
        <f ca="1">IFERROR(IF(0=LEN(ReferenceData!$BM$161),"",ReferenceData!$BM$161),"")</f>
        <v/>
      </c>
      <c r="BN161" t="str">
        <f ca="1">IFERROR(IF(0=LEN(ReferenceData!$BN$161),"",ReferenceData!$BN$161),"")</f>
        <v/>
      </c>
      <c r="BO161" t="str">
        <f ca="1">IFERROR(IF(0=LEN(ReferenceData!$BO$161),"",ReferenceData!$BO$161),"")</f>
        <v/>
      </c>
      <c r="BP161" t="str">
        <f ca="1">IFERROR(IF(0=LEN(ReferenceData!$BP$161),"",ReferenceData!$BP$161),"")</f>
        <v/>
      </c>
      <c r="BQ161" t="str">
        <f ca="1">IFERROR(IF(0=LEN(ReferenceData!$BQ$161),"",ReferenceData!$BQ$161),"")</f>
        <v/>
      </c>
      <c r="BR161" t="str">
        <f ca="1">IFERROR(IF(0=LEN(ReferenceData!$BR$161),"",ReferenceData!$BR$161),"")</f>
        <v/>
      </c>
      <c r="BS161" t="str">
        <f ca="1">IFERROR(IF(0=LEN(ReferenceData!$BS$161),"",ReferenceData!$BS$161),"")</f>
        <v/>
      </c>
      <c r="BT161" t="str">
        <f ca="1">IFERROR(IF(0=LEN(ReferenceData!$BT$161),"",ReferenceData!$BT$161),"")</f>
        <v/>
      </c>
      <c r="BU161" t="str">
        <f ca="1">IFERROR(IF(0=LEN(ReferenceData!$BU$161),"",ReferenceData!$BU$161),"")</f>
        <v/>
      </c>
      <c r="BV161" t="str">
        <f ca="1">IFERROR(IF(0=LEN(ReferenceData!$BV$161),"",ReferenceData!$BV$161),"")</f>
        <v/>
      </c>
      <c r="BW161" t="str">
        <f ca="1">IFERROR(IF(0=LEN(ReferenceData!$BW$161),"",ReferenceData!$BW$161),"")</f>
        <v/>
      </c>
      <c r="BX161" t="str">
        <f ca="1">IFERROR(IF(0=LEN(ReferenceData!$BX$161),"",ReferenceData!$BX$161),"")</f>
        <v/>
      </c>
      <c r="BY161" t="str">
        <f ca="1">IFERROR(IF(0=LEN(ReferenceData!$BY$161),"",ReferenceData!$BY$161),"")</f>
        <v/>
      </c>
      <c r="BZ161" t="str">
        <f ca="1">IFERROR(IF(0=LEN(ReferenceData!$BZ$161),"",ReferenceData!$BZ$161),"")</f>
        <v/>
      </c>
      <c r="CA161" t="str">
        <f ca="1">IFERROR(IF(0=LEN(ReferenceData!$CA$161),"",ReferenceData!$CA$161),"")</f>
        <v/>
      </c>
      <c r="CB161" t="str">
        <f ca="1">IFERROR(IF(0=LEN(ReferenceData!$CB$161),"",ReferenceData!$CB$161),"")</f>
        <v/>
      </c>
      <c r="CC161" t="str">
        <f ca="1">IFERROR(IF(0=LEN(ReferenceData!$CC$161),"",ReferenceData!$CC$161),"")</f>
        <v/>
      </c>
      <c r="CD161" t="str">
        <f ca="1">IFERROR(IF(0=LEN(ReferenceData!$CD$161),"",ReferenceData!$CD$161),"")</f>
        <v/>
      </c>
      <c r="CE161" t="str">
        <f ca="1">IFERROR(IF(0=LEN(ReferenceData!$CE$161),"",ReferenceData!$CE$161),"")</f>
        <v/>
      </c>
      <c r="CF161" t="str">
        <f ca="1">IFERROR(IF(0=LEN(ReferenceData!$CF$161),"",ReferenceData!$CF$161),"")</f>
        <v/>
      </c>
      <c r="CG161" t="str">
        <f ca="1">IFERROR(IF(0=LEN(ReferenceData!$CG$161),"",ReferenceData!$CG$161),"")</f>
        <v/>
      </c>
      <c r="CH161" t="str">
        <f ca="1">IFERROR(IF(0=LEN(ReferenceData!$CH$161),"",ReferenceData!$CH$161),"")</f>
        <v/>
      </c>
      <c r="CI161" t="str">
        <f ca="1">IFERROR(IF(0=LEN(ReferenceData!$CI$161),"",ReferenceData!$CI$161),"")</f>
        <v/>
      </c>
      <c r="CJ161" t="str">
        <f ca="1">IFERROR(IF(0=LEN(ReferenceData!$CJ$161),"",ReferenceData!$CJ$161),"")</f>
        <v/>
      </c>
      <c r="CK161" t="str">
        <f ca="1">IFERROR(IF(0=LEN(ReferenceData!$CK$161),"",ReferenceData!$CK$161),"")</f>
        <v/>
      </c>
    </row>
    <row r="162" spans="1:89">
      <c r="A162" t="str">
        <f>IFERROR(IF(0=LEN(ReferenceData!$A$162),"",ReferenceData!$A$162),"")</f>
        <v xml:space="preserve">    Apartment Investment &amp; Managem</v>
      </c>
      <c r="B162" t="str">
        <f>IFERROR(IF(0=LEN(ReferenceData!$B$162),"",ReferenceData!$B$162),"")</f>
        <v>AIV US Equity</v>
      </c>
      <c r="C162" t="str">
        <f>IFERROR(IF(0=LEN(ReferenceData!$C$162),"",ReferenceData!$C$162),"")</f>
        <v>BE895</v>
      </c>
      <c r="D162" t="str">
        <f>IFERROR(IF(0=LEN(ReferenceData!$D$162),"",ReferenceData!$D$162),"")</f>
        <v>BEST_AFFOPS</v>
      </c>
      <c r="E162" t="str">
        <f>IFERROR(IF(0=LEN(ReferenceData!$E$162),"",ReferenceData!$E$162),"")</f>
        <v>动态</v>
      </c>
      <c r="F162">
        <f ca="1">IFERROR(IF(0=LEN(ReferenceData!$F$162),"",ReferenceData!$F$162),"")</f>
        <v>2.11</v>
      </c>
      <c r="G162">
        <f ca="1">IFERROR(IF(0=LEN(ReferenceData!$G$162),"",ReferenceData!$G$162),"")</f>
        <v>2.121</v>
      </c>
      <c r="H162">
        <f ca="1">IFERROR(IF(0=LEN(ReferenceData!$H$162),"",ReferenceData!$H$162),"")</f>
        <v>2.2280000000000002</v>
      </c>
      <c r="I162">
        <f ca="1">IFERROR(IF(0=LEN(ReferenceData!$I$162),"",ReferenceData!$I$162),"")</f>
        <v>2.238</v>
      </c>
      <c r="J162">
        <f ca="1">IFERROR(IF(0=LEN(ReferenceData!$J$162),"",ReferenceData!$J$162),"")</f>
        <v>2.2429999999999999</v>
      </c>
      <c r="K162">
        <f ca="1">IFERROR(IF(0=LEN(ReferenceData!$K$162),"",ReferenceData!$K$162),"")</f>
        <v>2.246</v>
      </c>
      <c r="L162">
        <f ca="1">IFERROR(IF(0=LEN(ReferenceData!$L$162),"",ReferenceData!$L$162),"")</f>
        <v>2.2480000000000002</v>
      </c>
      <c r="M162">
        <f ca="1">IFERROR(IF(0=LEN(ReferenceData!$M$162),"",ReferenceData!$M$162),"")</f>
        <v>2.25</v>
      </c>
      <c r="N162">
        <f ca="1">IFERROR(IF(0=LEN(ReferenceData!$N$162),"",ReferenceData!$N$162),"")</f>
        <v>2.2949999999999999</v>
      </c>
      <c r="O162">
        <f ca="1">IFERROR(IF(0=LEN(ReferenceData!$O$162),"",ReferenceData!$O$162),"")</f>
        <v>2.246</v>
      </c>
      <c r="P162">
        <f ca="1">IFERROR(IF(0=LEN(ReferenceData!$P$162),"",ReferenceData!$P$162),"")</f>
        <v>2.246</v>
      </c>
      <c r="Q162">
        <f ca="1">IFERROR(IF(0=LEN(ReferenceData!$Q$162),"",ReferenceData!$Q$162),"")</f>
        <v>2.2530000000000001</v>
      </c>
      <c r="R162">
        <f ca="1">IFERROR(IF(0=LEN(ReferenceData!$R$162),"",ReferenceData!$R$162),"")</f>
        <v>2.2629999999999999</v>
      </c>
      <c r="S162">
        <f ca="1">IFERROR(IF(0=LEN(ReferenceData!$S$162),"",ReferenceData!$S$162),"")</f>
        <v>2.2629999999999999</v>
      </c>
      <c r="T162">
        <f ca="1">IFERROR(IF(0=LEN(ReferenceData!$T$162),"",ReferenceData!$T$162),"")</f>
        <v>2.2320000000000002</v>
      </c>
      <c r="U162">
        <f ca="1">IFERROR(IF(0=LEN(ReferenceData!$U$162),"",ReferenceData!$U$162),"")</f>
        <v>2.2200000000000002</v>
      </c>
      <c r="V162">
        <f ca="1">IFERROR(IF(0=LEN(ReferenceData!$V$162),"",ReferenceData!$V$162),"")</f>
        <v>2.2650000000000001</v>
      </c>
      <c r="W162">
        <f ca="1">IFERROR(IF(0=LEN(ReferenceData!$W$162),"",ReferenceData!$W$162),"")</f>
        <v>2.2599999999999998</v>
      </c>
      <c r="X162" t="str">
        <f ca="1">IFERROR(IF(0=LEN(ReferenceData!$X$162),"",ReferenceData!$X$162),"")</f>
        <v/>
      </c>
      <c r="Y162">
        <f ca="1">IFERROR(IF(0=LEN(ReferenceData!$Y$162),"",ReferenceData!$Y$162),"")</f>
        <v>2.343</v>
      </c>
      <c r="Z162">
        <f ca="1">IFERROR(IF(0=LEN(ReferenceData!$Z$162),"",ReferenceData!$Z$162),"")</f>
        <v>2.35</v>
      </c>
      <c r="AA162">
        <f ca="1">IFERROR(IF(0=LEN(ReferenceData!$AA$162),"",ReferenceData!$AA$162),"")</f>
        <v>2.35</v>
      </c>
      <c r="AB162">
        <f ca="1">IFERROR(IF(0=LEN(ReferenceData!$AB$162),"",ReferenceData!$AB$162),"")</f>
        <v>2.35</v>
      </c>
      <c r="AC162" t="str">
        <f ca="1">IFERROR(IF(0=LEN(ReferenceData!$AC$162),"",ReferenceData!$AC$162),"")</f>
        <v/>
      </c>
      <c r="AD162" t="str">
        <f ca="1">IFERROR(IF(0=LEN(ReferenceData!$AD$162),"",ReferenceData!$AD$162),"")</f>
        <v/>
      </c>
      <c r="AE162" t="str">
        <f ca="1">IFERROR(IF(0=LEN(ReferenceData!$AE$162),"",ReferenceData!$AE$162),"")</f>
        <v/>
      </c>
      <c r="AF162" t="str">
        <f ca="1">IFERROR(IF(0=LEN(ReferenceData!$AF$162),"",ReferenceData!$AF$162),"")</f>
        <v/>
      </c>
      <c r="AG162" t="str">
        <f ca="1">IFERROR(IF(0=LEN(ReferenceData!$AG$162),"",ReferenceData!$AG$162),"")</f>
        <v/>
      </c>
      <c r="AH162" t="str">
        <f ca="1">IFERROR(IF(0=LEN(ReferenceData!$AH$162),"",ReferenceData!$AH$162),"")</f>
        <v/>
      </c>
      <c r="AI162" t="str">
        <f ca="1">IFERROR(IF(0=LEN(ReferenceData!$AI$162),"",ReferenceData!$AI$162),"")</f>
        <v/>
      </c>
      <c r="AJ162" t="str">
        <f ca="1">IFERROR(IF(0=LEN(ReferenceData!$AJ$162),"",ReferenceData!$AJ$162),"")</f>
        <v/>
      </c>
      <c r="AK162" t="str">
        <f ca="1">IFERROR(IF(0=LEN(ReferenceData!$AK$162),"",ReferenceData!$AK$162),"")</f>
        <v/>
      </c>
      <c r="AL162" t="str">
        <f ca="1">IFERROR(IF(0=LEN(ReferenceData!$AL$162),"",ReferenceData!$AL$162),"")</f>
        <v/>
      </c>
      <c r="AM162" t="str">
        <f ca="1">IFERROR(IF(0=LEN(ReferenceData!$AM$162),"",ReferenceData!$AM$162),"")</f>
        <v/>
      </c>
      <c r="AN162" t="str">
        <f ca="1">IFERROR(IF(0=LEN(ReferenceData!$AN$162),"",ReferenceData!$AN$162),"")</f>
        <v/>
      </c>
      <c r="AO162" t="str">
        <f ca="1">IFERROR(IF(0=LEN(ReferenceData!$AO$162),"",ReferenceData!$AO$162),"")</f>
        <v/>
      </c>
      <c r="AP162" t="str">
        <f ca="1">IFERROR(IF(0=LEN(ReferenceData!$AP$162),"",ReferenceData!$AP$162),"")</f>
        <v/>
      </c>
      <c r="AQ162" t="str">
        <f ca="1">IFERROR(IF(0=LEN(ReferenceData!$AQ$162),"",ReferenceData!$AQ$162),"")</f>
        <v/>
      </c>
      <c r="AR162" t="str">
        <f ca="1">IFERROR(IF(0=LEN(ReferenceData!$AR$162),"",ReferenceData!$AR$162),"")</f>
        <v/>
      </c>
      <c r="AS162" t="str">
        <f ca="1">IFERROR(IF(0=LEN(ReferenceData!$AS$162),"",ReferenceData!$AS$162),"")</f>
        <v/>
      </c>
      <c r="AT162" t="str">
        <f ca="1">IFERROR(IF(0=LEN(ReferenceData!$AT$162),"",ReferenceData!$AT$162),"")</f>
        <v/>
      </c>
      <c r="AU162" t="str">
        <f ca="1">IFERROR(IF(0=LEN(ReferenceData!$AU$162),"",ReferenceData!$AU$162),"")</f>
        <v/>
      </c>
      <c r="AV162" t="str">
        <f ca="1">IFERROR(IF(0=LEN(ReferenceData!$AV$162),"",ReferenceData!$AV$162),"")</f>
        <v/>
      </c>
      <c r="AW162" t="str">
        <f ca="1">IFERROR(IF(0=LEN(ReferenceData!$AW$162),"",ReferenceData!$AW$162),"")</f>
        <v/>
      </c>
      <c r="AX162" t="str">
        <f ca="1">IFERROR(IF(0=LEN(ReferenceData!$AX$162),"",ReferenceData!$AX$162),"")</f>
        <v/>
      </c>
      <c r="AY162" t="str">
        <f ca="1">IFERROR(IF(0=LEN(ReferenceData!$AY$162),"",ReferenceData!$AY$162),"")</f>
        <v/>
      </c>
      <c r="AZ162" t="str">
        <f ca="1">IFERROR(IF(0=LEN(ReferenceData!$AZ$162),"",ReferenceData!$AZ$162),"")</f>
        <v/>
      </c>
      <c r="BA162" t="str">
        <f ca="1">IFERROR(IF(0=LEN(ReferenceData!$BA$162),"",ReferenceData!$BA$162),"")</f>
        <v/>
      </c>
      <c r="BB162" t="str">
        <f ca="1">IFERROR(IF(0=LEN(ReferenceData!$BB$162),"",ReferenceData!$BB$162),"")</f>
        <v/>
      </c>
      <c r="BC162" t="str">
        <f ca="1">IFERROR(IF(0=LEN(ReferenceData!$BC$162),"",ReferenceData!$BC$162),"")</f>
        <v/>
      </c>
      <c r="BD162" t="str">
        <f ca="1">IFERROR(IF(0=LEN(ReferenceData!$BD$162),"",ReferenceData!$BD$162),"")</f>
        <v/>
      </c>
      <c r="BE162" t="str">
        <f ca="1">IFERROR(IF(0=LEN(ReferenceData!$BE$162),"",ReferenceData!$BE$162),"")</f>
        <v/>
      </c>
      <c r="BF162" t="str">
        <f ca="1">IFERROR(IF(0=LEN(ReferenceData!$BF$162),"",ReferenceData!$BF$162),"")</f>
        <v/>
      </c>
      <c r="BG162" t="str">
        <f ca="1">IFERROR(IF(0=LEN(ReferenceData!$BG$162),"",ReferenceData!$BG$162),"")</f>
        <v/>
      </c>
      <c r="BH162" t="str">
        <f ca="1">IFERROR(IF(0=LEN(ReferenceData!$BH$162),"",ReferenceData!$BH$162),"")</f>
        <v/>
      </c>
      <c r="BI162" t="str">
        <f ca="1">IFERROR(IF(0=LEN(ReferenceData!$BI$162),"",ReferenceData!$BI$162),"")</f>
        <v/>
      </c>
      <c r="BJ162" t="str">
        <f ca="1">IFERROR(IF(0=LEN(ReferenceData!$BJ$162),"",ReferenceData!$BJ$162),"")</f>
        <v/>
      </c>
      <c r="BK162" t="str">
        <f ca="1">IFERROR(IF(0=LEN(ReferenceData!$BK$162),"",ReferenceData!$BK$162),"")</f>
        <v/>
      </c>
      <c r="BL162" t="str">
        <f ca="1">IFERROR(IF(0=LEN(ReferenceData!$BL$162),"",ReferenceData!$BL$162),"")</f>
        <v/>
      </c>
      <c r="BM162" t="str">
        <f ca="1">IFERROR(IF(0=LEN(ReferenceData!$BM$162),"",ReferenceData!$BM$162),"")</f>
        <v/>
      </c>
      <c r="BN162" t="str">
        <f ca="1">IFERROR(IF(0=LEN(ReferenceData!$BN$162),"",ReferenceData!$BN$162),"")</f>
        <v/>
      </c>
      <c r="BO162" t="str">
        <f ca="1">IFERROR(IF(0=LEN(ReferenceData!$BO$162),"",ReferenceData!$BO$162),"")</f>
        <v/>
      </c>
      <c r="BP162" t="str">
        <f ca="1">IFERROR(IF(0=LEN(ReferenceData!$BP$162),"",ReferenceData!$BP$162),"")</f>
        <v/>
      </c>
      <c r="BQ162" t="str">
        <f ca="1">IFERROR(IF(0=LEN(ReferenceData!$BQ$162),"",ReferenceData!$BQ$162),"")</f>
        <v/>
      </c>
      <c r="BR162" t="str">
        <f ca="1">IFERROR(IF(0=LEN(ReferenceData!$BR$162),"",ReferenceData!$BR$162),"")</f>
        <v/>
      </c>
      <c r="BS162" t="str">
        <f ca="1">IFERROR(IF(0=LEN(ReferenceData!$BS$162),"",ReferenceData!$BS$162),"")</f>
        <v/>
      </c>
      <c r="BT162" t="str">
        <f ca="1">IFERROR(IF(0=LEN(ReferenceData!$BT$162),"",ReferenceData!$BT$162),"")</f>
        <v/>
      </c>
      <c r="BU162" t="str">
        <f ca="1">IFERROR(IF(0=LEN(ReferenceData!$BU$162),"",ReferenceData!$BU$162),"")</f>
        <v/>
      </c>
      <c r="BV162" t="str">
        <f ca="1">IFERROR(IF(0=LEN(ReferenceData!$BV$162),"",ReferenceData!$BV$162),"")</f>
        <v/>
      </c>
      <c r="BW162" t="str">
        <f ca="1">IFERROR(IF(0=LEN(ReferenceData!$BW$162),"",ReferenceData!$BW$162),"")</f>
        <v/>
      </c>
      <c r="BX162" t="str">
        <f ca="1">IFERROR(IF(0=LEN(ReferenceData!$BX$162),"",ReferenceData!$BX$162),"")</f>
        <v/>
      </c>
      <c r="BY162" t="str">
        <f ca="1">IFERROR(IF(0=LEN(ReferenceData!$BY$162),"",ReferenceData!$BY$162),"")</f>
        <v/>
      </c>
      <c r="BZ162" t="str">
        <f ca="1">IFERROR(IF(0=LEN(ReferenceData!$BZ$162),"",ReferenceData!$BZ$162),"")</f>
        <v/>
      </c>
      <c r="CA162" t="str">
        <f ca="1">IFERROR(IF(0=LEN(ReferenceData!$CA$162),"",ReferenceData!$CA$162),"")</f>
        <v/>
      </c>
      <c r="CB162" t="str">
        <f ca="1">IFERROR(IF(0=LEN(ReferenceData!$CB$162),"",ReferenceData!$CB$162),"")</f>
        <v/>
      </c>
      <c r="CC162" t="str">
        <f ca="1">IFERROR(IF(0=LEN(ReferenceData!$CC$162),"",ReferenceData!$CC$162),"")</f>
        <v/>
      </c>
      <c r="CD162" t="str">
        <f ca="1">IFERROR(IF(0=LEN(ReferenceData!$CD$162),"",ReferenceData!$CD$162),"")</f>
        <v/>
      </c>
      <c r="CE162" t="str">
        <f ca="1">IFERROR(IF(0=LEN(ReferenceData!$CE$162),"",ReferenceData!$CE$162),"")</f>
        <v/>
      </c>
      <c r="CF162" t="str">
        <f ca="1">IFERROR(IF(0=LEN(ReferenceData!$CF$162),"",ReferenceData!$CF$162),"")</f>
        <v/>
      </c>
      <c r="CG162" t="str">
        <f ca="1">IFERROR(IF(0=LEN(ReferenceData!$CG$162),"",ReferenceData!$CG$162),"")</f>
        <v/>
      </c>
      <c r="CH162" t="str">
        <f ca="1">IFERROR(IF(0=LEN(ReferenceData!$CH$162),"",ReferenceData!$CH$162),"")</f>
        <v/>
      </c>
      <c r="CI162" t="str">
        <f ca="1">IFERROR(IF(0=LEN(ReferenceData!$CI$162),"",ReferenceData!$CI$162),"")</f>
        <v/>
      </c>
      <c r="CJ162" t="str">
        <f ca="1">IFERROR(IF(0=LEN(ReferenceData!$CJ$162),"",ReferenceData!$CJ$162),"")</f>
        <v/>
      </c>
      <c r="CK162" t="str">
        <f ca="1">IFERROR(IF(0=LEN(ReferenceData!$CK$162),"",ReferenceData!$CK$162),"")</f>
        <v/>
      </c>
    </row>
    <row r="163" spans="1:89">
      <c r="A163" t="str">
        <f>IFERROR(IF(0=LEN(ReferenceData!$A$163),"",ReferenceData!$A$163),"")</f>
        <v xml:space="preserve">    AvalonBay Communities Inc</v>
      </c>
      <c r="B163" t="str">
        <f>IFERROR(IF(0=LEN(ReferenceData!$B$163),"",ReferenceData!$B$163),"")</f>
        <v>AVB US Equity</v>
      </c>
      <c r="C163" t="str">
        <f>IFERROR(IF(0=LEN(ReferenceData!$C$163),"",ReferenceData!$C$163),"")</f>
        <v>BE895</v>
      </c>
      <c r="D163" t="str">
        <f>IFERROR(IF(0=LEN(ReferenceData!$D$163),"",ReferenceData!$D$163),"")</f>
        <v>BEST_AFFOPS</v>
      </c>
      <c r="E163" t="str">
        <f>IFERROR(IF(0=LEN(ReferenceData!$E$163),"",ReferenceData!$E$163),"")</f>
        <v>动态</v>
      </c>
      <c r="F163">
        <f ca="1">IFERROR(IF(0=LEN(ReferenceData!$F$163),"",ReferenceData!$F$163),"")</f>
        <v>8.4450000000000003</v>
      </c>
      <c r="G163">
        <f ca="1">IFERROR(IF(0=LEN(ReferenceData!$G$163),"",ReferenceData!$G$163),"")</f>
        <v>8.4730000000000008</v>
      </c>
      <c r="H163">
        <f ca="1">IFERROR(IF(0=LEN(ReferenceData!$H$163),"",ReferenceData!$H$163),"")</f>
        <v>8.5399999999999991</v>
      </c>
      <c r="I163">
        <f ca="1">IFERROR(IF(0=LEN(ReferenceData!$I$163),"",ReferenceData!$I$163),"")</f>
        <v>8.5340000000000007</v>
      </c>
      <c r="J163">
        <f ca="1">IFERROR(IF(0=LEN(ReferenceData!$J$163),"",ReferenceData!$J$163),"")</f>
        <v>8.5380000000000003</v>
      </c>
      <c r="K163">
        <f ca="1">IFERROR(IF(0=LEN(ReferenceData!$K$163),"",ReferenceData!$K$163),"")</f>
        <v>8.5500000000000007</v>
      </c>
      <c r="L163">
        <f ca="1">IFERROR(IF(0=LEN(ReferenceData!$L$163),"",ReferenceData!$L$163),"")</f>
        <v>8.5579999999999998</v>
      </c>
      <c r="M163">
        <f ca="1">IFERROR(IF(0=LEN(ReferenceData!$M$163),"",ReferenceData!$M$163),"")</f>
        <v>8.5739999999999998</v>
      </c>
      <c r="N163">
        <f ca="1">IFERROR(IF(0=LEN(ReferenceData!$N$163),"",ReferenceData!$N$163),"")</f>
        <v>8.6189999999999998</v>
      </c>
      <c r="O163">
        <f ca="1">IFERROR(IF(0=LEN(ReferenceData!$O$163),"",ReferenceData!$O$163),"")</f>
        <v>8.6300000000000008</v>
      </c>
      <c r="P163">
        <f ca="1">IFERROR(IF(0=LEN(ReferenceData!$P$163),"",ReferenceData!$P$163),"")</f>
        <v>8.609</v>
      </c>
      <c r="Q163">
        <f ca="1">IFERROR(IF(0=LEN(ReferenceData!$Q$163),"",ReferenceData!$Q$163),"")</f>
        <v>8.5660000000000007</v>
      </c>
      <c r="R163">
        <f ca="1">IFERROR(IF(0=LEN(ReferenceData!$R$163),"",ReferenceData!$R$163),"")</f>
        <v>8.6059999999999999</v>
      </c>
      <c r="S163">
        <f ca="1">IFERROR(IF(0=LEN(ReferenceData!$S$163),"",ReferenceData!$S$163),"")</f>
        <v>8.5839999999999996</v>
      </c>
      <c r="T163">
        <f ca="1">IFERROR(IF(0=LEN(ReferenceData!$T$163),"",ReferenceData!$T$163),"")</f>
        <v>8.58</v>
      </c>
      <c r="U163">
        <f ca="1">IFERROR(IF(0=LEN(ReferenceData!$U$163),"",ReferenceData!$U$163),"")</f>
        <v>8.6</v>
      </c>
      <c r="V163">
        <f ca="1">IFERROR(IF(0=LEN(ReferenceData!$V$163),"",ReferenceData!$V$163),"")</f>
        <v>8.6229999999999993</v>
      </c>
      <c r="W163">
        <f ca="1">IFERROR(IF(0=LEN(ReferenceData!$W$163),"",ReferenceData!$W$163),"")</f>
        <v>8.6129999999999995</v>
      </c>
      <c r="X163">
        <f ca="1">IFERROR(IF(0=LEN(ReferenceData!$X$163),"",ReferenceData!$X$163),"")</f>
        <v>8.76</v>
      </c>
      <c r="Y163">
        <f ca="1">IFERROR(IF(0=LEN(ReferenceData!$Y$163),"",ReferenceData!$Y$163),"")</f>
        <v>8.7970000000000006</v>
      </c>
      <c r="Z163">
        <f ca="1">IFERROR(IF(0=LEN(ReferenceData!$Z$163),"",ReferenceData!$Z$163),"")</f>
        <v>8.7970000000000006</v>
      </c>
      <c r="AA163">
        <f ca="1">IFERROR(IF(0=LEN(ReferenceData!$AA$163),"",ReferenceData!$AA$163),"")</f>
        <v>8.67</v>
      </c>
      <c r="AB163" t="str">
        <f ca="1">IFERROR(IF(0=LEN(ReferenceData!$AB$163),"",ReferenceData!$AB$163),"")</f>
        <v/>
      </c>
      <c r="AC163">
        <f ca="1">IFERROR(IF(0=LEN(ReferenceData!$AC$163),"",ReferenceData!$AC$163),"")</f>
        <v>8.7200000000000006</v>
      </c>
      <c r="AD163" t="str">
        <f ca="1">IFERROR(IF(0=LEN(ReferenceData!$AD$163),"",ReferenceData!$AD$163),"")</f>
        <v/>
      </c>
      <c r="AE163">
        <f ca="1">IFERROR(IF(0=LEN(ReferenceData!$AE$163),"",ReferenceData!$AE$163),"")</f>
        <v>8.98</v>
      </c>
      <c r="AF163" t="str">
        <f ca="1">IFERROR(IF(0=LEN(ReferenceData!$AF$163),"",ReferenceData!$AF$163),"")</f>
        <v/>
      </c>
      <c r="AG163" t="str">
        <f ca="1">IFERROR(IF(0=LEN(ReferenceData!$AG$163),"",ReferenceData!$AG$163),"")</f>
        <v/>
      </c>
      <c r="AH163" t="str">
        <f ca="1">IFERROR(IF(0=LEN(ReferenceData!$AH$163),"",ReferenceData!$AH$163),"")</f>
        <v/>
      </c>
      <c r="AI163" t="str">
        <f ca="1">IFERROR(IF(0=LEN(ReferenceData!$AI$163),"",ReferenceData!$AI$163),"")</f>
        <v/>
      </c>
      <c r="AJ163" t="str">
        <f ca="1">IFERROR(IF(0=LEN(ReferenceData!$AJ$163),"",ReferenceData!$AJ$163),"")</f>
        <v/>
      </c>
      <c r="AK163" t="str">
        <f ca="1">IFERROR(IF(0=LEN(ReferenceData!$AK$163),"",ReferenceData!$AK$163),"")</f>
        <v/>
      </c>
      <c r="AL163" t="str">
        <f ca="1">IFERROR(IF(0=LEN(ReferenceData!$AL$163),"",ReferenceData!$AL$163),"")</f>
        <v/>
      </c>
      <c r="AM163" t="str">
        <f ca="1">IFERROR(IF(0=LEN(ReferenceData!$AM$163),"",ReferenceData!$AM$163),"")</f>
        <v/>
      </c>
      <c r="AN163" t="str">
        <f ca="1">IFERROR(IF(0=LEN(ReferenceData!$AN$163),"",ReferenceData!$AN$163),"")</f>
        <v/>
      </c>
      <c r="AO163" t="str">
        <f ca="1">IFERROR(IF(0=LEN(ReferenceData!$AO$163),"",ReferenceData!$AO$163),"")</f>
        <v/>
      </c>
      <c r="AP163" t="str">
        <f ca="1">IFERROR(IF(0=LEN(ReferenceData!$AP$163),"",ReferenceData!$AP$163),"")</f>
        <v/>
      </c>
      <c r="AQ163" t="str">
        <f ca="1">IFERROR(IF(0=LEN(ReferenceData!$AQ$163),"",ReferenceData!$AQ$163),"")</f>
        <v/>
      </c>
      <c r="AR163" t="str">
        <f ca="1">IFERROR(IF(0=LEN(ReferenceData!$AR$163),"",ReferenceData!$AR$163),"")</f>
        <v/>
      </c>
      <c r="AS163" t="str">
        <f ca="1">IFERROR(IF(0=LEN(ReferenceData!$AS$163),"",ReferenceData!$AS$163),"")</f>
        <v/>
      </c>
      <c r="AT163" t="str">
        <f ca="1">IFERROR(IF(0=LEN(ReferenceData!$AT$163),"",ReferenceData!$AT$163),"")</f>
        <v/>
      </c>
      <c r="AU163" t="str">
        <f ca="1">IFERROR(IF(0=LEN(ReferenceData!$AU$163),"",ReferenceData!$AU$163),"")</f>
        <v/>
      </c>
      <c r="AV163" t="str">
        <f ca="1">IFERROR(IF(0=LEN(ReferenceData!$AV$163),"",ReferenceData!$AV$163),"")</f>
        <v/>
      </c>
      <c r="AW163" t="str">
        <f ca="1">IFERROR(IF(0=LEN(ReferenceData!$AW$163),"",ReferenceData!$AW$163),"")</f>
        <v/>
      </c>
      <c r="AX163" t="str">
        <f ca="1">IFERROR(IF(0=LEN(ReferenceData!$AX$163),"",ReferenceData!$AX$163),"")</f>
        <v/>
      </c>
      <c r="AY163" t="str">
        <f ca="1">IFERROR(IF(0=LEN(ReferenceData!$AY$163),"",ReferenceData!$AY$163),"")</f>
        <v/>
      </c>
      <c r="AZ163" t="str">
        <f ca="1">IFERROR(IF(0=LEN(ReferenceData!$AZ$163),"",ReferenceData!$AZ$163),"")</f>
        <v/>
      </c>
      <c r="BA163" t="str">
        <f ca="1">IFERROR(IF(0=LEN(ReferenceData!$BA$163),"",ReferenceData!$BA$163),"")</f>
        <v/>
      </c>
      <c r="BB163" t="str">
        <f ca="1">IFERROR(IF(0=LEN(ReferenceData!$BB$163),"",ReferenceData!$BB$163),"")</f>
        <v/>
      </c>
      <c r="BC163" t="str">
        <f ca="1">IFERROR(IF(0=LEN(ReferenceData!$BC$163),"",ReferenceData!$BC$163),"")</f>
        <v/>
      </c>
      <c r="BD163" t="str">
        <f ca="1">IFERROR(IF(0=LEN(ReferenceData!$BD$163),"",ReferenceData!$BD$163),"")</f>
        <v/>
      </c>
      <c r="BE163" t="str">
        <f ca="1">IFERROR(IF(0=LEN(ReferenceData!$BE$163),"",ReferenceData!$BE$163),"")</f>
        <v/>
      </c>
      <c r="BF163" t="str">
        <f ca="1">IFERROR(IF(0=LEN(ReferenceData!$BF$163),"",ReferenceData!$BF$163),"")</f>
        <v/>
      </c>
      <c r="BG163" t="str">
        <f ca="1">IFERROR(IF(0=LEN(ReferenceData!$BG$163),"",ReferenceData!$BG$163),"")</f>
        <v/>
      </c>
      <c r="BH163" t="str">
        <f ca="1">IFERROR(IF(0=LEN(ReferenceData!$BH$163),"",ReferenceData!$BH$163),"")</f>
        <v/>
      </c>
      <c r="BI163" t="str">
        <f ca="1">IFERROR(IF(0=LEN(ReferenceData!$BI$163),"",ReferenceData!$BI$163),"")</f>
        <v/>
      </c>
      <c r="BJ163" t="str">
        <f ca="1">IFERROR(IF(0=LEN(ReferenceData!$BJ$163),"",ReferenceData!$BJ$163),"")</f>
        <v/>
      </c>
      <c r="BK163" t="str">
        <f ca="1">IFERROR(IF(0=LEN(ReferenceData!$BK$163),"",ReferenceData!$BK$163),"")</f>
        <v/>
      </c>
      <c r="BL163" t="str">
        <f ca="1">IFERROR(IF(0=LEN(ReferenceData!$BL$163),"",ReferenceData!$BL$163),"")</f>
        <v/>
      </c>
      <c r="BM163" t="str">
        <f ca="1">IFERROR(IF(0=LEN(ReferenceData!$BM$163),"",ReferenceData!$BM$163),"")</f>
        <v/>
      </c>
      <c r="BN163" t="str">
        <f ca="1">IFERROR(IF(0=LEN(ReferenceData!$BN$163),"",ReferenceData!$BN$163),"")</f>
        <v/>
      </c>
      <c r="BO163" t="str">
        <f ca="1">IFERROR(IF(0=LEN(ReferenceData!$BO$163),"",ReferenceData!$BO$163),"")</f>
        <v/>
      </c>
      <c r="BP163" t="str">
        <f ca="1">IFERROR(IF(0=LEN(ReferenceData!$BP$163),"",ReferenceData!$BP$163),"")</f>
        <v/>
      </c>
      <c r="BQ163" t="str">
        <f ca="1">IFERROR(IF(0=LEN(ReferenceData!$BQ$163),"",ReferenceData!$BQ$163),"")</f>
        <v/>
      </c>
      <c r="BR163" t="str">
        <f ca="1">IFERROR(IF(0=LEN(ReferenceData!$BR$163),"",ReferenceData!$BR$163),"")</f>
        <v/>
      </c>
      <c r="BS163" t="str">
        <f ca="1">IFERROR(IF(0=LEN(ReferenceData!$BS$163),"",ReferenceData!$BS$163),"")</f>
        <v/>
      </c>
      <c r="BT163" t="str">
        <f ca="1">IFERROR(IF(0=LEN(ReferenceData!$BT$163),"",ReferenceData!$BT$163),"")</f>
        <v/>
      </c>
      <c r="BU163" t="str">
        <f ca="1">IFERROR(IF(0=LEN(ReferenceData!$BU$163),"",ReferenceData!$BU$163),"")</f>
        <v/>
      </c>
      <c r="BV163" t="str">
        <f ca="1">IFERROR(IF(0=LEN(ReferenceData!$BV$163),"",ReferenceData!$BV$163),"")</f>
        <v/>
      </c>
      <c r="BW163" t="str">
        <f ca="1">IFERROR(IF(0=LEN(ReferenceData!$BW$163),"",ReferenceData!$BW$163),"")</f>
        <v/>
      </c>
      <c r="BX163" t="str">
        <f ca="1">IFERROR(IF(0=LEN(ReferenceData!$BX$163),"",ReferenceData!$BX$163),"")</f>
        <v/>
      </c>
      <c r="BY163" t="str">
        <f ca="1">IFERROR(IF(0=LEN(ReferenceData!$BY$163),"",ReferenceData!$BY$163),"")</f>
        <v/>
      </c>
      <c r="BZ163" t="str">
        <f ca="1">IFERROR(IF(0=LEN(ReferenceData!$BZ$163),"",ReferenceData!$BZ$163),"")</f>
        <v/>
      </c>
      <c r="CA163" t="str">
        <f ca="1">IFERROR(IF(0=LEN(ReferenceData!$CA$163),"",ReferenceData!$CA$163),"")</f>
        <v/>
      </c>
      <c r="CB163" t="str">
        <f ca="1">IFERROR(IF(0=LEN(ReferenceData!$CB$163),"",ReferenceData!$CB$163),"")</f>
        <v/>
      </c>
      <c r="CC163" t="str">
        <f ca="1">IFERROR(IF(0=LEN(ReferenceData!$CC$163),"",ReferenceData!$CC$163),"")</f>
        <v/>
      </c>
      <c r="CD163" t="str">
        <f ca="1">IFERROR(IF(0=LEN(ReferenceData!$CD$163),"",ReferenceData!$CD$163),"")</f>
        <v/>
      </c>
      <c r="CE163" t="str">
        <f ca="1">IFERROR(IF(0=LEN(ReferenceData!$CE$163),"",ReferenceData!$CE$163),"")</f>
        <v/>
      </c>
      <c r="CF163" t="str">
        <f ca="1">IFERROR(IF(0=LEN(ReferenceData!$CF$163),"",ReferenceData!$CF$163),"")</f>
        <v/>
      </c>
      <c r="CG163" t="str">
        <f ca="1">IFERROR(IF(0=LEN(ReferenceData!$CG$163),"",ReferenceData!$CG$163),"")</f>
        <v/>
      </c>
      <c r="CH163" t="str">
        <f ca="1">IFERROR(IF(0=LEN(ReferenceData!$CH$163),"",ReferenceData!$CH$163),"")</f>
        <v/>
      </c>
      <c r="CI163" t="str">
        <f ca="1">IFERROR(IF(0=LEN(ReferenceData!$CI$163),"",ReferenceData!$CI$163),"")</f>
        <v/>
      </c>
      <c r="CJ163" t="str">
        <f ca="1">IFERROR(IF(0=LEN(ReferenceData!$CJ$163),"",ReferenceData!$CJ$163),"")</f>
        <v/>
      </c>
      <c r="CK163" t="str">
        <f ca="1">IFERROR(IF(0=LEN(ReferenceData!$CK$163),"",ReferenceData!$CK$163),"")</f>
        <v/>
      </c>
    </row>
    <row r="164" spans="1:89">
      <c r="A164" t="str">
        <f>IFERROR(IF(0=LEN(ReferenceData!$A$164),"",ReferenceData!$A$164),"")</f>
        <v xml:space="preserve">    Camden Property Trust</v>
      </c>
      <c r="B164" t="str">
        <f>IFERROR(IF(0=LEN(ReferenceData!$B$164),"",ReferenceData!$B$164),"")</f>
        <v>CPT US Equity</v>
      </c>
      <c r="C164" t="str">
        <f>IFERROR(IF(0=LEN(ReferenceData!$C$164),"",ReferenceData!$C$164),"")</f>
        <v>BE895</v>
      </c>
      <c r="D164" t="str">
        <f>IFERROR(IF(0=LEN(ReferenceData!$D$164),"",ReferenceData!$D$164),"")</f>
        <v>BEST_AFFOPS</v>
      </c>
      <c r="E164" t="str">
        <f>IFERROR(IF(0=LEN(ReferenceData!$E$164),"",ReferenceData!$E$164),"")</f>
        <v>动态</v>
      </c>
      <c r="F164">
        <f ca="1">IFERROR(IF(0=LEN(ReferenceData!$F$164),"",ReferenceData!$F$164),"")</f>
        <v>4.0709999999999997</v>
      </c>
      <c r="G164">
        <f ca="1">IFERROR(IF(0=LEN(ReferenceData!$G$164),"",ReferenceData!$G$164),"")</f>
        <v>4.08</v>
      </c>
      <c r="H164">
        <f ca="1">IFERROR(IF(0=LEN(ReferenceData!$H$164),"",ReferenceData!$H$164),"")</f>
        <v>4.1280000000000001</v>
      </c>
      <c r="I164">
        <f ca="1">IFERROR(IF(0=LEN(ReferenceData!$I$164),"",ReferenceData!$I$164),"")</f>
        <v>4.1079999999999997</v>
      </c>
      <c r="J164">
        <f ca="1">IFERROR(IF(0=LEN(ReferenceData!$J$164),"",ReferenceData!$J$164),"")</f>
        <v>4.12</v>
      </c>
      <c r="K164">
        <f ca="1">IFERROR(IF(0=LEN(ReferenceData!$K$164),"",ReferenceData!$K$164),"")</f>
        <v>4.0739999999999998</v>
      </c>
      <c r="L164">
        <f ca="1">IFERROR(IF(0=LEN(ReferenceData!$L$164),"",ReferenceData!$L$164),"")</f>
        <v>4.1120000000000001</v>
      </c>
      <c r="M164">
        <f ca="1">IFERROR(IF(0=LEN(ReferenceData!$M$164),"",ReferenceData!$M$164),"")</f>
        <v>4.0579999999999998</v>
      </c>
      <c r="N164">
        <f ca="1">IFERROR(IF(0=LEN(ReferenceData!$N$164),"",ReferenceData!$N$164),"")</f>
        <v>4.0599999999999996</v>
      </c>
      <c r="O164">
        <f ca="1">IFERROR(IF(0=LEN(ReferenceData!$O$164),"",ReferenceData!$O$164),"")</f>
        <v>4.0359999999999996</v>
      </c>
      <c r="P164">
        <f ca="1">IFERROR(IF(0=LEN(ReferenceData!$P$164),"",ReferenceData!$P$164),"")</f>
        <v>4.0199999999999996</v>
      </c>
      <c r="Q164">
        <f ca="1">IFERROR(IF(0=LEN(ReferenceData!$Q$164),"",ReferenceData!$Q$164),"")</f>
        <v>4.1470000000000002</v>
      </c>
      <c r="R164">
        <f ca="1">IFERROR(IF(0=LEN(ReferenceData!$R$164),"",ReferenceData!$R$164),"")</f>
        <v>4</v>
      </c>
      <c r="S164">
        <f ca="1">IFERROR(IF(0=LEN(ReferenceData!$S$164),"",ReferenceData!$S$164),"")</f>
        <v>4.0049999999999999</v>
      </c>
      <c r="T164">
        <f ca="1">IFERROR(IF(0=LEN(ReferenceData!$T$164),"",ReferenceData!$T$164),"")</f>
        <v>4.0819999999999999</v>
      </c>
      <c r="U164">
        <f ca="1">IFERROR(IF(0=LEN(ReferenceData!$U$164),"",ReferenceData!$U$164),"")</f>
        <v>4.05</v>
      </c>
      <c r="V164">
        <f ca="1">IFERROR(IF(0=LEN(ReferenceData!$V$164),"",ReferenceData!$V$164),"")</f>
        <v>3.9529999999999998</v>
      </c>
      <c r="W164">
        <f ca="1">IFERROR(IF(0=LEN(ReferenceData!$W$164),"",ReferenceData!$W$164),"")</f>
        <v>3.9630000000000001</v>
      </c>
      <c r="X164">
        <f ca="1">IFERROR(IF(0=LEN(ReferenceData!$X$164),"",ReferenceData!$X$164),"")</f>
        <v>3.94</v>
      </c>
      <c r="Y164">
        <f ca="1">IFERROR(IF(0=LEN(ReferenceData!$Y$164),"",ReferenceData!$Y$164),"")</f>
        <v>3.968</v>
      </c>
      <c r="Z164">
        <f ca="1">IFERROR(IF(0=LEN(ReferenceData!$Z$164),"",ReferenceData!$Z$164),"")</f>
        <v>3.968</v>
      </c>
      <c r="AA164">
        <f ca="1">IFERROR(IF(0=LEN(ReferenceData!$AA$164),"",ReferenceData!$AA$164),"")</f>
        <v>3.907</v>
      </c>
      <c r="AB164">
        <f ca="1">IFERROR(IF(0=LEN(ReferenceData!$AB$164),"",ReferenceData!$AB$164),"")</f>
        <v>3.94</v>
      </c>
      <c r="AC164">
        <f ca="1">IFERROR(IF(0=LEN(ReferenceData!$AC$164),"",ReferenceData!$AC$164),"")</f>
        <v>4.3449999999999998</v>
      </c>
      <c r="AD164" t="str">
        <f ca="1">IFERROR(IF(0=LEN(ReferenceData!$AD$164),"",ReferenceData!$AD$164),"")</f>
        <v/>
      </c>
      <c r="AE164" t="str">
        <f ca="1">IFERROR(IF(0=LEN(ReferenceData!$AE$164),"",ReferenceData!$AE$164),"")</f>
        <v/>
      </c>
      <c r="AF164">
        <f ca="1">IFERROR(IF(0=LEN(ReferenceData!$AF$164),"",ReferenceData!$AF$164),"")</f>
        <v>4.5</v>
      </c>
      <c r="AG164" t="str">
        <f ca="1">IFERROR(IF(0=LEN(ReferenceData!$AG$164),"",ReferenceData!$AG$164),"")</f>
        <v/>
      </c>
      <c r="AH164" t="str">
        <f ca="1">IFERROR(IF(0=LEN(ReferenceData!$AH$164),"",ReferenceData!$AH$164),"")</f>
        <v/>
      </c>
      <c r="AI164" t="str">
        <f ca="1">IFERROR(IF(0=LEN(ReferenceData!$AI$164),"",ReferenceData!$AI$164),"")</f>
        <v/>
      </c>
      <c r="AJ164" t="str">
        <f ca="1">IFERROR(IF(0=LEN(ReferenceData!$AJ$164),"",ReferenceData!$AJ$164),"")</f>
        <v/>
      </c>
      <c r="AK164" t="str">
        <f ca="1">IFERROR(IF(0=LEN(ReferenceData!$AK$164),"",ReferenceData!$AK$164),"")</f>
        <v/>
      </c>
      <c r="AL164" t="str">
        <f ca="1">IFERROR(IF(0=LEN(ReferenceData!$AL$164),"",ReferenceData!$AL$164),"")</f>
        <v/>
      </c>
      <c r="AM164" t="str">
        <f ca="1">IFERROR(IF(0=LEN(ReferenceData!$AM$164),"",ReferenceData!$AM$164),"")</f>
        <v/>
      </c>
      <c r="AN164" t="str">
        <f ca="1">IFERROR(IF(0=LEN(ReferenceData!$AN$164),"",ReferenceData!$AN$164),"")</f>
        <v/>
      </c>
      <c r="AO164" t="str">
        <f ca="1">IFERROR(IF(0=LEN(ReferenceData!$AO$164),"",ReferenceData!$AO$164),"")</f>
        <v/>
      </c>
      <c r="AP164" t="str">
        <f ca="1">IFERROR(IF(0=LEN(ReferenceData!$AP$164),"",ReferenceData!$AP$164),"")</f>
        <v/>
      </c>
      <c r="AQ164" t="str">
        <f ca="1">IFERROR(IF(0=LEN(ReferenceData!$AQ$164),"",ReferenceData!$AQ$164),"")</f>
        <v/>
      </c>
      <c r="AR164" t="str">
        <f ca="1">IFERROR(IF(0=LEN(ReferenceData!$AR$164),"",ReferenceData!$AR$164),"")</f>
        <v/>
      </c>
      <c r="AS164" t="str">
        <f ca="1">IFERROR(IF(0=LEN(ReferenceData!$AS$164),"",ReferenceData!$AS$164),"")</f>
        <v/>
      </c>
      <c r="AT164" t="str">
        <f ca="1">IFERROR(IF(0=LEN(ReferenceData!$AT$164),"",ReferenceData!$AT$164),"")</f>
        <v/>
      </c>
      <c r="AU164" t="str">
        <f ca="1">IFERROR(IF(0=LEN(ReferenceData!$AU$164),"",ReferenceData!$AU$164),"")</f>
        <v/>
      </c>
      <c r="AV164" t="str">
        <f ca="1">IFERROR(IF(0=LEN(ReferenceData!$AV$164),"",ReferenceData!$AV$164),"")</f>
        <v/>
      </c>
      <c r="AW164" t="str">
        <f ca="1">IFERROR(IF(0=LEN(ReferenceData!$AW$164),"",ReferenceData!$AW$164),"")</f>
        <v/>
      </c>
      <c r="AX164" t="str">
        <f ca="1">IFERROR(IF(0=LEN(ReferenceData!$AX$164),"",ReferenceData!$AX$164),"")</f>
        <v/>
      </c>
      <c r="AY164" t="str">
        <f ca="1">IFERROR(IF(0=LEN(ReferenceData!$AY$164),"",ReferenceData!$AY$164),"")</f>
        <v/>
      </c>
      <c r="AZ164" t="str">
        <f ca="1">IFERROR(IF(0=LEN(ReferenceData!$AZ$164),"",ReferenceData!$AZ$164),"")</f>
        <v/>
      </c>
      <c r="BA164" t="str">
        <f ca="1">IFERROR(IF(0=LEN(ReferenceData!$BA$164),"",ReferenceData!$BA$164),"")</f>
        <v/>
      </c>
      <c r="BB164" t="str">
        <f ca="1">IFERROR(IF(0=LEN(ReferenceData!$BB$164),"",ReferenceData!$BB$164),"")</f>
        <v/>
      </c>
      <c r="BC164" t="str">
        <f ca="1">IFERROR(IF(0=LEN(ReferenceData!$BC$164),"",ReferenceData!$BC$164),"")</f>
        <v/>
      </c>
      <c r="BD164" t="str">
        <f ca="1">IFERROR(IF(0=LEN(ReferenceData!$BD$164),"",ReferenceData!$BD$164),"")</f>
        <v/>
      </c>
      <c r="BE164" t="str">
        <f ca="1">IFERROR(IF(0=LEN(ReferenceData!$BE$164),"",ReferenceData!$BE$164),"")</f>
        <v/>
      </c>
      <c r="BF164" t="str">
        <f ca="1">IFERROR(IF(0=LEN(ReferenceData!$BF$164),"",ReferenceData!$BF$164),"")</f>
        <v/>
      </c>
      <c r="BG164" t="str">
        <f ca="1">IFERROR(IF(0=LEN(ReferenceData!$BG$164),"",ReferenceData!$BG$164),"")</f>
        <v/>
      </c>
      <c r="BH164" t="str">
        <f ca="1">IFERROR(IF(0=LEN(ReferenceData!$BH$164),"",ReferenceData!$BH$164),"")</f>
        <v/>
      </c>
      <c r="BI164" t="str">
        <f ca="1">IFERROR(IF(0=LEN(ReferenceData!$BI$164),"",ReferenceData!$BI$164),"")</f>
        <v/>
      </c>
      <c r="BJ164" t="str">
        <f ca="1">IFERROR(IF(0=LEN(ReferenceData!$BJ$164),"",ReferenceData!$BJ$164),"")</f>
        <v/>
      </c>
      <c r="BK164" t="str">
        <f ca="1">IFERROR(IF(0=LEN(ReferenceData!$BK$164),"",ReferenceData!$BK$164),"")</f>
        <v/>
      </c>
      <c r="BL164" t="str">
        <f ca="1">IFERROR(IF(0=LEN(ReferenceData!$BL$164),"",ReferenceData!$BL$164),"")</f>
        <v/>
      </c>
      <c r="BM164" t="str">
        <f ca="1">IFERROR(IF(0=LEN(ReferenceData!$BM$164),"",ReferenceData!$BM$164),"")</f>
        <v/>
      </c>
      <c r="BN164" t="str">
        <f ca="1">IFERROR(IF(0=LEN(ReferenceData!$BN$164),"",ReferenceData!$BN$164),"")</f>
        <v/>
      </c>
      <c r="BO164" t="str">
        <f ca="1">IFERROR(IF(0=LEN(ReferenceData!$BO$164),"",ReferenceData!$BO$164),"")</f>
        <v/>
      </c>
      <c r="BP164" t="str">
        <f ca="1">IFERROR(IF(0=LEN(ReferenceData!$BP$164),"",ReferenceData!$BP$164),"")</f>
        <v/>
      </c>
      <c r="BQ164" t="str">
        <f ca="1">IFERROR(IF(0=LEN(ReferenceData!$BQ$164),"",ReferenceData!$BQ$164),"")</f>
        <v/>
      </c>
      <c r="BR164" t="str">
        <f ca="1">IFERROR(IF(0=LEN(ReferenceData!$BR$164),"",ReferenceData!$BR$164),"")</f>
        <v/>
      </c>
      <c r="BS164" t="str">
        <f ca="1">IFERROR(IF(0=LEN(ReferenceData!$BS$164),"",ReferenceData!$BS$164),"")</f>
        <v/>
      </c>
      <c r="BT164" t="str">
        <f ca="1">IFERROR(IF(0=LEN(ReferenceData!$BT$164),"",ReferenceData!$BT$164),"")</f>
        <v/>
      </c>
      <c r="BU164" t="str">
        <f ca="1">IFERROR(IF(0=LEN(ReferenceData!$BU$164),"",ReferenceData!$BU$164),"")</f>
        <v/>
      </c>
      <c r="BV164" t="str">
        <f ca="1">IFERROR(IF(0=LEN(ReferenceData!$BV$164),"",ReferenceData!$BV$164),"")</f>
        <v/>
      </c>
      <c r="BW164" t="str">
        <f ca="1">IFERROR(IF(0=LEN(ReferenceData!$BW$164),"",ReferenceData!$BW$164),"")</f>
        <v/>
      </c>
      <c r="BX164" t="str">
        <f ca="1">IFERROR(IF(0=LEN(ReferenceData!$BX$164),"",ReferenceData!$BX$164),"")</f>
        <v/>
      </c>
      <c r="BY164" t="str">
        <f ca="1">IFERROR(IF(0=LEN(ReferenceData!$BY$164),"",ReferenceData!$BY$164),"")</f>
        <v/>
      </c>
      <c r="BZ164" t="str">
        <f ca="1">IFERROR(IF(0=LEN(ReferenceData!$BZ$164),"",ReferenceData!$BZ$164),"")</f>
        <v/>
      </c>
      <c r="CA164" t="str">
        <f ca="1">IFERROR(IF(0=LEN(ReferenceData!$CA$164),"",ReferenceData!$CA$164),"")</f>
        <v/>
      </c>
      <c r="CB164" t="str">
        <f ca="1">IFERROR(IF(0=LEN(ReferenceData!$CB$164),"",ReferenceData!$CB$164),"")</f>
        <v/>
      </c>
      <c r="CC164" t="str">
        <f ca="1">IFERROR(IF(0=LEN(ReferenceData!$CC$164),"",ReferenceData!$CC$164),"")</f>
        <v/>
      </c>
      <c r="CD164" t="str">
        <f ca="1">IFERROR(IF(0=LEN(ReferenceData!$CD$164),"",ReferenceData!$CD$164),"")</f>
        <v/>
      </c>
      <c r="CE164" t="str">
        <f ca="1">IFERROR(IF(0=LEN(ReferenceData!$CE$164),"",ReferenceData!$CE$164),"")</f>
        <v/>
      </c>
      <c r="CF164" t="str">
        <f ca="1">IFERROR(IF(0=LEN(ReferenceData!$CF$164),"",ReferenceData!$CF$164),"")</f>
        <v/>
      </c>
      <c r="CG164" t="str">
        <f ca="1">IFERROR(IF(0=LEN(ReferenceData!$CG$164),"",ReferenceData!$CG$164),"")</f>
        <v/>
      </c>
      <c r="CH164" t="str">
        <f ca="1">IFERROR(IF(0=LEN(ReferenceData!$CH$164),"",ReferenceData!$CH$164),"")</f>
        <v/>
      </c>
      <c r="CI164" t="str">
        <f ca="1">IFERROR(IF(0=LEN(ReferenceData!$CI$164),"",ReferenceData!$CI$164),"")</f>
        <v/>
      </c>
      <c r="CJ164" t="str">
        <f ca="1">IFERROR(IF(0=LEN(ReferenceData!$CJ$164),"",ReferenceData!$CJ$164),"")</f>
        <v/>
      </c>
      <c r="CK164" t="str">
        <f ca="1">IFERROR(IF(0=LEN(ReferenceData!$CK$164),"",ReferenceData!$CK$164),"")</f>
        <v/>
      </c>
    </row>
    <row r="165" spans="1:89">
      <c r="A165" t="str">
        <f>IFERROR(IF(0=LEN(ReferenceData!$A$165),"",ReferenceData!$A$165),"")</f>
        <v xml:space="preserve">    Equity Residential</v>
      </c>
      <c r="B165" t="str">
        <f>IFERROR(IF(0=LEN(ReferenceData!$B$165),"",ReferenceData!$B$165),"")</f>
        <v>EQR US Equity</v>
      </c>
      <c r="C165" t="str">
        <f>IFERROR(IF(0=LEN(ReferenceData!$C$165),"",ReferenceData!$C$165),"")</f>
        <v>BE895</v>
      </c>
      <c r="D165" t="str">
        <f>IFERROR(IF(0=LEN(ReferenceData!$D$165),"",ReferenceData!$D$165),"")</f>
        <v>BEST_AFFOPS</v>
      </c>
      <c r="E165" t="str">
        <f>IFERROR(IF(0=LEN(ReferenceData!$E$165),"",ReferenceData!$E$165),"")</f>
        <v>动态</v>
      </c>
      <c r="F165">
        <f ca="1">IFERROR(IF(0=LEN(ReferenceData!$F$165),"",ReferenceData!$F$165),"")</f>
        <v>2.81</v>
      </c>
      <c r="G165">
        <f ca="1">IFERROR(IF(0=LEN(ReferenceData!$G$165),"",ReferenceData!$G$165),"")</f>
        <v>2.8330000000000002</v>
      </c>
      <c r="H165">
        <f ca="1">IFERROR(IF(0=LEN(ReferenceData!$H$165),"",ReferenceData!$H$165),"")</f>
        <v>2.85</v>
      </c>
      <c r="I165">
        <f ca="1">IFERROR(IF(0=LEN(ReferenceData!$I$165),"",ReferenceData!$I$165),"")</f>
        <v>2.863</v>
      </c>
      <c r="J165">
        <f ca="1">IFERROR(IF(0=LEN(ReferenceData!$J$165),"",ReferenceData!$J$165),"")</f>
        <v>2.8460000000000001</v>
      </c>
      <c r="K165">
        <f ca="1">IFERROR(IF(0=LEN(ReferenceData!$K$165),"",ReferenceData!$K$165),"")</f>
        <v>2.87</v>
      </c>
      <c r="L165">
        <f ca="1">IFERROR(IF(0=LEN(ReferenceData!$L$165),"",ReferenceData!$L$165),"")</f>
        <v>2.903</v>
      </c>
      <c r="M165">
        <f ca="1">IFERROR(IF(0=LEN(ReferenceData!$M$165),"",ReferenceData!$M$165),"")</f>
        <v>2.9009999999999998</v>
      </c>
      <c r="N165">
        <f ca="1">IFERROR(IF(0=LEN(ReferenceData!$N$165),"",ReferenceData!$N$165),"")</f>
        <v>2.89</v>
      </c>
      <c r="O165">
        <f ca="1">IFERROR(IF(0=LEN(ReferenceData!$O$165),"",ReferenceData!$O$165),"")</f>
        <v>2.8820000000000001</v>
      </c>
      <c r="P165">
        <f ca="1">IFERROR(IF(0=LEN(ReferenceData!$P$165),"",ReferenceData!$P$165),"")</f>
        <v>2.8809999999999998</v>
      </c>
      <c r="Q165">
        <f ca="1">IFERROR(IF(0=LEN(ReferenceData!$Q$165),"",ReferenceData!$Q$165),"")</f>
        <v>2.9</v>
      </c>
      <c r="R165">
        <f ca="1">IFERROR(IF(0=LEN(ReferenceData!$R$165),"",ReferenceData!$R$165),"")</f>
        <v>2.9020000000000001</v>
      </c>
      <c r="S165">
        <f ca="1">IFERROR(IF(0=LEN(ReferenceData!$S$165),"",ReferenceData!$S$165),"")</f>
        <v>2.9260000000000002</v>
      </c>
      <c r="T165">
        <f ca="1">IFERROR(IF(0=LEN(ReferenceData!$T$165),"",ReferenceData!$T$165),"")</f>
        <v>2.97</v>
      </c>
      <c r="U165">
        <f ca="1">IFERROR(IF(0=LEN(ReferenceData!$U$165),"",ReferenceData!$U$165),"")</f>
        <v>2.93</v>
      </c>
      <c r="V165">
        <f ca="1">IFERROR(IF(0=LEN(ReferenceData!$V$165),"",ReferenceData!$V$165),"")</f>
        <v>2.93</v>
      </c>
      <c r="W165">
        <f ca="1">IFERROR(IF(0=LEN(ReferenceData!$W$165),"",ReferenceData!$W$165),"")</f>
        <v>2.86</v>
      </c>
      <c r="X165">
        <f ca="1">IFERROR(IF(0=LEN(ReferenceData!$X$165),"",ReferenceData!$X$165),"")</f>
        <v>3.02</v>
      </c>
      <c r="Y165">
        <f ca="1">IFERROR(IF(0=LEN(ReferenceData!$Y$165),"",ReferenceData!$Y$165),"")</f>
        <v>3.0430000000000001</v>
      </c>
      <c r="Z165">
        <f ca="1">IFERROR(IF(0=LEN(ReferenceData!$Z$165),"",ReferenceData!$Z$165),"")</f>
        <v>3.0430000000000001</v>
      </c>
      <c r="AA165">
        <f ca="1">IFERROR(IF(0=LEN(ReferenceData!$AA$165),"",ReferenceData!$AA$165),"")</f>
        <v>3.16</v>
      </c>
      <c r="AB165">
        <f ca="1">IFERROR(IF(0=LEN(ReferenceData!$AB$165),"",ReferenceData!$AB$165),"")</f>
        <v>3.1970000000000001</v>
      </c>
      <c r="AC165">
        <f ca="1">IFERROR(IF(0=LEN(ReferenceData!$AC$165),"",ReferenceData!$AC$165),"")</f>
        <v>3.1850000000000001</v>
      </c>
      <c r="AD165" t="str">
        <f ca="1">IFERROR(IF(0=LEN(ReferenceData!$AD$165),"",ReferenceData!$AD$165),"")</f>
        <v/>
      </c>
      <c r="AE165" t="str">
        <f ca="1">IFERROR(IF(0=LEN(ReferenceData!$AE$165),"",ReferenceData!$AE$165),"")</f>
        <v/>
      </c>
      <c r="AF165" t="str">
        <f ca="1">IFERROR(IF(0=LEN(ReferenceData!$AF$165),"",ReferenceData!$AF$165),"")</f>
        <v/>
      </c>
      <c r="AG165" t="str">
        <f ca="1">IFERROR(IF(0=LEN(ReferenceData!$AG$165),"",ReferenceData!$AG$165),"")</f>
        <v/>
      </c>
      <c r="AH165" t="str">
        <f ca="1">IFERROR(IF(0=LEN(ReferenceData!$AH$165),"",ReferenceData!$AH$165),"")</f>
        <v/>
      </c>
      <c r="AI165" t="str">
        <f ca="1">IFERROR(IF(0=LEN(ReferenceData!$AI$165),"",ReferenceData!$AI$165),"")</f>
        <v/>
      </c>
      <c r="AJ165" t="str">
        <f ca="1">IFERROR(IF(0=LEN(ReferenceData!$AJ$165),"",ReferenceData!$AJ$165),"")</f>
        <v/>
      </c>
      <c r="AK165" t="str">
        <f ca="1">IFERROR(IF(0=LEN(ReferenceData!$AK$165),"",ReferenceData!$AK$165),"")</f>
        <v/>
      </c>
      <c r="AL165" t="str">
        <f ca="1">IFERROR(IF(0=LEN(ReferenceData!$AL$165),"",ReferenceData!$AL$165),"")</f>
        <v/>
      </c>
      <c r="AM165" t="str">
        <f ca="1">IFERROR(IF(0=LEN(ReferenceData!$AM$165),"",ReferenceData!$AM$165),"")</f>
        <v/>
      </c>
      <c r="AN165" t="str">
        <f ca="1">IFERROR(IF(0=LEN(ReferenceData!$AN$165),"",ReferenceData!$AN$165),"")</f>
        <v/>
      </c>
      <c r="AO165" t="str">
        <f ca="1">IFERROR(IF(0=LEN(ReferenceData!$AO$165),"",ReferenceData!$AO$165),"")</f>
        <v/>
      </c>
      <c r="AP165" t="str">
        <f ca="1">IFERROR(IF(0=LEN(ReferenceData!$AP$165),"",ReferenceData!$AP$165),"")</f>
        <v/>
      </c>
      <c r="AQ165" t="str">
        <f ca="1">IFERROR(IF(0=LEN(ReferenceData!$AQ$165),"",ReferenceData!$AQ$165),"")</f>
        <v/>
      </c>
      <c r="AR165" t="str">
        <f ca="1">IFERROR(IF(0=LEN(ReferenceData!$AR$165),"",ReferenceData!$AR$165),"")</f>
        <v/>
      </c>
      <c r="AS165" t="str">
        <f ca="1">IFERROR(IF(0=LEN(ReferenceData!$AS$165),"",ReferenceData!$AS$165),"")</f>
        <v/>
      </c>
      <c r="AT165" t="str">
        <f ca="1">IFERROR(IF(0=LEN(ReferenceData!$AT$165),"",ReferenceData!$AT$165),"")</f>
        <v/>
      </c>
      <c r="AU165" t="str">
        <f ca="1">IFERROR(IF(0=LEN(ReferenceData!$AU$165),"",ReferenceData!$AU$165),"")</f>
        <v/>
      </c>
      <c r="AV165" t="str">
        <f ca="1">IFERROR(IF(0=LEN(ReferenceData!$AV$165),"",ReferenceData!$AV$165),"")</f>
        <v/>
      </c>
      <c r="AW165" t="str">
        <f ca="1">IFERROR(IF(0=LEN(ReferenceData!$AW$165),"",ReferenceData!$AW$165),"")</f>
        <v/>
      </c>
      <c r="AX165" t="str">
        <f ca="1">IFERROR(IF(0=LEN(ReferenceData!$AX$165),"",ReferenceData!$AX$165),"")</f>
        <v/>
      </c>
      <c r="AY165" t="str">
        <f ca="1">IFERROR(IF(0=LEN(ReferenceData!$AY$165),"",ReferenceData!$AY$165),"")</f>
        <v/>
      </c>
      <c r="AZ165" t="str">
        <f ca="1">IFERROR(IF(0=LEN(ReferenceData!$AZ$165),"",ReferenceData!$AZ$165),"")</f>
        <v/>
      </c>
      <c r="BA165" t="str">
        <f ca="1">IFERROR(IF(0=LEN(ReferenceData!$BA$165),"",ReferenceData!$BA$165),"")</f>
        <v/>
      </c>
      <c r="BB165" t="str">
        <f ca="1">IFERROR(IF(0=LEN(ReferenceData!$BB$165),"",ReferenceData!$BB$165),"")</f>
        <v/>
      </c>
      <c r="BC165" t="str">
        <f ca="1">IFERROR(IF(0=LEN(ReferenceData!$BC$165),"",ReferenceData!$BC$165),"")</f>
        <v/>
      </c>
      <c r="BD165" t="str">
        <f ca="1">IFERROR(IF(0=LEN(ReferenceData!$BD$165),"",ReferenceData!$BD$165),"")</f>
        <v/>
      </c>
      <c r="BE165" t="str">
        <f ca="1">IFERROR(IF(0=LEN(ReferenceData!$BE$165),"",ReferenceData!$BE$165),"")</f>
        <v/>
      </c>
      <c r="BF165" t="str">
        <f ca="1">IFERROR(IF(0=LEN(ReferenceData!$BF$165),"",ReferenceData!$BF$165),"")</f>
        <v/>
      </c>
      <c r="BG165" t="str">
        <f ca="1">IFERROR(IF(0=LEN(ReferenceData!$BG$165),"",ReferenceData!$BG$165),"")</f>
        <v/>
      </c>
      <c r="BH165" t="str">
        <f ca="1">IFERROR(IF(0=LEN(ReferenceData!$BH$165),"",ReferenceData!$BH$165),"")</f>
        <v/>
      </c>
      <c r="BI165" t="str">
        <f ca="1">IFERROR(IF(0=LEN(ReferenceData!$BI$165),"",ReferenceData!$BI$165),"")</f>
        <v/>
      </c>
      <c r="BJ165" t="str">
        <f ca="1">IFERROR(IF(0=LEN(ReferenceData!$BJ$165),"",ReferenceData!$BJ$165),"")</f>
        <v/>
      </c>
      <c r="BK165" t="str">
        <f ca="1">IFERROR(IF(0=LEN(ReferenceData!$BK$165),"",ReferenceData!$BK$165),"")</f>
        <v/>
      </c>
      <c r="BL165" t="str">
        <f ca="1">IFERROR(IF(0=LEN(ReferenceData!$BL$165),"",ReferenceData!$BL$165),"")</f>
        <v/>
      </c>
      <c r="BM165" t="str">
        <f ca="1">IFERROR(IF(0=LEN(ReferenceData!$BM$165),"",ReferenceData!$BM$165),"")</f>
        <v/>
      </c>
      <c r="BN165" t="str">
        <f ca="1">IFERROR(IF(0=LEN(ReferenceData!$BN$165),"",ReferenceData!$BN$165),"")</f>
        <v/>
      </c>
      <c r="BO165" t="str">
        <f ca="1">IFERROR(IF(0=LEN(ReferenceData!$BO$165),"",ReferenceData!$BO$165),"")</f>
        <v/>
      </c>
      <c r="BP165" t="str">
        <f ca="1">IFERROR(IF(0=LEN(ReferenceData!$BP$165),"",ReferenceData!$BP$165),"")</f>
        <v/>
      </c>
      <c r="BQ165" t="str">
        <f ca="1">IFERROR(IF(0=LEN(ReferenceData!$BQ$165),"",ReferenceData!$BQ$165),"")</f>
        <v/>
      </c>
      <c r="BR165" t="str">
        <f ca="1">IFERROR(IF(0=LEN(ReferenceData!$BR$165),"",ReferenceData!$BR$165),"")</f>
        <v/>
      </c>
      <c r="BS165" t="str">
        <f ca="1">IFERROR(IF(0=LEN(ReferenceData!$BS$165),"",ReferenceData!$BS$165),"")</f>
        <v/>
      </c>
      <c r="BT165" t="str">
        <f ca="1">IFERROR(IF(0=LEN(ReferenceData!$BT$165),"",ReferenceData!$BT$165),"")</f>
        <v/>
      </c>
      <c r="BU165" t="str">
        <f ca="1">IFERROR(IF(0=LEN(ReferenceData!$BU$165),"",ReferenceData!$BU$165),"")</f>
        <v/>
      </c>
      <c r="BV165" t="str">
        <f ca="1">IFERROR(IF(0=LEN(ReferenceData!$BV$165),"",ReferenceData!$BV$165),"")</f>
        <v/>
      </c>
      <c r="BW165" t="str">
        <f ca="1">IFERROR(IF(0=LEN(ReferenceData!$BW$165),"",ReferenceData!$BW$165),"")</f>
        <v/>
      </c>
      <c r="BX165" t="str">
        <f ca="1">IFERROR(IF(0=LEN(ReferenceData!$BX$165),"",ReferenceData!$BX$165),"")</f>
        <v/>
      </c>
      <c r="BY165" t="str">
        <f ca="1">IFERROR(IF(0=LEN(ReferenceData!$BY$165),"",ReferenceData!$BY$165),"")</f>
        <v/>
      </c>
      <c r="BZ165" t="str">
        <f ca="1">IFERROR(IF(0=LEN(ReferenceData!$BZ$165),"",ReferenceData!$BZ$165),"")</f>
        <v/>
      </c>
      <c r="CA165" t="str">
        <f ca="1">IFERROR(IF(0=LEN(ReferenceData!$CA$165),"",ReferenceData!$CA$165),"")</f>
        <v/>
      </c>
      <c r="CB165" t="str">
        <f ca="1">IFERROR(IF(0=LEN(ReferenceData!$CB$165),"",ReferenceData!$CB$165),"")</f>
        <v/>
      </c>
      <c r="CC165" t="str">
        <f ca="1">IFERROR(IF(0=LEN(ReferenceData!$CC$165),"",ReferenceData!$CC$165),"")</f>
        <v/>
      </c>
      <c r="CD165" t="str">
        <f ca="1">IFERROR(IF(0=LEN(ReferenceData!$CD$165),"",ReferenceData!$CD$165),"")</f>
        <v/>
      </c>
      <c r="CE165" t="str">
        <f ca="1">IFERROR(IF(0=LEN(ReferenceData!$CE$165),"",ReferenceData!$CE$165),"")</f>
        <v/>
      </c>
      <c r="CF165" t="str">
        <f ca="1">IFERROR(IF(0=LEN(ReferenceData!$CF$165),"",ReferenceData!$CF$165),"")</f>
        <v/>
      </c>
      <c r="CG165" t="str">
        <f ca="1">IFERROR(IF(0=LEN(ReferenceData!$CG$165),"",ReferenceData!$CG$165),"")</f>
        <v/>
      </c>
      <c r="CH165" t="str">
        <f ca="1">IFERROR(IF(0=LEN(ReferenceData!$CH$165),"",ReferenceData!$CH$165),"")</f>
        <v/>
      </c>
      <c r="CI165" t="str">
        <f ca="1">IFERROR(IF(0=LEN(ReferenceData!$CI$165),"",ReferenceData!$CI$165),"")</f>
        <v/>
      </c>
      <c r="CJ165" t="str">
        <f ca="1">IFERROR(IF(0=LEN(ReferenceData!$CJ$165),"",ReferenceData!$CJ$165),"")</f>
        <v/>
      </c>
      <c r="CK165" t="str">
        <f ca="1">IFERROR(IF(0=LEN(ReferenceData!$CK$165),"",ReferenceData!$CK$165),"")</f>
        <v/>
      </c>
    </row>
    <row r="166" spans="1:89">
      <c r="A166" t="str">
        <f>IFERROR(IF(0=LEN(ReferenceData!$A$166),"",ReferenceData!$A$166),"")</f>
        <v xml:space="preserve">    Essex Property Trust Inc</v>
      </c>
      <c r="B166" t="str">
        <f>IFERROR(IF(0=LEN(ReferenceData!$B$166),"",ReferenceData!$B$166),"")</f>
        <v>ESS US Equity</v>
      </c>
      <c r="C166" t="str">
        <f>IFERROR(IF(0=LEN(ReferenceData!$C$166),"",ReferenceData!$C$166),"")</f>
        <v>BE895</v>
      </c>
      <c r="D166" t="str">
        <f>IFERROR(IF(0=LEN(ReferenceData!$D$166),"",ReferenceData!$D$166),"")</f>
        <v>BEST_AFFOPS</v>
      </c>
      <c r="E166" t="str">
        <f>IFERROR(IF(0=LEN(ReferenceData!$E$166),"",ReferenceData!$E$166),"")</f>
        <v>动态</v>
      </c>
      <c r="F166">
        <f ca="1">IFERROR(IF(0=LEN(ReferenceData!$F$166),"",ReferenceData!$F$166),"")</f>
        <v>11.343999999999999</v>
      </c>
      <c r="G166">
        <f ca="1">IFERROR(IF(0=LEN(ReferenceData!$G$166),"",ReferenceData!$G$166),"")</f>
        <v>11.31</v>
      </c>
      <c r="H166">
        <f ca="1">IFERROR(IF(0=LEN(ReferenceData!$H$166),"",ReferenceData!$H$166),"")</f>
        <v>11.318</v>
      </c>
      <c r="I166">
        <f ca="1">IFERROR(IF(0=LEN(ReferenceData!$I$166),"",ReferenceData!$I$166),"")</f>
        <v>11.250999999999999</v>
      </c>
      <c r="J166">
        <f ca="1">IFERROR(IF(0=LEN(ReferenceData!$J$166),"",ReferenceData!$J$166),"")</f>
        <v>11.28</v>
      </c>
      <c r="K166">
        <f ca="1">IFERROR(IF(0=LEN(ReferenceData!$K$166),"",ReferenceData!$K$166),"")</f>
        <v>11.363</v>
      </c>
      <c r="L166">
        <f ca="1">IFERROR(IF(0=LEN(ReferenceData!$L$166),"",ReferenceData!$L$166),"")</f>
        <v>11.361000000000001</v>
      </c>
      <c r="M166">
        <f ca="1">IFERROR(IF(0=LEN(ReferenceData!$M$166),"",ReferenceData!$M$166),"")</f>
        <v>11.371</v>
      </c>
      <c r="N166">
        <f ca="1">IFERROR(IF(0=LEN(ReferenceData!$N$166),"",ReferenceData!$N$166),"")</f>
        <v>11.314</v>
      </c>
      <c r="O166">
        <f ca="1">IFERROR(IF(0=LEN(ReferenceData!$O$166),"",ReferenceData!$O$166),"")</f>
        <v>11.266</v>
      </c>
      <c r="P166">
        <f ca="1">IFERROR(IF(0=LEN(ReferenceData!$P$166),"",ReferenceData!$P$166),"")</f>
        <v>11.241</v>
      </c>
      <c r="Q166">
        <f ca="1">IFERROR(IF(0=LEN(ReferenceData!$Q$166),"",ReferenceData!$Q$166),"")</f>
        <v>11.263</v>
      </c>
      <c r="R166">
        <f ca="1">IFERROR(IF(0=LEN(ReferenceData!$R$166),"",ReferenceData!$R$166),"")</f>
        <v>11.288</v>
      </c>
      <c r="S166">
        <f ca="1">IFERROR(IF(0=LEN(ReferenceData!$S$166),"",ReferenceData!$S$166),"")</f>
        <v>11.291</v>
      </c>
      <c r="T166">
        <f ca="1">IFERROR(IF(0=LEN(ReferenceData!$T$166),"",ReferenceData!$T$166),"")</f>
        <v>11.391</v>
      </c>
      <c r="U166">
        <f ca="1">IFERROR(IF(0=LEN(ReferenceData!$U$166),"",ReferenceData!$U$166),"")</f>
        <v>11.349</v>
      </c>
      <c r="V166">
        <f ca="1">IFERROR(IF(0=LEN(ReferenceData!$V$166),"",ReferenceData!$V$166),"")</f>
        <v>11.292</v>
      </c>
      <c r="W166">
        <f ca="1">IFERROR(IF(0=LEN(ReferenceData!$W$166),"",ReferenceData!$W$166),"")</f>
        <v>11.308</v>
      </c>
      <c r="X166">
        <f ca="1">IFERROR(IF(0=LEN(ReferenceData!$X$166),"",ReferenceData!$X$166),"")</f>
        <v>11.343</v>
      </c>
      <c r="Y166">
        <f ca="1">IFERROR(IF(0=LEN(ReferenceData!$Y$166),"",ReferenceData!$Y$166),"")</f>
        <v>11.42</v>
      </c>
      <c r="Z166">
        <f ca="1">IFERROR(IF(0=LEN(ReferenceData!$Z$166),"",ReferenceData!$Z$166),"")</f>
        <v>11.49</v>
      </c>
      <c r="AA166">
        <f ca="1">IFERROR(IF(0=LEN(ReferenceData!$AA$166),"",ReferenceData!$AA$166),"")</f>
        <v>11.59</v>
      </c>
      <c r="AB166">
        <f ca="1">IFERROR(IF(0=LEN(ReferenceData!$AB$166),"",ReferenceData!$AB$166),"")</f>
        <v>11.702999999999999</v>
      </c>
      <c r="AC166">
        <f ca="1">IFERROR(IF(0=LEN(ReferenceData!$AC$166),"",ReferenceData!$AC$166),"")</f>
        <v>11.904999999999999</v>
      </c>
      <c r="AD166" t="str">
        <f ca="1">IFERROR(IF(0=LEN(ReferenceData!$AD$166),"",ReferenceData!$AD$166),"")</f>
        <v/>
      </c>
      <c r="AE166">
        <f ca="1">IFERROR(IF(0=LEN(ReferenceData!$AE$166),"",ReferenceData!$AE$166),"")</f>
        <v>12.04</v>
      </c>
      <c r="AF166" t="str">
        <f ca="1">IFERROR(IF(0=LEN(ReferenceData!$AF$166),"",ReferenceData!$AF$166),"")</f>
        <v/>
      </c>
      <c r="AG166" t="str">
        <f ca="1">IFERROR(IF(0=LEN(ReferenceData!$AG$166),"",ReferenceData!$AG$166),"")</f>
        <v/>
      </c>
      <c r="AH166" t="str">
        <f ca="1">IFERROR(IF(0=LEN(ReferenceData!$AH$166),"",ReferenceData!$AH$166),"")</f>
        <v/>
      </c>
      <c r="AI166" t="str">
        <f ca="1">IFERROR(IF(0=LEN(ReferenceData!$AI$166),"",ReferenceData!$AI$166),"")</f>
        <v/>
      </c>
      <c r="AJ166" t="str">
        <f ca="1">IFERROR(IF(0=LEN(ReferenceData!$AJ$166),"",ReferenceData!$AJ$166),"")</f>
        <v/>
      </c>
      <c r="AK166" t="str">
        <f ca="1">IFERROR(IF(0=LEN(ReferenceData!$AK$166),"",ReferenceData!$AK$166),"")</f>
        <v/>
      </c>
      <c r="AL166" t="str">
        <f ca="1">IFERROR(IF(0=LEN(ReferenceData!$AL$166),"",ReferenceData!$AL$166),"")</f>
        <v/>
      </c>
      <c r="AM166" t="str">
        <f ca="1">IFERROR(IF(0=LEN(ReferenceData!$AM$166),"",ReferenceData!$AM$166),"")</f>
        <v/>
      </c>
      <c r="AN166" t="str">
        <f ca="1">IFERROR(IF(0=LEN(ReferenceData!$AN$166),"",ReferenceData!$AN$166),"")</f>
        <v/>
      </c>
      <c r="AO166" t="str">
        <f ca="1">IFERROR(IF(0=LEN(ReferenceData!$AO$166),"",ReferenceData!$AO$166),"")</f>
        <v/>
      </c>
      <c r="AP166" t="str">
        <f ca="1">IFERROR(IF(0=LEN(ReferenceData!$AP$166),"",ReferenceData!$AP$166),"")</f>
        <v/>
      </c>
      <c r="AQ166" t="str">
        <f ca="1">IFERROR(IF(0=LEN(ReferenceData!$AQ$166),"",ReferenceData!$AQ$166),"")</f>
        <v/>
      </c>
      <c r="AR166" t="str">
        <f ca="1">IFERROR(IF(0=LEN(ReferenceData!$AR$166),"",ReferenceData!$AR$166),"")</f>
        <v/>
      </c>
      <c r="AS166" t="str">
        <f ca="1">IFERROR(IF(0=LEN(ReferenceData!$AS$166),"",ReferenceData!$AS$166),"")</f>
        <v/>
      </c>
      <c r="AT166" t="str">
        <f ca="1">IFERROR(IF(0=LEN(ReferenceData!$AT$166),"",ReferenceData!$AT$166),"")</f>
        <v/>
      </c>
      <c r="AU166" t="str">
        <f ca="1">IFERROR(IF(0=LEN(ReferenceData!$AU$166),"",ReferenceData!$AU$166),"")</f>
        <v/>
      </c>
      <c r="AV166" t="str">
        <f ca="1">IFERROR(IF(0=LEN(ReferenceData!$AV$166),"",ReferenceData!$AV$166),"")</f>
        <v/>
      </c>
      <c r="AW166" t="str">
        <f ca="1">IFERROR(IF(0=LEN(ReferenceData!$AW$166),"",ReferenceData!$AW$166),"")</f>
        <v/>
      </c>
      <c r="AX166" t="str">
        <f ca="1">IFERROR(IF(0=LEN(ReferenceData!$AX$166),"",ReferenceData!$AX$166),"")</f>
        <v/>
      </c>
      <c r="AY166" t="str">
        <f ca="1">IFERROR(IF(0=LEN(ReferenceData!$AY$166),"",ReferenceData!$AY$166),"")</f>
        <v/>
      </c>
      <c r="AZ166" t="str">
        <f ca="1">IFERROR(IF(0=LEN(ReferenceData!$AZ$166),"",ReferenceData!$AZ$166),"")</f>
        <v/>
      </c>
      <c r="BA166" t="str">
        <f ca="1">IFERROR(IF(0=LEN(ReferenceData!$BA$166),"",ReferenceData!$BA$166),"")</f>
        <v/>
      </c>
      <c r="BB166" t="str">
        <f ca="1">IFERROR(IF(0=LEN(ReferenceData!$BB$166),"",ReferenceData!$BB$166),"")</f>
        <v/>
      </c>
      <c r="BC166" t="str">
        <f ca="1">IFERROR(IF(0=LEN(ReferenceData!$BC$166),"",ReferenceData!$BC$166),"")</f>
        <v/>
      </c>
      <c r="BD166" t="str">
        <f ca="1">IFERROR(IF(0=LEN(ReferenceData!$BD$166),"",ReferenceData!$BD$166),"")</f>
        <v/>
      </c>
      <c r="BE166" t="str">
        <f ca="1">IFERROR(IF(0=LEN(ReferenceData!$BE$166),"",ReferenceData!$BE$166),"")</f>
        <v/>
      </c>
      <c r="BF166" t="str">
        <f ca="1">IFERROR(IF(0=LEN(ReferenceData!$BF$166),"",ReferenceData!$BF$166),"")</f>
        <v/>
      </c>
      <c r="BG166" t="str">
        <f ca="1">IFERROR(IF(0=LEN(ReferenceData!$BG$166),"",ReferenceData!$BG$166),"")</f>
        <v/>
      </c>
      <c r="BH166" t="str">
        <f ca="1">IFERROR(IF(0=LEN(ReferenceData!$BH$166),"",ReferenceData!$BH$166),"")</f>
        <v/>
      </c>
      <c r="BI166" t="str">
        <f ca="1">IFERROR(IF(0=LEN(ReferenceData!$BI$166),"",ReferenceData!$BI$166),"")</f>
        <v/>
      </c>
      <c r="BJ166" t="str">
        <f ca="1">IFERROR(IF(0=LEN(ReferenceData!$BJ$166),"",ReferenceData!$BJ$166),"")</f>
        <v/>
      </c>
      <c r="BK166" t="str">
        <f ca="1">IFERROR(IF(0=LEN(ReferenceData!$BK$166),"",ReferenceData!$BK$166),"")</f>
        <v/>
      </c>
      <c r="BL166" t="str">
        <f ca="1">IFERROR(IF(0=LEN(ReferenceData!$BL$166),"",ReferenceData!$BL$166),"")</f>
        <v/>
      </c>
      <c r="BM166" t="str">
        <f ca="1">IFERROR(IF(0=LEN(ReferenceData!$BM$166),"",ReferenceData!$BM$166),"")</f>
        <v/>
      </c>
      <c r="BN166" t="str">
        <f ca="1">IFERROR(IF(0=LEN(ReferenceData!$BN$166),"",ReferenceData!$BN$166),"")</f>
        <v/>
      </c>
      <c r="BO166" t="str">
        <f ca="1">IFERROR(IF(0=LEN(ReferenceData!$BO$166),"",ReferenceData!$BO$166),"")</f>
        <v/>
      </c>
      <c r="BP166" t="str">
        <f ca="1">IFERROR(IF(0=LEN(ReferenceData!$BP$166),"",ReferenceData!$BP$166),"")</f>
        <v/>
      </c>
      <c r="BQ166" t="str">
        <f ca="1">IFERROR(IF(0=LEN(ReferenceData!$BQ$166),"",ReferenceData!$BQ$166),"")</f>
        <v/>
      </c>
      <c r="BR166" t="str">
        <f ca="1">IFERROR(IF(0=LEN(ReferenceData!$BR$166),"",ReferenceData!$BR$166),"")</f>
        <v/>
      </c>
      <c r="BS166" t="str">
        <f ca="1">IFERROR(IF(0=LEN(ReferenceData!$BS$166),"",ReferenceData!$BS$166),"")</f>
        <v/>
      </c>
      <c r="BT166" t="str">
        <f ca="1">IFERROR(IF(0=LEN(ReferenceData!$BT$166),"",ReferenceData!$BT$166),"")</f>
        <v/>
      </c>
      <c r="BU166" t="str">
        <f ca="1">IFERROR(IF(0=LEN(ReferenceData!$BU$166),"",ReferenceData!$BU$166),"")</f>
        <v/>
      </c>
      <c r="BV166" t="str">
        <f ca="1">IFERROR(IF(0=LEN(ReferenceData!$BV$166),"",ReferenceData!$BV$166),"")</f>
        <v/>
      </c>
      <c r="BW166" t="str">
        <f ca="1">IFERROR(IF(0=LEN(ReferenceData!$BW$166),"",ReferenceData!$BW$166),"")</f>
        <v/>
      </c>
      <c r="BX166" t="str">
        <f ca="1">IFERROR(IF(0=LEN(ReferenceData!$BX$166),"",ReferenceData!$BX$166),"")</f>
        <v/>
      </c>
      <c r="BY166" t="str">
        <f ca="1">IFERROR(IF(0=LEN(ReferenceData!$BY$166),"",ReferenceData!$BY$166),"")</f>
        <v/>
      </c>
      <c r="BZ166" t="str">
        <f ca="1">IFERROR(IF(0=LEN(ReferenceData!$BZ$166),"",ReferenceData!$BZ$166),"")</f>
        <v/>
      </c>
      <c r="CA166" t="str">
        <f ca="1">IFERROR(IF(0=LEN(ReferenceData!$CA$166),"",ReferenceData!$CA$166),"")</f>
        <v/>
      </c>
      <c r="CB166" t="str">
        <f ca="1">IFERROR(IF(0=LEN(ReferenceData!$CB$166),"",ReferenceData!$CB$166),"")</f>
        <v/>
      </c>
      <c r="CC166" t="str">
        <f ca="1">IFERROR(IF(0=LEN(ReferenceData!$CC$166),"",ReferenceData!$CC$166),"")</f>
        <v/>
      </c>
      <c r="CD166" t="str">
        <f ca="1">IFERROR(IF(0=LEN(ReferenceData!$CD$166),"",ReferenceData!$CD$166),"")</f>
        <v/>
      </c>
      <c r="CE166" t="str">
        <f ca="1">IFERROR(IF(0=LEN(ReferenceData!$CE$166),"",ReferenceData!$CE$166),"")</f>
        <v/>
      </c>
      <c r="CF166" t="str">
        <f ca="1">IFERROR(IF(0=LEN(ReferenceData!$CF$166),"",ReferenceData!$CF$166),"")</f>
        <v/>
      </c>
      <c r="CG166" t="str">
        <f ca="1">IFERROR(IF(0=LEN(ReferenceData!$CG$166),"",ReferenceData!$CG$166),"")</f>
        <v/>
      </c>
      <c r="CH166" t="str">
        <f ca="1">IFERROR(IF(0=LEN(ReferenceData!$CH$166),"",ReferenceData!$CH$166),"")</f>
        <v/>
      </c>
      <c r="CI166" t="str">
        <f ca="1">IFERROR(IF(0=LEN(ReferenceData!$CI$166),"",ReferenceData!$CI$166),"")</f>
        <v/>
      </c>
      <c r="CJ166" t="str">
        <f ca="1">IFERROR(IF(0=LEN(ReferenceData!$CJ$166),"",ReferenceData!$CJ$166),"")</f>
        <v/>
      </c>
      <c r="CK166" t="str">
        <f ca="1">IFERROR(IF(0=LEN(ReferenceData!$CK$166),"",ReferenceData!$CK$166),"")</f>
        <v/>
      </c>
    </row>
    <row r="167" spans="1:89">
      <c r="A167" t="str">
        <f>IFERROR(IF(0=LEN(ReferenceData!$A$167),"",ReferenceData!$A$167),"")</f>
        <v xml:space="preserve">    Mid-America Apartment Communit</v>
      </c>
      <c r="B167" t="str">
        <f>IFERROR(IF(0=LEN(ReferenceData!$B$167),"",ReferenceData!$B$167),"")</f>
        <v>MAA US Equity</v>
      </c>
      <c r="C167" t="str">
        <f>IFERROR(IF(0=LEN(ReferenceData!$C$167),"",ReferenceData!$C$167),"")</f>
        <v>BE895</v>
      </c>
      <c r="D167" t="str">
        <f>IFERROR(IF(0=LEN(ReferenceData!$D$167),"",ReferenceData!$D$167),"")</f>
        <v>BEST_AFFOPS</v>
      </c>
      <c r="E167" t="str">
        <f>IFERROR(IF(0=LEN(ReferenceData!$E$167),"",ReferenceData!$E$167),"")</f>
        <v>动态</v>
      </c>
      <c r="F167">
        <f ca="1">IFERROR(IF(0=LEN(ReferenceData!$F$167),"",ReferenceData!$F$167),"")</f>
        <v>5.4550000000000001</v>
      </c>
      <c r="G167">
        <f ca="1">IFERROR(IF(0=LEN(ReferenceData!$G$167),"",ReferenceData!$G$167),"")</f>
        <v>5.5110000000000001</v>
      </c>
      <c r="H167">
        <f ca="1">IFERROR(IF(0=LEN(ReferenceData!$H$167),"",ReferenceData!$H$167),"")</f>
        <v>5.5570000000000004</v>
      </c>
      <c r="I167">
        <f ca="1">IFERROR(IF(0=LEN(ReferenceData!$I$167),"",ReferenceData!$I$167),"")</f>
        <v>5.6159999999999997</v>
      </c>
      <c r="J167">
        <f ca="1">IFERROR(IF(0=LEN(ReferenceData!$J$167),"",ReferenceData!$J$167),"")</f>
        <v>5.7190000000000003</v>
      </c>
      <c r="K167">
        <f ca="1">IFERROR(IF(0=LEN(ReferenceData!$K$167),"",ReferenceData!$K$167),"")</f>
        <v>5.7350000000000003</v>
      </c>
      <c r="L167">
        <f ca="1">IFERROR(IF(0=LEN(ReferenceData!$L$167),"",ReferenceData!$L$167),"")</f>
        <v>5.75</v>
      </c>
      <c r="M167">
        <f ca="1">IFERROR(IF(0=LEN(ReferenceData!$M$167),"",ReferenceData!$M$167),"")</f>
        <v>5.7080000000000002</v>
      </c>
      <c r="N167">
        <f ca="1">IFERROR(IF(0=LEN(ReferenceData!$N$167),"",ReferenceData!$N$167),"")</f>
        <v>5.7210000000000001</v>
      </c>
      <c r="O167">
        <f ca="1">IFERROR(IF(0=LEN(ReferenceData!$O$167),"",ReferenceData!$O$167),"")</f>
        <v>5.718</v>
      </c>
      <c r="P167">
        <f ca="1">IFERROR(IF(0=LEN(ReferenceData!$P$167),"",ReferenceData!$P$167),"")</f>
        <v>5.7130000000000001</v>
      </c>
      <c r="Q167">
        <f ca="1">IFERROR(IF(0=LEN(ReferenceData!$Q$167),"",ReferenceData!$Q$167),"")</f>
        <v>5.6959999999999997</v>
      </c>
      <c r="R167">
        <f ca="1">IFERROR(IF(0=LEN(ReferenceData!$R$167),"",ReferenceData!$R$167),"")</f>
        <v>5.6920000000000002</v>
      </c>
      <c r="S167">
        <f ca="1">IFERROR(IF(0=LEN(ReferenceData!$S$167),"",ReferenceData!$S$167),"")</f>
        <v>5.68</v>
      </c>
      <c r="T167">
        <f ca="1">IFERROR(IF(0=LEN(ReferenceData!$T$167),"",ReferenceData!$T$167),"")</f>
        <v>5.71</v>
      </c>
      <c r="U167">
        <f ca="1">IFERROR(IF(0=LEN(ReferenceData!$U$167),"",ReferenceData!$U$167),"")</f>
        <v>5.6230000000000002</v>
      </c>
      <c r="V167">
        <f ca="1">IFERROR(IF(0=LEN(ReferenceData!$V$167),"",ReferenceData!$V$167),"")</f>
        <v>5.8</v>
      </c>
      <c r="W167">
        <f ca="1">IFERROR(IF(0=LEN(ReferenceData!$W$167),"",ReferenceData!$W$167),"")</f>
        <v>5.9</v>
      </c>
      <c r="X167">
        <f ca="1">IFERROR(IF(0=LEN(ReferenceData!$X$167),"",ReferenceData!$X$167),"")</f>
        <v>5.95</v>
      </c>
      <c r="Y167">
        <f ca="1">IFERROR(IF(0=LEN(ReferenceData!$Y$167),"",ReferenceData!$Y$167),"")</f>
        <v>5.96</v>
      </c>
      <c r="Z167">
        <f ca="1">IFERROR(IF(0=LEN(ReferenceData!$Z$167),"",ReferenceData!$Z$167),"")</f>
        <v>5.96</v>
      </c>
      <c r="AA167" t="str">
        <f ca="1">IFERROR(IF(0=LEN(ReferenceData!$AA$167),"",ReferenceData!$AA$167),"")</f>
        <v/>
      </c>
      <c r="AB167">
        <f ca="1">IFERROR(IF(0=LEN(ReferenceData!$AB$167),"",ReferenceData!$AB$167),"")</f>
        <v>5.96</v>
      </c>
      <c r="AC167" t="str">
        <f ca="1">IFERROR(IF(0=LEN(ReferenceData!$AC$167),"",ReferenceData!$AC$167),"")</f>
        <v/>
      </c>
      <c r="AD167" t="str">
        <f ca="1">IFERROR(IF(0=LEN(ReferenceData!$AD$167),"",ReferenceData!$AD$167),"")</f>
        <v/>
      </c>
      <c r="AE167" t="str">
        <f ca="1">IFERROR(IF(0=LEN(ReferenceData!$AE$167),"",ReferenceData!$AE$167),"")</f>
        <v/>
      </c>
      <c r="AF167" t="str">
        <f ca="1">IFERROR(IF(0=LEN(ReferenceData!$AF$167),"",ReferenceData!$AF$167),"")</f>
        <v/>
      </c>
      <c r="AG167" t="str">
        <f ca="1">IFERROR(IF(0=LEN(ReferenceData!$AG$167),"",ReferenceData!$AG$167),"")</f>
        <v/>
      </c>
      <c r="AH167" t="str">
        <f ca="1">IFERROR(IF(0=LEN(ReferenceData!$AH$167),"",ReferenceData!$AH$167),"")</f>
        <v/>
      </c>
      <c r="AI167" t="str">
        <f ca="1">IFERROR(IF(0=LEN(ReferenceData!$AI$167),"",ReferenceData!$AI$167),"")</f>
        <v/>
      </c>
      <c r="AJ167" t="str">
        <f ca="1">IFERROR(IF(0=LEN(ReferenceData!$AJ$167),"",ReferenceData!$AJ$167),"")</f>
        <v/>
      </c>
      <c r="AK167" t="str">
        <f ca="1">IFERROR(IF(0=LEN(ReferenceData!$AK$167),"",ReferenceData!$AK$167),"")</f>
        <v/>
      </c>
      <c r="AL167" t="str">
        <f ca="1">IFERROR(IF(0=LEN(ReferenceData!$AL$167),"",ReferenceData!$AL$167),"")</f>
        <v/>
      </c>
      <c r="AM167" t="str">
        <f ca="1">IFERROR(IF(0=LEN(ReferenceData!$AM$167),"",ReferenceData!$AM$167),"")</f>
        <v/>
      </c>
      <c r="AN167" t="str">
        <f ca="1">IFERROR(IF(0=LEN(ReferenceData!$AN$167),"",ReferenceData!$AN$167),"")</f>
        <v/>
      </c>
      <c r="AO167" t="str">
        <f ca="1">IFERROR(IF(0=LEN(ReferenceData!$AO$167),"",ReferenceData!$AO$167),"")</f>
        <v/>
      </c>
      <c r="AP167" t="str">
        <f ca="1">IFERROR(IF(0=LEN(ReferenceData!$AP$167),"",ReferenceData!$AP$167),"")</f>
        <v/>
      </c>
      <c r="AQ167" t="str">
        <f ca="1">IFERROR(IF(0=LEN(ReferenceData!$AQ$167),"",ReferenceData!$AQ$167),"")</f>
        <v/>
      </c>
      <c r="AR167" t="str">
        <f ca="1">IFERROR(IF(0=LEN(ReferenceData!$AR$167),"",ReferenceData!$AR$167),"")</f>
        <v/>
      </c>
      <c r="AS167" t="str">
        <f ca="1">IFERROR(IF(0=LEN(ReferenceData!$AS$167),"",ReferenceData!$AS$167),"")</f>
        <v/>
      </c>
      <c r="AT167" t="str">
        <f ca="1">IFERROR(IF(0=LEN(ReferenceData!$AT$167),"",ReferenceData!$AT$167),"")</f>
        <v/>
      </c>
      <c r="AU167" t="str">
        <f ca="1">IFERROR(IF(0=LEN(ReferenceData!$AU$167),"",ReferenceData!$AU$167),"")</f>
        <v/>
      </c>
      <c r="AV167" t="str">
        <f ca="1">IFERROR(IF(0=LEN(ReferenceData!$AV$167),"",ReferenceData!$AV$167),"")</f>
        <v/>
      </c>
      <c r="AW167" t="str">
        <f ca="1">IFERROR(IF(0=LEN(ReferenceData!$AW$167),"",ReferenceData!$AW$167),"")</f>
        <v/>
      </c>
      <c r="AX167" t="str">
        <f ca="1">IFERROR(IF(0=LEN(ReferenceData!$AX$167),"",ReferenceData!$AX$167),"")</f>
        <v/>
      </c>
      <c r="AY167" t="str">
        <f ca="1">IFERROR(IF(0=LEN(ReferenceData!$AY$167),"",ReferenceData!$AY$167),"")</f>
        <v/>
      </c>
      <c r="AZ167" t="str">
        <f ca="1">IFERROR(IF(0=LEN(ReferenceData!$AZ$167),"",ReferenceData!$AZ$167),"")</f>
        <v/>
      </c>
      <c r="BA167" t="str">
        <f ca="1">IFERROR(IF(0=LEN(ReferenceData!$BA$167),"",ReferenceData!$BA$167),"")</f>
        <v/>
      </c>
      <c r="BB167" t="str">
        <f ca="1">IFERROR(IF(0=LEN(ReferenceData!$BB$167),"",ReferenceData!$BB$167),"")</f>
        <v/>
      </c>
      <c r="BC167" t="str">
        <f ca="1">IFERROR(IF(0=LEN(ReferenceData!$BC$167),"",ReferenceData!$BC$167),"")</f>
        <v/>
      </c>
      <c r="BD167" t="str">
        <f ca="1">IFERROR(IF(0=LEN(ReferenceData!$BD$167),"",ReferenceData!$BD$167),"")</f>
        <v/>
      </c>
      <c r="BE167" t="str">
        <f ca="1">IFERROR(IF(0=LEN(ReferenceData!$BE$167),"",ReferenceData!$BE$167),"")</f>
        <v/>
      </c>
      <c r="BF167" t="str">
        <f ca="1">IFERROR(IF(0=LEN(ReferenceData!$BF$167),"",ReferenceData!$BF$167),"")</f>
        <v/>
      </c>
      <c r="BG167" t="str">
        <f ca="1">IFERROR(IF(0=LEN(ReferenceData!$BG$167),"",ReferenceData!$BG$167),"")</f>
        <v/>
      </c>
      <c r="BH167" t="str">
        <f ca="1">IFERROR(IF(0=LEN(ReferenceData!$BH$167),"",ReferenceData!$BH$167),"")</f>
        <v/>
      </c>
      <c r="BI167" t="str">
        <f ca="1">IFERROR(IF(0=LEN(ReferenceData!$BI$167),"",ReferenceData!$BI$167),"")</f>
        <v/>
      </c>
      <c r="BJ167" t="str">
        <f ca="1">IFERROR(IF(0=LEN(ReferenceData!$BJ$167),"",ReferenceData!$BJ$167),"")</f>
        <v/>
      </c>
      <c r="BK167" t="str">
        <f ca="1">IFERROR(IF(0=LEN(ReferenceData!$BK$167),"",ReferenceData!$BK$167),"")</f>
        <v/>
      </c>
      <c r="BL167" t="str">
        <f ca="1">IFERROR(IF(0=LEN(ReferenceData!$BL$167),"",ReferenceData!$BL$167),"")</f>
        <v/>
      </c>
      <c r="BM167" t="str">
        <f ca="1">IFERROR(IF(0=LEN(ReferenceData!$BM$167),"",ReferenceData!$BM$167),"")</f>
        <v/>
      </c>
      <c r="BN167" t="str">
        <f ca="1">IFERROR(IF(0=LEN(ReferenceData!$BN$167),"",ReferenceData!$BN$167),"")</f>
        <v/>
      </c>
      <c r="BO167" t="str">
        <f ca="1">IFERROR(IF(0=LEN(ReferenceData!$BO$167),"",ReferenceData!$BO$167),"")</f>
        <v/>
      </c>
      <c r="BP167" t="str">
        <f ca="1">IFERROR(IF(0=LEN(ReferenceData!$BP$167),"",ReferenceData!$BP$167),"")</f>
        <v/>
      </c>
      <c r="BQ167" t="str">
        <f ca="1">IFERROR(IF(0=LEN(ReferenceData!$BQ$167),"",ReferenceData!$BQ$167),"")</f>
        <v/>
      </c>
      <c r="BR167" t="str">
        <f ca="1">IFERROR(IF(0=LEN(ReferenceData!$BR$167),"",ReferenceData!$BR$167),"")</f>
        <v/>
      </c>
      <c r="BS167" t="str">
        <f ca="1">IFERROR(IF(0=LEN(ReferenceData!$BS$167),"",ReferenceData!$BS$167),"")</f>
        <v/>
      </c>
      <c r="BT167" t="str">
        <f ca="1">IFERROR(IF(0=LEN(ReferenceData!$BT$167),"",ReferenceData!$BT$167),"")</f>
        <v/>
      </c>
      <c r="BU167" t="str">
        <f ca="1">IFERROR(IF(0=LEN(ReferenceData!$BU$167),"",ReferenceData!$BU$167),"")</f>
        <v/>
      </c>
      <c r="BV167" t="str">
        <f ca="1">IFERROR(IF(0=LEN(ReferenceData!$BV$167),"",ReferenceData!$BV$167),"")</f>
        <v/>
      </c>
      <c r="BW167" t="str">
        <f ca="1">IFERROR(IF(0=LEN(ReferenceData!$BW$167),"",ReferenceData!$BW$167),"")</f>
        <v/>
      </c>
      <c r="BX167" t="str">
        <f ca="1">IFERROR(IF(0=LEN(ReferenceData!$BX$167),"",ReferenceData!$BX$167),"")</f>
        <v/>
      </c>
      <c r="BY167" t="str">
        <f ca="1">IFERROR(IF(0=LEN(ReferenceData!$BY$167),"",ReferenceData!$BY$167),"")</f>
        <v/>
      </c>
      <c r="BZ167" t="str">
        <f ca="1">IFERROR(IF(0=LEN(ReferenceData!$BZ$167),"",ReferenceData!$BZ$167),"")</f>
        <v/>
      </c>
      <c r="CA167" t="str">
        <f ca="1">IFERROR(IF(0=LEN(ReferenceData!$CA$167),"",ReferenceData!$CA$167),"")</f>
        <v/>
      </c>
      <c r="CB167" t="str">
        <f ca="1">IFERROR(IF(0=LEN(ReferenceData!$CB$167),"",ReferenceData!$CB$167),"")</f>
        <v/>
      </c>
      <c r="CC167" t="str">
        <f ca="1">IFERROR(IF(0=LEN(ReferenceData!$CC$167),"",ReferenceData!$CC$167),"")</f>
        <v/>
      </c>
      <c r="CD167" t="str">
        <f ca="1">IFERROR(IF(0=LEN(ReferenceData!$CD$167),"",ReferenceData!$CD$167),"")</f>
        <v/>
      </c>
      <c r="CE167" t="str">
        <f ca="1">IFERROR(IF(0=LEN(ReferenceData!$CE$167),"",ReferenceData!$CE$167),"")</f>
        <v/>
      </c>
      <c r="CF167" t="str">
        <f ca="1">IFERROR(IF(0=LEN(ReferenceData!$CF$167),"",ReferenceData!$CF$167),"")</f>
        <v/>
      </c>
      <c r="CG167" t="str">
        <f ca="1">IFERROR(IF(0=LEN(ReferenceData!$CG$167),"",ReferenceData!$CG$167),"")</f>
        <v/>
      </c>
      <c r="CH167" t="str">
        <f ca="1">IFERROR(IF(0=LEN(ReferenceData!$CH$167),"",ReferenceData!$CH$167),"")</f>
        <v/>
      </c>
      <c r="CI167" t="str">
        <f ca="1">IFERROR(IF(0=LEN(ReferenceData!$CI$167),"",ReferenceData!$CI$167),"")</f>
        <v/>
      </c>
      <c r="CJ167" t="str">
        <f ca="1">IFERROR(IF(0=LEN(ReferenceData!$CJ$167),"",ReferenceData!$CJ$167),"")</f>
        <v/>
      </c>
      <c r="CK167" t="str">
        <f ca="1">IFERROR(IF(0=LEN(ReferenceData!$CK$167),"",ReferenceData!$CK$167),"")</f>
        <v/>
      </c>
    </row>
    <row r="168" spans="1:89">
      <c r="A168" t="str">
        <f>IFERROR(IF(0=LEN(ReferenceData!$A$168),"",ReferenceData!$A$168),"")</f>
        <v xml:space="preserve">    Monogram Residential Trust Inc</v>
      </c>
      <c r="B168" t="str">
        <f>IFERROR(IF(0=LEN(ReferenceData!$B$168),"",ReferenceData!$B$168),"")</f>
        <v>MORE US Equity</v>
      </c>
      <c r="C168" t="str">
        <f>IFERROR(IF(0=LEN(ReferenceData!$C$168),"",ReferenceData!$C$168),"")</f>
        <v>BE895</v>
      </c>
      <c r="D168" t="str">
        <f>IFERROR(IF(0=LEN(ReferenceData!$D$168),"",ReferenceData!$D$168),"")</f>
        <v>BEST_AFFOPS</v>
      </c>
      <c r="E168" t="str">
        <f>IFERROR(IF(0=LEN(ReferenceData!$E$168),"",ReferenceData!$E$168),"")</f>
        <v>动态</v>
      </c>
      <c r="F168" t="str">
        <f ca="1">IFERROR(IF(0=LEN(ReferenceData!$F$168),"",ReferenceData!$F$168),"")</f>
        <v/>
      </c>
      <c r="G168" t="str">
        <f ca="1">IFERROR(IF(0=LEN(ReferenceData!$G$168),"",ReferenceData!$G$168),"")</f>
        <v/>
      </c>
      <c r="H168" t="str">
        <f ca="1">IFERROR(IF(0=LEN(ReferenceData!$H$168),"",ReferenceData!$H$168),"")</f>
        <v/>
      </c>
      <c r="I168" t="str">
        <f ca="1">IFERROR(IF(0=LEN(ReferenceData!$I$168),"",ReferenceData!$I$168),"")</f>
        <v/>
      </c>
      <c r="J168" t="str">
        <f ca="1">IFERROR(IF(0=LEN(ReferenceData!$J$168),"",ReferenceData!$J$168),"")</f>
        <v/>
      </c>
      <c r="K168" t="str">
        <f ca="1">IFERROR(IF(0=LEN(ReferenceData!$K$168),"",ReferenceData!$K$168),"")</f>
        <v/>
      </c>
      <c r="L168">
        <f ca="1">IFERROR(IF(0=LEN(ReferenceData!$L$168),"",ReferenceData!$L$168),"")</f>
        <v>0.47</v>
      </c>
      <c r="M168">
        <f ca="1">IFERROR(IF(0=LEN(ReferenceData!$M$168),"",ReferenceData!$M$168),"")</f>
        <v>0.47799999999999998</v>
      </c>
      <c r="N168">
        <f ca="1">IFERROR(IF(0=LEN(ReferenceData!$N$168),"",ReferenceData!$N$168),"")</f>
        <v>0.46500000000000002</v>
      </c>
      <c r="O168">
        <f ca="1">IFERROR(IF(0=LEN(ReferenceData!$O$168),"",ReferenceData!$O$168),"")</f>
        <v>0.46300000000000002</v>
      </c>
      <c r="P168">
        <f ca="1">IFERROR(IF(0=LEN(ReferenceData!$P$168),"",ReferenceData!$P$168),"")</f>
        <v>0.46300000000000002</v>
      </c>
      <c r="Q168">
        <f ca="1">IFERROR(IF(0=LEN(ReferenceData!$Q$168),"",ReferenceData!$Q$168),"")</f>
        <v>0.437</v>
      </c>
      <c r="R168">
        <f ca="1">IFERROR(IF(0=LEN(ReferenceData!$R$168),"",ReferenceData!$R$168),"")</f>
        <v>0.437</v>
      </c>
      <c r="S168">
        <f ca="1">IFERROR(IF(0=LEN(ReferenceData!$S$168),"",ReferenceData!$S$168),"")</f>
        <v>0.437</v>
      </c>
      <c r="T168">
        <f ca="1">IFERROR(IF(0=LEN(ReferenceData!$T$168),"",ReferenceData!$T$168),"")</f>
        <v>0.44</v>
      </c>
      <c r="U168">
        <f ca="1">IFERROR(IF(0=LEN(ReferenceData!$U$168),"",ReferenceData!$U$168),"")</f>
        <v>0.44</v>
      </c>
      <c r="V168">
        <f ca="1">IFERROR(IF(0=LEN(ReferenceData!$V$168),"",ReferenceData!$V$168),"")</f>
        <v>0.42499999999999999</v>
      </c>
      <c r="W168">
        <f ca="1">IFERROR(IF(0=LEN(ReferenceData!$W$168),"",ReferenceData!$W$168),"")</f>
        <v>0.43</v>
      </c>
      <c r="X168" t="str">
        <f ca="1">IFERROR(IF(0=LEN(ReferenceData!$X$168),"",ReferenceData!$X$168),"")</f>
        <v/>
      </c>
      <c r="Y168" t="str">
        <f ca="1">IFERROR(IF(0=LEN(ReferenceData!$Y$168),"",ReferenceData!$Y$168),"")</f>
        <v/>
      </c>
      <c r="Z168" t="str">
        <f ca="1">IFERROR(IF(0=LEN(ReferenceData!$Z$168),"",ReferenceData!$Z$168),"")</f>
        <v/>
      </c>
      <c r="AA168" t="str">
        <f ca="1">IFERROR(IF(0=LEN(ReferenceData!$AA$168),"",ReferenceData!$AA$168),"")</f>
        <v/>
      </c>
      <c r="AB168" t="str">
        <f ca="1">IFERROR(IF(0=LEN(ReferenceData!$AB$168),"",ReferenceData!$AB$168),"")</f>
        <v/>
      </c>
      <c r="AC168" t="str">
        <f ca="1">IFERROR(IF(0=LEN(ReferenceData!$AC$168),"",ReferenceData!$AC$168),"")</f>
        <v/>
      </c>
      <c r="AD168" t="str">
        <f ca="1">IFERROR(IF(0=LEN(ReferenceData!$AD$168),"",ReferenceData!$AD$168),"")</f>
        <v/>
      </c>
      <c r="AE168" t="str">
        <f ca="1">IFERROR(IF(0=LEN(ReferenceData!$AE$168),"",ReferenceData!$AE$168),"")</f>
        <v/>
      </c>
      <c r="AF168" t="str">
        <f ca="1">IFERROR(IF(0=LEN(ReferenceData!$AF$168),"",ReferenceData!$AF$168),"")</f>
        <v/>
      </c>
      <c r="AG168" t="str">
        <f ca="1">IFERROR(IF(0=LEN(ReferenceData!$AG$168),"",ReferenceData!$AG$168),"")</f>
        <v/>
      </c>
      <c r="AH168" t="str">
        <f ca="1">IFERROR(IF(0=LEN(ReferenceData!$AH$168),"",ReferenceData!$AH$168),"")</f>
        <v/>
      </c>
      <c r="AI168" t="str">
        <f ca="1">IFERROR(IF(0=LEN(ReferenceData!$AI$168),"",ReferenceData!$AI$168),"")</f>
        <v/>
      </c>
      <c r="AJ168" t="str">
        <f ca="1">IFERROR(IF(0=LEN(ReferenceData!$AJ$168),"",ReferenceData!$AJ$168),"")</f>
        <v/>
      </c>
      <c r="AK168" t="str">
        <f ca="1">IFERROR(IF(0=LEN(ReferenceData!$AK$168),"",ReferenceData!$AK$168),"")</f>
        <v/>
      </c>
      <c r="AL168" t="str">
        <f ca="1">IFERROR(IF(0=LEN(ReferenceData!$AL$168),"",ReferenceData!$AL$168),"")</f>
        <v/>
      </c>
      <c r="AM168" t="str">
        <f ca="1">IFERROR(IF(0=LEN(ReferenceData!$AM$168),"",ReferenceData!$AM$168),"")</f>
        <v/>
      </c>
      <c r="AN168" t="str">
        <f ca="1">IFERROR(IF(0=LEN(ReferenceData!$AN$168),"",ReferenceData!$AN$168),"")</f>
        <v/>
      </c>
      <c r="AO168" t="str">
        <f ca="1">IFERROR(IF(0=LEN(ReferenceData!$AO$168),"",ReferenceData!$AO$168),"")</f>
        <v/>
      </c>
      <c r="AP168" t="str">
        <f ca="1">IFERROR(IF(0=LEN(ReferenceData!$AP$168),"",ReferenceData!$AP$168),"")</f>
        <v/>
      </c>
      <c r="AQ168" t="str">
        <f ca="1">IFERROR(IF(0=LEN(ReferenceData!$AQ$168),"",ReferenceData!$AQ$168),"")</f>
        <v/>
      </c>
      <c r="AR168" t="str">
        <f ca="1">IFERROR(IF(0=LEN(ReferenceData!$AR$168),"",ReferenceData!$AR$168),"")</f>
        <v/>
      </c>
      <c r="AS168" t="str">
        <f ca="1">IFERROR(IF(0=LEN(ReferenceData!$AS$168),"",ReferenceData!$AS$168),"")</f>
        <v/>
      </c>
      <c r="AT168" t="str">
        <f ca="1">IFERROR(IF(0=LEN(ReferenceData!$AT$168),"",ReferenceData!$AT$168),"")</f>
        <v/>
      </c>
      <c r="AU168" t="str">
        <f ca="1">IFERROR(IF(0=LEN(ReferenceData!$AU$168),"",ReferenceData!$AU$168),"")</f>
        <v/>
      </c>
      <c r="AV168" t="str">
        <f ca="1">IFERROR(IF(0=LEN(ReferenceData!$AV$168),"",ReferenceData!$AV$168),"")</f>
        <v/>
      </c>
      <c r="AW168" t="str">
        <f ca="1">IFERROR(IF(0=LEN(ReferenceData!$AW$168),"",ReferenceData!$AW$168),"")</f>
        <v/>
      </c>
      <c r="AX168" t="str">
        <f ca="1">IFERROR(IF(0=LEN(ReferenceData!$AX$168),"",ReferenceData!$AX$168),"")</f>
        <v/>
      </c>
      <c r="AY168" t="str">
        <f ca="1">IFERROR(IF(0=LEN(ReferenceData!$AY$168),"",ReferenceData!$AY$168),"")</f>
        <v/>
      </c>
      <c r="AZ168" t="str">
        <f ca="1">IFERROR(IF(0=LEN(ReferenceData!$AZ$168),"",ReferenceData!$AZ$168),"")</f>
        <v/>
      </c>
      <c r="BA168" t="str">
        <f ca="1">IFERROR(IF(0=LEN(ReferenceData!$BA$168),"",ReferenceData!$BA$168),"")</f>
        <v/>
      </c>
      <c r="BB168" t="str">
        <f ca="1">IFERROR(IF(0=LEN(ReferenceData!$BB$168),"",ReferenceData!$BB$168),"")</f>
        <v/>
      </c>
      <c r="BC168" t="str">
        <f ca="1">IFERROR(IF(0=LEN(ReferenceData!$BC$168),"",ReferenceData!$BC$168),"")</f>
        <v/>
      </c>
      <c r="BD168" t="str">
        <f ca="1">IFERROR(IF(0=LEN(ReferenceData!$BD$168),"",ReferenceData!$BD$168),"")</f>
        <v/>
      </c>
      <c r="BE168" t="str">
        <f ca="1">IFERROR(IF(0=LEN(ReferenceData!$BE$168),"",ReferenceData!$BE$168),"")</f>
        <v/>
      </c>
      <c r="BF168" t="str">
        <f ca="1">IFERROR(IF(0=LEN(ReferenceData!$BF$168),"",ReferenceData!$BF$168),"")</f>
        <v/>
      </c>
      <c r="BG168" t="str">
        <f ca="1">IFERROR(IF(0=LEN(ReferenceData!$BG$168),"",ReferenceData!$BG$168),"")</f>
        <v/>
      </c>
      <c r="BH168" t="str">
        <f ca="1">IFERROR(IF(0=LEN(ReferenceData!$BH$168),"",ReferenceData!$BH$168),"")</f>
        <v/>
      </c>
      <c r="BI168" t="str">
        <f ca="1">IFERROR(IF(0=LEN(ReferenceData!$BI$168),"",ReferenceData!$BI$168),"")</f>
        <v/>
      </c>
      <c r="BJ168" t="str">
        <f ca="1">IFERROR(IF(0=LEN(ReferenceData!$BJ$168),"",ReferenceData!$BJ$168),"")</f>
        <v/>
      </c>
      <c r="BK168" t="str">
        <f ca="1">IFERROR(IF(0=LEN(ReferenceData!$BK$168),"",ReferenceData!$BK$168),"")</f>
        <v/>
      </c>
      <c r="BL168" t="str">
        <f ca="1">IFERROR(IF(0=LEN(ReferenceData!$BL$168),"",ReferenceData!$BL$168),"")</f>
        <v/>
      </c>
      <c r="BM168" t="str">
        <f ca="1">IFERROR(IF(0=LEN(ReferenceData!$BM$168),"",ReferenceData!$BM$168),"")</f>
        <v/>
      </c>
      <c r="BN168" t="str">
        <f ca="1">IFERROR(IF(0=LEN(ReferenceData!$BN$168),"",ReferenceData!$BN$168),"")</f>
        <v/>
      </c>
      <c r="BO168" t="str">
        <f ca="1">IFERROR(IF(0=LEN(ReferenceData!$BO$168),"",ReferenceData!$BO$168),"")</f>
        <v/>
      </c>
      <c r="BP168" t="str">
        <f ca="1">IFERROR(IF(0=LEN(ReferenceData!$BP$168),"",ReferenceData!$BP$168),"")</f>
        <v/>
      </c>
      <c r="BQ168" t="str">
        <f ca="1">IFERROR(IF(0=LEN(ReferenceData!$BQ$168),"",ReferenceData!$BQ$168),"")</f>
        <v/>
      </c>
      <c r="BR168" t="str">
        <f ca="1">IFERROR(IF(0=LEN(ReferenceData!$BR$168),"",ReferenceData!$BR$168),"")</f>
        <v/>
      </c>
      <c r="BS168" t="str">
        <f ca="1">IFERROR(IF(0=LEN(ReferenceData!$BS$168),"",ReferenceData!$BS$168),"")</f>
        <v/>
      </c>
      <c r="BT168" t="str">
        <f ca="1">IFERROR(IF(0=LEN(ReferenceData!$BT$168),"",ReferenceData!$BT$168),"")</f>
        <v/>
      </c>
      <c r="BU168" t="str">
        <f ca="1">IFERROR(IF(0=LEN(ReferenceData!$BU$168),"",ReferenceData!$BU$168),"")</f>
        <v/>
      </c>
      <c r="BV168" t="str">
        <f ca="1">IFERROR(IF(0=LEN(ReferenceData!$BV$168),"",ReferenceData!$BV$168),"")</f>
        <v/>
      </c>
      <c r="BW168" t="str">
        <f ca="1">IFERROR(IF(0=LEN(ReferenceData!$BW$168),"",ReferenceData!$BW$168),"")</f>
        <v/>
      </c>
      <c r="BX168" t="str">
        <f ca="1">IFERROR(IF(0=LEN(ReferenceData!$BX$168),"",ReferenceData!$BX$168),"")</f>
        <v/>
      </c>
      <c r="BY168" t="str">
        <f ca="1">IFERROR(IF(0=LEN(ReferenceData!$BY$168),"",ReferenceData!$BY$168),"")</f>
        <v/>
      </c>
      <c r="BZ168" t="str">
        <f ca="1">IFERROR(IF(0=LEN(ReferenceData!$BZ$168),"",ReferenceData!$BZ$168),"")</f>
        <v/>
      </c>
      <c r="CA168" t="str">
        <f ca="1">IFERROR(IF(0=LEN(ReferenceData!$CA$168),"",ReferenceData!$CA$168),"")</f>
        <v/>
      </c>
      <c r="CB168" t="str">
        <f ca="1">IFERROR(IF(0=LEN(ReferenceData!$CB$168),"",ReferenceData!$CB$168),"")</f>
        <v/>
      </c>
      <c r="CC168" t="str">
        <f ca="1">IFERROR(IF(0=LEN(ReferenceData!$CC$168),"",ReferenceData!$CC$168),"")</f>
        <v/>
      </c>
      <c r="CD168" t="str">
        <f ca="1">IFERROR(IF(0=LEN(ReferenceData!$CD$168),"",ReferenceData!$CD$168),"")</f>
        <v/>
      </c>
      <c r="CE168" t="str">
        <f ca="1">IFERROR(IF(0=LEN(ReferenceData!$CE$168),"",ReferenceData!$CE$168),"")</f>
        <v/>
      </c>
      <c r="CF168" t="str">
        <f ca="1">IFERROR(IF(0=LEN(ReferenceData!$CF$168),"",ReferenceData!$CF$168),"")</f>
        <v/>
      </c>
      <c r="CG168" t="str">
        <f ca="1">IFERROR(IF(0=LEN(ReferenceData!$CG$168),"",ReferenceData!$CG$168),"")</f>
        <v/>
      </c>
      <c r="CH168" t="str">
        <f ca="1">IFERROR(IF(0=LEN(ReferenceData!$CH$168),"",ReferenceData!$CH$168),"")</f>
        <v/>
      </c>
      <c r="CI168" t="str">
        <f ca="1">IFERROR(IF(0=LEN(ReferenceData!$CI$168),"",ReferenceData!$CI$168),"")</f>
        <v/>
      </c>
      <c r="CJ168" t="str">
        <f ca="1">IFERROR(IF(0=LEN(ReferenceData!$CJ$168),"",ReferenceData!$CJ$168),"")</f>
        <v/>
      </c>
      <c r="CK168" t="str">
        <f ca="1">IFERROR(IF(0=LEN(ReferenceData!$CK$168),"",ReferenceData!$CK$168),"")</f>
        <v/>
      </c>
    </row>
    <row r="169" spans="1:89">
      <c r="A169" t="str">
        <f>IFERROR(IF(0=LEN(ReferenceData!$A$169),"",ReferenceData!$A$169),"")</f>
        <v xml:space="preserve">    UDR Inc</v>
      </c>
      <c r="B169" t="str">
        <f>IFERROR(IF(0=LEN(ReferenceData!$B$169),"",ReferenceData!$B$169),"")</f>
        <v>UDR US Equity</v>
      </c>
      <c r="C169" t="str">
        <f>IFERROR(IF(0=LEN(ReferenceData!$C$169),"",ReferenceData!$C$169),"")</f>
        <v>BE895</v>
      </c>
      <c r="D169" t="str">
        <f>IFERROR(IF(0=LEN(ReferenceData!$D$169),"",ReferenceData!$D$169),"")</f>
        <v>BEST_AFFOPS</v>
      </c>
      <c r="E169" t="str">
        <f>IFERROR(IF(0=LEN(ReferenceData!$E$169),"",ReferenceData!$E$169),"")</f>
        <v>动态</v>
      </c>
      <c r="F169">
        <f ca="1">IFERROR(IF(0=LEN(ReferenceData!$F$169),"",ReferenceData!$F$169),"")</f>
        <v>1.786</v>
      </c>
      <c r="G169">
        <f ca="1">IFERROR(IF(0=LEN(ReferenceData!$G$169),"",ReferenceData!$G$169),"")</f>
        <v>1.7869999999999999</v>
      </c>
      <c r="H169">
        <f ca="1">IFERROR(IF(0=LEN(ReferenceData!$H$169),"",ReferenceData!$H$169),"")</f>
        <v>1.8049999999999999</v>
      </c>
      <c r="I169">
        <f ca="1">IFERROR(IF(0=LEN(ReferenceData!$I$169),"",ReferenceData!$I$169),"")</f>
        <v>1.8</v>
      </c>
      <c r="J169">
        <f ca="1">IFERROR(IF(0=LEN(ReferenceData!$J$169),"",ReferenceData!$J$169),"")</f>
        <v>1.8</v>
      </c>
      <c r="K169">
        <f ca="1">IFERROR(IF(0=LEN(ReferenceData!$K$169),"",ReferenceData!$K$169),"")</f>
        <v>1.8029999999999999</v>
      </c>
      <c r="L169">
        <f ca="1">IFERROR(IF(0=LEN(ReferenceData!$L$169),"",ReferenceData!$L$169),"")</f>
        <v>1.8029999999999999</v>
      </c>
      <c r="M169">
        <f ca="1">IFERROR(IF(0=LEN(ReferenceData!$M$169),"",ReferenceData!$M$169),"")</f>
        <v>1.8149999999999999</v>
      </c>
      <c r="N169">
        <f ca="1">IFERROR(IF(0=LEN(ReferenceData!$N$169),"",ReferenceData!$N$169),"")</f>
        <v>1.79</v>
      </c>
      <c r="O169">
        <f ca="1">IFERROR(IF(0=LEN(ReferenceData!$O$169),"",ReferenceData!$O$169),"")</f>
        <v>1.8</v>
      </c>
      <c r="P169">
        <f ca="1">IFERROR(IF(0=LEN(ReferenceData!$P$169),"",ReferenceData!$P$169),"")</f>
        <v>1.8</v>
      </c>
      <c r="Q169">
        <f ca="1">IFERROR(IF(0=LEN(ReferenceData!$Q$169),"",ReferenceData!$Q$169),"")</f>
        <v>1.7529999999999999</v>
      </c>
      <c r="R169">
        <f ca="1">IFERROR(IF(0=LEN(ReferenceData!$R$169),"",ReferenceData!$R$169),"")</f>
        <v>1.74</v>
      </c>
      <c r="S169">
        <f ca="1">IFERROR(IF(0=LEN(ReferenceData!$S$169),"",ReferenceData!$S$169),"")</f>
        <v>1.7490000000000001</v>
      </c>
      <c r="T169">
        <f ca="1">IFERROR(IF(0=LEN(ReferenceData!$T$169),"",ReferenceData!$T$169),"")</f>
        <v>1.796</v>
      </c>
      <c r="U169">
        <f ca="1">IFERROR(IF(0=LEN(ReferenceData!$U$169),"",ReferenceData!$U$169),"")</f>
        <v>1.798</v>
      </c>
      <c r="V169">
        <f ca="1">IFERROR(IF(0=LEN(ReferenceData!$V$169),"",ReferenceData!$V$169),"")</f>
        <v>1.788</v>
      </c>
      <c r="W169">
        <f ca="1">IFERROR(IF(0=LEN(ReferenceData!$W$169),"",ReferenceData!$W$169),"")</f>
        <v>1.7729999999999999</v>
      </c>
      <c r="X169">
        <f ca="1">IFERROR(IF(0=LEN(ReferenceData!$X$169),"",ReferenceData!$X$169),"")</f>
        <v>1.83</v>
      </c>
      <c r="Y169">
        <f ca="1">IFERROR(IF(0=LEN(ReferenceData!$Y$169),"",ReferenceData!$Y$169),"")</f>
        <v>1.823</v>
      </c>
      <c r="Z169">
        <f ca="1">IFERROR(IF(0=LEN(ReferenceData!$Z$169),"",ReferenceData!$Z$169),"")</f>
        <v>1.823</v>
      </c>
      <c r="AA169">
        <f ca="1">IFERROR(IF(0=LEN(ReferenceData!$AA$169),"",ReferenceData!$AA$169),"")</f>
        <v>1.82</v>
      </c>
      <c r="AB169" t="str">
        <f ca="1">IFERROR(IF(0=LEN(ReferenceData!$AB$169),"",ReferenceData!$AB$169),"")</f>
        <v/>
      </c>
      <c r="AC169">
        <f ca="1">IFERROR(IF(0=LEN(ReferenceData!$AC$169),"",ReferenceData!$AC$169),"")</f>
        <v>1.84</v>
      </c>
      <c r="AD169" t="str">
        <f ca="1">IFERROR(IF(0=LEN(ReferenceData!$AD$169),"",ReferenceData!$AD$169),"")</f>
        <v/>
      </c>
      <c r="AE169">
        <f ca="1">IFERROR(IF(0=LEN(ReferenceData!$AE$169),"",ReferenceData!$AE$169),"")</f>
        <v>1.86</v>
      </c>
      <c r="AF169" t="str">
        <f ca="1">IFERROR(IF(0=LEN(ReferenceData!$AF$169),"",ReferenceData!$AF$169),"")</f>
        <v/>
      </c>
      <c r="AG169" t="str">
        <f ca="1">IFERROR(IF(0=LEN(ReferenceData!$AG$169),"",ReferenceData!$AG$169),"")</f>
        <v/>
      </c>
      <c r="AH169" t="str">
        <f ca="1">IFERROR(IF(0=LEN(ReferenceData!$AH$169),"",ReferenceData!$AH$169),"")</f>
        <v/>
      </c>
      <c r="AI169" t="str">
        <f ca="1">IFERROR(IF(0=LEN(ReferenceData!$AI$169),"",ReferenceData!$AI$169),"")</f>
        <v/>
      </c>
      <c r="AJ169" t="str">
        <f ca="1">IFERROR(IF(0=LEN(ReferenceData!$AJ$169),"",ReferenceData!$AJ$169),"")</f>
        <v/>
      </c>
      <c r="AK169" t="str">
        <f ca="1">IFERROR(IF(0=LEN(ReferenceData!$AK$169),"",ReferenceData!$AK$169),"")</f>
        <v/>
      </c>
      <c r="AL169" t="str">
        <f ca="1">IFERROR(IF(0=LEN(ReferenceData!$AL$169),"",ReferenceData!$AL$169),"")</f>
        <v/>
      </c>
      <c r="AM169" t="str">
        <f ca="1">IFERROR(IF(0=LEN(ReferenceData!$AM$169),"",ReferenceData!$AM$169),"")</f>
        <v/>
      </c>
      <c r="AN169" t="str">
        <f ca="1">IFERROR(IF(0=LEN(ReferenceData!$AN$169),"",ReferenceData!$AN$169),"")</f>
        <v/>
      </c>
      <c r="AO169" t="str">
        <f ca="1">IFERROR(IF(0=LEN(ReferenceData!$AO$169),"",ReferenceData!$AO$169),"")</f>
        <v/>
      </c>
      <c r="AP169" t="str">
        <f ca="1">IFERROR(IF(0=LEN(ReferenceData!$AP$169),"",ReferenceData!$AP$169),"")</f>
        <v/>
      </c>
      <c r="AQ169" t="str">
        <f ca="1">IFERROR(IF(0=LEN(ReferenceData!$AQ$169),"",ReferenceData!$AQ$169),"")</f>
        <v/>
      </c>
      <c r="AR169" t="str">
        <f ca="1">IFERROR(IF(0=LEN(ReferenceData!$AR$169),"",ReferenceData!$AR$169),"")</f>
        <v/>
      </c>
      <c r="AS169" t="str">
        <f ca="1">IFERROR(IF(0=LEN(ReferenceData!$AS$169),"",ReferenceData!$AS$169),"")</f>
        <v/>
      </c>
      <c r="AT169" t="str">
        <f ca="1">IFERROR(IF(0=LEN(ReferenceData!$AT$169),"",ReferenceData!$AT$169),"")</f>
        <v/>
      </c>
      <c r="AU169" t="str">
        <f ca="1">IFERROR(IF(0=LEN(ReferenceData!$AU$169),"",ReferenceData!$AU$169),"")</f>
        <v/>
      </c>
      <c r="AV169" t="str">
        <f ca="1">IFERROR(IF(0=LEN(ReferenceData!$AV$169),"",ReferenceData!$AV$169),"")</f>
        <v/>
      </c>
      <c r="AW169" t="str">
        <f ca="1">IFERROR(IF(0=LEN(ReferenceData!$AW$169),"",ReferenceData!$AW$169),"")</f>
        <v/>
      </c>
      <c r="AX169" t="str">
        <f ca="1">IFERROR(IF(0=LEN(ReferenceData!$AX$169),"",ReferenceData!$AX$169),"")</f>
        <v/>
      </c>
      <c r="AY169" t="str">
        <f ca="1">IFERROR(IF(0=LEN(ReferenceData!$AY$169),"",ReferenceData!$AY$169),"")</f>
        <v/>
      </c>
      <c r="AZ169" t="str">
        <f ca="1">IFERROR(IF(0=LEN(ReferenceData!$AZ$169),"",ReferenceData!$AZ$169),"")</f>
        <v/>
      </c>
      <c r="BA169" t="str">
        <f ca="1">IFERROR(IF(0=LEN(ReferenceData!$BA$169),"",ReferenceData!$BA$169),"")</f>
        <v/>
      </c>
      <c r="BB169" t="str">
        <f ca="1">IFERROR(IF(0=LEN(ReferenceData!$BB$169),"",ReferenceData!$BB$169),"")</f>
        <v/>
      </c>
      <c r="BC169" t="str">
        <f ca="1">IFERROR(IF(0=LEN(ReferenceData!$BC$169),"",ReferenceData!$BC$169),"")</f>
        <v/>
      </c>
      <c r="BD169" t="str">
        <f ca="1">IFERROR(IF(0=LEN(ReferenceData!$BD$169),"",ReferenceData!$BD$169),"")</f>
        <v/>
      </c>
      <c r="BE169" t="str">
        <f ca="1">IFERROR(IF(0=LEN(ReferenceData!$BE$169),"",ReferenceData!$BE$169),"")</f>
        <v/>
      </c>
      <c r="BF169" t="str">
        <f ca="1">IFERROR(IF(0=LEN(ReferenceData!$BF$169),"",ReferenceData!$BF$169),"")</f>
        <v/>
      </c>
      <c r="BG169" t="str">
        <f ca="1">IFERROR(IF(0=LEN(ReferenceData!$BG$169),"",ReferenceData!$BG$169),"")</f>
        <v/>
      </c>
      <c r="BH169" t="str">
        <f ca="1">IFERROR(IF(0=LEN(ReferenceData!$BH$169),"",ReferenceData!$BH$169),"")</f>
        <v/>
      </c>
      <c r="BI169" t="str">
        <f ca="1">IFERROR(IF(0=LEN(ReferenceData!$BI$169),"",ReferenceData!$BI$169),"")</f>
        <v/>
      </c>
      <c r="BJ169" t="str">
        <f ca="1">IFERROR(IF(0=LEN(ReferenceData!$BJ$169),"",ReferenceData!$BJ$169),"")</f>
        <v/>
      </c>
      <c r="BK169" t="str">
        <f ca="1">IFERROR(IF(0=LEN(ReferenceData!$BK$169),"",ReferenceData!$BK$169),"")</f>
        <v/>
      </c>
      <c r="BL169" t="str">
        <f ca="1">IFERROR(IF(0=LEN(ReferenceData!$BL$169),"",ReferenceData!$BL$169),"")</f>
        <v/>
      </c>
      <c r="BM169" t="str">
        <f ca="1">IFERROR(IF(0=LEN(ReferenceData!$BM$169),"",ReferenceData!$BM$169),"")</f>
        <v/>
      </c>
      <c r="BN169" t="str">
        <f ca="1">IFERROR(IF(0=LEN(ReferenceData!$BN$169),"",ReferenceData!$BN$169),"")</f>
        <v/>
      </c>
      <c r="BO169" t="str">
        <f ca="1">IFERROR(IF(0=LEN(ReferenceData!$BO$169),"",ReferenceData!$BO$169),"")</f>
        <v/>
      </c>
      <c r="BP169" t="str">
        <f ca="1">IFERROR(IF(0=LEN(ReferenceData!$BP$169),"",ReferenceData!$BP$169),"")</f>
        <v/>
      </c>
      <c r="BQ169" t="str">
        <f ca="1">IFERROR(IF(0=LEN(ReferenceData!$BQ$169),"",ReferenceData!$BQ$169),"")</f>
        <v/>
      </c>
      <c r="BR169" t="str">
        <f ca="1">IFERROR(IF(0=LEN(ReferenceData!$BR$169),"",ReferenceData!$BR$169),"")</f>
        <v/>
      </c>
      <c r="BS169" t="str">
        <f ca="1">IFERROR(IF(0=LEN(ReferenceData!$BS$169),"",ReferenceData!$BS$169),"")</f>
        <v/>
      </c>
      <c r="BT169" t="str">
        <f ca="1">IFERROR(IF(0=LEN(ReferenceData!$BT$169),"",ReferenceData!$BT$169),"")</f>
        <v/>
      </c>
      <c r="BU169" t="str">
        <f ca="1">IFERROR(IF(0=LEN(ReferenceData!$BU$169),"",ReferenceData!$BU$169),"")</f>
        <v/>
      </c>
      <c r="BV169" t="str">
        <f ca="1">IFERROR(IF(0=LEN(ReferenceData!$BV$169),"",ReferenceData!$BV$169),"")</f>
        <v/>
      </c>
      <c r="BW169" t="str">
        <f ca="1">IFERROR(IF(0=LEN(ReferenceData!$BW$169),"",ReferenceData!$BW$169),"")</f>
        <v/>
      </c>
      <c r="BX169" t="str">
        <f ca="1">IFERROR(IF(0=LEN(ReferenceData!$BX$169),"",ReferenceData!$BX$169),"")</f>
        <v/>
      </c>
      <c r="BY169" t="str">
        <f ca="1">IFERROR(IF(0=LEN(ReferenceData!$BY$169),"",ReferenceData!$BY$169),"")</f>
        <v/>
      </c>
      <c r="BZ169" t="str">
        <f ca="1">IFERROR(IF(0=LEN(ReferenceData!$BZ$169),"",ReferenceData!$BZ$169),"")</f>
        <v/>
      </c>
      <c r="CA169" t="str">
        <f ca="1">IFERROR(IF(0=LEN(ReferenceData!$CA$169),"",ReferenceData!$CA$169),"")</f>
        <v/>
      </c>
      <c r="CB169" t="str">
        <f ca="1">IFERROR(IF(0=LEN(ReferenceData!$CB$169),"",ReferenceData!$CB$169),"")</f>
        <v/>
      </c>
      <c r="CC169" t="str">
        <f ca="1">IFERROR(IF(0=LEN(ReferenceData!$CC$169),"",ReferenceData!$CC$169),"")</f>
        <v/>
      </c>
      <c r="CD169" t="str">
        <f ca="1">IFERROR(IF(0=LEN(ReferenceData!$CD$169),"",ReferenceData!$CD$169),"")</f>
        <v/>
      </c>
      <c r="CE169" t="str">
        <f ca="1">IFERROR(IF(0=LEN(ReferenceData!$CE$169),"",ReferenceData!$CE$169),"")</f>
        <v/>
      </c>
      <c r="CF169" t="str">
        <f ca="1">IFERROR(IF(0=LEN(ReferenceData!$CF$169),"",ReferenceData!$CF$169),"")</f>
        <v/>
      </c>
      <c r="CG169" t="str">
        <f ca="1">IFERROR(IF(0=LEN(ReferenceData!$CG$169),"",ReferenceData!$CG$169),"")</f>
        <v/>
      </c>
      <c r="CH169" t="str">
        <f ca="1">IFERROR(IF(0=LEN(ReferenceData!$CH$169),"",ReferenceData!$CH$169),"")</f>
        <v/>
      </c>
      <c r="CI169" t="str">
        <f ca="1">IFERROR(IF(0=LEN(ReferenceData!$CI$169),"",ReferenceData!$CI$169),"")</f>
        <v/>
      </c>
      <c r="CJ169" t="str">
        <f ca="1">IFERROR(IF(0=LEN(ReferenceData!$CJ$169),"",ReferenceData!$CJ$169),"")</f>
        <v/>
      </c>
      <c r="CK169" t="str">
        <f ca="1">IFERROR(IF(0=LEN(ReferenceData!$CK$169),"",ReferenceData!$CK$169),"")</f>
        <v/>
      </c>
    </row>
    <row r="170" spans="1:89">
      <c r="A170" t="str">
        <f>IFERROR(IF(0=LEN(ReferenceData!$A$170),"",ReferenceData!$A$170),"")</f>
        <v>FFO支付</v>
      </c>
      <c r="B170" t="str">
        <f>IFERROR(IF(0=LEN(ReferenceData!$B$170),"",ReferenceData!$B$170),"")</f>
        <v>BRFREITV Index</v>
      </c>
      <c r="C170" t="str">
        <f>IFERROR(IF(0=LEN(ReferenceData!$C$170),"",ReferenceData!$C$170),"")</f>
        <v/>
      </c>
      <c r="D170" t="str">
        <f>IFERROR(IF(0=LEN(ReferenceData!$D$170),"",ReferenceData!$D$170),"")</f>
        <v/>
      </c>
      <c r="E170" t="str">
        <f>IFERROR(IF(0=LEN(ReferenceData!$E$170),"",ReferenceData!$E$170),"")</f>
        <v>Median</v>
      </c>
      <c r="F170" t="str">
        <f ca="1">IFERROR(IF(0=LEN(ReferenceData!$F$170),"",ReferenceData!$F$170),"")</f>
        <v/>
      </c>
      <c r="G170" t="str">
        <f ca="1">IFERROR(IF(0=LEN(ReferenceData!$G$170),"",ReferenceData!$G$170),"")</f>
        <v/>
      </c>
      <c r="H170" t="str">
        <f ca="1">IFERROR(IF(0=LEN(ReferenceData!$H$170),"",ReferenceData!$H$170),"")</f>
        <v/>
      </c>
      <c r="I170">
        <f ca="1">IFERROR(IF(0=LEN(ReferenceData!$I$170),"",ReferenceData!$I$170),"")</f>
        <v>59.13287485</v>
      </c>
      <c r="J170" t="str">
        <f ca="1">IFERROR(IF(0=LEN(ReferenceData!$J$170),"",ReferenceData!$J$170),"")</f>
        <v/>
      </c>
      <c r="K170" t="str">
        <f ca="1">IFERROR(IF(0=LEN(ReferenceData!$K$170),"",ReferenceData!$K$170),"")</f>
        <v/>
      </c>
      <c r="L170">
        <f ca="1">IFERROR(IF(0=LEN(ReferenceData!$L$170),"",ReferenceData!$L$170),"")</f>
        <v>59.931092329999998</v>
      </c>
      <c r="M170" t="str">
        <f ca="1">IFERROR(IF(0=LEN(ReferenceData!$M$170),"",ReferenceData!$M$170),"")</f>
        <v/>
      </c>
      <c r="N170" t="str">
        <f ca="1">IFERROR(IF(0=LEN(ReferenceData!$N$170),"",ReferenceData!$N$170),"")</f>
        <v/>
      </c>
      <c r="O170">
        <f ca="1">IFERROR(IF(0=LEN(ReferenceData!$O$170),"",ReferenceData!$O$170),"")</f>
        <v>61.895842819999999</v>
      </c>
      <c r="P170" t="str">
        <f ca="1">IFERROR(IF(0=LEN(ReferenceData!$P$170),"",ReferenceData!$P$170),"")</f>
        <v/>
      </c>
      <c r="Q170" t="str">
        <f ca="1">IFERROR(IF(0=LEN(ReferenceData!$Q$170),"",ReferenceData!$Q$170),"")</f>
        <v/>
      </c>
      <c r="R170">
        <f ca="1">IFERROR(IF(0=LEN(ReferenceData!$R$170),"",ReferenceData!$R$170),"")</f>
        <v>61.764485000000001</v>
      </c>
      <c r="S170" t="str">
        <f ca="1">IFERROR(IF(0=LEN(ReferenceData!$S$170),"",ReferenceData!$S$170),"")</f>
        <v/>
      </c>
      <c r="T170" t="str">
        <f ca="1">IFERROR(IF(0=LEN(ReferenceData!$T$170),"",ReferenceData!$T$170),"")</f>
        <v/>
      </c>
      <c r="U170">
        <f ca="1">IFERROR(IF(0=LEN(ReferenceData!$U$170),"",ReferenceData!$U$170),"")</f>
        <v>60.282054729999999</v>
      </c>
      <c r="V170" t="str">
        <f ca="1">IFERROR(IF(0=LEN(ReferenceData!$V$170),"",ReferenceData!$V$170),"")</f>
        <v/>
      </c>
      <c r="W170" t="str">
        <f ca="1">IFERROR(IF(0=LEN(ReferenceData!$W$170),"",ReferenceData!$W$170),"")</f>
        <v/>
      </c>
      <c r="X170">
        <f ca="1">IFERROR(IF(0=LEN(ReferenceData!$X$170),"",ReferenceData!$X$170),"")</f>
        <v>60.86964794</v>
      </c>
      <c r="Y170" t="str">
        <f ca="1">IFERROR(IF(0=LEN(ReferenceData!$Y$170),"",ReferenceData!$Y$170),"")</f>
        <v/>
      </c>
      <c r="Z170" t="str">
        <f ca="1">IFERROR(IF(0=LEN(ReferenceData!$Z$170),"",ReferenceData!$Z$170),"")</f>
        <v/>
      </c>
      <c r="AA170">
        <f ca="1">IFERROR(IF(0=LEN(ReferenceData!$AA$170),"",ReferenceData!$AA$170),"")</f>
        <v>55.69871989</v>
      </c>
      <c r="AB170" t="str">
        <f ca="1">IFERROR(IF(0=LEN(ReferenceData!$AB$170),"",ReferenceData!$AB$170),"")</f>
        <v/>
      </c>
      <c r="AC170" t="str">
        <f ca="1">IFERROR(IF(0=LEN(ReferenceData!$AC$170),"",ReferenceData!$AC$170),"")</f>
        <v/>
      </c>
      <c r="AD170">
        <f ca="1">IFERROR(IF(0=LEN(ReferenceData!$AD$170),"",ReferenceData!$AD$170),"")</f>
        <v>60.855508129999997</v>
      </c>
      <c r="AE170" t="str">
        <f ca="1">IFERROR(IF(0=LEN(ReferenceData!$AE$170),"",ReferenceData!$AE$170),"")</f>
        <v/>
      </c>
      <c r="AF170" t="str">
        <f ca="1">IFERROR(IF(0=LEN(ReferenceData!$AF$170),"",ReferenceData!$AF$170),"")</f>
        <v/>
      </c>
      <c r="AG170">
        <f ca="1">IFERROR(IF(0=LEN(ReferenceData!$AG$170),"",ReferenceData!$AG$170),"")</f>
        <v>56.964191200000002</v>
      </c>
      <c r="AH170" t="str">
        <f ca="1">IFERROR(IF(0=LEN(ReferenceData!$AH$170),"",ReferenceData!$AH$170),"")</f>
        <v/>
      </c>
      <c r="AI170" t="str">
        <f ca="1">IFERROR(IF(0=LEN(ReferenceData!$AI$170),"",ReferenceData!$AI$170),"")</f>
        <v/>
      </c>
      <c r="AJ170">
        <f ca="1">IFERROR(IF(0=LEN(ReferenceData!$AJ$170),"",ReferenceData!$AJ$170),"")</f>
        <v>59.815230100000001</v>
      </c>
      <c r="AK170" t="str">
        <f ca="1">IFERROR(IF(0=LEN(ReferenceData!$AK$170),"",ReferenceData!$AK$170),"")</f>
        <v/>
      </c>
      <c r="AL170" t="str">
        <f ca="1">IFERROR(IF(0=LEN(ReferenceData!$AL$170),"",ReferenceData!$AL$170),"")</f>
        <v/>
      </c>
      <c r="AM170">
        <f ca="1">IFERROR(IF(0=LEN(ReferenceData!$AM$170),"",ReferenceData!$AM$170),"")</f>
        <v>58.304021990000003</v>
      </c>
      <c r="AN170" t="str">
        <f ca="1">IFERROR(IF(0=LEN(ReferenceData!$AN$170),"",ReferenceData!$AN$170),"")</f>
        <v/>
      </c>
      <c r="AO170" t="str">
        <f ca="1">IFERROR(IF(0=LEN(ReferenceData!$AO$170),"",ReferenceData!$AO$170),"")</f>
        <v/>
      </c>
      <c r="AP170">
        <f ca="1">IFERROR(IF(0=LEN(ReferenceData!$AP$170),"",ReferenceData!$AP$170),"")</f>
        <v>62.28367437</v>
      </c>
      <c r="AQ170" t="str">
        <f ca="1">IFERROR(IF(0=LEN(ReferenceData!$AQ$170),"",ReferenceData!$AQ$170),"")</f>
        <v/>
      </c>
      <c r="AR170" t="str">
        <f ca="1">IFERROR(IF(0=LEN(ReferenceData!$AR$170),"",ReferenceData!$AR$170),"")</f>
        <v/>
      </c>
      <c r="AS170">
        <f ca="1">IFERROR(IF(0=LEN(ReferenceData!$AS$170),"",ReferenceData!$AS$170),"")</f>
        <v>55.069655089999998</v>
      </c>
      <c r="AT170" t="str">
        <f ca="1">IFERROR(IF(0=LEN(ReferenceData!$AT$170),"",ReferenceData!$AT$170),"")</f>
        <v/>
      </c>
      <c r="AU170" t="str">
        <f ca="1">IFERROR(IF(0=LEN(ReferenceData!$AU$170),"",ReferenceData!$AU$170),"")</f>
        <v/>
      </c>
      <c r="AV170">
        <f ca="1">IFERROR(IF(0=LEN(ReferenceData!$AV$170),"",ReferenceData!$AV$170),"")</f>
        <v>56.595223660000002</v>
      </c>
      <c r="AW170" t="str">
        <f ca="1">IFERROR(IF(0=LEN(ReferenceData!$AW$170),"",ReferenceData!$AW$170),"")</f>
        <v/>
      </c>
      <c r="AX170" t="str">
        <f ca="1">IFERROR(IF(0=LEN(ReferenceData!$AX$170),"",ReferenceData!$AX$170),"")</f>
        <v/>
      </c>
      <c r="AY170">
        <f ca="1">IFERROR(IF(0=LEN(ReferenceData!$AY$170),"",ReferenceData!$AY$170),"")</f>
        <v>61.805946374999998</v>
      </c>
      <c r="AZ170" t="str">
        <f ca="1">IFERROR(IF(0=LEN(ReferenceData!$AZ$170),"",ReferenceData!$AZ$170),"")</f>
        <v/>
      </c>
      <c r="BA170" t="str">
        <f ca="1">IFERROR(IF(0=LEN(ReferenceData!$BA$170),"",ReferenceData!$BA$170),"")</f>
        <v/>
      </c>
      <c r="BB170">
        <f ca="1">IFERROR(IF(0=LEN(ReferenceData!$BB$170),"",ReferenceData!$BB$170),"")</f>
        <v>61.861145020000002</v>
      </c>
      <c r="BC170" t="str">
        <f ca="1">IFERROR(IF(0=LEN(ReferenceData!$BC$170),"",ReferenceData!$BC$170),"")</f>
        <v/>
      </c>
      <c r="BD170" t="str">
        <f ca="1">IFERROR(IF(0=LEN(ReferenceData!$BD$170),"",ReferenceData!$BD$170),"")</f>
        <v/>
      </c>
      <c r="BE170">
        <f ca="1">IFERROR(IF(0=LEN(ReferenceData!$BE$170),"",ReferenceData!$BE$170),"")</f>
        <v>63.563535639999998</v>
      </c>
      <c r="BF170" t="str">
        <f ca="1">IFERROR(IF(0=LEN(ReferenceData!$BF$170),"",ReferenceData!$BF$170),"")</f>
        <v/>
      </c>
      <c r="BG170" t="str">
        <f ca="1">IFERROR(IF(0=LEN(ReferenceData!$BG$170),"",ReferenceData!$BG$170),"")</f>
        <v/>
      </c>
      <c r="BH170">
        <f ca="1">IFERROR(IF(0=LEN(ReferenceData!$BH$170),"",ReferenceData!$BH$170),"")</f>
        <v>59.294114120000003</v>
      </c>
      <c r="BI170" t="str">
        <f ca="1">IFERROR(IF(0=LEN(ReferenceData!$BI$170),"",ReferenceData!$BI$170),"")</f>
        <v/>
      </c>
      <c r="BJ170" t="str">
        <f ca="1">IFERROR(IF(0=LEN(ReferenceData!$BJ$170),"",ReferenceData!$BJ$170),"")</f>
        <v/>
      </c>
      <c r="BK170">
        <f ca="1">IFERROR(IF(0=LEN(ReferenceData!$BK$170),"",ReferenceData!$BK$170),"")</f>
        <v>59.681768069999997</v>
      </c>
      <c r="BL170" t="str">
        <f ca="1">IFERROR(IF(0=LEN(ReferenceData!$BL$170),"",ReferenceData!$BL$170),"")</f>
        <v/>
      </c>
      <c r="BM170" t="str">
        <f ca="1">IFERROR(IF(0=LEN(ReferenceData!$BM$170),"",ReferenceData!$BM$170),"")</f>
        <v/>
      </c>
      <c r="BN170">
        <f ca="1">IFERROR(IF(0=LEN(ReferenceData!$BN$170),"",ReferenceData!$BN$170),"")</f>
        <v>60.101081909999998</v>
      </c>
      <c r="BO170" t="str">
        <f ca="1">IFERROR(IF(0=LEN(ReferenceData!$BO$170),"",ReferenceData!$BO$170),"")</f>
        <v/>
      </c>
      <c r="BP170" t="str">
        <f ca="1">IFERROR(IF(0=LEN(ReferenceData!$BP$170),"",ReferenceData!$BP$170),"")</f>
        <v/>
      </c>
      <c r="BQ170">
        <f ca="1">IFERROR(IF(0=LEN(ReferenceData!$BQ$170),"",ReferenceData!$BQ$170),"")</f>
        <v>60.291571609999998</v>
      </c>
      <c r="BR170" t="str">
        <f ca="1">IFERROR(IF(0=LEN(ReferenceData!$BR$170),"",ReferenceData!$BR$170),"")</f>
        <v/>
      </c>
      <c r="BS170" t="str">
        <f ca="1">IFERROR(IF(0=LEN(ReferenceData!$BS$170),"",ReferenceData!$BS$170),"")</f>
        <v/>
      </c>
      <c r="BT170">
        <f ca="1">IFERROR(IF(0=LEN(ReferenceData!$BT$170),"",ReferenceData!$BT$170),"")</f>
        <v>58.399230330000002</v>
      </c>
      <c r="BU170" t="str">
        <f ca="1">IFERROR(IF(0=LEN(ReferenceData!$BU$170),"",ReferenceData!$BU$170),"")</f>
        <v/>
      </c>
      <c r="BV170" t="str">
        <f ca="1">IFERROR(IF(0=LEN(ReferenceData!$BV$170),"",ReferenceData!$BV$170),"")</f>
        <v/>
      </c>
      <c r="BW170">
        <f ca="1">IFERROR(IF(0=LEN(ReferenceData!$BW$170),"",ReferenceData!$BW$170),"")</f>
        <v>60.757010440000002</v>
      </c>
      <c r="BX170" t="str">
        <f ca="1">IFERROR(IF(0=LEN(ReferenceData!$BX$170),"",ReferenceData!$BX$170),"")</f>
        <v/>
      </c>
      <c r="BY170" t="str">
        <f ca="1">IFERROR(IF(0=LEN(ReferenceData!$BY$170),"",ReferenceData!$BY$170),"")</f>
        <v/>
      </c>
      <c r="BZ170">
        <f ca="1">IFERROR(IF(0=LEN(ReferenceData!$BZ$170),"",ReferenceData!$BZ$170),"")</f>
        <v>58.34530651</v>
      </c>
      <c r="CA170" t="str">
        <f ca="1">IFERROR(IF(0=LEN(ReferenceData!$CA$170),"",ReferenceData!$CA$170),"")</f>
        <v/>
      </c>
      <c r="CB170" t="str">
        <f ca="1">IFERROR(IF(0=LEN(ReferenceData!$CB$170),"",ReferenceData!$CB$170),"")</f>
        <v/>
      </c>
      <c r="CC170">
        <f ca="1">IFERROR(IF(0=LEN(ReferenceData!$CC$170),"",ReferenceData!$CC$170),"")</f>
        <v>58.399771800000003</v>
      </c>
      <c r="CD170" t="str">
        <f ca="1">IFERROR(IF(0=LEN(ReferenceData!$CD$170),"",ReferenceData!$CD$170),"")</f>
        <v/>
      </c>
      <c r="CE170" t="str">
        <f ca="1">IFERROR(IF(0=LEN(ReferenceData!$CE$170),"",ReferenceData!$CE$170),"")</f>
        <v/>
      </c>
      <c r="CF170">
        <f ca="1">IFERROR(IF(0=LEN(ReferenceData!$CF$170),"",ReferenceData!$CF$170),"")</f>
        <v>59.593953829999997</v>
      </c>
      <c r="CG170" t="str">
        <f ca="1">IFERROR(IF(0=LEN(ReferenceData!$CG$170),"",ReferenceData!$CG$170),"")</f>
        <v/>
      </c>
      <c r="CH170" t="str">
        <f ca="1">IFERROR(IF(0=LEN(ReferenceData!$CH$170),"",ReferenceData!$CH$170),"")</f>
        <v/>
      </c>
      <c r="CI170">
        <f ca="1">IFERROR(IF(0=LEN(ReferenceData!$CI$170),"",ReferenceData!$CI$170),"")</f>
        <v>63.896586040000003</v>
      </c>
      <c r="CJ170" t="str">
        <f ca="1">IFERROR(IF(0=LEN(ReferenceData!$CJ$170),"",ReferenceData!$CJ$170),"")</f>
        <v/>
      </c>
      <c r="CK170" t="str">
        <f ca="1">IFERROR(IF(0=LEN(ReferenceData!$CK$170),"",ReferenceData!$CK$170),"")</f>
        <v/>
      </c>
    </row>
    <row r="171" spans="1:89">
      <c r="A171" t="str">
        <f>IFERROR(IF(0=LEN(ReferenceData!$A$171),"",ReferenceData!$A$171),"")</f>
        <v xml:space="preserve">    公寓投资与管理</v>
      </c>
      <c r="B171" t="str">
        <f>IFERROR(IF(0=LEN(ReferenceData!$B$171),"",ReferenceData!$B$171),"")</f>
        <v>AIV US Equity</v>
      </c>
      <c r="C171" t="str">
        <f>IFERROR(IF(0=LEN(ReferenceData!$C$171),"",ReferenceData!$C$171),"")</f>
        <v>RR106</v>
      </c>
      <c r="D171" t="str">
        <f>IFERROR(IF(0=LEN(ReferenceData!$D$171),"",ReferenceData!$D$171),"")</f>
        <v>FFO_PAYOUT_RATIO</v>
      </c>
      <c r="E171" t="str">
        <f>IFERROR(IF(0=LEN(ReferenceData!$E$171),"",ReferenceData!$E$171),"")</f>
        <v>动态</v>
      </c>
      <c r="F171" t="str">
        <f ca="1">IFERROR(IF(0=LEN(ReferenceData!$F$171),"",ReferenceData!$F$171),"")</f>
        <v/>
      </c>
      <c r="G171" t="str">
        <f ca="1">IFERROR(IF(0=LEN(ReferenceData!$G$171),"",ReferenceData!$G$171),"")</f>
        <v/>
      </c>
      <c r="H171" t="str">
        <f ca="1">IFERROR(IF(0=LEN(ReferenceData!$H$171),"",ReferenceData!$H$171),"")</f>
        <v/>
      </c>
      <c r="I171">
        <f ca="1">IFERROR(IF(0=LEN(ReferenceData!$I$171),"",ReferenceData!$I$171),"")</f>
        <v>56.649913480000002</v>
      </c>
      <c r="J171" t="str">
        <f ca="1">IFERROR(IF(0=LEN(ReferenceData!$J$171),"",ReferenceData!$J$171),"")</f>
        <v/>
      </c>
      <c r="K171" t="str">
        <f ca="1">IFERROR(IF(0=LEN(ReferenceData!$K$171),"",ReferenceData!$K$171),"")</f>
        <v/>
      </c>
      <c r="L171">
        <f ca="1">IFERROR(IF(0=LEN(ReferenceData!$L$171),"",ReferenceData!$L$171),"")</f>
        <v>57.177568000000001</v>
      </c>
      <c r="M171" t="str">
        <f ca="1">IFERROR(IF(0=LEN(ReferenceData!$M$171),"",ReferenceData!$M$171),"")</f>
        <v/>
      </c>
      <c r="N171" t="str">
        <f ca="1">IFERROR(IF(0=LEN(ReferenceData!$N$171),"",ReferenceData!$N$171),"")</f>
        <v/>
      </c>
      <c r="O171">
        <f ca="1">IFERROR(IF(0=LEN(ReferenceData!$O$171),"",ReferenceData!$O$171),"")</f>
        <v>59.021995660000002</v>
      </c>
      <c r="P171" t="str">
        <f ca="1">IFERROR(IF(0=LEN(ReferenceData!$P$171),"",ReferenceData!$P$171),"")</f>
        <v/>
      </c>
      <c r="Q171" t="str">
        <f ca="1">IFERROR(IF(0=LEN(ReferenceData!$Q$171),"",ReferenceData!$Q$171),"")</f>
        <v/>
      </c>
      <c r="R171">
        <f ca="1">IFERROR(IF(0=LEN(ReferenceData!$R$171),"",ReferenceData!$R$171),"")</f>
        <v>61.764485000000001</v>
      </c>
      <c r="S171" t="str">
        <f ca="1">IFERROR(IF(0=LEN(ReferenceData!$S$171),"",ReferenceData!$S$171),"")</f>
        <v/>
      </c>
      <c r="T171" t="str">
        <f ca="1">IFERROR(IF(0=LEN(ReferenceData!$T$171),"",ReferenceData!$T$171),"")</f>
        <v/>
      </c>
      <c r="U171">
        <f ca="1">IFERROR(IF(0=LEN(ReferenceData!$U$171),"",ReferenceData!$U$171),"")</f>
        <v>54.715394420000003</v>
      </c>
      <c r="V171" t="str">
        <f ca="1">IFERROR(IF(0=LEN(ReferenceData!$V$171),"",ReferenceData!$V$171),"")</f>
        <v/>
      </c>
      <c r="W171" t="str">
        <f ca="1">IFERROR(IF(0=LEN(ReferenceData!$W$171),"",ReferenceData!$W$171),"")</f>
        <v/>
      </c>
      <c r="X171">
        <f ca="1">IFERROR(IF(0=LEN(ReferenceData!$X$171),"",ReferenceData!$X$171),"")</f>
        <v>60.86964794</v>
      </c>
      <c r="Y171" t="str">
        <f ca="1">IFERROR(IF(0=LEN(ReferenceData!$Y$171),"",ReferenceData!$Y$171),"")</f>
        <v/>
      </c>
      <c r="Z171" t="str">
        <f ca="1">IFERROR(IF(0=LEN(ReferenceData!$Z$171),"",ReferenceData!$Z$171),"")</f>
        <v/>
      </c>
      <c r="AA171">
        <f ca="1">IFERROR(IF(0=LEN(ReferenceData!$AA$171),"",ReferenceData!$AA$171),"")</f>
        <v>55.69871989</v>
      </c>
      <c r="AB171" t="str">
        <f ca="1">IFERROR(IF(0=LEN(ReferenceData!$AB$171),"",ReferenceData!$AB$171),"")</f>
        <v/>
      </c>
      <c r="AC171" t="str">
        <f ca="1">IFERROR(IF(0=LEN(ReferenceData!$AC$171),"",ReferenceData!$AC$171),"")</f>
        <v/>
      </c>
      <c r="AD171">
        <f ca="1">IFERROR(IF(0=LEN(ReferenceData!$AD$171),"",ReferenceData!$AD$171),"")</f>
        <v>57.58468397</v>
      </c>
      <c r="AE171" t="str">
        <f ca="1">IFERROR(IF(0=LEN(ReferenceData!$AE$171),"",ReferenceData!$AE$171),"")</f>
        <v/>
      </c>
      <c r="AF171" t="str">
        <f ca="1">IFERROR(IF(0=LEN(ReferenceData!$AF$171),"",ReferenceData!$AF$171),"")</f>
        <v/>
      </c>
      <c r="AG171">
        <f ca="1">IFERROR(IF(0=LEN(ReferenceData!$AG$171),"",ReferenceData!$AG$171),"")</f>
        <v>51.339938199999999</v>
      </c>
      <c r="AH171" t="str">
        <f ca="1">IFERROR(IF(0=LEN(ReferenceData!$AH$171),"",ReferenceData!$AH$171),"")</f>
        <v/>
      </c>
      <c r="AI171" t="str">
        <f ca="1">IFERROR(IF(0=LEN(ReferenceData!$AI$171),"",ReferenceData!$AI$171),"")</f>
        <v/>
      </c>
      <c r="AJ171">
        <f ca="1">IFERROR(IF(0=LEN(ReferenceData!$AJ$171),"",ReferenceData!$AJ$171),"")</f>
        <v>52.946839629999999</v>
      </c>
      <c r="AK171" t="str">
        <f ca="1">IFERROR(IF(0=LEN(ReferenceData!$AK$171),"",ReferenceData!$AK$171),"")</f>
        <v/>
      </c>
      <c r="AL171" t="str">
        <f ca="1">IFERROR(IF(0=LEN(ReferenceData!$AL$171),"",ReferenceData!$AL$171),"")</f>
        <v/>
      </c>
      <c r="AM171">
        <f ca="1">IFERROR(IF(0=LEN(ReferenceData!$AM$171),"",ReferenceData!$AM$171),"")</f>
        <v>53.577235770000001</v>
      </c>
      <c r="AN171" t="str">
        <f ca="1">IFERROR(IF(0=LEN(ReferenceData!$AN$171),"",ReferenceData!$AN$171),"")</f>
        <v/>
      </c>
      <c r="AO171" t="str">
        <f ca="1">IFERROR(IF(0=LEN(ReferenceData!$AO$171),"",ReferenceData!$AO$171),"")</f>
        <v/>
      </c>
      <c r="AP171">
        <f ca="1">IFERROR(IF(0=LEN(ReferenceData!$AP$171),"",ReferenceData!$AP$171),"")</f>
        <v>54.308476030000001</v>
      </c>
      <c r="AQ171" t="str">
        <f ca="1">IFERROR(IF(0=LEN(ReferenceData!$AQ$171),"",ReferenceData!$AQ$171),"")</f>
        <v/>
      </c>
      <c r="AR171" t="str">
        <f ca="1">IFERROR(IF(0=LEN(ReferenceData!$AR$171),"",ReferenceData!$AR$171),"")</f>
        <v/>
      </c>
      <c r="AS171">
        <f ca="1">IFERROR(IF(0=LEN(ReferenceData!$AS$171),"",ReferenceData!$AS$171),"")</f>
        <v>51.786462960000001</v>
      </c>
      <c r="AT171" t="str">
        <f ca="1">IFERROR(IF(0=LEN(ReferenceData!$AT$171),"",ReferenceData!$AT$171),"")</f>
        <v/>
      </c>
      <c r="AU171" t="str">
        <f ca="1">IFERROR(IF(0=LEN(ReferenceData!$AU$171),"",ReferenceData!$AU$171),"")</f>
        <v/>
      </c>
      <c r="AV171">
        <f ca="1">IFERROR(IF(0=LEN(ReferenceData!$AV$171),"",ReferenceData!$AV$171),"")</f>
        <v>51.326322640000001</v>
      </c>
      <c r="AW171" t="str">
        <f ca="1">IFERROR(IF(0=LEN(ReferenceData!$AW$171),"",ReferenceData!$AW$171),"")</f>
        <v/>
      </c>
      <c r="AX171" t="str">
        <f ca="1">IFERROR(IF(0=LEN(ReferenceData!$AX$171),"",ReferenceData!$AX$171),"")</f>
        <v/>
      </c>
      <c r="AY171">
        <f ca="1">IFERROR(IF(0=LEN(ReferenceData!$AY$171),"",ReferenceData!$AY$171),"")</f>
        <v>49.831993369999999</v>
      </c>
      <c r="AZ171" t="str">
        <f ca="1">IFERROR(IF(0=LEN(ReferenceData!$AZ$171),"",ReferenceData!$AZ$171),"")</f>
        <v/>
      </c>
      <c r="BA171" t="str">
        <f ca="1">IFERROR(IF(0=LEN(ReferenceData!$BA$171),"",ReferenceData!$BA$171),"")</f>
        <v/>
      </c>
      <c r="BB171">
        <f ca="1">IFERROR(IF(0=LEN(ReferenceData!$BB$171),"",ReferenceData!$BB$171),"")</f>
        <v>51.648864549999999</v>
      </c>
      <c r="BC171" t="str">
        <f ca="1">IFERROR(IF(0=LEN(ReferenceData!$BC$171),"",ReferenceData!$BC$171),"")</f>
        <v/>
      </c>
      <c r="BD171" t="str">
        <f ca="1">IFERROR(IF(0=LEN(ReferenceData!$BD$171),"",ReferenceData!$BD$171),"")</f>
        <v/>
      </c>
      <c r="BE171">
        <f ca="1">IFERROR(IF(0=LEN(ReferenceData!$BE$171),"",ReferenceData!$BE$171),"")</f>
        <v>42.34980453</v>
      </c>
      <c r="BF171" t="str">
        <f ca="1">IFERROR(IF(0=LEN(ReferenceData!$BF$171),"",ReferenceData!$BF$171),"")</f>
        <v/>
      </c>
      <c r="BG171" t="str">
        <f ca="1">IFERROR(IF(0=LEN(ReferenceData!$BG$171),"",ReferenceData!$BG$171),"")</f>
        <v/>
      </c>
      <c r="BH171">
        <f ca="1">IFERROR(IF(0=LEN(ReferenceData!$BH$171),"",ReferenceData!$BH$171),"")</f>
        <v>47.503180030000003</v>
      </c>
      <c r="BI171" t="str">
        <f ca="1">IFERROR(IF(0=LEN(ReferenceData!$BI$171),"",ReferenceData!$BI$171),"")</f>
        <v/>
      </c>
      <c r="BJ171" t="str">
        <f ca="1">IFERROR(IF(0=LEN(ReferenceData!$BJ$171),"",ReferenceData!$BJ$171),"")</f>
        <v/>
      </c>
      <c r="BK171">
        <f ca="1">IFERROR(IF(0=LEN(ReferenceData!$BK$171),"",ReferenceData!$BK$171),"")</f>
        <v>49.063162929999997</v>
      </c>
      <c r="BL171" t="str">
        <f ca="1">IFERROR(IF(0=LEN(ReferenceData!$BL$171),"",ReferenceData!$BL$171),"")</f>
        <v/>
      </c>
      <c r="BM171" t="str">
        <f ca="1">IFERROR(IF(0=LEN(ReferenceData!$BM$171),"",ReferenceData!$BM$171),"")</f>
        <v/>
      </c>
      <c r="BN171">
        <f ca="1">IFERROR(IF(0=LEN(ReferenceData!$BN$171),"",ReferenceData!$BN$171),"")</f>
        <v>49.670050179999997</v>
      </c>
      <c r="BO171" t="str">
        <f ca="1">IFERROR(IF(0=LEN(ReferenceData!$BO$171),"",ReferenceData!$BO$171),"")</f>
        <v/>
      </c>
      <c r="BP171" t="str">
        <f ca="1">IFERROR(IF(0=LEN(ReferenceData!$BP$171),"",ReferenceData!$BP$171),"")</f>
        <v/>
      </c>
      <c r="BQ171">
        <f ca="1">IFERROR(IF(0=LEN(ReferenceData!$BQ$171),"",ReferenceData!$BQ$171),"")</f>
        <v>38.71626492</v>
      </c>
      <c r="BR171" t="str">
        <f ca="1">IFERROR(IF(0=LEN(ReferenceData!$BR$171),"",ReferenceData!$BR$171),"")</f>
        <v/>
      </c>
      <c r="BS171" t="str">
        <f ca="1">IFERROR(IF(0=LEN(ReferenceData!$BS$171),"",ReferenceData!$BS$171),"")</f>
        <v/>
      </c>
      <c r="BT171">
        <f ca="1">IFERROR(IF(0=LEN(ReferenceData!$BT$171),"",ReferenceData!$BT$171),"")</f>
        <v>52.946289970000002</v>
      </c>
      <c r="BU171" t="str">
        <f ca="1">IFERROR(IF(0=LEN(ReferenceData!$BU$171),"",ReferenceData!$BU$171),"")</f>
        <v/>
      </c>
      <c r="BV171" t="str">
        <f ca="1">IFERROR(IF(0=LEN(ReferenceData!$BV$171),"",ReferenceData!$BV$171),"")</f>
        <v/>
      </c>
      <c r="BW171">
        <f ca="1">IFERROR(IF(0=LEN(ReferenceData!$BW$171),"",ReferenceData!$BW$171),"")</f>
        <v>47.374390550000001</v>
      </c>
      <c r="BX171" t="str">
        <f ca="1">IFERROR(IF(0=LEN(ReferenceData!$BX$171),"",ReferenceData!$BX$171),"")</f>
        <v/>
      </c>
      <c r="BY171" t="str">
        <f ca="1">IFERROR(IF(0=LEN(ReferenceData!$BY$171),"",ReferenceData!$BY$171),"")</f>
        <v/>
      </c>
      <c r="BZ171">
        <f ca="1">IFERROR(IF(0=LEN(ReferenceData!$BZ$171),"",ReferenceData!$BZ$171),"")</f>
        <v>44.843175760000001</v>
      </c>
      <c r="CA171" t="str">
        <f ca="1">IFERROR(IF(0=LEN(ReferenceData!$CA$171),"",ReferenceData!$CA$171),"")</f>
        <v/>
      </c>
      <c r="CB171" t="str">
        <f ca="1">IFERROR(IF(0=LEN(ReferenceData!$CB$171),"",ReferenceData!$CB$171),"")</f>
        <v/>
      </c>
      <c r="CC171">
        <f ca="1">IFERROR(IF(0=LEN(ReferenceData!$CC$171),"",ReferenceData!$CC$171),"")</f>
        <v>27.659782960000001</v>
      </c>
      <c r="CD171" t="str">
        <f ca="1">IFERROR(IF(0=LEN(ReferenceData!$CD$171),"",ReferenceData!$CD$171),"")</f>
        <v/>
      </c>
      <c r="CE171" t="str">
        <f ca="1">IFERROR(IF(0=LEN(ReferenceData!$CE$171),"",ReferenceData!$CE$171),"")</f>
        <v/>
      </c>
      <c r="CF171">
        <f ca="1">IFERROR(IF(0=LEN(ReferenceData!$CF$171),"",ReferenceData!$CF$171),"")</f>
        <v>29.470775509999999</v>
      </c>
      <c r="CG171" t="str">
        <f ca="1">IFERROR(IF(0=LEN(ReferenceData!$CG$171),"",ReferenceData!$CG$171),"")</f>
        <v/>
      </c>
      <c r="CH171" t="str">
        <f ca="1">IFERROR(IF(0=LEN(ReferenceData!$CH$171),"",ReferenceData!$CH$171),"")</f>
        <v/>
      </c>
      <c r="CI171">
        <f ca="1">IFERROR(IF(0=LEN(ReferenceData!$CI$171),"",ReferenceData!$CI$171),"")</f>
        <v>41.07883245</v>
      </c>
      <c r="CJ171" t="str">
        <f ca="1">IFERROR(IF(0=LEN(ReferenceData!$CJ$171),"",ReferenceData!$CJ$171),"")</f>
        <v/>
      </c>
      <c r="CK171" t="str">
        <f ca="1">IFERROR(IF(0=LEN(ReferenceData!$CK$171),"",ReferenceData!$CK$171),"")</f>
        <v/>
      </c>
    </row>
    <row r="172" spans="1:89">
      <c r="A172" t="str">
        <f>IFERROR(IF(0=LEN(ReferenceData!$A$172),"",ReferenceData!$A$172),"")</f>
        <v xml:space="preserve">    AvalonBay社区股份有限公司</v>
      </c>
      <c r="B172" t="str">
        <f>IFERROR(IF(0=LEN(ReferenceData!$B$172),"",ReferenceData!$B$172),"")</f>
        <v>AVB US Equity</v>
      </c>
      <c r="C172" t="str">
        <f>IFERROR(IF(0=LEN(ReferenceData!$C$172),"",ReferenceData!$C$172),"")</f>
        <v>RR106</v>
      </c>
      <c r="D172" t="str">
        <f>IFERROR(IF(0=LEN(ReferenceData!$D$172),"",ReferenceData!$D$172),"")</f>
        <v>FFO_PAYOUT_RATIO</v>
      </c>
      <c r="E172" t="str">
        <f>IFERROR(IF(0=LEN(ReferenceData!$E$172),"",ReferenceData!$E$172),"")</f>
        <v>动态</v>
      </c>
      <c r="F172" t="str">
        <f ca="1">IFERROR(IF(0=LEN(ReferenceData!$F$172),"",ReferenceData!$F$172),"")</f>
        <v/>
      </c>
      <c r="G172" t="str">
        <f ca="1">IFERROR(IF(0=LEN(ReferenceData!$G$172),"",ReferenceData!$G$172),"")</f>
        <v/>
      </c>
      <c r="H172" t="str">
        <f ca="1">IFERROR(IF(0=LEN(ReferenceData!$H$172),"",ReferenceData!$H$172),"")</f>
        <v/>
      </c>
      <c r="I172">
        <f ca="1">IFERROR(IF(0=LEN(ReferenceData!$I$172),"",ReferenceData!$I$172),"")</f>
        <v>65.102520519999999</v>
      </c>
      <c r="J172" t="str">
        <f ca="1">IFERROR(IF(0=LEN(ReferenceData!$J$172),"",ReferenceData!$J$172),"")</f>
        <v/>
      </c>
      <c r="K172" t="str">
        <f ca="1">IFERROR(IF(0=LEN(ReferenceData!$K$172),"",ReferenceData!$K$172),"")</f>
        <v/>
      </c>
      <c r="L172">
        <f ca="1">IFERROR(IF(0=LEN(ReferenceData!$L$172),"",ReferenceData!$L$172),"")</f>
        <v>60.610107040000003</v>
      </c>
      <c r="M172" t="str">
        <f ca="1">IFERROR(IF(0=LEN(ReferenceData!$M$172),"",ReferenceData!$M$172),"")</f>
        <v/>
      </c>
      <c r="N172" t="str">
        <f ca="1">IFERROR(IF(0=LEN(ReferenceData!$N$172),"",ReferenceData!$N$172),"")</f>
        <v/>
      </c>
      <c r="O172">
        <f ca="1">IFERROR(IF(0=LEN(ReferenceData!$O$172),"",ReferenceData!$O$172),"")</f>
        <v>74.754475859999999</v>
      </c>
      <c r="P172" t="str">
        <f ca="1">IFERROR(IF(0=LEN(ReferenceData!$P$172),"",ReferenceData!$P$172),"")</f>
        <v/>
      </c>
      <c r="Q172" t="str">
        <f ca="1">IFERROR(IF(0=LEN(ReferenceData!$Q$172),"",ReferenceData!$Q$172),"")</f>
        <v/>
      </c>
      <c r="R172">
        <f ca="1">IFERROR(IF(0=LEN(ReferenceData!$R$172),"",ReferenceData!$R$172),"")</f>
        <v>69.828370750000005</v>
      </c>
      <c r="S172" t="str">
        <f ca="1">IFERROR(IF(0=LEN(ReferenceData!$S$172),"",ReferenceData!$S$172),"")</f>
        <v/>
      </c>
      <c r="T172" t="str">
        <f ca="1">IFERROR(IF(0=LEN(ReferenceData!$T$172),"",ReferenceData!$T$172),"")</f>
        <v/>
      </c>
      <c r="U172">
        <f ca="1">IFERROR(IF(0=LEN(ReferenceData!$U$172),"",ReferenceData!$U$172),"")</f>
        <v>64.356081639999999</v>
      </c>
      <c r="V172" t="str">
        <f ca="1">IFERROR(IF(0=LEN(ReferenceData!$V$172),"",ReferenceData!$V$172),"")</f>
        <v/>
      </c>
      <c r="W172" t="str">
        <f ca="1">IFERROR(IF(0=LEN(ReferenceData!$W$172),"",ReferenceData!$W$172),"")</f>
        <v/>
      </c>
      <c r="X172">
        <f ca="1">IFERROR(IF(0=LEN(ReferenceData!$X$172),"",ReferenceData!$X$172),"")</f>
        <v>64.03226085</v>
      </c>
      <c r="Y172" t="str">
        <f ca="1">IFERROR(IF(0=LEN(ReferenceData!$Y$172),"",ReferenceData!$Y$172),"")</f>
        <v/>
      </c>
      <c r="Z172" t="str">
        <f ca="1">IFERROR(IF(0=LEN(ReferenceData!$Z$172),"",ReferenceData!$Z$172),"")</f>
        <v/>
      </c>
      <c r="AA172">
        <f ca="1">IFERROR(IF(0=LEN(ReferenceData!$AA$172),"",ReferenceData!$AA$172),"")</f>
        <v>67.755318369999998</v>
      </c>
      <c r="AB172" t="str">
        <f ca="1">IFERROR(IF(0=LEN(ReferenceData!$AB$172),"",ReferenceData!$AB$172),"")</f>
        <v/>
      </c>
      <c r="AC172" t="str">
        <f ca="1">IFERROR(IF(0=LEN(ReferenceData!$AC$172),"",ReferenceData!$AC$172),"")</f>
        <v/>
      </c>
      <c r="AD172">
        <f ca="1">IFERROR(IF(0=LEN(ReferenceData!$AD$172),"",ReferenceData!$AD$172),"")</f>
        <v>65.065515989999994</v>
      </c>
      <c r="AE172" t="str">
        <f ca="1">IFERROR(IF(0=LEN(ReferenceData!$AE$172),"",ReferenceData!$AE$172),"")</f>
        <v/>
      </c>
      <c r="AF172" t="str">
        <f ca="1">IFERROR(IF(0=LEN(ReferenceData!$AF$172),"",ReferenceData!$AF$172),"")</f>
        <v/>
      </c>
      <c r="AG172">
        <f ca="1">IFERROR(IF(0=LEN(ReferenceData!$AG$172),"",ReferenceData!$AG$172),"")</f>
        <v>63.390275950000003</v>
      </c>
      <c r="AH172" t="str">
        <f ca="1">IFERROR(IF(0=LEN(ReferenceData!$AH$172),"",ReferenceData!$AH$172),"")</f>
        <v/>
      </c>
      <c r="AI172" t="str">
        <f ca="1">IFERROR(IF(0=LEN(ReferenceData!$AI$172),"",ReferenceData!$AI$172),"")</f>
        <v/>
      </c>
      <c r="AJ172">
        <f ca="1">IFERROR(IF(0=LEN(ReferenceData!$AJ$172),"",ReferenceData!$AJ$172),"")</f>
        <v>62.930200569999997</v>
      </c>
      <c r="AK172" t="str">
        <f ca="1">IFERROR(IF(0=LEN(ReferenceData!$AK$172),"",ReferenceData!$AK$172),"")</f>
        <v/>
      </c>
      <c r="AL172" t="str">
        <f ca="1">IFERROR(IF(0=LEN(ReferenceData!$AL$172),"",ReferenceData!$AL$172),"")</f>
        <v/>
      </c>
      <c r="AM172">
        <f ca="1">IFERROR(IF(0=LEN(ReferenceData!$AM$172),"",ReferenceData!$AM$172),"")</f>
        <v>57.185496809999997</v>
      </c>
      <c r="AN172" t="str">
        <f ca="1">IFERROR(IF(0=LEN(ReferenceData!$AN$172),"",ReferenceData!$AN$172),"")</f>
        <v/>
      </c>
      <c r="AO172" t="str">
        <f ca="1">IFERROR(IF(0=LEN(ReferenceData!$AO$172),"",ReferenceData!$AO$172),"")</f>
        <v/>
      </c>
      <c r="AP172">
        <f ca="1">IFERROR(IF(0=LEN(ReferenceData!$AP$172),"",ReferenceData!$AP$172),"")</f>
        <v>65.933824729999998</v>
      </c>
      <c r="AQ172" t="str">
        <f ca="1">IFERROR(IF(0=LEN(ReferenceData!$AQ$172),"",ReferenceData!$AQ$172),"")</f>
        <v/>
      </c>
      <c r="AR172" t="str">
        <f ca="1">IFERROR(IF(0=LEN(ReferenceData!$AR$172),"",ReferenceData!$AR$172),"")</f>
        <v/>
      </c>
      <c r="AS172">
        <f ca="1">IFERROR(IF(0=LEN(ReferenceData!$AS$172),"",ReferenceData!$AS$172),"")</f>
        <v>65.605351970000001</v>
      </c>
      <c r="AT172" t="str">
        <f ca="1">IFERROR(IF(0=LEN(ReferenceData!$AT$172),"",ReferenceData!$AT$172),"")</f>
        <v/>
      </c>
      <c r="AU172" t="str">
        <f ca="1">IFERROR(IF(0=LEN(ReferenceData!$AU$172),"",ReferenceData!$AU$172),"")</f>
        <v/>
      </c>
      <c r="AV172">
        <f ca="1">IFERROR(IF(0=LEN(ReferenceData!$AV$172),"",ReferenceData!$AV$172),"")</f>
        <v>54.254998739999998</v>
      </c>
      <c r="AW172" t="str">
        <f ca="1">IFERROR(IF(0=LEN(ReferenceData!$AW$172),"",ReferenceData!$AW$172),"")</f>
        <v/>
      </c>
      <c r="AX172" t="str">
        <f ca="1">IFERROR(IF(0=LEN(ReferenceData!$AX$172),"",ReferenceData!$AX$172),"")</f>
        <v/>
      </c>
      <c r="AY172">
        <f ca="1">IFERROR(IF(0=LEN(ReferenceData!$AY$172),"",ReferenceData!$AY$172),"")</f>
        <v>68.366998370000005</v>
      </c>
      <c r="AZ172" t="str">
        <f ca="1">IFERROR(IF(0=LEN(ReferenceData!$AZ$172),"",ReferenceData!$AZ$172),"")</f>
        <v/>
      </c>
      <c r="BA172" t="str">
        <f ca="1">IFERROR(IF(0=LEN(ReferenceData!$BA$172),"",ReferenceData!$BA$172),"")</f>
        <v/>
      </c>
      <c r="BB172">
        <f ca="1">IFERROR(IF(0=LEN(ReferenceData!$BB$172),"",ReferenceData!$BB$172),"")</f>
        <v>70.617115740000003</v>
      </c>
      <c r="BC172" t="str">
        <f ca="1">IFERROR(IF(0=LEN(ReferenceData!$BC$172),"",ReferenceData!$BC$172),"")</f>
        <v/>
      </c>
      <c r="BD172" t="str">
        <f ca="1">IFERROR(IF(0=LEN(ReferenceData!$BD$172),"",ReferenceData!$BD$172),"")</f>
        <v/>
      </c>
      <c r="BE172">
        <f ca="1">IFERROR(IF(0=LEN(ReferenceData!$BE$172),"",ReferenceData!$BE$172),"")</f>
        <v>70.888279139999995</v>
      </c>
      <c r="BF172" t="str">
        <f ca="1">IFERROR(IF(0=LEN(ReferenceData!$BF$172),"",ReferenceData!$BF$172),"")</f>
        <v/>
      </c>
      <c r="BG172" t="str">
        <f ca="1">IFERROR(IF(0=LEN(ReferenceData!$BG$172),"",ReferenceData!$BG$172),"")</f>
        <v/>
      </c>
      <c r="BH172">
        <f ca="1">IFERROR(IF(0=LEN(ReferenceData!$BH$172),"",ReferenceData!$BH$172),"")</f>
        <v>90.283057619999994</v>
      </c>
      <c r="BI172" t="str">
        <f ca="1">IFERROR(IF(0=LEN(ReferenceData!$BI$172),"",ReferenceData!$BI$172),"")</f>
        <v/>
      </c>
      <c r="BJ172" t="str">
        <f ca="1">IFERROR(IF(0=LEN(ReferenceData!$BJ$172),"",ReferenceData!$BJ$172),"")</f>
        <v/>
      </c>
      <c r="BK172">
        <f ca="1">IFERROR(IF(0=LEN(ReferenceData!$BK$172),"",ReferenceData!$BK$172),"")</f>
        <v>69.030382799999998</v>
      </c>
      <c r="BL172" t="str">
        <f ca="1">IFERROR(IF(0=LEN(ReferenceData!$BL$172),"",ReferenceData!$BL$172),"")</f>
        <v/>
      </c>
      <c r="BM172" t="str">
        <f ca="1">IFERROR(IF(0=LEN(ReferenceData!$BM$172),"",ReferenceData!$BM$172),"")</f>
        <v/>
      </c>
      <c r="BN172">
        <f ca="1">IFERROR(IF(0=LEN(ReferenceData!$BN$172),"",ReferenceData!$BN$172),"")</f>
        <v>148.0061153</v>
      </c>
      <c r="BO172" t="str">
        <f ca="1">IFERROR(IF(0=LEN(ReferenceData!$BO$172),"",ReferenceData!$BO$172),"")</f>
        <v/>
      </c>
      <c r="BP172" t="str">
        <f ca="1">IFERROR(IF(0=LEN(ReferenceData!$BP$172),"",ReferenceData!$BP$172),"")</f>
        <v/>
      </c>
      <c r="BQ172">
        <f ca="1">IFERROR(IF(0=LEN(ReferenceData!$BQ$172),"",ReferenceData!$BQ$172),"")</f>
        <v>84.947372450000003</v>
      </c>
      <c r="BR172" t="str">
        <f ca="1">IFERROR(IF(0=LEN(ReferenceData!$BR$172),"",ReferenceData!$BR$172),"")</f>
        <v/>
      </c>
      <c r="BS172" t="str">
        <f ca="1">IFERROR(IF(0=LEN(ReferenceData!$BS$172),"",ReferenceData!$BS$172),"")</f>
        <v/>
      </c>
      <c r="BT172">
        <f ca="1">IFERROR(IF(0=LEN(ReferenceData!$BT$172),"",ReferenceData!$BT$172),"")</f>
        <v>67.576721239999998</v>
      </c>
      <c r="BU172" t="str">
        <f ca="1">IFERROR(IF(0=LEN(ReferenceData!$BU$172),"",ReferenceData!$BU$172),"")</f>
        <v/>
      </c>
      <c r="BV172" t="str">
        <f ca="1">IFERROR(IF(0=LEN(ReferenceData!$BV$172),"",ReferenceData!$BV$172),"")</f>
        <v/>
      </c>
      <c r="BW172">
        <f ca="1">IFERROR(IF(0=LEN(ReferenceData!$BW$172),"",ReferenceData!$BW$172),"")</f>
        <v>73.084333779999994</v>
      </c>
      <c r="BX172" t="str">
        <f ca="1">IFERROR(IF(0=LEN(ReferenceData!$BX$172),"",ReferenceData!$BX$172),"")</f>
        <v/>
      </c>
      <c r="BY172" t="str">
        <f ca="1">IFERROR(IF(0=LEN(ReferenceData!$BY$172),"",ReferenceData!$BY$172),"")</f>
        <v/>
      </c>
      <c r="BZ172">
        <f ca="1">IFERROR(IF(0=LEN(ReferenceData!$BZ$172),"",ReferenceData!$BZ$172),"")</f>
        <v>75.82212165</v>
      </c>
      <c r="CA172" t="str">
        <f ca="1">IFERROR(IF(0=LEN(ReferenceData!$CA$172),"",ReferenceData!$CA$172),"")</f>
        <v/>
      </c>
      <c r="CB172" t="str">
        <f ca="1">IFERROR(IF(0=LEN(ReferenceData!$CB$172),"",ReferenceData!$CB$172),"")</f>
        <v/>
      </c>
      <c r="CC172">
        <f ca="1">IFERROR(IF(0=LEN(ReferenceData!$CC$172),"",ReferenceData!$CC$172),"")</f>
        <v>74.899920640000005</v>
      </c>
      <c r="CD172" t="str">
        <f ca="1">IFERROR(IF(0=LEN(ReferenceData!$CD$172),"",ReferenceData!$CD$172),"")</f>
        <v/>
      </c>
      <c r="CE172" t="str">
        <f ca="1">IFERROR(IF(0=LEN(ReferenceData!$CE$172),"",ReferenceData!$CE$172),"")</f>
        <v/>
      </c>
      <c r="CF172">
        <f ca="1">IFERROR(IF(0=LEN(ReferenceData!$CF$172),"",ReferenceData!$CF$172),"")</f>
        <v>78.820861260000001</v>
      </c>
      <c r="CG172" t="str">
        <f ca="1">IFERROR(IF(0=LEN(ReferenceData!$CG$172),"",ReferenceData!$CG$172),"")</f>
        <v/>
      </c>
      <c r="CH172" t="str">
        <f ca="1">IFERROR(IF(0=LEN(ReferenceData!$CH$172),"",ReferenceData!$CH$172),"")</f>
        <v/>
      </c>
      <c r="CI172">
        <f ca="1">IFERROR(IF(0=LEN(ReferenceData!$CI$172),"",ReferenceData!$CI$172),"")</f>
        <v>79.18955425</v>
      </c>
      <c r="CJ172" t="str">
        <f ca="1">IFERROR(IF(0=LEN(ReferenceData!$CJ$172),"",ReferenceData!$CJ$172),"")</f>
        <v/>
      </c>
      <c r="CK172" t="str">
        <f ca="1">IFERROR(IF(0=LEN(ReferenceData!$CK$172),"",ReferenceData!$CK$172),"")</f>
        <v/>
      </c>
    </row>
    <row r="173" spans="1:89">
      <c r="A173" t="str">
        <f>IFERROR(IF(0=LEN(ReferenceData!$A$173),"",ReferenceData!$A$173),"")</f>
        <v xml:space="preserve">    Camden 房地产信托公司</v>
      </c>
      <c r="B173" t="str">
        <f>IFERROR(IF(0=LEN(ReferenceData!$B$173),"",ReferenceData!$B$173),"")</f>
        <v>CPT US Equity</v>
      </c>
      <c r="C173" t="str">
        <f>IFERROR(IF(0=LEN(ReferenceData!$C$173),"",ReferenceData!$C$173),"")</f>
        <v>RR106</v>
      </c>
      <c r="D173" t="str">
        <f>IFERROR(IF(0=LEN(ReferenceData!$D$173),"",ReferenceData!$D$173),"")</f>
        <v>FFO_PAYOUT_RATIO</v>
      </c>
      <c r="E173" t="str">
        <f>IFERROR(IF(0=LEN(ReferenceData!$E$173),"",ReferenceData!$E$173),"")</f>
        <v>动态</v>
      </c>
      <c r="F173" t="str">
        <f ca="1">IFERROR(IF(0=LEN(ReferenceData!$F$173),"",ReferenceData!$F$173),"")</f>
        <v/>
      </c>
      <c r="G173" t="str">
        <f ca="1">IFERROR(IF(0=LEN(ReferenceData!$G$173),"",ReferenceData!$G$173),"")</f>
        <v/>
      </c>
      <c r="H173" t="str">
        <f ca="1">IFERROR(IF(0=LEN(ReferenceData!$H$173),"",ReferenceData!$H$173),"")</f>
        <v/>
      </c>
      <c r="I173">
        <f ca="1">IFERROR(IF(0=LEN(ReferenceData!$I$173),"",ReferenceData!$I$173),"")</f>
        <v>62.136627910000001</v>
      </c>
      <c r="J173" t="str">
        <f ca="1">IFERROR(IF(0=LEN(ReferenceData!$J$173),"",ReferenceData!$J$173),"")</f>
        <v/>
      </c>
      <c r="K173" t="str">
        <f ca="1">IFERROR(IF(0=LEN(ReferenceData!$K$173),"",ReferenceData!$K$173),"")</f>
        <v/>
      </c>
      <c r="L173">
        <f ca="1">IFERROR(IF(0=LEN(ReferenceData!$L$173),"",ReferenceData!$L$173),"")</f>
        <v>66.150047970000003</v>
      </c>
      <c r="M173" t="str">
        <f ca="1">IFERROR(IF(0=LEN(ReferenceData!$M$173),"",ReferenceData!$M$173),"")</f>
        <v/>
      </c>
      <c r="N173" t="str">
        <f ca="1">IFERROR(IF(0=LEN(ReferenceData!$N$173),"",ReferenceData!$N$173),"")</f>
        <v/>
      </c>
      <c r="O173">
        <f ca="1">IFERROR(IF(0=LEN(ReferenceData!$O$173),"",ReferenceData!$O$173),"")</f>
        <v>63.766772349999997</v>
      </c>
      <c r="P173" t="str">
        <f ca="1">IFERROR(IF(0=LEN(ReferenceData!$P$173),"",ReferenceData!$P$173),"")</f>
        <v/>
      </c>
      <c r="Q173" t="str">
        <f ca="1">IFERROR(IF(0=LEN(ReferenceData!$Q$173),"",ReferenceData!$Q$173),"")</f>
        <v/>
      </c>
      <c r="R173">
        <f ca="1">IFERROR(IF(0=LEN(ReferenceData!$R$173),"",ReferenceData!$R$173),"")</f>
        <v>67.205171640000003</v>
      </c>
      <c r="S173" t="str">
        <f ca="1">IFERROR(IF(0=LEN(ReferenceData!$S$173),"",ReferenceData!$S$173),"")</f>
        <v/>
      </c>
      <c r="T173" t="str">
        <f ca="1">IFERROR(IF(0=LEN(ReferenceData!$T$173),"",ReferenceData!$T$173),"")</f>
        <v/>
      </c>
      <c r="U173">
        <f ca="1">IFERROR(IF(0=LEN(ReferenceData!$U$173),"",ReferenceData!$U$173),"")</f>
        <v>63.773165689999999</v>
      </c>
      <c r="V173" t="str">
        <f ca="1">IFERROR(IF(0=LEN(ReferenceData!$V$173),"",ReferenceData!$V$173),"")</f>
        <v/>
      </c>
      <c r="W173" t="str">
        <f ca="1">IFERROR(IF(0=LEN(ReferenceData!$W$173),"",ReferenceData!$W$173),"")</f>
        <v/>
      </c>
      <c r="X173">
        <f ca="1">IFERROR(IF(0=LEN(ReferenceData!$X$173),"",ReferenceData!$X$173),"")</f>
        <v>430.14141530000001</v>
      </c>
      <c r="Y173" t="str">
        <f ca="1">IFERROR(IF(0=LEN(ReferenceData!$Y$173),"",ReferenceData!$Y$173),"")</f>
        <v/>
      </c>
      <c r="Z173" t="str">
        <f ca="1">IFERROR(IF(0=LEN(ReferenceData!$Z$173),"",ReferenceData!$Z$173),"")</f>
        <v/>
      </c>
      <c r="AA173">
        <f ca="1">IFERROR(IF(0=LEN(ReferenceData!$AA$173),"",ReferenceData!$AA$173),"")</f>
        <v>63.620498589999997</v>
      </c>
      <c r="AB173" t="str">
        <f ca="1">IFERROR(IF(0=LEN(ReferenceData!$AB$173),"",ReferenceData!$AB$173),"")</f>
        <v/>
      </c>
      <c r="AC173" t="str">
        <f ca="1">IFERROR(IF(0=LEN(ReferenceData!$AC$173),"",ReferenceData!$AC$173),"")</f>
        <v/>
      </c>
      <c r="AD173">
        <f ca="1">IFERROR(IF(0=LEN(ReferenceData!$AD$173),"",ReferenceData!$AD$173),"")</f>
        <v>60.855508129999997</v>
      </c>
      <c r="AE173" t="str">
        <f ca="1">IFERROR(IF(0=LEN(ReferenceData!$AE$173),"",ReferenceData!$AE$173),"")</f>
        <v/>
      </c>
      <c r="AF173" t="str">
        <f ca="1">IFERROR(IF(0=LEN(ReferenceData!$AF$173),"",ReferenceData!$AF$173),"")</f>
        <v/>
      </c>
      <c r="AG173">
        <f ca="1">IFERROR(IF(0=LEN(ReferenceData!$AG$173),"",ReferenceData!$AG$173),"")</f>
        <v>56.964191200000002</v>
      </c>
      <c r="AH173" t="str">
        <f ca="1">IFERROR(IF(0=LEN(ReferenceData!$AH$173),"",ReferenceData!$AH$173),"")</f>
        <v/>
      </c>
      <c r="AI173" t="str">
        <f ca="1">IFERROR(IF(0=LEN(ReferenceData!$AI$173),"",ReferenceData!$AI$173),"")</f>
        <v/>
      </c>
      <c r="AJ173">
        <f ca="1">IFERROR(IF(0=LEN(ReferenceData!$AJ$173),"",ReferenceData!$AJ$173),"")</f>
        <v>59.815230100000001</v>
      </c>
      <c r="AK173" t="str">
        <f ca="1">IFERROR(IF(0=LEN(ReferenceData!$AK$173),"",ReferenceData!$AK$173),"")</f>
        <v/>
      </c>
      <c r="AL173" t="str">
        <f ca="1">IFERROR(IF(0=LEN(ReferenceData!$AL$173),"",ReferenceData!$AL$173),"")</f>
        <v/>
      </c>
      <c r="AM173">
        <f ca="1">IFERROR(IF(0=LEN(ReferenceData!$AM$173),"",ReferenceData!$AM$173),"")</f>
        <v>61.158847909999999</v>
      </c>
      <c r="AN173" t="str">
        <f ca="1">IFERROR(IF(0=LEN(ReferenceData!$AN$173),"",ReferenceData!$AN$173),"")</f>
        <v/>
      </c>
      <c r="AO173" t="str">
        <f ca="1">IFERROR(IF(0=LEN(ReferenceData!$AO$173),"",ReferenceData!$AO$173),"")</f>
        <v/>
      </c>
      <c r="AP173">
        <f ca="1">IFERROR(IF(0=LEN(ReferenceData!$AP$173),"",ReferenceData!$AP$173),"")</f>
        <v>63.22152079</v>
      </c>
      <c r="AQ173" t="str">
        <f ca="1">IFERROR(IF(0=LEN(ReferenceData!$AQ$173),"",ReferenceData!$AQ$173),"")</f>
        <v/>
      </c>
      <c r="AR173" t="str">
        <f ca="1">IFERROR(IF(0=LEN(ReferenceData!$AR$173),"",ReferenceData!$AR$173),"")</f>
        <v/>
      </c>
      <c r="AS173">
        <f ca="1">IFERROR(IF(0=LEN(ReferenceData!$AS$173),"",ReferenceData!$AS$173),"")</f>
        <v>64.7944605</v>
      </c>
      <c r="AT173" t="str">
        <f ca="1">IFERROR(IF(0=LEN(ReferenceData!$AT$173),"",ReferenceData!$AT$173),"")</f>
        <v/>
      </c>
      <c r="AU173" t="str">
        <f ca="1">IFERROR(IF(0=LEN(ReferenceData!$AU$173),"",ReferenceData!$AU$173),"")</f>
        <v/>
      </c>
      <c r="AV173">
        <f ca="1">IFERROR(IF(0=LEN(ReferenceData!$AV$173),"",ReferenceData!$AV$173),"")</f>
        <v>58.935448579999999</v>
      </c>
      <c r="AW173" t="str">
        <f ca="1">IFERROR(IF(0=LEN(ReferenceData!$AW$173),"",ReferenceData!$AW$173),"")</f>
        <v/>
      </c>
      <c r="AX173" t="str">
        <f ca="1">IFERROR(IF(0=LEN(ReferenceData!$AX$173),"",ReferenceData!$AX$173),"")</f>
        <v/>
      </c>
      <c r="AY173">
        <f ca="1">IFERROR(IF(0=LEN(ReferenceData!$AY$173),"",ReferenceData!$AY$173),"")</f>
        <v>61.569674829999997</v>
      </c>
      <c r="AZ173" t="str">
        <f ca="1">IFERROR(IF(0=LEN(ReferenceData!$AZ$173),"",ReferenceData!$AZ$173),"")</f>
        <v/>
      </c>
      <c r="BA173" t="str">
        <f ca="1">IFERROR(IF(0=LEN(ReferenceData!$BA$173),"",ReferenceData!$BA$173),"")</f>
        <v/>
      </c>
      <c r="BB173">
        <f ca="1">IFERROR(IF(0=LEN(ReferenceData!$BB$173),"",ReferenceData!$BB$173),"")</f>
        <v>61.002256619999997</v>
      </c>
      <c r="BC173" t="str">
        <f ca="1">IFERROR(IF(0=LEN(ReferenceData!$BC$173),"",ReferenceData!$BC$173),"")</f>
        <v/>
      </c>
      <c r="BD173" t="str">
        <f ca="1">IFERROR(IF(0=LEN(ReferenceData!$BD$173),"",ReferenceData!$BD$173),"")</f>
        <v/>
      </c>
      <c r="BE173">
        <f ca="1">IFERROR(IF(0=LEN(ReferenceData!$BE$173),"",ReferenceData!$BE$173),"")</f>
        <v>56.853674390000002</v>
      </c>
      <c r="BF173" t="str">
        <f ca="1">IFERROR(IF(0=LEN(ReferenceData!$BF$173),"",ReferenceData!$BF$173),"")</f>
        <v/>
      </c>
      <c r="BG173" t="str">
        <f ca="1">IFERROR(IF(0=LEN(ReferenceData!$BG$173),"",ReferenceData!$BG$173),"")</f>
        <v/>
      </c>
      <c r="BH173">
        <f ca="1">IFERROR(IF(0=LEN(ReferenceData!$BH$173),"",ReferenceData!$BH$173),"")</f>
        <v>59.030183219999998</v>
      </c>
      <c r="BI173" t="str">
        <f ca="1">IFERROR(IF(0=LEN(ReferenceData!$BI$173),"",ReferenceData!$BI$173),"")</f>
        <v/>
      </c>
      <c r="BJ173" t="str">
        <f ca="1">IFERROR(IF(0=LEN(ReferenceData!$BJ$173),"",ReferenceData!$BJ$173),"")</f>
        <v/>
      </c>
      <c r="BK173">
        <f ca="1">IFERROR(IF(0=LEN(ReferenceData!$BK$173),"",ReferenceData!$BK$173),"")</f>
        <v>60.068597859999997</v>
      </c>
      <c r="BL173" t="str">
        <f ca="1">IFERROR(IF(0=LEN(ReferenceData!$BL$173),"",ReferenceData!$BL$173),"")</f>
        <v/>
      </c>
      <c r="BM173" t="str">
        <f ca="1">IFERROR(IF(0=LEN(ReferenceData!$BM$173),"",ReferenceData!$BM$173),"")</f>
        <v/>
      </c>
      <c r="BN173">
        <f ca="1">IFERROR(IF(0=LEN(ReferenceData!$BN$173),"",ReferenceData!$BN$173),"")</f>
        <v>63.052360010000001</v>
      </c>
      <c r="BO173" t="str">
        <f ca="1">IFERROR(IF(0=LEN(ReferenceData!$BO$173),"",ReferenceData!$BO$173),"")</f>
        <v/>
      </c>
      <c r="BP173" t="str">
        <f ca="1">IFERROR(IF(0=LEN(ReferenceData!$BP$173),"",ReferenceData!$BP$173),"")</f>
        <v/>
      </c>
      <c r="BQ173">
        <f ca="1">IFERROR(IF(0=LEN(ReferenceData!$BQ$173),"",ReferenceData!$BQ$173),"")</f>
        <v>56.241132110000002</v>
      </c>
      <c r="BR173" t="str">
        <f ca="1">IFERROR(IF(0=LEN(ReferenceData!$BR$173),"",ReferenceData!$BR$173),"")</f>
        <v/>
      </c>
      <c r="BS173" t="str">
        <f ca="1">IFERROR(IF(0=LEN(ReferenceData!$BS$173),"",ReferenceData!$BS$173),"")</f>
        <v/>
      </c>
      <c r="BT173">
        <f ca="1">IFERROR(IF(0=LEN(ReferenceData!$BT$173),"",ReferenceData!$BT$173),"")</f>
        <v>58.399230330000002</v>
      </c>
      <c r="BU173" t="str">
        <f ca="1">IFERROR(IF(0=LEN(ReferenceData!$BU$173),"",ReferenceData!$BU$173),"")</f>
        <v/>
      </c>
      <c r="BV173" t="str">
        <f ca="1">IFERROR(IF(0=LEN(ReferenceData!$BV$173),"",ReferenceData!$BV$173),"")</f>
        <v/>
      </c>
      <c r="BW173">
        <f ca="1">IFERROR(IF(0=LEN(ReferenceData!$BW$173),"",ReferenceData!$BW$173),"")</f>
        <v>60.757010440000002</v>
      </c>
      <c r="BX173" t="str">
        <f ca="1">IFERROR(IF(0=LEN(ReferenceData!$BX$173),"",ReferenceData!$BX$173),"")</f>
        <v/>
      </c>
      <c r="BY173" t="str">
        <f ca="1">IFERROR(IF(0=LEN(ReferenceData!$BY$173),"",ReferenceData!$BY$173),"")</f>
        <v/>
      </c>
      <c r="BZ173">
        <f ca="1">IFERROR(IF(0=LEN(ReferenceData!$BZ$173),"",ReferenceData!$BZ$173),"")</f>
        <v>65.222703350000003</v>
      </c>
      <c r="CA173" t="str">
        <f ca="1">IFERROR(IF(0=LEN(ReferenceData!$CA$173),"",ReferenceData!$CA$173),"")</f>
        <v/>
      </c>
      <c r="CB173" t="str">
        <f ca="1">IFERROR(IF(0=LEN(ReferenceData!$CB$173),"",ReferenceData!$CB$173),"")</f>
        <v/>
      </c>
      <c r="CC173">
        <f ca="1">IFERROR(IF(0=LEN(ReferenceData!$CC$173),"",ReferenceData!$CC$173),"")</f>
        <v>56.04988796</v>
      </c>
      <c r="CD173" t="str">
        <f ca="1">IFERROR(IF(0=LEN(ReferenceData!$CD$173),"",ReferenceData!$CD$173),"")</f>
        <v/>
      </c>
      <c r="CE173" t="str">
        <f ca="1">IFERROR(IF(0=LEN(ReferenceData!$CE$173),"",ReferenceData!$CE$173),"")</f>
        <v/>
      </c>
      <c r="CF173">
        <f ca="1">IFERROR(IF(0=LEN(ReferenceData!$CF$173),"",ReferenceData!$CF$173),"")</f>
        <v>61.027734789999997</v>
      </c>
      <c r="CG173" t="str">
        <f ca="1">IFERROR(IF(0=LEN(ReferenceData!$CG$173),"",ReferenceData!$CG$173),"")</f>
        <v/>
      </c>
      <c r="CH173" t="str">
        <f ca="1">IFERROR(IF(0=LEN(ReferenceData!$CH$173),"",ReferenceData!$CH$173),"")</f>
        <v/>
      </c>
      <c r="CI173">
        <f ca="1">IFERROR(IF(0=LEN(ReferenceData!$CI$173),"",ReferenceData!$CI$173),"")</f>
        <v>116.7937465</v>
      </c>
      <c r="CJ173" t="str">
        <f ca="1">IFERROR(IF(0=LEN(ReferenceData!$CJ$173),"",ReferenceData!$CJ$173),"")</f>
        <v/>
      </c>
      <c r="CK173" t="str">
        <f ca="1">IFERROR(IF(0=LEN(ReferenceData!$CK$173),"",ReferenceData!$CK$173),"")</f>
        <v/>
      </c>
    </row>
    <row r="174" spans="1:89">
      <c r="A174" t="str">
        <f>IFERROR(IF(0=LEN(ReferenceData!$A$174),"",ReferenceData!$A$174),"")</f>
        <v xml:space="preserve">    公寓物业权益信托</v>
      </c>
      <c r="B174" t="str">
        <f>IFERROR(IF(0=LEN(ReferenceData!$B$174),"",ReferenceData!$B$174),"")</f>
        <v>EQR US Equity</v>
      </c>
      <c r="C174" t="str">
        <f>IFERROR(IF(0=LEN(ReferenceData!$C$174),"",ReferenceData!$C$174),"")</f>
        <v>RR106</v>
      </c>
      <c r="D174" t="str">
        <f>IFERROR(IF(0=LEN(ReferenceData!$D$174),"",ReferenceData!$D$174),"")</f>
        <v>FFO_PAYOUT_RATIO</v>
      </c>
      <c r="E174" t="str">
        <f>IFERROR(IF(0=LEN(ReferenceData!$E$174),"",ReferenceData!$E$174),"")</f>
        <v>动态</v>
      </c>
      <c r="F174" t="str">
        <f ca="1">IFERROR(IF(0=LEN(ReferenceData!$F$174),"",ReferenceData!$F$174),"")</f>
        <v/>
      </c>
      <c r="G174" t="str">
        <f ca="1">IFERROR(IF(0=LEN(ReferenceData!$G$174),"",ReferenceData!$G$174),"")</f>
        <v/>
      </c>
      <c r="H174" t="str">
        <f ca="1">IFERROR(IF(0=LEN(ReferenceData!$H$174),"",ReferenceData!$H$174),"")</f>
        <v/>
      </c>
      <c r="I174">
        <f ca="1">IFERROR(IF(0=LEN(ReferenceData!$I$174),"",ReferenceData!$I$174),"")</f>
        <v>59.13287485</v>
      </c>
      <c r="J174" t="str">
        <f ca="1">IFERROR(IF(0=LEN(ReferenceData!$J$174),"",ReferenceData!$J$174),"")</f>
        <v/>
      </c>
      <c r="K174" t="str">
        <f ca="1">IFERROR(IF(0=LEN(ReferenceData!$K$174),"",ReferenceData!$K$174),"")</f>
        <v/>
      </c>
      <c r="L174">
        <f ca="1">IFERROR(IF(0=LEN(ReferenceData!$L$174),"",ReferenceData!$L$174),"")</f>
        <v>59.931092329999998</v>
      </c>
      <c r="M174" t="str">
        <f ca="1">IFERROR(IF(0=LEN(ReferenceData!$M$174),"",ReferenceData!$M$174),"")</f>
        <v/>
      </c>
      <c r="N174" t="str">
        <f ca="1">IFERROR(IF(0=LEN(ReferenceData!$N$174),"",ReferenceData!$N$174),"")</f>
        <v/>
      </c>
      <c r="O174">
        <f ca="1">IFERROR(IF(0=LEN(ReferenceData!$O$174),"",ReferenceData!$O$174),"")</f>
        <v>62.890954979999997</v>
      </c>
      <c r="P174" t="str">
        <f ca="1">IFERROR(IF(0=LEN(ReferenceData!$P$174),"",ReferenceData!$P$174),"")</f>
        <v/>
      </c>
      <c r="Q174" t="str">
        <f ca="1">IFERROR(IF(0=LEN(ReferenceData!$Q$174),"",ReferenceData!$Q$174),"")</f>
        <v/>
      </c>
      <c r="R174">
        <f ca="1">IFERROR(IF(0=LEN(ReferenceData!$R$174),"",ReferenceData!$R$174),"")</f>
        <v>63.77307828</v>
      </c>
      <c r="S174" t="str">
        <f ca="1">IFERROR(IF(0=LEN(ReferenceData!$S$174),"",ReferenceData!$S$174),"")</f>
        <v/>
      </c>
      <c r="T174" t="str">
        <f ca="1">IFERROR(IF(0=LEN(ReferenceData!$T$174),"",ReferenceData!$T$174),"")</f>
        <v/>
      </c>
      <c r="U174">
        <f ca="1">IFERROR(IF(0=LEN(ReferenceData!$U$174),"",ReferenceData!$U$174),"")</f>
        <v>60.282054729999999</v>
      </c>
      <c r="V174" t="str">
        <f ca="1">IFERROR(IF(0=LEN(ReferenceData!$V$174),"",ReferenceData!$V$174),"")</f>
        <v/>
      </c>
      <c r="W174" t="str">
        <f ca="1">IFERROR(IF(0=LEN(ReferenceData!$W$174),"",ReferenceData!$W$174),"")</f>
        <v/>
      </c>
      <c r="X174">
        <f ca="1">IFERROR(IF(0=LEN(ReferenceData!$X$174),"",ReferenceData!$X$174),"")</f>
        <v>804.64154340000005</v>
      </c>
      <c r="Y174" t="str">
        <f ca="1">IFERROR(IF(0=LEN(ReferenceData!$Y$174),"",ReferenceData!$Y$174),"")</f>
        <v/>
      </c>
      <c r="Z174" t="str">
        <f ca="1">IFERROR(IF(0=LEN(ReferenceData!$Z$174),"",ReferenceData!$Z$174),"")</f>
        <v/>
      </c>
      <c r="AA174">
        <f ca="1">IFERROR(IF(0=LEN(ReferenceData!$AA$174),"",ReferenceData!$AA$174),"")</f>
        <v>53.352257260000002</v>
      </c>
      <c r="AB174" t="str">
        <f ca="1">IFERROR(IF(0=LEN(ReferenceData!$AB$174),"",ReferenceData!$AB$174),"")</f>
        <v/>
      </c>
      <c r="AC174" t="str">
        <f ca="1">IFERROR(IF(0=LEN(ReferenceData!$AC$174),"",ReferenceData!$AC$174),"")</f>
        <v/>
      </c>
      <c r="AD174">
        <f ca="1">IFERROR(IF(0=LEN(ReferenceData!$AD$174),"",ReferenceData!$AD$174),"")</f>
        <v>3370.6419700000001</v>
      </c>
      <c r="AE174" t="str">
        <f ca="1">IFERROR(IF(0=LEN(ReferenceData!$AE$174),"",ReferenceData!$AE$174),"")</f>
        <v/>
      </c>
      <c r="AF174" t="str">
        <f ca="1">IFERROR(IF(0=LEN(ReferenceData!$AF$174),"",ReferenceData!$AF$174),"")</f>
        <v/>
      </c>
      <c r="AG174">
        <f ca="1">IFERROR(IF(0=LEN(ReferenceData!$AG$174),"",ReferenceData!$AG$174),"")</f>
        <v>57.177347509999997</v>
      </c>
      <c r="AH174" t="str">
        <f ca="1">IFERROR(IF(0=LEN(ReferenceData!$AH$174),"",ReferenceData!$AH$174),"")</f>
        <v/>
      </c>
      <c r="AI174" t="str">
        <f ca="1">IFERROR(IF(0=LEN(ReferenceData!$AI$174),"",ReferenceData!$AI$174),"")</f>
        <v/>
      </c>
      <c r="AJ174">
        <f ca="1">IFERROR(IF(0=LEN(ReferenceData!$AJ$174),"",ReferenceData!$AJ$174),"")</f>
        <v>60.585717019999997</v>
      </c>
      <c r="AK174" t="str">
        <f ca="1">IFERROR(IF(0=LEN(ReferenceData!$AK$174),"",ReferenceData!$AK$174),"")</f>
        <v/>
      </c>
      <c r="AL174" t="str">
        <f ca="1">IFERROR(IF(0=LEN(ReferenceData!$AL$174),"",ReferenceData!$AL$174),"")</f>
        <v/>
      </c>
      <c r="AM174">
        <f ca="1">IFERROR(IF(0=LEN(ReferenceData!$AM$174),"",ReferenceData!$AM$174),"")</f>
        <v>58.839184420000002</v>
      </c>
      <c r="AN174" t="str">
        <f ca="1">IFERROR(IF(0=LEN(ReferenceData!$AN$174),"",ReferenceData!$AN$174),"")</f>
        <v/>
      </c>
      <c r="AO174" t="str">
        <f ca="1">IFERROR(IF(0=LEN(ReferenceData!$AO$174),"",ReferenceData!$AO$174),"")</f>
        <v/>
      </c>
      <c r="AP174">
        <f ca="1">IFERROR(IF(0=LEN(ReferenceData!$AP$174),"",ReferenceData!$AP$174),"")</f>
        <v>67.013734349999993</v>
      </c>
      <c r="AQ174" t="str">
        <f ca="1">IFERROR(IF(0=LEN(ReferenceData!$AQ$174),"",ReferenceData!$AQ$174),"")</f>
        <v/>
      </c>
      <c r="AR174" t="str">
        <f ca="1">IFERROR(IF(0=LEN(ReferenceData!$AR$174),"",ReferenceData!$AR$174),"")</f>
        <v/>
      </c>
      <c r="AS174">
        <f ca="1">IFERROR(IF(0=LEN(ReferenceData!$AS$174),"",ReferenceData!$AS$174),"")</f>
        <v>55.069655089999998</v>
      </c>
      <c r="AT174" t="str">
        <f ca="1">IFERROR(IF(0=LEN(ReferenceData!$AT$174),"",ReferenceData!$AT$174),"")</f>
        <v/>
      </c>
      <c r="AU174" t="str">
        <f ca="1">IFERROR(IF(0=LEN(ReferenceData!$AU$174),"",ReferenceData!$AU$174),"")</f>
        <v/>
      </c>
      <c r="AV174">
        <f ca="1">IFERROR(IF(0=LEN(ReferenceData!$AV$174),"",ReferenceData!$AV$174),"")</f>
        <v>59.09006187</v>
      </c>
      <c r="AW174" t="str">
        <f ca="1">IFERROR(IF(0=LEN(ReferenceData!$AW$174),"",ReferenceData!$AW$174),"")</f>
        <v/>
      </c>
      <c r="AX174" t="str">
        <f ca="1">IFERROR(IF(0=LEN(ReferenceData!$AX$174),"",ReferenceData!$AX$174),"")</f>
        <v/>
      </c>
      <c r="AY174">
        <f ca="1">IFERROR(IF(0=LEN(ReferenceData!$AY$174),"",ReferenceData!$AY$174),"")</f>
        <v>62.042217919999999</v>
      </c>
      <c r="AZ174" t="str">
        <f ca="1">IFERROR(IF(0=LEN(ReferenceData!$AZ$174),"",ReferenceData!$AZ$174),"")</f>
        <v/>
      </c>
      <c r="BA174" t="str">
        <f ca="1">IFERROR(IF(0=LEN(ReferenceData!$BA$174),"",ReferenceData!$BA$174),"")</f>
        <v/>
      </c>
      <c r="BB174">
        <f ca="1">IFERROR(IF(0=LEN(ReferenceData!$BB$174),"",ReferenceData!$BB$174),"")</f>
        <v>67.850622090000002</v>
      </c>
      <c r="BC174" t="str">
        <f ca="1">IFERROR(IF(0=LEN(ReferenceData!$BC$174),"",ReferenceData!$BC$174),"")</f>
        <v/>
      </c>
      <c r="BD174" t="str">
        <f ca="1">IFERROR(IF(0=LEN(ReferenceData!$BD$174),"",ReferenceData!$BD$174),"")</f>
        <v/>
      </c>
      <c r="BE174">
        <f ca="1">IFERROR(IF(0=LEN(ReferenceData!$BE$174),"",ReferenceData!$BE$174),"")</f>
        <v>93.04819311</v>
      </c>
      <c r="BF174" t="str">
        <f ca="1">IFERROR(IF(0=LEN(ReferenceData!$BF$174),"",ReferenceData!$BF$174),"")</f>
        <v/>
      </c>
      <c r="BG174" t="str">
        <f ca="1">IFERROR(IF(0=LEN(ReferenceData!$BG$174),"",ReferenceData!$BG$174),"")</f>
        <v/>
      </c>
      <c r="BH174">
        <f ca="1">IFERROR(IF(0=LEN(ReferenceData!$BH$174),"",ReferenceData!$BH$174),"")</f>
        <v>53.849814790000003</v>
      </c>
      <c r="BI174" t="str">
        <f ca="1">IFERROR(IF(0=LEN(ReferenceData!$BI$174),"",ReferenceData!$BI$174),"")</f>
        <v/>
      </c>
      <c r="BJ174" t="str">
        <f ca="1">IFERROR(IF(0=LEN(ReferenceData!$BJ$174),"",ReferenceData!$BJ$174),"")</f>
        <v/>
      </c>
      <c r="BK174">
        <f ca="1">IFERROR(IF(0=LEN(ReferenceData!$BK$174),"",ReferenceData!$BK$174),"")</f>
        <v>52.386123220000002</v>
      </c>
      <c r="BL174" t="str">
        <f ca="1">IFERROR(IF(0=LEN(ReferenceData!$BL$174),"",ReferenceData!$BL$174),"")</f>
        <v/>
      </c>
      <c r="BM174" t="str">
        <f ca="1">IFERROR(IF(0=LEN(ReferenceData!$BM$174),"",ReferenceData!$BM$174),"")</f>
        <v/>
      </c>
      <c r="BN174">
        <f ca="1">IFERROR(IF(0=LEN(ReferenceData!$BN$174),"",ReferenceData!$BN$174),"")</f>
        <v>170.66895890000001</v>
      </c>
      <c r="BO174" t="str">
        <f ca="1">IFERROR(IF(0=LEN(ReferenceData!$BO$174),"",ReferenceData!$BO$174),"")</f>
        <v/>
      </c>
      <c r="BP174" t="str">
        <f ca="1">IFERROR(IF(0=LEN(ReferenceData!$BP$174),"",ReferenceData!$BP$174),"")</f>
        <v/>
      </c>
      <c r="BQ174">
        <f ca="1">IFERROR(IF(0=LEN(ReferenceData!$BQ$174),"",ReferenceData!$BQ$174),"")</f>
        <v>77.334497099999993</v>
      </c>
      <c r="BR174" t="str">
        <f ca="1">IFERROR(IF(0=LEN(ReferenceData!$BR$174),"",ReferenceData!$BR$174),"")</f>
        <v/>
      </c>
      <c r="BS174" t="str">
        <f ca="1">IFERROR(IF(0=LEN(ReferenceData!$BS$174),"",ReferenceData!$BS$174),"")</f>
        <v/>
      </c>
      <c r="BT174">
        <f ca="1">IFERROR(IF(0=LEN(ReferenceData!$BT$174),"",ReferenceData!$BT$174),"")</f>
        <v>34.792019459999999</v>
      </c>
      <c r="BU174" t="str">
        <f ca="1">IFERROR(IF(0=LEN(ReferenceData!$BU$174),"",ReferenceData!$BU$174),"")</f>
        <v/>
      </c>
      <c r="BV174" t="str">
        <f ca="1">IFERROR(IF(0=LEN(ReferenceData!$BV$174),"",ReferenceData!$BV$174),"")</f>
        <v/>
      </c>
      <c r="BW174">
        <f ca="1">IFERROR(IF(0=LEN(ReferenceData!$BW$174),"",ReferenceData!$BW$174),"")</f>
        <v>49.529291489999999</v>
      </c>
      <c r="BX174" t="str">
        <f ca="1">IFERROR(IF(0=LEN(ReferenceData!$BX$174),"",ReferenceData!$BX$174),"")</f>
        <v/>
      </c>
      <c r="BY174" t="str">
        <f ca="1">IFERROR(IF(0=LEN(ReferenceData!$BY$174),"",ReferenceData!$BY$174),"")</f>
        <v/>
      </c>
      <c r="BZ174">
        <f ca="1">IFERROR(IF(0=LEN(ReferenceData!$BZ$174),"",ReferenceData!$BZ$174),"")</f>
        <v>53.556961569999999</v>
      </c>
      <c r="CA174" t="str">
        <f ca="1">IFERROR(IF(0=LEN(ReferenceData!$CA$174),"",ReferenceData!$CA$174),"")</f>
        <v/>
      </c>
      <c r="CB174" t="str">
        <f ca="1">IFERROR(IF(0=LEN(ReferenceData!$CB$174),"",ReferenceData!$CB$174),"")</f>
        <v/>
      </c>
      <c r="CC174">
        <f ca="1">IFERROR(IF(0=LEN(ReferenceData!$CC$174),"",ReferenceData!$CC$174),"")</f>
        <v>83.414936040000001</v>
      </c>
      <c r="CD174" t="str">
        <f ca="1">IFERROR(IF(0=LEN(ReferenceData!$CD$174),"",ReferenceData!$CD$174),"")</f>
        <v/>
      </c>
      <c r="CE174" t="str">
        <f ca="1">IFERROR(IF(0=LEN(ReferenceData!$CE$174),"",ReferenceData!$CE$174),"")</f>
        <v/>
      </c>
      <c r="CF174">
        <f ca="1">IFERROR(IF(0=LEN(ReferenceData!$CF$174),"",ReferenceData!$CF$174),"")</f>
        <v>50.787148190000003</v>
      </c>
      <c r="CG174" t="str">
        <f ca="1">IFERROR(IF(0=LEN(ReferenceData!$CG$174),"",ReferenceData!$CG$174),"")</f>
        <v/>
      </c>
      <c r="CH174" t="str">
        <f ca="1">IFERROR(IF(0=LEN(ReferenceData!$CH$174),"",ReferenceData!$CH$174),"")</f>
        <v/>
      </c>
      <c r="CI174">
        <f ca="1">IFERROR(IF(0=LEN(ReferenceData!$CI$174),"",ReferenceData!$CI$174),"")</f>
        <v>55.024933050000001</v>
      </c>
      <c r="CJ174" t="str">
        <f ca="1">IFERROR(IF(0=LEN(ReferenceData!$CJ$174),"",ReferenceData!$CJ$174),"")</f>
        <v/>
      </c>
      <c r="CK174" t="str">
        <f ca="1">IFERROR(IF(0=LEN(ReferenceData!$CK$174),"",ReferenceData!$CK$174),"")</f>
        <v/>
      </c>
    </row>
    <row r="175" spans="1:89">
      <c r="A175" t="str">
        <f>IFERROR(IF(0=LEN(ReferenceData!$A$175),"",ReferenceData!$A$175),"")</f>
        <v xml:space="preserve">    埃塞克斯房地产信托公司</v>
      </c>
      <c r="B175" t="str">
        <f>IFERROR(IF(0=LEN(ReferenceData!$B$175),"",ReferenceData!$B$175),"")</f>
        <v>ESS US Equity</v>
      </c>
      <c r="C175" t="str">
        <f>IFERROR(IF(0=LEN(ReferenceData!$C$175),"",ReferenceData!$C$175),"")</f>
        <v>RR106</v>
      </c>
      <c r="D175" t="str">
        <f>IFERROR(IF(0=LEN(ReferenceData!$D$175),"",ReferenceData!$D$175),"")</f>
        <v>FFO_PAYOUT_RATIO</v>
      </c>
      <c r="E175" t="str">
        <f>IFERROR(IF(0=LEN(ReferenceData!$E$175),"",ReferenceData!$E$175),"")</f>
        <v>动态</v>
      </c>
      <c r="F175" t="str">
        <f ca="1">IFERROR(IF(0=LEN(ReferenceData!$F$175),"",ReferenceData!$F$175),"")</f>
        <v/>
      </c>
      <c r="G175" t="str">
        <f ca="1">IFERROR(IF(0=LEN(ReferenceData!$G$175),"",ReferenceData!$G$175),"")</f>
        <v/>
      </c>
      <c r="H175" t="str">
        <f ca="1">IFERROR(IF(0=LEN(ReferenceData!$H$175),"",ReferenceData!$H$175),"")</f>
        <v/>
      </c>
      <c r="I175">
        <f ca="1">IFERROR(IF(0=LEN(ReferenceData!$I$175),"",ReferenceData!$I$175),"")</f>
        <v>56.278304730000002</v>
      </c>
      <c r="J175" t="str">
        <f ca="1">IFERROR(IF(0=LEN(ReferenceData!$J$175),"",ReferenceData!$J$175),"")</f>
        <v/>
      </c>
      <c r="K175" t="str">
        <f ca="1">IFERROR(IF(0=LEN(ReferenceData!$K$175),"",ReferenceData!$K$175),"")</f>
        <v/>
      </c>
      <c r="L175">
        <f ca="1">IFERROR(IF(0=LEN(ReferenceData!$L$175),"",ReferenceData!$L$175),"")</f>
        <v>56.774965960000003</v>
      </c>
      <c r="M175" t="str">
        <f ca="1">IFERROR(IF(0=LEN(ReferenceData!$M$175),"",ReferenceData!$M$175),"")</f>
        <v/>
      </c>
      <c r="N175" t="str">
        <f ca="1">IFERROR(IF(0=LEN(ReferenceData!$N$175),"",ReferenceData!$N$175),"")</f>
        <v/>
      </c>
      <c r="O175">
        <f ca="1">IFERROR(IF(0=LEN(ReferenceData!$O$175),"",ReferenceData!$O$175),"")</f>
        <v>56.78551727</v>
      </c>
      <c r="P175" t="str">
        <f ca="1">IFERROR(IF(0=LEN(ReferenceData!$P$175),"",ReferenceData!$P$175),"")</f>
        <v/>
      </c>
      <c r="Q175" t="str">
        <f ca="1">IFERROR(IF(0=LEN(ReferenceData!$Q$175),"",ReferenceData!$Q$175),"")</f>
        <v/>
      </c>
      <c r="R175">
        <f ca="1">IFERROR(IF(0=LEN(ReferenceData!$R$175),"",ReferenceData!$R$175),"")</f>
        <v>57.131272600000003</v>
      </c>
      <c r="S175" t="str">
        <f ca="1">IFERROR(IF(0=LEN(ReferenceData!$S$175),"",ReferenceData!$S$175),"")</f>
        <v/>
      </c>
      <c r="T175" t="str">
        <f ca="1">IFERROR(IF(0=LEN(ReferenceData!$T$175),"",ReferenceData!$T$175),"")</f>
        <v/>
      </c>
      <c r="U175">
        <f ca="1">IFERROR(IF(0=LEN(ReferenceData!$U$175),"",ReferenceData!$U$175),"")</f>
        <v>54.183836220000003</v>
      </c>
      <c r="V175" t="str">
        <f ca="1">IFERROR(IF(0=LEN(ReferenceData!$V$175),"",ReferenceData!$V$175),"")</f>
        <v/>
      </c>
      <c r="W175" t="str">
        <f ca="1">IFERROR(IF(0=LEN(ReferenceData!$W$175),"",ReferenceData!$W$175),"")</f>
        <v/>
      </c>
      <c r="X175">
        <f ca="1">IFERROR(IF(0=LEN(ReferenceData!$X$175),"",ReferenceData!$X$175),"")</f>
        <v>54.84595762</v>
      </c>
      <c r="Y175" t="str">
        <f ca="1">IFERROR(IF(0=LEN(ReferenceData!$Y$175),"",ReferenceData!$Y$175),"")</f>
        <v/>
      </c>
      <c r="Z175" t="str">
        <f ca="1">IFERROR(IF(0=LEN(ReferenceData!$Z$175),"",ReferenceData!$Z$175),"")</f>
        <v/>
      </c>
      <c r="AA175">
        <f ca="1">IFERROR(IF(0=LEN(ReferenceData!$AA$175),"",ReferenceData!$AA$175),"")</f>
        <v>54.83447099</v>
      </c>
      <c r="AB175" t="str">
        <f ca="1">IFERROR(IF(0=LEN(ReferenceData!$AB$175),"",ReferenceData!$AB$175),"")</f>
        <v/>
      </c>
      <c r="AC175" t="str">
        <f ca="1">IFERROR(IF(0=LEN(ReferenceData!$AC$175),"",ReferenceData!$AC$175),"")</f>
        <v/>
      </c>
      <c r="AD175">
        <f ca="1">IFERROR(IF(0=LEN(ReferenceData!$AD$175),"",ReferenceData!$AD$175),"")</f>
        <v>58.43475316</v>
      </c>
      <c r="AE175" t="str">
        <f ca="1">IFERROR(IF(0=LEN(ReferenceData!$AE$175),"",ReferenceData!$AE$175),"")</f>
        <v/>
      </c>
      <c r="AF175" t="str">
        <f ca="1">IFERROR(IF(0=LEN(ReferenceData!$AF$175),"",ReferenceData!$AF$175),"")</f>
        <v/>
      </c>
      <c r="AG175">
        <f ca="1">IFERROR(IF(0=LEN(ReferenceData!$AG$175),"",ReferenceData!$AG$175),"")</f>
        <v>54.838926780000001</v>
      </c>
      <c r="AH175" t="str">
        <f ca="1">IFERROR(IF(0=LEN(ReferenceData!$AH$175),"",ReferenceData!$AH$175),"")</f>
        <v/>
      </c>
      <c r="AI175" t="str">
        <f ca="1">IFERROR(IF(0=LEN(ReferenceData!$AI$175),"",ReferenceData!$AI$175),"")</f>
        <v/>
      </c>
      <c r="AJ175">
        <f ca="1">IFERROR(IF(0=LEN(ReferenceData!$AJ$175),"",ReferenceData!$AJ$175),"")</f>
        <v>54.886522909999997</v>
      </c>
      <c r="AK175" t="str">
        <f ca="1">IFERROR(IF(0=LEN(ReferenceData!$AK$175),"",ReferenceData!$AK$175),"")</f>
        <v/>
      </c>
      <c r="AL175" t="str">
        <f ca="1">IFERROR(IF(0=LEN(ReferenceData!$AL$175),"",ReferenceData!$AL$175),"")</f>
        <v/>
      </c>
      <c r="AM175">
        <f ca="1">IFERROR(IF(0=LEN(ReferenceData!$AM$175),"",ReferenceData!$AM$175),"")</f>
        <v>58.304021990000003</v>
      </c>
      <c r="AN175" t="str">
        <f ca="1">IFERROR(IF(0=LEN(ReferenceData!$AN$175),"",ReferenceData!$AN$175),"")</f>
        <v/>
      </c>
      <c r="AO175" t="str">
        <f ca="1">IFERROR(IF(0=LEN(ReferenceData!$AO$175),"",ReferenceData!$AO$175),"")</f>
        <v/>
      </c>
      <c r="AP175">
        <f ca="1">IFERROR(IF(0=LEN(ReferenceData!$AP$175),"",ReferenceData!$AP$175),"")</f>
        <v>62.243692539999998</v>
      </c>
      <c r="AQ175" t="str">
        <f ca="1">IFERROR(IF(0=LEN(ReferenceData!$AQ$175),"",ReferenceData!$AQ$175),"")</f>
        <v/>
      </c>
      <c r="AR175" t="str">
        <f ca="1">IFERROR(IF(0=LEN(ReferenceData!$AR$175),"",ReferenceData!$AR$175),"")</f>
        <v/>
      </c>
      <c r="AS175">
        <f ca="1">IFERROR(IF(0=LEN(ReferenceData!$AS$175),"",ReferenceData!$AS$175),"")</f>
        <v>54.721653910000001</v>
      </c>
      <c r="AT175" t="str">
        <f ca="1">IFERROR(IF(0=LEN(ReferenceData!$AT$175),"",ReferenceData!$AT$175),"")</f>
        <v/>
      </c>
      <c r="AU175" t="str">
        <f ca="1">IFERROR(IF(0=LEN(ReferenceData!$AU$175),"",ReferenceData!$AU$175),"")</f>
        <v/>
      </c>
      <c r="AV175">
        <f ca="1">IFERROR(IF(0=LEN(ReferenceData!$AV$175),"",ReferenceData!$AV$175),"")</f>
        <v>61.409225650000003</v>
      </c>
      <c r="AW175" t="str">
        <f ca="1">IFERROR(IF(0=LEN(ReferenceData!$AW$175),"",ReferenceData!$AW$175),"")</f>
        <v/>
      </c>
      <c r="AX175" t="str">
        <f ca="1">IFERROR(IF(0=LEN(ReferenceData!$AX$175),"",ReferenceData!$AX$175),"")</f>
        <v/>
      </c>
      <c r="AY175">
        <f ca="1">IFERROR(IF(0=LEN(ReferenceData!$AY$175),"",ReferenceData!$AY$175),"")</f>
        <v>72.680867199999994</v>
      </c>
      <c r="AZ175" t="str">
        <f ca="1">IFERROR(IF(0=LEN(ReferenceData!$AZ$175),"",ReferenceData!$AZ$175),"")</f>
        <v/>
      </c>
      <c r="BA175" t="str">
        <f ca="1">IFERROR(IF(0=LEN(ReferenceData!$BA$175),"",ReferenceData!$BA$175),"")</f>
        <v/>
      </c>
      <c r="BB175">
        <f ca="1">IFERROR(IF(0=LEN(ReferenceData!$BB$175),"",ReferenceData!$BB$175),"")</f>
        <v>69.669519030000004</v>
      </c>
      <c r="BC175" t="str">
        <f ca="1">IFERROR(IF(0=LEN(ReferenceData!$BC$175),"",ReferenceData!$BC$175),"")</f>
        <v/>
      </c>
      <c r="BD175" t="str">
        <f ca="1">IFERROR(IF(0=LEN(ReferenceData!$BD$175),"",ReferenceData!$BD$175),"")</f>
        <v/>
      </c>
      <c r="BE175">
        <f ca="1">IFERROR(IF(0=LEN(ReferenceData!$BE$175),"",ReferenceData!$BE$175),"")</f>
        <v>63.563535639999998</v>
      </c>
      <c r="BF175" t="str">
        <f ca="1">IFERROR(IF(0=LEN(ReferenceData!$BF$175),"",ReferenceData!$BF$175),"")</f>
        <v/>
      </c>
      <c r="BG175" t="str">
        <f ca="1">IFERROR(IF(0=LEN(ReferenceData!$BG$175),"",ReferenceData!$BG$175),"")</f>
        <v/>
      </c>
      <c r="BH175">
        <f ca="1">IFERROR(IF(0=LEN(ReferenceData!$BH$175),"",ReferenceData!$BH$175),"")</f>
        <v>61.555755400000002</v>
      </c>
      <c r="BI175" t="str">
        <f ca="1">IFERROR(IF(0=LEN(ReferenceData!$BI$175),"",ReferenceData!$BI$175),"")</f>
        <v/>
      </c>
      <c r="BJ175" t="str">
        <f ca="1">IFERROR(IF(0=LEN(ReferenceData!$BJ$175),"",ReferenceData!$BJ$175),"")</f>
        <v/>
      </c>
      <c r="BK175">
        <f ca="1">IFERROR(IF(0=LEN(ReferenceData!$BK$175),"",ReferenceData!$BK$175),"")</f>
        <v>59.681768069999997</v>
      </c>
      <c r="BL175" t="str">
        <f ca="1">IFERROR(IF(0=LEN(ReferenceData!$BL$175),"",ReferenceData!$BL$175),"")</f>
        <v/>
      </c>
      <c r="BM175" t="str">
        <f ca="1">IFERROR(IF(0=LEN(ReferenceData!$BM$175),"",ReferenceData!$BM$175),"")</f>
        <v/>
      </c>
      <c r="BN175">
        <f ca="1">IFERROR(IF(0=LEN(ReferenceData!$BN$175),"",ReferenceData!$BN$175),"")</f>
        <v>60.101081909999998</v>
      </c>
      <c r="BO175" t="str">
        <f ca="1">IFERROR(IF(0=LEN(ReferenceData!$BO$175),"",ReferenceData!$BO$175),"")</f>
        <v/>
      </c>
      <c r="BP175" t="str">
        <f ca="1">IFERROR(IF(0=LEN(ReferenceData!$BP$175),"",ReferenceData!$BP$175),"")</f>
        <v/>
      </c>
      <c r="BQ175">
        <f ca="1">IFERROR(IF(0=LEN(ReferenceData!$BQ$175),"",ReferenceData!$BQ$175),"")</f>
        <v>60.291571609999998</v>
      </c>
      <c r="BR175" t="str">
        <f ca="1">IFERROR(IF(0=LEN(ReferenceData!$BR$175),"",ReferenceData!$BR$175),"")</f>
        <v/>
      </c>
      <c r="BS175" t="str">
        <f ca="1">IFERROR(IF(0=LEN(ReferenceData!$BS$175),"",ReferenceData!$BS$175),"")</f>
        <v/>
      </c>
      <c r="BT175">
        <f ca="1">IFERROR(IF(0=LEN(ReferenceData!$BT$175),"",ReferenceData!$BT$175),"")</f>
        <v>64.173122739999997</v>
      </c>
      <c r="BU175" t="str">
        <f ca="1">IFERROR(IF(0=LEN(ReferenceData!$BU$175),"",ReferenceData!$BU$175),"")</f>
        <v/>
      </c>
      <c r="BV175" t="str">
        <f ca="1">IFERROR(IF(0=LEN(ReferenceData!$BV$175),"",ReferenceData!$BV$175),"")</f>
        <v/>
      </c>
      <c r="BW175">
        <f ca="1">IFERROR(IF(0=LEN(ReferenceData!$BW$175),"",ReferenceData!$BW$175),"")</f>
        <v>60.900099609999998</v>
      </c>
      <c r="BX175" t="str">
        <f ca="1">IFERROR(IF(0=LEN(ReferenceData!$BX$175),"",ReferenceData!$BX$175),"")</f>
        <v/>
      </c>
      <c r="BY175" t="str">
        <f ca="1">IFERROR(IF(0=LEN(ReferenceData!$BY$175),"",ReferenceData!$BY$175),"")</f>
        <v/>
      </c>
      <c r="BZ175">
        <f ca="1">IFERROR(IF(0=LEN(ReferenceData!$BZ$175),"",ReferenceData!$BZ$175),"")</f>
        <v>65.717708999999999</v>
      </c>
      <c r="CA175" t="str">
        <f ca="1">IFERROR(IF(0=LEN(ReferenceData!$CA$175),"",ReferenceData!$CA$175),"")</f>
        <v/>
      </c>
      <c r="CB175" t="str">
        <f ca="1">IFERROR(IF(0=LEN(ReferenceData!$CB$175),"",ReferenceData!$CB$175),"")</f>
        <v/>
      </c>
      <c r="CC175">
        <f ca="1">IFERROR(IF(0=LEN(ReferenceData!$CC$175),"",ReferenceData!$CC$175),"")</f>
        <v>62.806589889999998</v>
      </c>
      <c r="CD175" t="str">
        <f ca="1">IFERROR(IF(0=LEN(ReferenceData!$CD$175),"",ReferenceData!$CD$175),"")</f>
        <v/>
      </c>
      <c r="CE175" t="str">
        <f ca="1">IFERROR(IF(0=LEN(ReferenceData!$CE$175),"",ReferenceData!$CE$175),"")</f>
        <v/>
      </c>
      <c r="CF175">
        <f ca="1">IFERROR(IF(0=LEN(ReferenceData!$CF$175),"",ReferenceData!$CF$175),"")</f>
        <v>68.180031110000002</v>
      </c>
      <c r="CG175" t="str">
        <f ca="1">IFERROR(IF(0=LEN(ReferenceData!$CG$175),"",ReferenceData!$CG$175),"")</f>
        <v/>
      </c>
      <c r="CH175" t="str">
        <f ca="1">IFERROR(IF(0=LEN(ReferenceData!$CH$175),"",ReferenceData!$CH$175),"")</f>
        <v/>
      </c>
      <c r="CI175">
        <f ca="1">IFERROR(IF(0=LEN(ReferenceData!$CI$175),"",ReferenceData!$CI$175),"")</f>
        <v>73.634463609999997</v>
      </c>
      <c r="CJ175" t="str">
        <f ca="1">IFERROR(IF(0=LEN(ReferenceData!$CJ$175),"",ReferenceData!$CJ$175),"")</f>
        <v/>
      </c>
      <c r="CK175" t="str">
        <f ca="1">IFERROR(IF(0=LEN(ReferenceData!$CK$175),"",ReferenceData!$CK$175),"")</f>
        <v/>
      </c>
    </row>
    <row r="176" spans="1:89">
      <c r="A176" t="str">
        <f>IFERROR(IF(0=LEN(ReferenceData!$A$176),"",ReferenceData!$A$176),"")</f>
        <v xml:space="preserve">    Mid-America Apartment Communities股份有限公司</v>
      </c>
      <c r="B176" t="str">
        <f>IFERROR(IF(0=LEN(ReferenceData!$B$176),"",ReferenceData!$B$176),"")</f>
        <v>MAA US Equity</v>
      </c>
      <c r="C176" t="str">
        <f>IFERROR(IF(0=LEN(ReferenceData!$C$176),"",ReferenceData!$C$176),"")</f>
        <v>RR106</v>
      </c>
      <c r="D176" t="str">
        <f>IFERROR(IF(0=LEN(ReferenceData!$D$176),"",ReferenceData!$D$176),"")</f>
        <v>FFO_PAYOUT_RATIO</v>
      </c>
      <c r="E176" t="str">
        <f>IFERROR(IF(0=LEN(ReferenceData!$E$176),"",ReferenceData!$E$176),"")</f>
        <v>动态</v>
      </c>
      <c r="F176" t="str">
        <f ca="1">IFERROR(IF(0=LEN(ReferenceData!$F$176),"",ReferenceData!$F$176),"")</f>
        <v/>
      </c>
      <c r="G176" t="str">
        <f ca="1">IFERROR(IF(0=LEN(ReferenceData!$G$176),"",ReferenceData!$G$176),"")</f>
        <v/>
      </c>
      <c r="H176" t="str">
        <f ca="1">IFERROR(IF(0=LEN(ReferenceData!$H$176),"",ReferenceData!$H$176),"")</f>
        <v/>
      </c>
      <c r="I176">
        <f ca="1">IFERROR(IF(0=LEN(ReferenceData!$I$176),"",ReferenceData!$I$176),"")</f>
        <v>59.063760240000001</v>
      </c>
      <c r="J176" t="str">
        <f ca="1">IFERROR(IF(0=LEN(ReferenceData!$J$176),"",ReferenceData!$J$176),"")</f>
        <v/>
      </c>
      <c r="K176" t="str">
        <f ca="1">IFERROR(IF(0=LEN(ReferenceData!$K$176),"",ReferenceData!$K$176),"")</f>
        <v/>
      </c>
      <c r="L176">
        <f ca="1">IFERROR(IF(0=LEN(ReferenceData!$L$176),"",ReferenceData!$L$176),"")</f>
        <v>56.00184994</v>
      </c>
      <c r="M176" t="str">
        <f ca="1">IFERROR(IF(0=LEN(ReferenceData!$M$176),"",ReferenceData!$M$176),"")</f>
        <v/>
      </c>
      <c r="N176" t="str">
        <f ca="1">IFERROR(IF(0=LEN(ReferenceData!$N$176),"",ReferenceData!$N$176),"")</f>
        <v/>
      </c>
      <c r="O176">
        <f ca="1">IFERROR(IF(0=LEN(ReferenceData!$O$176),"",ReferenceData!$O$176),"")</f>
        <v>56.554263900000002</v>
      </c>
      <c r="P176" t="str">
        <f ca="1">IFERROR(IF(0=LEN(ReferenceData!$P$176),"",ReferenceData!$P$176),"")</f>
        <v/>
      </c>
      <c r="Q176" t="str">
        <f ca="1">IFERROR(IF(0=LEN(ReferenceData!$Q$176),"",ReferenceData!$Q$176),"")</f>
        <v/>
      </c>
      <c r="R176">
        <f ca="1">IFERROR(IF(0=LEN(ReferenceData!$R$176),"",ReferenceData!$R$176),"")</f>
        <v>57.432455570000002</v>
      </c>
      <c r="S176" t="str">
        <f ca="1">IFERROR(IF(0=LEN(ReferenceData!$S$176),"",ReferenceData!$S$176),"")</f>
        <v/>
      </c>
      <c r="T176" t="str">
        <f ca="1">IFERROR(IF(0=LEN(ReferenceData!$T$176),"",ReferenceData!$T$176),"")</f>
        <v/>
      </c>
      <c r="U176">
        <f ca="1">IFERROR(IF(0=LEN(ReferenceData!$U$176),"",ReferenceData!$U$176),"")</f>
        <v>73.582043850000005</v>
      </c>
      <c r="V176" t="str">
        <f ca="1">IFERROR(IF(0=LEN(ReferenceData!$V$176),"",ReferenceData!$V$176),"")</f>
        <v/>
      </c>
      <c r="W176" t="str">
        <f ca="1">IFERROR(IF(0=LEN(ReferenceData!$W$176),"",ReferenceData!$W$176),"")</f>
        <v/>
      </c>
      <c r="X176">
        <f ca="1">IFERROR(IF(0=LEN(ReferenceData!$X$176),"",ReferenceData!$X$176),"")</f>
        <v>52.657843120000003</v>
      </c>
      <c r="Y176" t="str">
        <f ca="1">IFERROR(IF(0=LEN(ReferenceData!$Y$176),"",ReferenceData!$Y$176),"")</f>
        <v/>
      </c>
      <c r="Z176" t="str">
        <f ca="1">IFERROR(IF(0=LEN(ReferenceData!$Z$176),"",ReferenceData!$Z$176),"")</f>
        <v/>
      </c>
      <c r="AA176">
        <f ca="1">IFERROR(IF(0=LEN(ReferenceData!$AA$176),"",ReferenceData!$AA$176),"")</f>
        <v>50.362368029999999</v>
      </c>
      <c r="AB176" t="str">
        <f ca="1">IFERROR(IF(0=LEN(ReferenceData!$AB$176),"",ReferenceData!$AB$176),"")</f>
        <v/>
      </c>
      <c r="AC176" t="str">
        <f ca="1">IFERROR(IF(0=LEN(ReferenceData!$AC$176),"",ReferenceData!$AC$176),"")</f>
        <v/>
      </c>
      <c r="AD176">
        <f ca="1">IFERROR(IF(0=LEN(ReferenceData!$AD$176),"",ReferenceData!$AD$176),"")</f>
        <v>51.874251350000002</v>
      </c>
      <c r="AE176" t="str">
        <f ca="1">IFERROR(IF(0=LEN(ReferenceData!$AE$176),"",ReferenceData!$AE$176),"")</f>
        <v/>
      </c>
      <c r="AF176" t="str">
        <f ca="1">IFERROR(IF(0=LEN(ReferenceData!$AF$176),"",ReferenceData!$AF$176),"")</f>
        <v/>
      </c>
      <c r="AG176">
        <f ca="1">IFERROR(IF(0=LEN(ReferenceData!$AG$176),"",ReferenceData!$AG$176),"")</f>
        <v>52.009361720000001</v>
      </c>
      <c r="AH176" t="str">
        <f ca="1">IFERROR(IF(0=LEN(ReferenceData!$AH$176),"",ReferenceData!$AH$176),"")</f>
        <v/>
      </c>
      <c r="AI176" t="str">
        <f ca="1">IFERROR(IF(0=LEN(ReferenceData!$AI$176),"",ReferenceData!$AI$176),"")</f>
        <v/>
      </c>
      <c r="AJ176">
        <f ca="1">IFERROR(IF(0=LEN(ReferenceData!$AJ$176),"",ReferenceData!$AJ$176),"")</f>
        <v>50.542152270000003</v>
      </c>
      <c r="AK176" t="str">
        <f ca="1">IFERROR(IF(0=LEN(ReferenceData!$AK$176),"",ReferenceData!$AK$176),"")</f>
        <v/>
      </c>
      <c r="AL176" t="str">
        <f ca="1">IFERROR(IF(0=LEN(ReferenceData!$AL$176),"",ReferenceData!$AL$176),"")</f>
        <v/>
      </c>
      <c r="AM176">
        <f ca="1">IFERROR(IF(0=LEN(ReferenceData!$AM$176),"",ReferenceData!$AM$176),"")</f>
        <v>51.512424350000003</v>
      </c>
      <c r="AN176" t="str">
        <f ca="1">IFERROR(IF(0=LEN(ReferenceData!$AN$176),"",ReferenceData!$AN$176),"")</f>
        <v/>
      </c>
      <c r="AO176" t="str">
        <f ca="1">IFERROR(IF(0=LEN(ReferenceData!$AO$176),"",ReferenceData!$AO$176),"")</f>
        <v/>
      </c>
      <c r="AP176">
        <f ca="1">IFERROR(IF(0=LEN(ReferenceData!$AP$176),"",ReferenceData!$AP$176),"")</f>
        <v>54.290151170000001</v>
      </c>
      <c r="AQ176" t="str">
        <f ca="1">IFERROR(IF(0=LEN(ReferenceData!$AQ$176),"",ReferenceData!$AQ$176),"")</f>
        <v/>
      </c>
      <c r="AR176" t="str">
        <f ca="1">IFERROR(IF(0=LEN(ReferenceData!$AR$176),"",ReferenceData!$AR$176),"")</f>
        <v/>
      </c>
      <c r="AS176">
        <f ca="1">IFERROR(IF(0=LEN(ReferenceData!$AS$176),"",ReferenceData!$AS$176),"")</f>
        <v>53.8637151</v>
      </c>
      <c r="AT176" t="str">
        <f ca="1">IFERROR(IF(0=LEN(ReferenceData!$AT$176),"",ReferenceData!$AT$176),"")</f>
        <v/>
      </c>
      <c r="AU176" t="str">
        <f ca="1">IFERROR(IF(0=LEN(ReferenceData!$AU$176),"",ReferenceData!$AU$176),"")</f>
        <v/>
      </c>
      <c r="AV176">
        <f ca="1">IFERROR(IF(0=LEN(ReferenceData!$AV$176),"",ReferenceData!$AV$176),"")</f>
        <v>52.88866204</v>
      </c>
      <c r="AW176" t="str">
        <f ca="1">IFERROR(IF(0=LEN(ReferenceData!$AW$176),"",ReferenceData!$AW$176),"")</f>
        <v/>
      </c>
      <c r="AX176" t="str">
        <f ca="1">IFERROR(IF(0=LEN(ReferenceData!$AX$176),"",ReferenceData!$AX$176),"")</f>
        <v/>
      </c>
      <c r="AY176">
        <f ca="1">IFERROR(IF(0=LEN(ReferenceData!$AY$176),"",ReferenceData!$AY$176),"")</f>
        <v>57.282296649999999</v>
      </c>
      <c r="AZ176" t="str">
        <f ca="1">IFERROR(IF(0=LEN(ReferenceData!$AZ$176),"",ReferenceData!$AZ$176),"")</f>
        <v/>
      </c>
      <c r="BA176" t="str">
        <f ca="1">IFERROR(IF(0=LEN(ReferenceData!$BA$176),"",ReferenceData!$BA$176),"")</f>
        <v/>
      </c>
      <c r="BB176">
        <f ca="1">IFERROR(IF(0=LEN(ReferenceData!$BB$176),"",ReferenceData!$BB$176),"")</f>
        <v>56.086883729999997</v>
      </c>
      <c r="BC176" t="str">
        <f ca="1">IFERROR(IF(0=LEN(ReferenceData!$BC$176),"",ReferenceData!$BC$176),"")</f>
        <v/>
      </c>
      <c r="BD176" t="str">
        <f ca="1">IFERROR(IF(0=LEN(ReferenceData!$BD$176),"",ReferenceData!$BD$176),"")</f>
        <v/>
      </c>
      <c r="BE176">
        <f ca="1">IFERROR(IF(0=LEN(ReferenceData!$BE$176),"",ReferenceData!$BE$176),"")</f>
        <v>72.779788839999995</v>
      </c>
      <c r="BF176" t="str">
        <f ca="1">IFERROR(IF(0=LEN(ReferenceData!$BF$176),"",ReferenceData!$BF$176),"")</f>
        <v/>
      </c>
      <c r="BG176" t="str">
        <f ca="1">IFERROR(IF(0=LEN(ReferenceData!$BG$176),"",ReferenceData!$BG$176),"")</f>
        <v/>
      </c>
      <c r="BH176">
        <f ca="1">IFERROR(IF(0=LEN(ReferenceData!$BH$176),"",ReferenceData!$BH$176),"")</f>
        <v>59.294114120000003</v>
      </c>
      <c r="BI176" t="str">
        <f ca="1">IFERROR(IF(0=LEN(ReferenceData!$BI$176),"",ReferenceData!$BI$176),"")</f>
        <v/>
      </c>
      <c r="BJ176" t="str">
        <f ca="1">IFERROR(IF(0=LEN(ReferenceData!$BJ$176),"",ReferenceData!$BJ$176),"")</f>
        <v/>
      </c>
      <c r="BK176">
        <f ca="1">IFERROR(IF(0=LEN(ReferenceData!$BK$176),"",ReferenceData!$BK$176),"")</f>
        <v>58.489229860000002</v>
      </c>
      <c r="BL176" t="str">
        <f ca="1">IFERROR(IF(0=LEN(ReferenceData!$BL$176),"",ReferenceData!$BL$176),"")</f>
        <v/>
      </c>
      <c r="BM176" t="str">
        <f ca="1">IFERROR(IF(0=LEN(ReferenceData!$BM$176),"",ReferenceData!$BM$176),"")</f>
        <v/>
      </c>
      <c r="BN176">
        <f ca="1">IFERROR(IF(0=LEN(ReferenceData!$BN$176),"",ReferenceData!$BN$176),"")</f>
        <v>53.738749339999998</v>
      </c>
      <c r="BO176" t="str">
        <f ca="1">IFERROR(IF(0=LEN(ReferenceData!$BO$176),"",ReferenceData!$BO$176),"")</f>
        <v/>
      </c>
      <c r="BP176" t="str">
        <f ca="1">IFERROR(IF(0=LEN(ReferenceData!$BP$176),"",ReferenceData!$BP$176),"")</f>
        <v/>
      </c>
      <c r="BQ176">
        <f ca="1">IFERROR(IF(0=LEN(ReferenceData!$BQ$176),"",ReferenceData!$BQ$176),"")</f>
        <v>54.904613449999999</v>
      </c>
      <c r="BR176" t="str">
        <f ca="1">IFERROR(IF(0=LEN(ReferenceData!$BR$176),"",ReferenceData!$BR$176),"")</f>
        <v/>
      </c>
      <c r="BS176" t="str">
        <f ca="1">IFERROR(IF(0=LEN(ReferenceData!$BS$176),"",ReferenceData!$BS$176),"")</f>
        <v/>
      </c>
      <c r="BT176">
        <f ca="1">IFERROR(IF(0=LEN(ReferenceData!$BT$176),"",ReferenceData!$BT$176),"")</f>
        <v>56.729775179999997</v>
      </c>
      <c r="BU176" t="str">
        <f ca="1">IFERROR(IF(0=LEN(ReferenceData!$BU$176),"",ReferenceData!$BU$176),"")</f>
        <v/>
      </c>
      <c r="BV176" t="str">
        <f ca="1">IFERROR(IF(0=LEN(ReferenceData!$BV$176),"",ReferenceData!$BV$176),"")</f>
        <v/>
      </c>
      <c r="BW176">
        <f ca="1">IFERROR(IF(0=LEN(ReferenceData!$BW$176),"",ReferenceData!$BW$176),"")</f>
        <v>56.021332559999998</v>
      </c>
      <c r="BX176" t="str">
        <f ca="1">IFERROR(IF(0=LEN(ReferenceData!$BX$176),"",ReferenceData!$BX$176),"")</f>
        <v/>
      </c>
      <c r="BY176" t="str">
        <f ca="1">IFERROR(IF(0=LEN(ReferenceData!$BY$176),"",ReferenceData!$BY$176),"")</f>
        <v/>
      </c>
      <c r="BZ176">
        <f ca="1">IFERROR(IF(0=LEN(ReferenceData!$BZ$176),"",ReferenceData!$BZ$176),"")</f>
        <v>56.13680403</v>
      </c>
      <c r="CA176" t="str">
        <f ca="1">IFERROR(IF(0=LEN(ReferenceData!$CA$176),"",ReferenceData!$CA$176),"")</f>
        <v/>
      </c>
      <c r="CB176" t="str">
        <f ca="1">IFERROR(IF(0=LEN(ReferenceData!$CB$176),"",ReferenceData!$CB$176),"")</f>
        <v/>
      </c>
      <c r="CC176">
        <f ca="1">IFERROR(IF(0=LEN(ReferenceData!$CC$176),"",ReferenceData!$CC$176),"")</f>
        <v>55.531347179999997</v>
      </c>
      <c r="CD176" t="str">
        <f ca="1">IFERROR(IF(0=LEN(ReferenceData!$CD$176),"",ReferenceData!$CD$176),"")</f>
        <v/>
      </c>
      <c r="CE176" t="str">
        <f ca="1">IFERROR(IF(0=LEN(ReferenceData!$CE$176),"",ReferenceData!$CE$176),"")</f>
        <v/>
      </c>
      <c r="CF176">
        <f ca="1">IFERROR(IF(0=LEN(ReferenceData!$CF$176),"",ReferenceData!$CF$176),"")</f>
        <v>59.593953829999997</v>
      </c>
      <c r="CG176" t="str">
        <f ca="1">IFERROR(IF(0=LEN(ReferenceData!$CG$176),"",ReferenceData!$CG$176),"")</f>
        <v/>
      </c>
      <c r="CH176" t="str">
        <f ca="1">IFERROR(IF(0=LEN(ReferenceData!$CH$176),"",ReferenceData!$CH$176),"")</f>
        <v/>
      </c>
      <c r="CI176">
        <f ca="1">IFERROR(IF(0=LEN(ReferenceData!$CI$176),"",ReferenceData!$CI$176),"")</f>
        <v>63.896586040000003</v>
      </c>
      <c r="CJ176" t="str">
        <f ca="1">IFERROR(IF(0=LEN(ReferenceData!$CJ$176),"",ReferenceData!$CJ$176),"")</f>
        <v/>
      </c>
      <c r="CK176" t="str">
        <f ca="1">IFERROR(IF(0=LEN(ReferenceData!$CK$176),"",ReferenceData!$CK$176),"")</f>
        <v/>
      </c>
    </row>
    <row r="177" spans="1:89">
      <c r="A177" t="str">
        <f>IFERROR(IF(0=LEN(ReferenceData!$A$177),"",ReferenceData!$A$177),"")</f>
        <v xml:space="preserve">    UDR 公司</v>
      </c>
      <c r="B177" t="str">
        <f>IFERROR(IF(0=LEN(ReferenceData!$B$177),"",ReferenceData!$B$177),"")</f>
        <v>UDR US Equity</v>
      </c>
      <c r="C177" t="str">
        <f>IFERROR(IF(0=LEN(ReferenceData!$C$177),"",ReferenceData!$C$177),"")</f>
        <v>RR106</v>
      </c>
      <c r="D177" t="str">
        <f>IFERROR(IF(0=LEN(ReferenceData!$D$177),"",ReferenceData!$D$177),"")</f>
        <v>FFO_PAYOUT_RATIO</v>
      </c>
      <c r="E177" t="str">
        <f>IFERROR(IF(0=LEN(ReferenceData!$E$177),"",ReferenceData!$E$177),"")</f>
        <v>动态</v>
      </c>
      <c r="F177" t="str">
        <f ca="1">IFERROR(IF(0=LEN(ReferenceData!$F$177),"",ReferenceData!$F$177),"")</f>
        <v/>
      </c>
      <c r="G177" t="str">
        <f ca="1">IFERROR(IF(0=LEN(ReferenceData!$G$177),"",ReferenceData!$G$177),"")</f>
        <v/>
      </c>
      <c r="H177" t="str">
        <f ca="1">IFERROR(IF(0=LEN(ReferenceData!$H$177),"",ReferenceData!$H$177),"")</f>
        <v/>
      </c>
      <c r="I177">
        <f ca="1">IFERROR(IF(0=LEN(ReferenceData!$I$177),"",ReferenceData!$I$177),"")</f>
        <v>60.623640850000001</v>
      </c>
      <c r="J177" t="str">
        <f ca="1">IFERROR(IF(0=LEN(ReferenceData!$J$177),"",ReferenceData!$J$177),"")</f>
        <v/>
      </c>
      <c r="K177" t="str">
        <f ca="1">IFERROR(IF(0=LEN(ReferenceData!$K$177),"",ReferenceData!$K$177),"")</f>
        <v/>
      </c>
      <c r="L177">
        <f ca="1">IFERROR(IF(0=LEN(ReferenceData!$L$177),"",ReferenceData!$L$177),"")</f>
        <v>60.510882879999997</v>
      </c>
      <c r="M177" t="str">
        <f ca="1">IFERROR(IF(0=LEN(ReferenceData!$M$177),"",ReferenceData!$M$177),"")</f>
        <v/>
      </c>
      <c r="N177" t="str">
        <f ca="1">IFERROR(IF(0=LEN(ReferenceData!$N$177),"",ReferenceData!$N$177),"")</f>
        <v/>
      </c>
      <c r="O177">
        <f ca="1">IFERROR(IF(0=LEN(ReferenceData!$O$177),"",ReferenceData!$O$177),"")</f>
        <v>61.895842819999999</v>
      </c>
      <c r="P177" t="str">
        <f ca="1">IFERROR(IF(0=LEN(ReferenceData!$P$177),"",ReferenceData!$P$177),"")</f>
        <v/>
      </c>
      <c r="Q177" t="str">
        <f ca="1">IFERROR(IF(0=LEN(ReferenceData!$Q$177),"",ReferenceData!$Q$177),"")</f>
        <v/>
      </c>
      <c r="R177">
        <f ca="1">IFERROR(IF(0=LEN(ReferenceData!$R$177),"",ReferenceData!$R$177),"")</f>
        <v>61.713202219999999</v>
      </c>
      <c r="S177" t="str">
        <f ca="1">IFERROR(IF(0=LEN(ReferenceData!$S$177),"",ReferenceData!$S$177),"")</f>
        <v/>
      </c>
      <c r="T177" t="str">
        <f ca="1">IFERROR(IF(0=LEN(ReferenceData!$T$177),"",ReferenceData!$T$177),"")</f>
        <v/>
      </c>
      <c r="U177">
        <f ca="1">IFERROR(IF(0=LEN(ReferenceData!$U$177),"",ReferenceData!$U$177),"")</f>
        <v>56.92953129</v>
      </c>
      <c r="V177" t="str">
        <f ca="1">IFERROR(IF(0=LEN(ReferenceData!$V$177),"",ReferenceData!$V$177),"")</f>
        <v/>
      </c>
      <c r="W177" t="str">
        <f ca="1">IFERROR(IF(0=LEN(ReferenceData!$W$177),"",ReferenceData!$W$177),"")</f>
        <v/>
      </c>
      <c r="X177">
        <f ca="1">IFERROR(IF(0=LEN(ReferenceData!$X$177),"",ReferenceData!$X$177),"")</f>
        <v>57.844673479999997</v>
      </c>
      <c r="Y177" t="str">
        <f ca="1">IFERROR(IF(0=LEN(ReferenceData!$Y$177),"",ReferenceData!$Y$177),"")</f>
        <v/>
      </c>
      <c r="Z177" t="str">
        <f ca="1">IFERROR(IF(0=LEN(ReferenceData!$Z$177),"",ReferenceData!$Z$177),"")</f>
        <v/>
      </c>
      <c r="AA177">
        <f ca="1">IFERROR(IF(0=LEN(ReferenceData!$AA$177),"",ReferenceData!$AA$177),"")</f>
        <v>60.197769860000001</v>
      </c>
      <c r="AB177" t="str">
        <f ca="1">IFERROR(IF(0=LEN(ReferenceData!$AB$177),"",ReferenceData!$AB$177),"")</f>
        <v/>
      </c>
      <c r="AC177" t="str">
        <f ca="1">IFERROR(IF(0=LEN(ReferenceData!$AC$177),"",ReferenceData!$AC$177),"")</f>
        <v/>
      </c>
      <c r="AD177">
        <f ca="1">IFERROR(IF(0=LEN(ReferenceData!$AD$177),"",ReferenceData!$AD$177),"")</f>
        <v>62.623502879999997</v>
      </c>
      <c r="AE177" t="str">
        <f ca="1">IFERROR(IF(0=LEN(ReferenceData!$AE$177),"",ReferenceData!$AE$177),"")</f>
        <v/>
      </c>
      <c r="AF177" t="str">
        <f ca="1">IFERROR(IF(0=LEN(ReferenceData!$AF$177),"",ReferenceData!$AF$177),"")</f>
        <v/>
      </c>
      <c r="AG177">
        <f ca="1">IFERROR(IF(0=LEN(ReferenceData!$AG$177),"",ReferenceData!$AG$177),"")</f>
        <v>61.104162799999997</v>
      </c>
      <c r="AH177" t="str">
        <f ca="1">IFERROR(IF(0=LEN(ReferenceData!$AH$177),"",ReferenceData!$AH$177),"")</f>
        <v/>
      </c>
      <c r="AI177" t="str">
        <f ca="1">IFERROR(IF(0=LEN(ReferenceData!$AI$177),"",ReferenceData!$AI$177),"")</f>
        <v/>
      </c>
      <c r="AJ177">
        <f ca="1">IFERROR(IF(0=LEN(ReferenceData!$AJ$177),"",ReferenceData!$AJ$177),"")</f>
        <v>63.263036800000002</v>
      </c>
      <c r="AK177" t="str">
        <f ca="1">IFERROR(IF(0=LEN(ReferenceData!$AK$177),"",ReferenceData!$AK$177),"")</f>
        <v/>
      </c>
      <c r="AL177" t="str">
        <f ca="1">IFERROR(IF(0=LEN(ReferenceData!$AL$177),"",ReferenceData!$AL$177),"")</f>
        <v/>
      </c>
      <c r="AM177">
        <f ca="1">IFERROR(IF(0=LEN(ReferenceData!$AM$177),"",ReferenceData!$AM$177),"")</f>
        <v>65.753925789999997</v>
      </c>
      <c r="AN177" t="str">
        <f ca="1">IFERROR(IF(0=LEN(ReferenceData!$AN$177),"",ReferenceData!$AN$177),"")</f>
        <v/>
      </c>
      <c r="AO177" t="str">
        <f ca="1">IFERROR(IF(0=LEN(ReferenceData!$AO$177),"",ReferenceData!$AO$177),"")</f>
        <v/>
      </c>
      <c r="AP177">
        <f ca="1">IFERROR(IF(0=LEN(ReferenceData!$AP$177),"",ReferenceData!$AP$177),"")</f>
        <v>62.28367437</v>
      </c>
      <c r="AQ177" t="str">
        <f ca="1">IFERROR(IF(0=LEN(ReferenceData!$AQ$177),"",ReferenceData!$AQ$177),"")</f>
        <v/>
      </c>
      <c r="AR177" t="str">
        <f ca="1">IFERROR(IF(0=LEN(ReferenceData!$AR$177),"",ReferenceData!$AR$177),"")</f>
        <v/>
      </c>
      <c r="AS177">
        <f ca="1">IFERROR(IF(0=LEN(ReferenceData!$AS$177),"",ReferenceData!$AS$177),"")</f>
        <v>61.188247070000003</v>
      </c>
      <c r="AT177" t="str">
        <f ca="1">IFERROR(IF(0=LEN(ReferenceData!$AT$177),"",ReferenceData!$AT$177),"")</f>
        <v/>
      </c>
      <c r="AU177" t="str">
        <f ca="1">IFERROR(IF(0=LEN(ReferenceData!$AU$177),"",ReferenceData!$AU$177),"")</f>
        <v/>
      </c>
      <c r="AV177" t="str">
        <f ca="1">IFERROR(IF(0=LEN(ReferenceData!$AV$177),"",ReferenceData!$AV$177),"")</f>
        <v/>
      </c>
      <c r="AW177" t="str">
        <f ca="1">IFERROR(IF(0=LEN(ReferenceData!$AW$177),"",ReferenceData!$AW$177),"")</f>
        <v/>
      </c>
      <c r="AX177" t="str">
        <f ca="1">IFERROR(IF(0=LEN(ReferenceData!$AX$177),"",ReferenceData!$AX$177),"")</f>
        <v/>
      </c>
      <c r="AY177" t="str">
        <f ca="1">IFERROR(IF(0=LEN(ReferenceData!$AY$177),"",ReferenceData!$AY$177),"")</f>
        <v/>
      </c>
      <c r="AZ177" t="str">
        <f ca="1">IFERROR(IF(0=LEN(ReferenceData!$AZ$177),"",ReferenceData!$AZ$177),"")</f>
        <v/>
      </c>
      <c r="BA177" t="str">
        <f ca="1">IFERROR(IF(0=LEN(ReferenceData!$BA$177),"",ReferenceData!$BA$177),"")</f>
        <v/>
      </c>
      <c r="BB177">
        <f ca="1">IFERROR(IF(0=LEN(ReferenceData!$BB$177),"",ReferenceData!$BB$177),"")</f>
        <v>61.861145020000002</v>
      </c>
      <c r="BC177" t="str">
        <f ca="1">IFERROR(IF(0=LEN(ReferenceData!$BC$177),"",ReferenceData!$BC$177),"")</f>
        <v/>
      </c>
      <c r="BD177" t="str">
        <f ca="1">IFERROR(IF(0=LEN(ReferenceData!$BD$177),"",ReferenceData!$BD$177),"")</f>
        <v/>
      </c>
      <c r="BE177">
        <f ca="1">IFERROR(IF(0=LEN(ReferenceData!$BE$177),"",ReferenceData!$BE$177),"")</f>
        <v>62.739962310000003</v>
      </c>
      <c r="BF177" t="str">
        <f ca="1">IFERROR(IF(0=LEN(ReferenceData!$BF$177),"",ReferenceData!$BF$177),"")</f>
        <v/>
      </c>
      <c r="BG177" t="str">
        <f ca="1">IFERROR(IF(0=LEN(ReferenceData!$BG$177),"",ReferenceData!$BG$177),"")</f>
        <v/>
      </c>
      <c r="BH177">
        <f ca="1">IFERROR(IF(0=LEN(ReferenceData!$BH$177),"",ReferenceData!$BH$177),"")</f>
        <v>59.936208739999998</v>
      </c>
      <c r="BI177" t="str">
        <f ca="1">IFERROR(IF(0=LEN(ReferenceData!$BI$177),"",ReferenceData!$BI$177),"")</f>
        <v/>
      </c>
      <c r="BJ177" t="str">
        <f ca="1">IFERROR(IF(0=LEN(ReferenceData!$BJ$177),"",ReferenceData!$BJ$177),"")</f>
        <v/>
      </c>
      <c r="BK177">
        <f ca="1">IFERROR(IF(0=LEN(ReferenceData!$BK$177),"",ReferenceData!$BK$177),"")</f>
        <v>61.43807297</v>
      </c>
      <c r="BL177" t="str">
        <f ca="1">IFERROR(IF(0=LEN(ReferenceData!$BL$177),"",ReferenceData!$BL$177),"")</f>
        <v/>
      </c>
      <c r="BM177" t="str">
        <f ca="1">IFERROR(IF(0=LEN(ReferenceData!$BM$177),"",ReferenceData!$BM$177),"")</f>
        <v/>
      </c>
      <c r="BN177">
        <f ca="1">IFERROR(IF(0=LEN(ReferenceData!$BN$177),"",ReferenceData!$BN$177),"")</f>
        <v>59.67325099</v>
      </c>
      <c r="BO177" t="str">
        <f ca="1">IFERROR(IF(0=LEN(ReferenceData!$BO$177),"",ReferenceData!$BO$177),"")</f>
        <v/>
      </c>
      <c r="BP177" t="str">
        <f ca="1">IFERROR(IF(0=LEN(ReferenceData!$BP$177),"",ReferenceData!$BP$177),"")</f>
        <v/>
      </c>
      <c r="BQ177">
        <f ca="1">IFERROR(IF(0=LEN(ReferenceData!$BQ$177),"",ReferenceData!$BQ$177),"")</f>
        <v>67.360371619999995</v>
      </c>
      <c r="BR177" t="str">
        <f ca="1">IFERROR(IF(0=LEN(ReferenceData!$BR$177),"",ReferenceData!$BR$177),"")</f>
        <v/>
      </c>
      <c r="BS177" t="str">
        <f ca="1">IFERROR(IF(0=LEN(ReferenceData!$BS$177),"",ReferenceData!$BS$177),"")</f>
        <v/>
      </c>
      <c r="BT177">
        <f ca="1">IFERROR(IF(0=LEN(ReferenceData!$BT$177),"",ReferenceData!$BT$177),"")</f>
        <v>63.515809179999998</v>
      </c>
      <c r="BU177" t="str">
        <f ca="1">IFERROR(IF(0=LEN(ReferenceData!$BU$177),"",ReferenceData!$BU$177),"")</f>
        <v/>
      </c>
      <c r="BV177" t="str">
        <f ca="1">IFERROR(IF(0=LEN(ReferenceData!$BV$177),"",ReferenceData!$BV$177),"")</f>
        <v/>
      </c>
      <c r="BW177">
        <f ca="1">IFERROR(IF(0=LEN(ReferenceData!$BW$177),"",ReferenceData!$BW$177),"")</f>
        <v>63.421472739999999</v>
      </c>
      <c r="BX177" t="str">
        <f ca="1">IFERROR(IF(0=LEN(ReferenceData!$BX$177),"",ReferenceData!$BX$177),"")</f>
        <v/>
      </c>
      <c r="BY177" t="str">
        <f ca="1">IFERROR(IF(0=LEN(ReferenceData!$BY$177),"",ReferenceData!$BY$177),"")</f>
        <v/>
      </c>
      <c r="BZ177">
        <f ca="1">IFERROR(IF(0=LEN(ReferenceData!$BZ$177),"",ReferenceData!$BZ$177),"")</f>
        <v>58.34530651</v>
      </c>
      <c r="CA177" t="str">
        <f ca="1">IFERROR(IF(0=LEN(ReferenceData!$CA$177),"",ReferenceData!$CA$177),"")</f>
        <v/>
      </c>
      <c r="CB177" t="str">
        <f ca="1">IFERROR(IF(0=LEN(ReferenceData!$CB$177),"",ReferenceData!$CB$177),"")</f>
        <v/>
      </c>
      <c r="CC177">
        <f ca="1">IFERROR(IF(0=LEN(ReferenceData!$CC$177),"",ReferenceData!$CC$177),"")</f>
        <v>58.399771800000003</v>
      </c>
      <c r="CD177" t="str">
        <f ca="1">IFERROR(IF(0=LEN(ReferenceData!$CD$177),"",ReferenceData!$CD$177),"")</f>
        <v/>
      </c>
      <c r="CE177" t="str">
        <f ca="1">IFERROR(IF(0=LEN(ReferenceData!$CE$177),"",ReferenceData!$CE$177),"")</f>
        <v/>
      </c>
      <c r="CF177">
        <f ca="1">IFERROR(IF(0=LEN(ReferenceData!$CF$177),"",ReferenceData!$CF$177),"")</f>
        <v>58.593371060000003</v>
      </c>
      <c r="CG177" t="str">
        <f ca="1">IFERROR(IF(0=LEN(ReferenceData!$CG$177),"",ReferenceData!$CG$177),"")</f>
        <v/>
      </c>
      <c r="CH177" t="str">
        <f ca="1">IFERROR(IF(0=LEN(ReferenceData!$CH$177),"",ReferenceData!$CH$177),"")</f>
        <v/>
      </c>
      <c r="CI177">
        <f ca="1">IFERROR(IF(0=LEN(ReferenceData!$CI$177),"",ReferenceData!$CI$177),"")</f>
        <v>59.92166855</v>
      </c>
      <c r="CJ177" t="str">
        <f ca="1">IFERROR(IF(0=LEN(ReferenceData!$CJ$177),"",ReferenceData!$CJ$177),"")</f>
        <v/>
      </c>
      <c r="CK177" t="str">
        <f ca="1">IFERROR(IF(0=LEN(ReferenceData!$CK$177),"",ReferenceData!$CK$177),"")</f>
        <v/>
      </c>
    </row>
    <row r="178" spans="1:89">
      <c r="A178" t="str">
        <f>IFERROR(IF(0=LEN(ReferenceData!$A$178),"",ReferenceData!$A$178),"")</f>
        <v>AFFO支付</v>
      </c>
      <c r="B178" t="str">
        <f>IFERROR(IF(0=LEN(ReferenceData!$B$178),"",ReferenceData!$B$178),"")</f>
        <v/>
      </c>
      <c r="C178" t="str">
        <f>IFERROR(IF(0=LEN(ReferenceData!$C$178),"",ReferenceData!$C$178),"")</f>
        <v/>
      </c>
      <c r="D178" t="str">
        <f>IFERROR(IF(0=LEN(ReferenceData!$D$178),"",ReferenceData!$D$178),"")</f>
        <v/>
      </c>
      <c r="E178" t="str">
        <f>IFERROR(IF(0=LEN(ReferenceData!$E$178),"",ReferenceData!$E$178),"")</f>
        <v>Median</v>
      </c>
      <c r="F178" t="str">
        <f ca="1">IFERROR(IF(0=LEN(ReferenceData!$F$178),"",ReferenceData!$F$178),"")</f>
        <v/>
      </c>
      <c r="G178" t="str">
        <f ca="1">IFERROR(IF(0=LEN(ReferenceData!$G$178),"",ReferenceData!$G$178),"")</f>
        <v/>
      </c>
      <c r="H178" t="str">
        <f ca="1">IFERROR(IF(0=LEN(ReferenceData!$H$178),"",ReferenceData!$H$178),"")</f>
        <v/>
      </c>
      <c r="I178">
        <f ca="1">IFERROR(IF(0=LEN(ReferenceData!$I$178),"",ReferenceData!$I$178),"")</f>
        <v>62.236631289999998</v>
      </c>
      <c r="J178" t="str">
        <f ca="1">IFERROR(IF(0=LEN(ReferenceData!$J$178),"",ReferenceData!$J$178),"")</f>
        <v/>
      </c>
      <c r="K178" t="str">
        <f ca="1">IFERROR(IF(0=LEN(ReferenceData!$K$178),"",ReferenceData!$K$178),"")</f>
        <v/>
      </c>
      <c r="L178">
        <f ca="1">IFERROR(IF(0=LEN(ReferenceData!$L$178),"",ReferenceData!$L$178),"")</f>
        <v>63.282315109999999</v>
      </c>
      <c r="M178" t="str">
        <f ca="1">IFERROR(IF(0=LEN(ReferenceData!$M$178),"",ReferenceData!$M$178),"")</f>
        <v/>
      </c>
      <c r="N178" t="str">
        <f ca="1">IFERROR(IF(0=LEN(ReferenceData!$N$178),"",ReferenceData!$N$178),"")</f>
        <v/>
      </c>
      <c r="O178">
        <f ca="1">IFERROR(IF(0=LEN(ReferenceData!$O$178),"",ReferenceData!$O$178),"")</f>
        <v>65.394094420000002</v>
      </c>
      <c r="P178" t="str">
        <f ca="1">IFERROR(IF(0=LEN(ReferenceData!$P$178),"",ReferenceData!$P$178),"")</f>
        <v/>
      </c>
      <c r="Q178" t="str">
        <f ca="1">IFERROR(IF(0=LEN(ReferenceData!$Q$178),"",ReferenceData!$Q$178),"")</f>
        <v/>
      </c>
      <c r="R178">
        <f ca="1">IFERROR(IF(0=LEN(ReferenceData!$R$178),"",ReferenceData!$R$178),"")</f>
        <v>67.916499025000007</v>
      </c>
      <c r="S178" t="str">
        <f ca="1">IFERROR(IF(0=LEN(ReferenceData!$S$178),"",ReferenceData!$S$178),"")</f>
        <v/>
      </c>
      <c r="T178" t="str">
        <f ca="1">IFERROR(IF(0=LEN(ReferenceData!$T$178),"",ReferenceData!$T$178),"")</f>
        <v/>
      </c>
      <c r="U178">
        <f ca="1">IFERROR(IF(0=LEN(ReferenceData!$U$178),"",ReferenceData!$U$178),"")</f>
        <v>64.044060485000003</v>
      </c>
      <c r="V178" t="str">
        <f ca="1">IFERROR(IF(0=LEN(ReferenceData!$V$178),"",ReferenceData!$V$178),"")</f>
        <v/>
      </c>
      <c r="W178" t="str">
        <f ca="1">IFERROR(IF(0=LEN(ReferenceData!$W$178),"",ReferenceData!$W$178),"")</f>
        <v/>
      </c>
      <c r="X178">
        <f ca="1">IFERROR(IF(0=LEN(ReferenceData!$X$178),"",ReferenceData!$X$178),"")</f>
        <v>65.212290019999998</v>
      </c>
      <c r="Y178" t="str">
        <f ca="1">IFERROR(IF(0=LEN(ReferenceData!$Y$178),"",ReferenceData!$Y$178),"")</f>
        <v/>
      </c>
      <c r="Z178" t="str">
        <f ca="1">IFERROR(IF(0=LEN(ReferenceData!$Z$178),"",ReferenceData!$Z$178),"")</f>
        <v/>
      </c>
      <c r="AA178">
        <f ca="1">IFERROR(IF(0=LEN(ReferenceData!$AA$178),"",ReferenceData!$AA$178),"")</f>
        <v>65.673054750000006</v>
      </c>
      <c r="AB178" t="str">
        <f ca="1">IFERROR(IF(0=LEN(ReferenceData!$AB$178),"",ReferenceData!$AB$178),"")</f>
        <v/>
      </c>
      <c r="AC178" t="str">
        <f ca="1">IFERROR(IF(0=LEN(ReferenceData!$AC$178),"",ReferenceData!$AC$178),"")</f>
        <v/>
      </c>
      <c r="AD178">
        <f ca="1">IFERROR(IF(0=LEN(ReferenceData!$AD$178),"",ReferenceData!$AD$178),"")</f>
        <v>65.408423920000004</v>
      </c>
      <c r="AE178" t="str">
        <f ca="1">IFERROR(IF(0=LEN(ReferenceData!$AE$178),"",ReferenceData!$AE$178),"")</f>
        <v/>
      </c>
      <c r="AF178" t="str">
        <f ca="1">IFERROR(IF(0=LEN(ReferenceData!$AF$178),"",ReferenceData!$AF$178),"")</f>
        <v/>
      </c>
      <c r="AG178">
        <f ca="1">IFERROR(IF(0=LEN(ReferenceData!$AG$178),"",ReferenceData!$AG$178),"")</f>
        <v>59.05428525</v>
      </c>
      <c r="AH178" t="str">
        <f ca="1">IFERROR(IF(0=LEN(ReferenceData!$AH$178),"",ReferenceData!$AH$178),"")</f>
        <v/>
      </c>
      <c r="AI178" t="str">
        <f ca="1">IFERROR(IF(0=LEN(ReferenceData!$AI$178),"",ReferenceData!$AI$178),"")</f>
        <v/>
      </c>
      <c r="AJ178">
        <f ca="1">IFERROR(IF(0=LEN(ReferenceData!$AJ$178),"",ReferenceData!$AJ$178),"")</f>
        <v>61.544755914999996</v>
      </c>
      <c r="AK178" t="str">
        <f ca="1">IFERROR(IF(0=LEN(ReferenceData!$AK$178),"",ReferenceData!$AK$178),"")</f>
        <v/>
      </c>
      <c r="AL178" t="str">
        <f ca="1">IFERROR(IF(0=LEN(ReferenceData!$AL$178),"",ReferenceData!$AL$178),"")</f>
        <v/>
      </c>
      <c r="AM178">
        <f ca="1">IFERROR(IF(0=LEN(ReferenceData!$AM$178),"",ReferenceData!$AM$178),"")</f>
        <v>61.321603940000003</v>
      </c>
      <c r="AN178" t="str">
        <f ca="1">IFERROR(IF(0=LEN(ReferenceData!$AN$178),"",ReferenceData!$AN$178),"")</f>
        <v/>
      </c>
      <c r="AO178" t="str">
        <f ca="1">IFERROR(IF(0=LEN(ReferenceData!$AO$178),"",ReferenceData!$AO$178),"")</f>
        <v/>
      </c>
      <c r="AP178">
        <f ca="1">IFERROR(IF(0=LEN(ReferenceData!$AP$178),"",ReferenceData!$AP$178),"")</f>
        <v>67.097646865000002</v>
      </c>
      <c r="AQ178" t="str">
        <f ca="1">IFERROR(IF(0=LEN(ReferenceData!$AQ$178),"",ReferenceData!$AQ$178),"")</f>
        <v/>
      </c>
      <c r="AR178" t="str">
        <f ca="1">IFERROR(IF(0=LEN(ReferenceData!$AR$178),"",ReferenceData!$AR$178),"")</f>
        <v/>
      </c>
      <c r="AS178">
        <f ca="1">IFERROR(IF(0=LEN(ReferenceData!$AS$178),"",ReferenceData!$AS$178),"")</f>
        <v>59.171573850000001</v>
      </c>
      <c r="AT178" t="str">
        <f ca="1">IFERROR(IF(0=LEN(ReferenceData!$AT$178),"",ReferenceData!$AT$178),"")</f>
        <v/>
      </c>
      <c r="AU178" t="str">
        <f ca="1">IFERROR(IF(0=LEN(ReferenceData!$AU$178),"",ReferenceData!$AU$178),"")</f>
        <v/>
      </c>
      <c r="AV178">
        <f ca="1">IFERROR(IF(0=LEN(ReferenceData!$AV$178),"",ReferenceData!$AV$178),"")</f>
        <v>61.118046569999997</v>
      </c>
      <c r="AW178" t="str">
        <f ca="1">IFERROR(IF(0=LEN(ReferenceData!$AW$178),"",ReferenceData!$AW$178),"")</f>
        <v/>
      </c>
      <c r="AX178" t="str">
        <f ca="1">IFERROR(IF(0=LEN(ReferenceData!$AX$178),"",ReferenceData!$AX$178),"")</f>
        <v/>
      </c>
      <c r="AY178">
        <f ca="1">IFERROR(IF(0=LEN(ReferenceData!$AY$178),"",ReferenceData!$AY$178),"")</f>
        <v>63.319108139999997</v>
      </c>
      <c r="AZ178" t="str">
        <f ca="1">IFERROR(IF(0=LEN(ReferenceData!$AZ$178),"",ReferenceData!$AZ$178),"")</f>
        <v/>
      </c>
      <c r="BA178" t="str">
        <f ca="1">IFERROR(IF(0=LEN(ReferenceData!$BA$178),"",ReferenceData!$BA$178),"")</f>
        <v/>
      </c>
      <c r="BB178">
        <f ca="1">IFERROR(IF(0=LEN(ReferenceData!$BB$178),"",ReferenceData!$BB$178),"")</f>
        <v>64.260206179999997</v>
      </c>
      <c r="BC178" t="str">
        <f ca="1">IFERROR(IF(0=LEN(ReferenceData!$BC$178),"",ReferenceData!$BC$178),"")</f>
        <v/>
      </c>
      <c r="BD178" t="str">
        <f ca="1">IFERROR(IF(0=LEN(ReferenceData!$BD$178),"",ReferenceData!$BD$178),"")</f>
        <v/>
      </c>
      <c r="BE178">
        <f ca="1">IFERROR(IF(0=LEN(ReferenceData!$BE$178),"",ReferenceData!$BE$178),"")</f>
        <v>63.17285862</v>
      </c>
      <c r="BF178" t="str">
        <f ca="1">IFERROR(IF(0=LEN(ReferenceData!$BF$178),"",ReferenceData!$BF$178),"")</f>
        <v/>
      </c>
      <c r="BG178" t="str">
        <f ca="1">IFERROR(IF(0=LEN(ReferenceData!$BG$178),"",ReferenceData!$BG$178),"")</f>
        <v/>
      </c>
      <c r="BH178">
        <f ca="1">IFERROR(IF(0=LEN(ReferenceData!$BH$178),"",ReferenceData!$BH$178),"")</f>
        <v>61.980156174999998</v>
      </c>
      <c r="BI178" t="str">
        <f ca="1">IFERROR(IF(0=LEN(ReferenceData!$BI$178),"",ReferenceData!$BI$178),"")</f>
        <v/>
      </c>
      <c r="BJ178" t="str">
        <f ca="1">IFERROR(IF(0=LEN(ReferenceData!$BJ$178),"",ReferenceData!$BJ$178),"")</f>
        <v/>
      </c>
      <c r="BK178">
        <f ca="1">IFERROR(IF(0=LEN(ReferenceData!$BK$178),"",ReferenceData!$BK$178),"")</f>
        <v>63.107536789999997</v>
      </c>
      <c r="BL178" t="str">
        <f ca="1">IFERROR(IF(0=LEN(ReferenceData!$BL$178),"",ReferenceData!$BL$178),"")</f>
        <v/>
      </c>
      <c r="BM178" t="str">
        <f ca="1">IFERROR(IF(0=LEN(ReferenceData!$BM$178),"",ReferenceData!$BM$178),"")</f>
        <v/>
      </c>
      <c r="BN178">
        <f ca="1">IFERROR(IF(0=LEN(ReferenceData!$BN$178),"",ReferenceData!$BN$178),"")</f>
        <v>64.86986382500001</v>
      </c>
      <c r="BO178" t="str">
        <f ca="1">IFERROR(IF(0=LEN(ReferenceData!$BO$178),"",ReferenceData!$BO$178),"")</f>
        <v/>
      </c>
      <c r="BP178" t="str">
        <f ca="1">IFERROR(IF(0=LEN(ReferenceData!$BP$178),"",ReferenceData!$BP$178),"")</f>
        <v/>
      </c>
      <c r="BQ178">
        <f ca="1">IFERROR(IF(0=LEN(ReferenceData!$BQ$178),"",ReferenceData!$BQ$178),"")</f>
        <v>58.472498805000001</v>
      </c>
      <c r="BR178" t="str">
        <f ca="1">IFERROR(IF(0=LEN(ReferenceData!$BR$178),"",ReferenceData!$BR$178),"")</f>
        <v/>
      </c>
      <c r="BS178" t="str">
        <f ca="1">IFERROR(IF(0=LEN(ReferenceData!$BS$178),"",ReferenceData!$BS$178),"")</f>
        <v/>
      </c>
      <c r="BT178">
        <f ca="1">IFERROR(IF(0=LEN(ReferenceData!$BT$178),"",ReferenceData!$BT$178),"")</f>
        <v>59.120635660000005</v>
      </c>
      <c r="BU178" t="str">
        <f ca="1">IFERROR(IF(0=LEN(ReferenceData!$BU$178),"",ReferenceData!$BU$178),"")</f>
        <v/>
      </c>
      <c r="BV178" t="str">
        <f ca="1">IFERROR(IF(0=LEN(ReferenceData!$BV$178),"",ReferenceData!$BV$178),"")</f>
        <v/>
      </c>
      <c r="BW178">
        <f ca="1">IFERROR(IF(0=LEN(ReferenceData!$BW$178),"",ReferenceData!$BW$178),"")</f>
        <v>60.728631204999999</v>
      </c>
      <c r="BX178" t="str">
        <f ca="1">IFERROR(IF(0=LEN(ReferenceData!$BX$178),"",ReferenceData!$BX$178),"")</f>
        <v/>
      </c>
      <c r="BY178" t="str">
        <f ca="1">IFERROR(IF(0=LEN(ReferenceData!$BY$178),"",ReferenceData!$BY$178),"")</f>
        <v/>
      </c>
      <c r="BZ178">
        <f ca="1">IFERROR(IF(0=LEN(ReferenceData!$BZ$178),"",ReferenceData!$BZ$178),"")</f>
        <v>60.088064160000002</v>
      </c>
      <c r="CA178" t="str">
        <f ca="1">IFERROR(IF(0=LEN(ReferenceData!$CA$178),"",ReferenceData!$CA$178),"")</f>
        <v/>
      </c>
      <c r="CB178" t="str">
        <f ca="1">IFERROR(IF(0=LEN(ReferenceData!$CB$178),"",ReferenceData!$CB$178),"")</f>
        <v/>
      </c>
      <c r="CC178">
        <f ca="1">IFERROR(IF(0=LEN(ReferenceData!$CC$178),"",ReferenceData!$CC$178),"")</f>
        <v>59.870554319999997</v>
      </c>
      <c r="CD178" t="str">
        <f ca="1">IFERROR(IF(0=LEN(ReferenceData!$CD$178),"",ReferenceData!$CD$178),"")</f>
        <v/>
      </c>
      <c r="CE178" t="str">
        <f ca="1">IFERROR(IF(0=LEN(ReferenceData!$CE$178),"",ReferenceData!$CE$178),"")</f>
        <v/>
      </c>
      <c r="CF178">
        <f ca="1">IFERROR(IF(0=LEN(ReferenceData!$CF$178),"",ReferenceData!$CF$178),"")</f>
        <v>62.833137989999997</v>
      </c>
      <c r="CG178" t="str">
        <f ca="1">IFERROR(IF(0=LEN(ReferenceData!$CG$178),"",ReferenceData!$CG$178),"")</f>
        <v/>
      </c>
      <c r="CH178" t="str">
        <f ca="1">IFERROR(IF(0=LEN(ReferenceData!$CH$178),"",ReferenceData!$CH$178),"")</f>
        <v/>
      </c>
      <c r="CI178">
        <f ca="1">IFERROR(IF(0=LEN(ReferenceData!$CI$178),"",ReferenceData!$CI$178),"")</f>
        <v>67.516744990000007</v>
      </c>
      <c r="CJ178" t="str">
        <f ca="1">IFERROR(IF(0=LEN(ReferenceData!$CJ$178),"",ReferenceData!$CJ$178),"")</f>
        <v/>
      </c>
      <c r="CK178" t="str">
        <f ca="1">IFERROR(IF(0=LEN(ReferenceData!$CK$178),"",ReferenceData!$CK$178),"")</f>
        <v/>
      </c>
    </row>
    <row r="179" spans="1:89">
      <c r="A179" t="str">
        <f>IFERROR(IF(0=LEN(ReferenceData!$A$179),"",ReferenceData!$A$179),"")</f>
        <v xml:space="preserve">    Apartment Investment &amp; Managem</v>
      </c>
      <c r="B179" t="str">
        <f>IFERROR(IF(0=LEN(ReferenceData!$B$179),"",ReferenceData!$B$179),"")</f>
        <v>AIV US Equity</v>
      </c>
      <c r="C179" t="str">
        <f>IFERROR(IF(0=LEN(ReferenceData!$C$179),"",ReferenceData!$C$179),"")</f>
        <v>F0928</v>
      </c>
      <c r="D179" t="str">
        <f>IFERROR(IF(0=LEN(ReferenceData!$D$179),"",ReferenceData!$D$179),"")</f>
        <v>ADJUSTED_FFO_PAYOUT_RATIO</v>
      </c>
      <c r="E179" t="str">
        <f>IFERROR(IF(0=LEN(ReferenceData!$E$179),"",ReferenceData!$E$179),"")</f>
        <v>动态</v>
      </c>
      <c r="F179" t="str">
        <f ca="1">IFERROR(IF(0=LEN(ReferenceData!$F$179),"",ReferenceData!$F$179),"")</f>
        <v/>
      </c>
      <c r="G179" t="str">
        <f ca="1">IFERROR(IF(0=LEN(ReferenceData!$G$179),"",ReferenceData!$G$179),"")</f>
        <v/>
      </c>
      <c r="H179" t="str">
        <f ca="1">IFERROR(IF(0=LEN(ReferenceData!$H$179),"",ReferenceData!$H$179),"")</f>
        <v/>
      </c>
      <c r="I179">
        <f ca="1">IFERROR(IF(0=LEN(ReferenceData!$I$179),"",ReferenceData!$I$179),"")</f>
        <v>57.100762340000003</v>
      </c>
      <c r="J179" t="str">
        <f ca="1">IFERROR(IF(0=LEN(ReferenceData!$J$179),"",ReferenceData!$J$179),"")</f>
        <v/>
      </c>
      <c r="K179" t="str">
        <f ca="1">IFERROR(IF(0=LEN(ReferenceData!$K$179),"",ReferenceData!$K$179),"")</f>
        <v/>
      </c>
      <c r="L179">
        <f ca="1">IFERROR(IF(0=LEN(ReferenceData!$L$179),"",ReferenceData!$L$179),"")</f>
        <v>57.370713219999999</v>
      </c>
      <c r="M179" t="str">
        <f ca="1">IFERROR(IF(0=LEN(ReferenceData!$M$179),"",ReferenceData!$M$179),"")</f>
        <v/>
      </c>
      <c r="N179" t="str">
        <f ca="1">IFERROR(IF(0=LEN(ReferenceData!$N$179),"",ReferenceData!$N$179),"")</f>
        <v/>
      </c>
      <c r="O179">
        <f ca="1">IFERROR(IF(0=LEN(ReferenceData!$O$179),"",ReferenceData!$O$179),"")</f>
        <v>59.176814880000002</v>
      </c>
      <c r="P179" t="str">
        <f ca="1">IFERROR(IF(0=LEN(ReferenceData!$P$179),"",ReferenceData!$P$179),"")</f>
        <v/>
      </c>
      <c r="Q179" t="str">
        <f ca="1">IFERROR(IF(0=LEN(ReferenceData!$Q$179),"",ReferenceData!$Q$179),"")</f>
        <v/>
      </c>
      <c r="R179">
        <f ca="1">IFERROR(IF(0=LEN(ReferenceData!$R$179),"",ReferenceData!$R$179),"")</f>
        <v>61.960143610000003</v>
      </c>
      <c r="S179" t="str">
        <f ca="1">IFERROR(IF(0=LEN(ReferenceData!$S$179),"",ReferenceData!$S$179),"")</f>
        <v/>
      </c>
      <c r="T179" t="str">
        <f ca="1">IFERROR(IF(0=LEN(ReferenceData!$T$179),"",ReferenceData!$T$179),"")</f>
        <v/>
      </c>
      <c r="U179">
        <f ca="1">IFERROR(IF(0=LEN(ReferenceData!$U$179),"",ReferenceData!$U$179),"")</f>
        <v>54.84467566</v>
      </c>
      <c r="V179" t="str">
        <f ca="1">IFERROR(IF(0=LEN(ReferenceData!$V$179),"",ReferenceData!$V$179),"")</f>
        <v/>
      </c>
      <c r="W179" t="str">
        <f ca="1">IFERROR(IF(0=LEN(ReferenceData!$W$179),"",ReferenceData!$W$179),"")</f>
        <v/>
      </c>
      <c r="X179">
        <f ca="1">IFERROR(IF(0=LEN(ReferenceData!$X$179),"",ReferenceData!$X$179),"")</f>
        <v>59.719645290000003</v>
      </c>
      <c r="Y179" t="str">
        <f ca="1">IFERROR(IF(0=LEN(ReferenceData!$Y$179),"",ReferenceData!$Y$179),"")</f>
        <v/>
      </c>
      <c r="Z179" t="str">
        <f ca="1">IFERROR(IF(0=LEN(ReferenceData!$Z$179),"",ReferenceData!$Z$179),"")</f>
        <v/>
      </c>
      <c r="AA179">
        <f ca="1">IFERROR(IF(0=LEN(ReferenceData!$AA$179),"",ReferenceData!$AA$179),"")</f>
        <v>55.847605989999998</v>
      </c>
      <c r="AB179" t="str">
        <f ca="1">IFERROR(IF(0=LEN(ReferenceData!$AB$179),"",ReferenceData!$AB$179),"")</f>
        <v/>
      </c>
      <c r="AC179" t="str">
        <f ca="1">IFERROR(IF(0=LEN(ReferenceData!$AC$179),"",ReferenceData!$AC$179),"")</f>
        <v/>
      </c>
      <c r="AD179">
        <f ca="1">IFERROR(IF(0=LEN(ReferenceData!$AD$179),"",ReferenceData!$AD$179),"")</f>
        <v>57.705182630000003</v>
      </c>
      <c r="AE179" t="str">
        <f ca="1">IFERROR(IF(0=LEN(ReferenceData!$AE$179),"",ReferenceData!$AE$179),"")</f>
        <v/>
      </c>
      <c r="AF179" t="str">
        <f ca="1">IFERROR(IF(0=LEN(ReferenceData!$AF$179),"",ReferenceData!$AF$179),"")</f>
        <v/>
      </c>
      <c r="AG179">
        <f ca="1">IFERROR(IF(0=LEN(ReferenceData!$AG$179),"",ReferenceData!$AG$179),"")</f>
        <v>51.474330070000001</v>
      </c>
      <c r="AH179" t="str">
        <f ca="1">IFERROR(IF(0=LEN(ReferenceData!$AH$179),"",ReferenceData!$AH$179),"")</f>
        <v/>
      </c>
      <c r="AI179" t="str">
        <f ca="1">IFERROR(IF(0=LEN(ReferenceData!$AI$179),"",ReferenceData!$AI$179),"")</f>
        <v/>
      </c>
      <c r="AJ179">
        <f ca="1">IFERROR(IF(0=LEN(ReferenceData!$AJ$179),"",ReferenceData!$AJ$179),"")</f>
        <v>53.072369760000001</v>
      </c>
      <c r="AK179" t="str">
        <f ca="1">IFERROR(IF(0=LEN(ReferenceData!$AK$179),"",ReferenceData!$AK$179),"")</f>
        <v/>
      </c>
      <c r="AL179" t="str">
        <f ca="1">IFERROR(IF(0=LEN(ReferenceData!$AL$179),"",ReferenceData!$AL$179),"")</f>
        <v/>
      </c>
      <c r="AM179">
        <f ca="1">IFERROR(IF(0=LEN(ReferenceData!$AM$179),"",ReferenceData!$AM$179),"")</f>
        <v>53.725368609999997</v>
      </c>
      <c r="AN179" t="str">
        <f ca="1">IFERROR(IF(0=LEN(ReferenceData!$AN$179),"",ReferenceData!$AN$179),"")</f>
        <v/>
      </c>
      <c r="AO179" t="str">
        <f ca="1">IFERROR(IF(0=LEN(ReferenceData!$AO$179),"",ReferenceData!$AO$179),"")</f>
        <v/>
      </c>
      <c r="AP179">
        <f ca="1">IFERROR(IF(0=LEN(ReferenceData!$AP$179),"",ReferenceData!$AP$179),"")</f>
        <v>54.021259569999998</v>
      </c>
      <c r="AQ179" t="str">
        <f ca="1">IFERROR(IF(0=LEN(ReferenceData!$AQ$179),"",ReferenceData!$AQ$179),"")</f>
        <v/>
      </c>
      <c r="AR179" t="str">
        <f ca="1">IFERROR(IF(0=LEN(ReferenceData!$AR$179),"",ReferenceData!$AR$179),"")</f>
        <v/>
      </c>
      <c r="AS179">
        <f ca="1">IFERROR(IF(0=LEN(ReferenceData!$AS$179),"",ReferenceData!$AS$179),"")</f>
        <v>51.958784860000002</v>
      </c>
      <c r="AT179" t="str">
        <f ca="1">IFERROR(IF(0=LEN(ReferenceData!$AT$179),"",ReferenceData!$AT$179),"")</f>
        <v/>
      </c>
      <c r="AU179" t="str">
        <f ca="1">IFERROR(IF(0=LEN(ReferenceData!$AU$179),"",ReferenceData!$AU$179),"")</f>
        <v/>
      </c>
      <c r="AV179">
        <f ca="1">IFERROR(IF(0=LEN(ReferenceData!$AV$179),"",ReferenceData!$AV$179),"")</f>
        <v>51.478534260000004</v>
      </c>
      <c r="AW179" t="str">
        <f ca="1">IFERROR(IF(0=LEN(ReferenceData!$AW$179),"",ReferenceData!$AW$179),"")</f>
        <v/>
      </c>
      <c r="AX179" t="str">
        <f ca="1">IFERROR(IF(0=LEN(ReferenceData!$AX$179),"",ReferenceData!$AX$179),"")</f>
        <v/>
      </c>
      <c r="AY179">
        <f ca="1">IFERROR(IF(0=LEN(ReferenceData!$AY$179),"",ReferenceData!$AY$179),"")</f>
        <v>49.944208320000001</v>
      </c>
      <c r="AZ179" t="str">
        <f ca="1">IFERROR(IF(0=LEN(ReferenceData!$AZ$179),"",ReferenceData!$AZ$179),"")</f>
        <v/>
      </c>
      <c r="BA179" t="str">
        <f ca="1">IFERROR(IF(0=LEN(ReferenceData!$BA$179),"",ReferenceData!$BA$179),"")</f>
        <v/>
      </c>
      <c r="BB179">
        <f ca="1">IFERROR(IF(0=LEN(ReferenceData!$BB$179),"",ReferenceData!$BB$179),"")</f>
        <v>51.722713059999997</v>
      </c>
      <c r="BC179" t="str">
        <f ca="1">IFERROR(IF(0=LEN(ReferenceData!$BC$179),"",ReferenceData!$BC$179),"")</f>
        <v/>
      </c>
      <c r="BD179" t="str">
        <f ca="1">IFERROR(IF(0=LEN(ReferenceData!$BD$179),"",ReferenceData!$BD$179),"")</f>
        <v/>
      </c>
      <c r="BE179">
        <f ca="1">IFERROR(IF(0=LEN(ReferenceData!$BE$179),"",ReferenceData!$BE$179),"")</f>
        <v>42.395842940000001</v>
      </c>
      <c r="BF179" t="str">
        <f ca="1">IFERROR(IF(0=LEN(ReferenceData!$BF$179),"",ReferenceData!$BF$179),"")</f>
        <v/>
      </c>
      <c r="BG179" t="str">
        <f ca="1">IFERROR(IF(0=LEN(ReferenceData!$BG$179),"",ReferenceData!$BG$179),"")</f>
        <v/>
      </c>
      <c r="BH179">
        <f ca="1">IFERROR(IF(0=LEN(ReferenceData!$BH$179),"",ReferenceData!$BH$179),"")</f>
        <v>47.578029880000003</v>
      </c>
      <c r="BI179" t="str">
        <f ca="1">IFERROR(IF(0=LEN(ReferenceData!$BI$179),"",ReferenceData!$BI$179),"")</f>
        <v/>
      </c>
      <c r="BJ179" t="str">
        <f ca="1">IFERROR(IF(0=LEN(ReferenceData!$BJ$179),"",ReferenceData!$BJ$179),"")</f>
        <v/>
      </c>
      <c r="BK179">
        <f ca="1">IFERROR(IF(0=LEN(ReferenceData!$BK$179),"",ReferenceData!$BK$179),"")</f>
        <v>49.182342509999998</v>
      </c>
      <c r="BL179" t="str">
        <f ca="1">IFERROR(IF(0=LEN(ReferenceData!$BL$179),"",ReferenceData!$BL$179),"")</f>
        <v/>
      </c>
      <c r="BM179" t="str">
        <f ca="1">IFERROR(IF(0=LEN(ReferenceData!$BM$179),"",ReferenceData!$BM$179),"")</f>
        <v/>
      </c>
      <c r="BN179">
        <f ca="1">IFERROR(IF(0=LEN(ReferenceData!$BN$179),"",ReferenceData!$BN$179),"")</f>
        <v>49.745666059999998</v>
      </c>
      <c r="BO179" t="str">
        <f ca="1">IFERROR(IF(0=LEN(ReferenceData!$BO$179),"",ReferenceData!$BO$179),"")</f>
        <v/>
      </c>
      <c r="BP179" t="str">
        <f ca="1">IFERROR(IF(0=LEN(ReferenceData!$BP$179),"",ReferenceData!$BP$179),"")</f>
        <v/>
      </c>
      <c r="BQ179">
        <f ca="1">IFERROR(IF(0=LEN(ReferenceData!$BQ$179),"",ReferenceData!$BQ$179),"")</f>
        <v>38.713350490000003</v>
      </c>
      <c r="BR179" t="str">
        <f ca="1">IFERROR(IF(0=LEN(ReferenceData!$BR$179),"",ReferenceData!$BR$179),"")</f>
        <v/>
      </c>
      <c r="BS179" t="str">
        <f ca="1">IFERROR(IF(0=LEN(ReferenceData!$BS$179),"",ReferenceData!$BS$179),"")</f>
        <v/>
      </c>
      <c r="BT179">
        <f ca="1">IFERROR(IF(0=LEN(ReferenceData!$BT$179),"",ReferenceData!$BT$179),"")</f>
        <v>43.928198449999996</v>
      </c>
      <c r="BU179" t="str">
        <f ca="1">IFERROR(IF(0=LEN(ReferenceData!$BU$179),"",ReferenceData!$BU$179),"")</f>
        <v/>
      </c>
      <c r="BV179" t="str">
        <f ca="1">IFERROR(IF(0=LEN(ReferenceData!$BV$179),"",ReferenceData!$BV$179),"")</f>
        <v/>
      </c>
      <c r="BW179">
        <f ca="1">IFERROR(IF(0=LEN(ReferenceData!$BW$179),"",ReferenceData!$BW$179),"")</f>
        <v>39.517753159999998</v>
      </c>
      <c r="BX179" t="str">
        <f ca="1">IFERROR(IF(0=LEN(ReferenceData!$BX$179),"",ReferenceData!$BX$179),"")</f>
        <v/>
      </c>
      <c r="BY179" t="str">
        <f ca="1">IFERROR(IF(0=LEN(ReferenceData!$BY$179),"",ReferenceData!$BY$179),"")</f>
        <v/>
      </c>
      <c r="BZ179">
        <f ca="1">IFERROR(IF(0=LEN(ReferenceData!$BZ$179),"",ReferenceData!$BZ$179),"")</f>
        <v>44.970793110000002</v>
      </c>
      <c r="CA179" t="str">
        <f ca="1">IFERROR(IF(0=LEN(ReferenceData!$CA$179),"",ReferenceData!$CA$179),"")</f>
        <v/>
      </c>
      <c r="CB179" t="str">
        <f ca="1">IFERROR(IF(0=LEN(ReferenceData!$CB$179),"",ReferenceData!$CB$179),"")</f>
        <v/>
      </c>
      <c r="CC179">
        <f ca="1">IFERROR(IF(0=LEN(ReferenceData!$CC$179),"",ReferenceData!$CC$179),"")</f>
        <v>28.712459110000001</v>
      </c>
      <c r="CD179" t="str">
        <f ca="1">IFERROR(IF(0=LEN(ReferenceData!$CD$179),"",ReferenceData!$CD$179),"")</f>
        <v/>
      </c>
      <c r="CE179" t="str">
        <f ca="1">IFERROR(IF(0=LEN(ReferenceData!$CE$179),"",ReferenceData!$CE$179),"")</f>
        <v/>
      </c>
      <c r="CF179">
        <f ca="1">IFERROR(IF(0=LEN(ReferenceData!$CF$179),"",ReferenceData!$CF$179),"")</f>
        <v>29.117451890000002</v>
      </c>
      <c r="CG179" t="str">
        <f ca="1">IFERROR(IF(0=LEN(ReferenceData!$CG$179),"",ReferenceData!$CG$179),"")</f>
        <v/>
      </c>
      <c r="CH179" t="str">
        <f ca="1">IFERROR(IF(0=LEN(ReferenceData!$CH$179),"",ReferenceData!$CH$179),"")</f>
        <v/>
      </c>
      <c r="CI179">
        <f ca="1">IFERROR(IF(0=LEN(ReferenceData!$CI$179),"",ReferenceData!$CI$179),"")</f>
        <v>44.450892860000003</v>
      </c>
      <c r="CJ179" t="str">
        <f ca="1">IFERROR(IF(0=LEN(ReferenceData!$CJ$179),"",ReferenceData!$CJ$179),"")</f>
        <v/>
      </c>
      <c r="CK179" t="str">
        <f ca="1">IFERROR(IF(0=LEN(ReferenceData!$CK$179),"",ReferenceData!$CK$179),"")</f>
        <v/>
      </c>
    </row>
    <row r="180" spans="1:89">
      <c r="A180" t="str">
        <f>IFERROR(IF(0=LEN(ReferenceData!$A$180),"",ReferenceData!$A$180),"")</f>
        <v xml:space="preserve">    AvalonBay Communities Inc</v>
      </c>
      <c r="B180" t="str">
        <f>IFERROR(IF(0=LEN(ReferenceData!$B$180),"",ReferenceData!$B$180),"")</f>
        <v>AVB US Equity</v>
      </c>
      <c r="C180" t="str">
        <f>IFERROR(IF(0=LEN(ReferenceData!$C$180),"",ReferenceData!$C$180),"")</f>
        <v>F0928</v>
      </c>
      <c r="D180" t="str">
        <f>IFERROR(IF(0=LEN(ReferenceData!$D$180),"",ReferenceData!$D$180),"")</f>
        <v>ADJUSTED_FFO_PAYOUT_RATIO</v>
      </c>
      <c r="E180" t="str">
        <f>IFERROR(IF(0=LEN(ReferenceData!$E$180),"",ReferenceData!$E$180),"")</f>
        <v>动态</v>
      </c>
      <c r="F180" t="str">
        <f ca="1">IFERROR(IF(0=LEN(ReferenceData!$F$180),"",ReferenceData!$F$180),"")</f>
        <v/>
      </c>
      <c r="G180" t="str">
        <f ca="1">IFERROR(IF(0=LEN(ReferenceData!$G$180),"",ReferenceData!$G$180),"")</f>
        <v/>
      </c>
      <c r="H180" t="str">
        <f ca="1">IFERROR(IF(0=LEN(ReferenceData!$H$180),"",ReferenceData!$H$180),"")</f>
        <v/>
      </c>
      <c r="I180">
        <f ca="1">IFERROR(IF(0=LEN(ReferenceData!$I$180),"",ReferenceData!$I$180),"")</f>
        <v>63.147120139999998</v>
      </c>
      <c r="J180" t="str">
        <f ca="1">IFERROR(IF(0=LEN(ReferenceData!$J$180),"",ReferenceData!$J$180),"")</f>
        <v/>
      </c>
      <c r="K180" t="str">
        <f ca="1">IFERROR(IF(0=LEN(ReferenceData!$K$180),"",ReferenceData!$K$180),"")</f>
        <v/>
      </c>
      <c r="L180">
        <f ca="1">IFERROR(IF(0=LEN(ReferenceData!$L$180),"",ReferenceData!$L$180),"")</f>
        <v>64.749134569999995</v>
      </c>
      <c r="M180" t="str">
        <f ca="1">IFERROR(IF(0=LEN(ReferenceData!$M$180),"",ReferenceData!$M$180),"")</f>
        <v/>
      </c>
      <c r="N180" t="str">
        <f ca="1">IFERROR(IF(0=LEN(ReferenceData!$N$180),"",ReferenceData!$N$180),"")</f>
        <v/>
      </c>
      <c r="O180">
        <f ca="1">IFERROR(IF(0=LEN(ReferenceData!$O$180),"",ReferenceData!$O$180),"")</f>
        <v>68.035145040000003</v>
      </c>
      <c r="P180" t="str">
        <f ca="1">IFERROR(IF(0=LEN(ReferenceData!$P$180),"",ReferenceData!$P$180),"")</f>
        <v/>
      </c>
      <c r="Q180" t="str">
        <f ca="1">IFERROR(IF(0=LEN(ReferenceData!$Q$180),"",ReferenceData!$Q$180),"")</f>
        <v/>
      </c>
      <c r="R180">
        <f ca="1">IFERROR(IF(0=LEN(ReferenceData!$R$180),"",ReferenceData!$R$180),"")</f>
        <v>67.958730720000005</v>
      </c>
      <c r="S180" t="str">
        <f ca="1">IFERROR(IF(0=LEN(ReferenceData!$S$180),"",ReferenceData!$S$180),"")</f>
        <v/>
      </c>
      <c r="T180" t="str">
        <f ca="1">IFERROR(IF(0=LEN(ReferenceData!$T$180),"",ReferenceData!$T$180),"")</f>
        <v/>
      </c>
      <c r="U180">
        <f ca="1">IFERROR(IF(0=LEN(ReferenceData!$U$180),"",ReferenceData!$U$180),"")</f>
        <v>63.766212080000003</v>
      </c>
      <c r="V180" t="str">
        <f ca="1">IFERROR(IF(0=LEN(ReferenceData!$V$180),"",ReferenceData!$V$180),"")</f>
        <v/>
      </c>
      <c r="W180" t="str">
        <f ca="1">IFERROR(IF(0=LEN(ReferenceData!$W$180),"",ReferenceData!$W$180),"")</f>
        <v/>
      </c>
      <c r="X180">
        <f ca="1">IFERROR(IF(0=LEN(ReferenceData!$X$180),"",ReferenceData!$X$180),"")</f>
        <v>65.200832550000001</v>
      </c>
      <c r="Y180" t="str">
        <f ca="1">IFERROR(IF(0=LEN(ReferenceData!$Y$180),"",ReferenceData!$Y$180),"")</f>
        <v/>
      </c>
      <c r="Z180" t="str">
        <f ca="1">IFERROR(IF(0=LEN(ReferenceData!$Z$180),"",ReferenceData!$Z$180),"")</f>
        <v/>
      </c>
      <c r="AA180">
        <f ca="1">IFERROR(IF(0=LEN(ReferenceData!$AA$180),"",ReferenceData!$AA$180),"")</f>
        <v>66.632528010000001</v>
      </c>
      <c r="AB180" t="str">
        <f ca="1">IFERROR(IF(0=LEN(ReferenceData!$AB$180),"",ReferenceData!$AB$180),"")</f>
        <v/>
      </c>
      <c r="AC180" t="str">
        <f ca="1">IFERROR(IF(0=LEN(ReferenceData!$AC$180),"",ReferenceData!$AC$180),"")</f>
        <v/>
      </c>
      <c r="AD180">
        <f ca="1">IFERROR(IF(0=LEN(ReferenceData!$AD$180),"",ReferenceData!$AD$180),"")</f>
        <v>68.4294625</v>
      </c>
      <c r="AE180" t="str">
        <f ca="1">IFERROR(IF(0=LEN(ReferenceData!$AE$180),"",ReferenceData!$AE$180),"")</f>
        <v/>
      </c>
      <c r="AF180" t="str">
        <f ca="1">IFERROR(IF(0=LEN(ReferenceData!$AF$180),"",ReferenceData!$AF$180),"")</f>
        <v/>
      </c>
      <c r="AG180">
        <f ca="1">IFERROR(IF(0=LEN(ReferenceData!$AG$180),"",ReferenceData!$AG$180),"")</f>
        <v>62.87500687</v>
      </c>
      <c r="AH180" t="str">
        <f ca="1">IFERROR(IF(0=LEN(ReferenceData!$AH$180),"",ReferenceData!$AH$180),"")</f>
        <v/>
      </c>
      <c r="AI180" t="str">
        <f ca="1">IFERROR(IF(0=LEN(ReferenceData!$AI$180),"",ReferenceData!$AI$180),"")</f>
        <v/>
      </c>
      <c r="AJ180">
        <f ca="1">IFERROR(IF(0=LEN(ReferenceData!$AJ$180),"",ReferenceData!$AJ$180),"")</f>
        <v>64.827211930000004</v>
      </c>
      <c r="AK180" t="str">
        <f ca="1">IFERROR(IF(0=LEN(ReferenceData!$AK$180),"",ReferenceData!$AK$180),"")</f>
        <v/>
      </c>
      <c r="AL180" t="str">
        <f ca="1">IFERROR(IF(0=LEN(ReferenceData!$AL$180),"",ReferenceData!$AL$180),"")</f>
        <v/>
      </c>
      <c r="AM180">
        <f ca="1">IFERROR(IF(0=LEN(ReferenceData!$AM$180),"",ReferenceData!$AM$180),"")</f>
        <v>66.954038670000003</v>
      </c>
      <c r="AN180" t="str">
        <f ca="1">IFERROR(IF(0=LEN(ReferenceData!$AN$180),"",ReferenceData!$AN$180),"")</f>
        <v/>
      </c>
      <c r="AO180" t="str">
        <f ca="1">IFERROR(IF(0=LEN(ReferenceData!$AO$180),"",ReferenceData!$AO$180),"")</f>
        <v/>
      </c>
      <c r="AP180">
        <f ca="1">IFERROR(IF(0=LEN(ReferenceData!$AP$180),"",ReferenceData!$AP$180),"")</f>
        <v>71.247471110000006</v>
      </c>
      <c r="AQ180" t="str">
        <f ca="1">IFERROR(IF(0=LEN(ReferenceData!$AQ$180),"",ReferenceData!$AQ$180),"")</f>
        <v/>
      </c>
      <c r="AR180" t="str">
        <f ca="1">IFERROR(IF(0=LEN(ReferenceData!$AR$180),"",ReferenceData!$AR$180),"")</f>
        <v/>
      </c>
      <c r="AS180">
        <f ca="1">IFERROR(IF(0=LEN(ReferenceData!$AS$180),"",ReferenceData!$AS$180),"")</f>
        <v>66.83634696</v>
      </c>
      <c r="AT180" t="str">
        <f ca="1">IFERROR(IF(0=LEN(ReferenceData!$AT$180),"",ReferenceData!$AT$180),"")</f>
        <v/>
      </c>
      <c r="AU180" t="str">
        <f ca="1">IFERROR(IF(0=LEN(ReferenceData!$AU$180),"",ReferenceData!$AU$180),"")</f>
        <v/>
      </c>
      <c r="AV180">
        <f ca="1">IFERROR(IF(0=LEN(ReferenceData!$AV$180),"",ReferenceData!$AV$180),"")</f>
        <v>67.164270380000005</v>
      </c>
      <c r="AW180" t="str">
        <f ca="1">IFERROR(IF(0=LEN(ReferenceData!$AW$180),"",ReferenceData!$AW$180),"")</f>
        <v/>
      </c>
      <c r="AX180" t="str">
        <f ca="1">IFERROR(IF(0=LEN(ReferenceData!$AX$180),"",ReferenceData!$AX$180),"")</f>
        <v/>
      </c>
      <c r="AY180">
        <f ca="1">IFERROR(IF(0=LEN(ReferenceData!$AY$180),"",ReferenceData!$AY$180),"")</f>
        <v>68.291163190000006</v>
      </c>
      <c r="AZ180" t="str">
        <f ca="1">IFERROR(IF(0=LEN(ReferenceData!$AZ$180),"",ReferenceData!$AZ$180),"")</f>
        <v/>
      </c>
      <c r="BA180" t="str">
        <f ca="1">IFERROR(IF(0=LEN(ReferenceData!$BA$180),"",ReferenceData!$BA$180),"")</f>
        <v/>
      </c>
      <c r="BB180">
        <f ca="1">IFERROR(IF(0=LEN(ReferenceData!$BB$180),"",ReferenceData!$BB$180),"")</f>
        <v>71.349399349999999</v>
      </c>
      <c r="BC180" t="str">
        <f ca="1">IFERROR(IF(0=LEN(ReferenceData!$BC$180),"",ReferenceData!$BC$180),"")</f>
        <v/>
      </c>
      <c r="BD180" t="str">
        <f ca="1">IFERROR(IF(0=LEN(ReferenceData!$BD$180),"",ReferenceData!$BD$180),"")</f>
        <v/>
      </c>
      <c r="BE180">
        <f ca="1">IFERROR(IF(0=LEN(ReferenceData!$BE$180),"",ReferenceData!$BE$180),"")</f>
        <v>66.643730210000001</v>
      </c>
      <c r="BF180" t="str">
        <f ca="1">IFERROR(IF(0=LEN(ReferenceData!$BF$180),"",ReferenceData!$BF$180),"")</f>
        <v/>
      </c>
      <c r="BG180" t="str">
        <f ca="1">IFERROR(IF(0=LEN(ReferenceData!$BG$180),"",ReferenceData!$BG$180),"")</f>
        <v/>
      </c>
      <c r="BH180">
        <f ca="1">IFERROR(IF(0=LEN(ReferenceData!$BH$180),"",ReferenceData!$BH$180),"")</f>
        <v>65.702580220000002</v>
      </c>
      <c r="BI180" t="str">
        <f ca="1">IFERROR(IF(0=LEN(ReferenceData!$BI$180),"",ReferenceData!$BI$180),"")</f>
        <v/>
      </c>
      <c r="BJ180" t="str">
        <f ca="1">IFERROR(IF(0=LEN(ReferenceData!$BJ$180),"",ReferenceData!$BJ$180),"")</f>
        <v/>
      </c>
      <c r="BK180">
        <f ca="1">IFERROR(IF(0=LEN(ReferenceData!$BK$180),"",ReferenceData!$BK$180),"")</f>
        <v>66.218614819999999</v>
      </c>
      <c r="BL180" t="str">
        <f ca="1">IFERROR(IF(0=LEN(ReferenceData!$BL$180),"",ReferenceData!$BL$180),"")</f>
        <v/>
      </c>
      <c r="BM180" t="str">
        <f ca="1">IFERROR(IF(0=LEN(ReferenceData!$BM$180),"",ReferenceData!$BM$180),"")</f>
        <v/>
      </c>
      <c r="BN180">
        <f ca="1">IFERROR(IF(0=LEN(ReferenceData!$BN$180),"",ReferenceData!$BN$180),"")</f>
        <v>78.660644219999995</v>
      </c>
      <c r="BO180" t="str">
        <f ca="1">IFERROR(IF(0=LEN(ReferenceData!$BO$180),"",ReferenceData!$BO$180),"")</f>
        <v/>
      </c>
      <c r="BP180" t="str">
        <f ca="1">IFERROR(IF(0=LEN(ReferenceData!$BP$180),"",ReferenceData!$BP$180),"")</f>
        <v/>
      </c>
      <c r="BQ180">
        <f ca="1">IFERROR(IF(0=LEN(ReferenceData!$BQ$180),"",ReferenceData!$BQ$180),"")</f>
        <v>76.402997650000003</v>
      </c>
      <c r="BR180" t="str">
        <f ca="1">IFERROR(IF(0=LEN(ReferenceData!$BR$180),"",ReferenceData!$BR$180),"")</f>
        <v/>
      </c>
      <c r="BS180" t="str">
        <f ca="1">IFERROR(IF(0=LEN(ReferenceData!$BS$180),"",ReferenceData!$BS$180),"")</f>
        <v/>
      </c>
      <c r="BT180">
        <f ca="1">IFERROR(IF(0=LEN(ReferenceData!$BT$180),"",ReferenceData!$BT$180),"")</f>
        <v>67.478566509999993</v>
      </c>
      <c r="BU180" t="str">
        <f ca="1">IFERROR(IF(0=LEN(ReferenceData!$BU$180),"",ReferenceData!$BU$180),"")</f>
        <v/>
      </c>
      <c r="BV180" t="str">
        <f ca="1">IFERROR(IF(0=LEN(ReferenceData!$BV$180),"",ReferenceData!$BV$180),"")</f>
        <v/>
      </c>
      <c r="BW180">
        <f ca="1">IFERROR(IF(0=LEN(ReferenceData!$BW$180),"",ReferenceData!$BW$180),"")</f>
        <v>72.230303550000002</v>
      </c>
      <c r="BX180" t="str">
        <f ca="1">IFERROR(IF(0=LEN(ReferenceData!$BX$180),"",ReferenceData!$BX$180),"")</f>
        <v/>
      </c>
      <c r="BY180" t="str">
        <f ca="1">IFERROR(IF(0=LEN(ReferenceData!$BY$180),"",ReferenceData!$BY$180),"")</f>
        <v/>
      </c>
      <c r="BZ180">
        <f ca="1">IFERROR(IF(0=LEN(ReferenceData!$BZ$180),"",ReferenceData!$BZ$180),"")</f>
        <v>76.070677149999995</v>
      </c>
      <c r="CA180" t="str">
        <f ca="1">IFERROR(IF(0=LEN(ReferenceData!$CA$180),"",ReferenceData!$CA$180),"")</f>
        <v/>
      </c>
      <c r="CB180" t="str">
        <f ca="1">IFERROR(IF(0=LEN(ReferenceData!$CB$180),"",ReferenceData!$CB$180),"")</f>
        <v/>
      </c>
      <c r="CC180">
        <f ca="1">IFERROR(IF(0=LEN(ReferenceData!$CC$180),"",ReferenceData!$CC$180),"")</f>
        <v>70.555615430000003</v>
      </c>
      <c r="CD180" t="str">
        <f ca="1">IFERROR(IF(0=LEN(ReferenceData!$CD$180),"",ReferenceData!$CD$180),"")</f>
        <v/>
      </c>
      <c r="CE180" t="str">
        <f ca="1">IFERROR(IF(0=LEN(ReferenceData!$CE$180),"",ReferenceData!$CE$180),"")</f>
        <v/>
      </c>
      <c r="CF180">
        <f ca="1">IFERROR(IF(0=LEN(ReferenceData!$CF$180),"",ReferenceData!$CF$180),"")</f>
        <v>76.316614360000003</v>
      </c>
      <c r="CG180" t="str">
        <f ca="1">IFERROR(IF(0=LEN(ReferenceData!$CG$180),"",ReferenceData!$CG$180),"")</f>
        <v/>
      </c>
      <c r="CH180" t="str">
        <f ca="1">IFERROR(IF(0=LEN(ReferenceData!$CH$180),"",ReferenceData!$CH$180),"")</f>
        <v/>
      </c>
      <c r="CI180">
        <f ca="1">IFERROR(IF(0=LEN(ReferenceData!$CI$180),"",ReferenceData!$CI$180),"")</f>
        <v>78.102434400000007</v>
      </c>
      <c r="CJ180" t="str">
        <f ca="1">IFERROR(IF(0=LEN(ReferenceData!$CJ$180),"",ReferenceData!$CJ$180),"")</f>
        <v/>
      </c>
      <c r="CK180" t="str">
        <f ca="1">IFERROR(IF(0=LEN(ReferenceData!$CK$180),"",ReferenceData!$CK$180),"")</f>
        <v/>
      </c>
    </row>
    <row r="181" spans="1:89">
      <c r="A181" t="str">
        <f>IFERROR(IF(0=LEN(ReferenceData!$A$181),"",ReferenceData!$A$181),"")</f>
        <v xml:space="preserve">    Camden Property Trust</v>
      </c>
      <c r="B181" t="str">
        <f>IFERROR(IF(0=LEN(ReferenceData!$B$181),"",ReferenceData!$B$181),"")</f>
        <v>CPT US Equity</v>
      </c>
      <c r="C181" t="str">
        <f>IFERROR(IF(0=LEN(ReferenceData!$C$181),"",ReferenceData!$C$181),"")</f>
        <v>F0928</v>
      </c>
      <c r="D181" t="str">
        <f>IFERROR(IF(0=LEN(ReferenceData!$D$181),"",ReferenceData!$D$181),"")</f>
        <v>ADJUSTED_FFO_PAYOUT_RATIO</v>
      </c>
      <c r="E181" t="str">
        <f>IFERROR(IF(0=LEN(ReferenceData!$E$181),"",ReferenceData!$E$181),"")</f>
        <v>动态</v>
      </c>
      <c r="F181" t="str">
        <f ca="1">IFERROR(IF(0=LEN(ReferenceData!$F$181),"",ReferenceData!$F$181),"")</f>
        <v/>
      </c>
      <c r="G181" t="str">
        <f ca="1">IFERROR(IF(0=LEN(ReferenceData!$G$181),"",ReferenceData!$G$181),"")</f>
        <v/>
      </c>
      <c r="H181" t="str">
        <f ca="1">IFERROR(IF(0=LEN(ReferenceData!$H$181),"",ReferenceData!$H$181),"")</f>
        <v/>
      </c>
      <c r="I181">
        <f ca="1">IFERROR(IF(0=LEN(ReferenceData!$I$181),"",ReferenceData!$I$181),"")</f>
        <v>63.552796979999997</v>
      </c>
      <c r="J181" t="str">
        <f ca="1">IFERROR(IF(0=LEN(ReferenceData!$J$181),"",ReferenceData!$J$181),"")</f>
        <v/>
      </c>
      <c r="K181" t="str">
        <f ca="1">IFERROR(IF(0=LEN(ReferenceData!$K$181),"",ReferenceData!$K$181),"")</f>
        <v/>
      </c>
      <c r="L181">
        <f ca="1">IFERROR(IF(0=LEN(ReferenceData!$L$181),"",ReferenceData!$L$181),"")</f>
        <v>67.676403039999997</v>
      </c>
      <c r="M181" t="str">
        <f ca="1">IFERROR(IF(0=LEN(ReferenceData!$M$181),"",ReferenceData!$M$181),"")</f>
        <v/>
      </c>
      <c r="N181" t="str">
        <f ca="1">IFERROR(IF(0=LEN(ReferenceData!$N$181),"",ReferenceData!$N$181),"")</f>
        <v/>
      </c>
      <c r="O181">
        <f ca="1">IFERROR(IF(0=LEN(ReferenceData!$O$181),"",ReferenceData!$O$181),"")</f>
        <v>65.192068169999999</v>
      </c>
      <c r="P181" t="str">
        <f ca="1">IFERROR(IF(0=LEN(ReferenceData!$P$181),"",ReferenceData!$P$181),"")</f>
        <v/>
      </c>
      <c r="Q181" t="str">
        <f ca="1">IFERROR(IF(0=LEN(ReferenceData!$Q$181),"",ReferenceData!$Q$181),"")</f>
        <v/>
      </c>
      <c r="R181">
        <f ca="1">IFERROR(IF(0=LEN(ReferenceData!$R$181),"",ReferenceData!$R$181),"")</f>
        <v>68.777589559999996</v>
      </c>
      <c r="S181" t="str">
        <f ca="1">IFERROR(IF(0=LEN(ReferenceData!$S$181),"",ReferenceData!$S$181),"")</f>
        <v/>
      </c>
      <c r="T181" t="str">
        <f ca="1">IFERROR(IF(0=LEN(ReferenceData!$T$181),"",ReferenceData!$T$181),"")</f>
        <v/>
      </c>
      <c r="U181">
        <f ca="1">IFERROR(IF(0=LEN(ReferenceData!$U$181),"",ReferenceData!$U$181),"")</f>
        <v>65.322993249999996</v>
      </c>
      <c r="V181" t="str">
        <f ca="1">IFERROR(IF(0=LEN(ReferenceData!$V$181),"",ReferenceData!$V$181),"")</f>
        <v/>
      </c>
      <c r="W181" t="str">
        <f ca="1">IFERROR(IF(0=LEN(ReferenceData!$W$181),"",ReferenceData!$W$181),"")</f>
        <v/>
      </c>
      <c r="X181">
        <f ca="1">IFERROR(IF(0=LEN(ReferenceData!$X$181),"",ReferenceData!$X$181),"")</f>
        <v>440.84829989999997</v>
      </c>
      <c r="Y181" t="str">
        <f ca="1">IFERROR(IF(0=LEN(ReferenceData!$Y$181),"",ReferenceData!$Y$181),"")</f>
        <v/>
      </c>
      <c r="Z181" t="str">
        <f ca="1">IFERROR(IF(0=LEN(ReferenceData!$Z$181),"",ReferenceData!$Z$181),"")</f>
        <v/>
      </c>
      <c r="AA181">
        <f ca="1">IFERROR(IF(0=LEN(ReferenceData!$AA$181),"",ReferenceData!$AA$181),"")</f>
        <v>65.179061930000003</v>
      </c>
      <c r="AB181" t="str">
        <f ca="1">IFERROR(IF(0=LEN(ReferenceData!$AB$181),"",ReferenceData!$AB$181),"")</f>
        <v/>
      </c>
      <c r="AC181" t="str">
        <f ca="1">IFERROR(IF(0=LEN(ReferenceData!$AC$181),"",ReferenceData!$AC$181),"")</f>
        <v/>
      </c>
      <c r="AD181">
        <f ca="1">IFERROR(IF(0=LEN(ReferenceData!$AD$181),"",ReferenceData!$AD$181),"")</f>
        <v>62.387385340000002</v>
      </c>
      <c r="AE181" t="str">
        <f ca="1">IFERROR(IF(0=LEN(ReferenceData!$AE$181),"",ReferenceData!$AE$181),"")</f>
        <v/>
      </c>
      <c r="AF181" t="str">
        <f ca="1">IFERROR(IF(0=LEN(ReferenceData!$AF$181),"",ReferenceData!$AF$181),"")</f>
        <v/>
      </c>
      <c r="AG181">
        <f ca="1">IFERROR(IF(0=LEN(ReferenceData!$AG$181),"",ReferenceData!$AG$181),"")</f>
        <v>58.45065795</v>
      </c>
      <c r="AH181" t="str">
        <f ca="1">IFERROR(IF(0=LEN(ReferenceData!$AH$181),"",ReferenceData!$AH$181),"")</f>
        <v/>
      </c>
      <c r="AI181" t="str">
        <f ca="1">IFERROR(IF(0=LEN(ReferenceData!$AI$181),"",ReferenceData!$AI$181),"")</f>
        <v/>
      </c>
      <c r="AJ181">
        <f ca="1">IFERROR(IF(0=LEN(ReferenceData!$AJ$181),"",ReferenceData!$AJ$181),"")</f>
        <v>61.334023350000002</v>
      </c>
      <c r="AK181" t="str">
        <f ca="1">IFERROR(IF(0=LEN(ReferenceData!$AK$181),"",ReferenceData!$AK$181),"")</f>
        <v/>
      </c>
      <c r="AL181" t="str">
        <f ca="1">IFERROR(IF(0=LEN(ReferenceData!$AL$181),"",ReferenceData!$AL$181),"")</f>
        <v/>
      </c>
      <c r="AM181">
        <f ca="1">IFERROR(IF(0=LEN(ReferenceData!$AM$181),"",ReferenceData!$AM$181),"")</f>
        <v>62.657755219999999</v>
      </c>
      <c r="AN181" t="str">
        <f ca="1">IFERROR(IF(0=LEN(ReferenceData!$AN$181),"",ReferenceData!$AN$181),"")</f>
        <v/>
      </c>
      <c r="AO181" t="str">
        <f ca="1">IFERROR(IF(0=LEN(ReferenceData!$AO$181),"",ReferenceData!$AO$181),"")</f>
        <v/>
      </c>
      <c r="AP181">
        <f ca="1">IFERROR(IF(0=LEN(ReferenceData!$AP$181),"",ReferenceData!$AP$181),"")</f>
        <v>64.847048549999997</v>
      </c>
      <c r="AQ181" t="str">
        <f ca="1">IFERROR(IF(0=LEN(ReferenceData!$AQ$181),"",ReferenceData!$AQ$181),"")</f>
        <v/>
      </c>
      <c r="AR181" t="str">
        <f ca="1">IFERROR(IF(0=LEN(ReferenceData!$AR$181),"",ReferenceData!$AR$181),"")</f>
        <v/>
      </c>
      <c r="AS181">
        <f ca="1">IFERROR(IF(0=LEN(ReferenceData!$AS$181),"",ReferenceData!$AS$181),"")</f>
        <v>59.890265419999999</v>
      </c>
      <c r="AT181" t="str">
        <f ca="1">IFERROR(IF(0=LEN(ReferenceData!$AT$181),"",ReferenceData!$AT$181),"")</f>
        <v/>
      </c>
      <c r="AU181" t="str">
        <f ca="1">IFERROR(IF(0=LEN(ReferenceData!$AU$181),"",ReferenceData!$AU$181),"")</f>
        <v/>
      </c>
      <c r="AV181">
        <f ca="1">IFERROR(IF(0=LEN(ReferenceData!$AV$181),"",ReferenceData!$AV$181),"")</f>
        <v>61.59677619</v>
      </c>
      <c r="AW181" t="str">
        <f ca="1">IFERROR(IF(0=LEN(ReferenceData!$AW$181),"",ReferenceData!$AW$181),"")</f>
        <v/>
      </c>
      <c r="AX181" t="str">
        <f ca="1">IFERROR(IF(0=LEN(ReferenceData!$AX$181),"",ReferenceData!$AX$181),"")</f>
        <v/>
      </c>
      <c r="AY181">
        <f ca="1">IFERROR(IF(0=LEN(ReferenceData!$AY$181),"",ReferenceData!$AY$181),"")</f>
        <v>63.319108139999997</v>
      </c>
      <c r="AZ181" t="str">
        <f ca="1">IFERROR(IF(0=LEN(ReferenceData!$AZ$181),"",ReferenceData!$AZ$181),"")</f>
        <v/>
      </c>
      <c r="BA181" t="str">
        <f ca="1">IFERROR(IF(0=LEN(ReferenceData!$BA$181),"",ReferenceData!$BA$181),"")</f>
        <v/>
      </c>
      <c r="BB181">
        <f ca="1">IFERROR(IF(0=LEN(ReferenceData!$BB$181),"",ReferenceData!$BB$181),"")</f>
        <v>62.839503559999997</v>
      </c>
      <c r="BC181" t="str">
        <f ca="1">IFERROR(IF(0=LEN(ReferenceData!$BC$181),"",ReferenceData!$BC$181),"")</f>
        <v/>
      </c>
      <c r="BD181" t="str">
        <f ca="1">IFERROR(IF(0=LEN(ReferenceData!$BD$181),"",ReferenceData!$BD$181),"")</f>
        <v/>
      </c>
      <c r="BE181">
        <f ca="1">IFERROR(IF(0=LEN(ReferenceData!$BE$181),"",ReferenceData!$BE$181),"")</f>
        <v>58.357265200000001</v>
      </c>
      <c r="BF181" t="str">
        <f ca="1">IFERROR(IF(0=LEN(ReferenceData!$BF$181),"",ReferenceData!$BF$181),"")</f>
        <v/>
      </c>
      <c r="BG181" t="str">
        <f ca="1">IFERROR(IF(0=LEN(ReferenceData!$BG$181),"",ReferenceData!$BG$181),"")</f>
        <v/>
      </c>
      <c r="BH181">
        <f ca="1">IFERROR(IF(0=LEN(ReferenceData!$BH$181),"",ReferenceData!$BH$181),"")</f>
        <v>60.618514949999998</v>
      </c>
      <c r="BI181" t="str">
        <f ca="1">IFERROR(IF(0=LEN(ReferenceData!$BI$181),"",ReferenceData!$BI$181),"")</f>
        <v/>
      </c>
      <c r="BJ181" t="str">
        <f ca="1">IFERROR(IF(0=LEN(ReferenceData!$BJ$181),"",ReferenceData!$BJ$181),"")</f>
        <v/>
      </c>
      <c r="BK181">
        <f ca="1">IFERROR(IF(0=LEN(ReferenceData!$BK$181),"",ReferenceData!$BK$181),"")</f>
        <v>61.699297950000002</v>
      </c>
      <c r="BL181" t="str">
        <f ca="1">IFERROR(IF(0=LEN(ReferenceData!$BL$181),"",ReferenceData!$BL$181),"")</f>
        <v/>
      </c>
      <c r="BM181" t="str">
        <f ca="1">IFERROR(IF(0=LEN(ReferenceData!$BM$181),"",ReferenceData!$BM$181),"")</f>
        <v/>
      </c>
      <c r="BN181">
        <f ca="1">IFERROR(IF(0=LEN(ReferenceData!$BN$181),"",ReferenceData!$BN$181),"")</f>
        <v>65.379793090000007</v>
      </c>
      <c r="BO181" t="str">
        <f ca="1">IFERROR(IF(0=LEN(ReferenceData!$BO$181),"",ReferenceData!$BO$181),"")</f>
        <v/>
      </c>
      <c r="BP181" t="str">
        <f ca="1">IFERROR(IF(0=LEN(ReferenceData!$BP$181),"",ReferenceData!$BP$181),"")</f>
        <v/>
      </c>
      <c r="BQ181">
        <f ca="1">IFERROR(IF(0=LEN(ReferenceData!$BQ$181),"",ReferenceData!$BQ$181),"")</f>
        <v>57.996182849999997</v>
      </c>
      <c r="BR181" t="str">
        <f ca="1">IFERROR(IF(0=LEN(ReferenceData!$BR$181),"",ReferenceData!$BR$181),"")</f>
        <v/>
      </c>
      <c r="BS181" t="str">
        <f ca="1">IFERROR(IF(0=LEN(ReferenceData!$BS$181),"",ReferenceData!$BS$181),"")</f>
        <v/>
      </c>
      <c r="BT181">
        <f ca="1">IFERROR(IF(0=LEN(ReferenceData!$BT$181),"",ReferenceData!$BT$181),"")</f>
        <v>60.365398900000002</v>
      </c>
      <c r="BU181" t="str">
        <f ca="1">IFERROR(IF(0=LEN(ReferenceData!$BU$181),"",ReferenceData!$BU$181),"")</f>
        <v/>
      </c>
      <c r="BV181" t="str">
        <f ca="1">IFERROR(IF(0=LEN(ReferenceData!$BV$181),"",ReferenceData!$BV$181),"")</f>
        <v/>
      </c>
      <c r="BW181">
        <f ca="1">IFERROR(IF(0=LEN(ReferenceData!$BW$181),"",ReferenceData!$BW$181),"")</f>
        <v>62.833274670000002</v>
      </c>
      <c r="BX181" t="str">
        <f ca="1">IFERROR(IF(0=LEN(ReferenceData!$BX$181),"",ReferenceData!$BX$181),"")</f>
        <v/>
      </c>
      <c r="BY181" t="str">
        <f ca="1">IFERROR(IF(0=LEN(ReferenceData!$BY$181),"",ReferenceData!$BY$181),"")</f>
        <v/>
      </c>
      <c r="BZ181">
        <f ca="1">IFERROR(IF(0=LEN(ReferenceData!$BZ$181),"",ReferenceData!$BZ$181),"")</f>
        <v>67.647581970000005</v>
      </c>
      <c r="CA181" t="str">
        <f ca="1">IFERROR(IF(0=LEN(ReferenceData!$CA$181),"",ReferenceData!$CA$181),"")</f>
        <v/>
      </c>
      <c r="CB181" t="str">
        <f ca="1">IFERROR(IF(0=LEN(ReferenceData!$CB$181),"",ReferenceData!$CB$181),"")</f>
        <v/>
      </c>
      <c r="CC181">
        <f ca="1">IFERROR(IF(0=LEN(ReferenceData!$CC$181),"",ReferenceData!$CC$181),"")</f>
        <v>58.443311960000003</v>
      </c>
      <c r="CD181" t="str">
        <f ca="1">IFERROR(IF(0=LEN(ReferenceData!$CD$181),"",ReferenceData!$CD$181),"")</f>
        <v/>
      </c>
      <c r="CE181" t="str">
        <f ca="1">IFERROR(IF(0=LEN(ReferenceData!$CE$181),"",ReferenceData!$CE$181),"")</f>
        <v/>
      </c>
      <c r="CF181">
        <f ca="1">IFERROR(IF(0=LEN(ReferenceData!$CF$181),"",ReferenceData!$CF$181),"")</f>
        <v>63.737412210000002</v>
      </c>
      <c r="CG181" t="str">
        <f ca="1">IFERROR(IF(0=LEN(ReferenceData!$CG$181),"",ReferenceData!$CG$181),"")</f>
        <v/>
      </c>
      <c r="CH181" t="str">
        <f ca="1">IFERROR(IF(0=LEN(ReferenceData!$CH$181),"",ReferenceData!$CH$181),"")</f>
        <v/>
      </c>
      <c r="CI181">
        <f ca="1">IFERROR(IF(0=LEN(ReferenceData!$CI$181),"",ReferenceData!$CI$181),"")</f>
        <v>121.9276795</v>
      </c>
      <c r="CJ181" t="str">
        <f ca="1">IFERROR(IF(0=LEN(ReferenceData!$CJ$181),"",ReferenceData!$CJ$181),"")</f>
        <v/>
      </c>
      <c r="CK181" t="str">
        <f ca="1">IFERROR(IF(0=LEN(ReferenceData!$CK$181),"",ReferenceData!$CK$181),"")</f>
        <v/>
      </c>
    </row>
    <row r="182" spans="1:89">
      <c r="A182" t="str">
        <f>IFERROR(IF(0=LEN(ReferenceData!$A$182),"",ReferenceData!$A$182),"")</f>
        <v xml:space="preserve">    Equity Residential</v>
      </c>
      <c r="B182" t="str">
        <f>IFERROR(IF(0=LEN(ReferenceData!$B$182),"",ReferenceData!$B$182),"")</f>
        <v>EQR US Equity</v>
      </c>
      <c r="C182" t="str">
        <f>IFERROR(IF(0=LEN(ReferenceData!$C$182),"",ReferenceData!$C$182),"")</f>
        <v>F0928</v>
      </c>
      <c r="D182" t="str">
        <f>IFERROR(IF(0=LEN(ReferenceData!$D$182),"",ReferenceData!$D$182),"")</f>
        <v>ADJUSTED_FFO_PAYOUT_RATIO</v>
      </c>
      <c r="E182" t="str">
        <f>IFERROR(IF(0=LEN(ReferenceData!$E$182),"",ReferenceData!$E$182),"")</f>
        <v>动态</v>
      </c>
      <c r="F182" t="str">
        <f ca="1">IFERROR(IF(0=LEN(ReferenceData!$F$182),"",ReferenceData!$F$182),"")</f>
        <v/>
      </c>
      <c r="G182" t="str">
        <f ca="1">IFERROR(IF(0=LEN(ReferenceData!$G$182),"",ReferenceData!$G$182),"")</f>
        <v/>
      </c>
      <c r="H182" t="str">
        <f ca="1">IFERROR(IF(0=LEN(ReferenceData!$H$182),"",ReferenceData!$H$182),"")</f>
        <v/>
      </c>
      <c r="I182">
        <f ca="1">IFERROR(IF(0=LEN(ReferenceData!$I$182),"",ReferenceData!$I$182),"")</f>
        <v>60.920790230000001</v>
      </c>
      <c r="J182" t="str">
        <f ca="1">IFERROR(IF(0=LEN(ReferenceData!$J$182),"",ReferenceData!$J$182),"")</f>
        <v/>
      </c>
      <c r="K182" t="str">
        <f ca="1">IFERROR(IF(0=LEN(ReferenceData!$K$182),"",ReferenceData!$K$182),"")</f>
        <v/>
      </c>
      <c r="L182">
        <f ca="1">IFERROR(IF(0=LEN(ReferenceData!$L$182),"",ReferenceData!$L$182),"")</f>
        <v>63.282315109999999</v>
      </c>
      <c r="M182" t="str">
        <f ca="1">IFERROR(IF(0=LEN(ReferenceData!$M$182),"",ReferenceData!$M$182),"")</f>
        <v/>
      </c>
      <c r="N182" t="str">
        <f ca="1">IFERROR(IF(0=LEN(ReferenceData!$N$182),"",ReferenceData!$N$182),"")</f>
        <v/>
      </c>
      <c r="O182">
        <f ca="1">IFERROR(IF(0=LEN(ReferenceData!$O$182),"",ReferenceData!$O$182),"")</f>
        <v>65.596120670000005</v>
      </c>
      <c r="P182" t="str">
        <f ca="1">IFERROR(IF(0=LEN(ReferenceData!$P$182),"",ReferenceData!$P$182),"")</f>
        <v/>
      </c>
      <c r="Q182" t="str">
        <f ca="1">IFERROR(IF(0=LEN(ReferenceData!$Q$182),"",ReferenceData!$Q$182),"")</f>
        <v/>
      </c>
      <c r="R182">
        <f ca="1">IFERROR(IF(0=LEN(ReferenceData!$R$182),"",ReferenceData!$R$182),"")</f>
        <v>67.874267329999995</v>
      </c>
      <c r="S182" t="str">
        <f ca="1">IFERROR(IF(0=LEN(ReferenceData!$S$182),"",ReferenceData!$S$182),"")</f>
        <v/>
      </c>
      <c r="T182" t="str">
        <f ca="1">IFERROR(IF(0=LEN(ReferenceData!$T$182),"",ReferenceData!$T$182),"")</f>
        <v/>
      </c>
      <c r="U182">
        <f ca="1">IFERROR(IF(0=LEN(ReferenceData!$U$182),"",ReferenceData!$U$182),"")</f>
        <v>63.565519459999997</v>
      </c>
      <c r="V182" t="str">
        <f ca="1">IFERROR(IF(0=LEN(ReferenceData!$V$182),"",ReferenceData!$V$182),"")</f>
        <v/>
      </c>
      <c r="W182" t="str">
        <f ca="1">IFERROR(IF(0=LEN(ReferenceData!$W$182),"",ReferenceData!$W$182),"")</f>
        <v/>
      </c>
      <c r="X182">
        <f ca="1">IFERROR(IF(0=LEN(ReferenceData!$X$182),"",ReferenceData!$X$182),"")</f>
        <v>836.79073949999997</v>
      </c>
      <c r="Y182" t="str">
        <f ca="1">IFERROR(IF(0=LEN(ReferenceData!$Y$182),"",ReferenceData!$Y$182),"")</f>
        <v/>
      </c>
      <c r="Z182" t="str">
        <f ca="1">IFERROR(IF(0=LEN(ReferenceData!$Z$182),"",ReferenceData!$Z$182),"")</f>
        <v/>
      </c>
      <c r="AA182">
        <f ca="1">IFERROR(IF(0=LEN(ReferenceData!$AA$182),"",ReferenceData!$AA$182),"")</f>
        <v>66.285268840000001</v>
      </c>
      <c r="AB182" t="str">
        <f ca="1">IFERROR(IF(0=LEN(ReferenceData!$AB$182),"",ReferenceData!$AB$182),"")</f>
        <v/>
      </c>
      <c r="AC182" t="str">
        <f ca="1">IFERROR(IF(0=LEN(ReferenceData!$AC$182),"",ReferenceData!$AC$182),"")</f>
        <v/>
      </c>
      <c r="AD182">
        <f ca="1">IFERROR(IF(0=LEN(ReferenceData!$AD$182),"",ReferenceData!$AD$182),"")</f>
        <v>2179.225203</v>
      </c>
      <c r="AE182" t="str">
        <f ca="1">IFERROR(IF(0=LEN(ReferenceData!$AE$182),"",ReferenceData!$AE$182),"")</f>
        <v/>
      </c>
      <c r="AF182" t="str">
        <f ca="1">IFERROR(IF(0=LEN(ReferenceData!$AF$182),"",ReferenceData!$AF$182),"")</f>
        <v/>
      </c>
      <c r="AG182">
        <f ca="1">IFERROR(IF(0=LEN(ReferenceData!$AG$182),"",ReferenceData!$AG$182),"")</f>
        <v>59.657912549999999</v>
      </c>
      <c r="AH182" t="str">
        <f ca="1">IFERROR(IF(0=LEN(ReferenceData!$AH$182),"",ReferenceData!$AH$182),"")</f>
        <v/>
      </c>
      <c r="AI182" t="str">
        <f ca="1">IFERROR(IF(0=LEN(ReferenceData!$AI$182),"",ReferenceData!$AI$182),"")</f>
        <v/>
      </c>
      <c r="AJ182">
        <f ca="1">IFERROR(IF(0=LEN(ReferenceData!$AJ$182),"",ReferenceData!$AJ$182),"")</f>
        <v>61.755488479999997</v>
      </c>
      <c r="AK182" t="str">
        <f ca="1">IFERROR(IF(0=LEN(ReferenceData!$AK$182),"",ReferenceData!$AK$182),"")</f>
        <v/>
      </c>
      <c r="AL182" t="str">
        <f ca="1">IFERROR(IF(0=LEN(ReferenceData!$AL$182),"",ReferenceData!$AL$182),"")</f>
        <v/>
      </c>
      <c r="AM182">
        <f ca="1">IFERROR(IF(0=LEN(ReferenceData!$AM$182),"",ReferenceData!$AM$182),"")</f>
        <v>64.631565879999997</v>
      </c>
      <c r="AN182" t="str">
        <f ca="1">IFERROR(IF(0=LEN(ReferenceData!$AN$182),"",ReferenceData!$AN$182),"")</f>
        <v/>
      </c>
      <c r="AO182" t="str">
        <f ca="1">IFERROR(IF(0=LEN(ReferenceData!$AO$182),"",ReferenceData!$AO$182),"")</f>
        <v/>
      </c>
      <c r="AP182">
        <f ca="1">IFERROR(IF(0=LEN(ReferenceData!$AP$182),"",ReferenceData!$AP$182),"")</f>
        <v>70.27734513</v>
      </c>
      <c r="AQ182" t="str">
        <f ca="1">IFERROR(IF(0=LEN(ReferenceData!$AQ$182),"",ReferenceData!$AQ$182),"")</f>
        <v/>
      </c>
      <c r="AR182" t="str">
        <f ca="1">IFERROR(IF(0=LEN(ReferenceData!$AR$182),"",ReferenceData!$AR$182),"")</f>
        <v/>
      </c>
      <c r="AS182">
        <f ca="1">IFERROR(IF(0=LEN(ReferenceData!$AS$182),"",ReferenceData!$AS$182),"")</f>
        <v>58.163625590000002</v>
      </c>
      <c r="AT182" t="str">
        <f ca="1">IFERROR(IF(0=LEN(ReferenceData!$AT$182),"",ReferenceData!$AT$182),"")</f>
        <v/>
      </c>
      <c r="AU182" t="str">
        <f ca="1">IFERROR(IF(0=LEN(ReferenceData!$AU$182),"",ReferenceData!$AU$182),"")</f>
        <v/>
      </c>
      <c r="AV182">
        <f ca="1">IFERROR(IF(0=LEN(ReferenceData!$AV$182),"",ReferenceData!$AV$182),"")</f>
        <v>61.118046569999997</v>
      </c>
      <c r="AW182" t="str">
        <f ca="1">IFERROR(IF(0=LEN(ReferenceData!$AW$182),"",ReferenceData!$AW$182),"")</f>
        <v/>
      </c>
      <c r="AX182" t="str">
        <f ca="1">IFERROR(IF(0=LEN(ReferenceData!$AX$182),"",ReferenceData!$AX$182),"")</f>
        <v/>
      </c>
      <c r="AY182">
        <f ca="1">IFERROR(IF(0=LEN(ReferenceData!$AY$182),"",ReferenceData!$AY$182),"")</f>
        <v>63.727339090000001</v>
      </c>
      <c r="AZ182" t="str">
        <f ca="1">IFERROR(IF(0=LEN(ReferenceData!$AZ$182),"",ReferenceData!$AZ$182),"")</f>
        <v/>
      </c>
      <c r="BA182" t="str">
        <f ca="1">IFERROR(IF(0=LEN(ReferenceData!$BA$182),"",ReferenceData!$BA$182),"")</f>
        <v/>
      </c>
      <c r="BB182">
        <f ca="1">IFERROR(IF(0=LEN(ReferenceData!$BB$182),"",ReferenceData!$BB$182),"")</f>
        <v>70.840752100000003</v>
      </c>
      <c r="BC182" t="str">
        <f ca="1">IFERROR(IF(0=LEN(ReferenceData!$BC$182),"",ReferenceData!$BC$182),"")</f>
        <v/>
      </c>
      <c r="BD182" t="str">
        <f ca="1">IFERROR(IF(0=LEN(ReferenceData!$BD$182),"",ReferenceData!$BD$182),"")</f>
        <v/>
      </c>
      <c r="BE182">
        <f ca="1">IFERROR(IF(0=LEN(ReferenceData!$BE$182),"",ReferenceData!$BE$182),"")</f>
        <v>84.557052279999994</v>
      </c>
      <c r="BF182" t="str">
        <f ca="1">IFERROR(IF(0=LEN(ReferenceData!$BF$182),"",ReferenceData!$BF$182),"")</f>
        <v/>
      </c>
      <c r="BG182" t="str">
        <f ca="1">IFERROR(IF(0=LEN(ReferenceData!$BG$182),"",ReferenceData!$BG$182),"")</f>
        <v/>
      </c>
      <c r="BH182">
        <f ca="1">IFERROR(IF(0=LEN(ReferenceData!$BH$182),"",ReferenceData!$BH$182),"")</f>
        <v>54.732006349999999</v>
      </c>
      <c r="BI182" t="str">
        <f ca="1">IFERROR(IF(0=LEN(ReferenceData!$BI$182),"",ReferenceData!$BI$182),"")</f>
        <v/>
      </c>
      <c r="BJ182" t="str">
        <f ca="1">IFERROR(IF(0=LEN(ReferenceData!$BJ$182),"",ReferenceData!$BJ$182),"")</f>
        <v/>
      </c>
      <c r="BK182">
        <f ca="1">IFERROR(IF(0=LEN(ReferenceData!$BK$182),"",ReferenceData!$BK$182),"")</f>
        <v>56.259634519999999</v>
      </c>
      <c r="BL182" t="str">
        <f ca="1">IFERROR(IF(0=LEN(ReferenceData!$BL$182),"",ReferenceData!$BL$182),"")</f>
        <v/>
      </c>
      <c r="BM182" t="str">
        <f ca="1">IFERROR(IF(0=LEN(ReferenceData!$BM$182),"",ReferenceData!$BM$182),"")</f>
        <v/>
      </c>
      <c r="BN182">
        <f ca="1">IFERROR(IF(0=LEN(ReferenceData!$BN$182),"",ReferenceData!$BN$182),"")</f>
        <v>62.547210270000001</v>
      </c>
      <c r="BO182" t="str">
        <f ca="1">IFERROR(IF(0=LEN(ReferenceData!$BO$182),"",ReferenceData!$BO$182),"")</f>
        <v/>
      </c>
      <c r="BP182" t="str">
        <f ca="1">IFERROR(IF(0=LEN(ReferenceData!$BP$182),"",ReferenceData!$BP$182),"")</f>
        <v/>
      </c>
      <c r="BQ182">
        <f ca="1">IFERROR(IF(0=LEN(ReferenceData!$BQ$182),"",ReferenceData!$BQ$182),"")</f>
        <v>102.9366936</v>
      </c>
      <c r="BR182" t="str">
        <f ca="1">IFERROR(IF(0=LEN(ReferenceData!$BR$182),"",ReferenceData!$BR$182),"")</f>
        <v/>
      </c>
      <c r="BS182" t="str">
        <f ca="1">IFERROR(IF(0=LEN(ReferenceData!$BS$182),"",ReferenceData!$BS$182),"")</f>
        <v/>
      </c>
      <c r="BT182">
        <f ca="1">IFERROR(IF(0=LEN(ReferenceData!$BT$182),"",ReferenceData!$BT$182),"")</f>
        <v>46.269718820000001</v>
      </c>
      <c r="BU182" t="str">
        <f ca="1">IFERROR(IF(0=LEN(ReferenceData!$BU$182),"",ReferenceData!$BU$182),"")</f>
        <v/>
      </c>
      <c r="BV182" t="str">
        <f ca="1">IFERROR(IF(0=LEN(ReferenceData!$BV$182),"",ReferenceData!$BV$182),"")</f>
        <v/>
      </c>
      <c r="BW182">
        <f ca="1">IFERROR(IF(0=LEN(ReferenceData!$BW$182),"",ReferenceData!$BW$182),"")</f>
        <v>49.862421159999997</v>
      </c>
      <c r="BX182" t="str">
        <f ca="1">IFERROR(IF(0=LEN(ReferenceData!$BX$182),"",ReferenceData!$BX$182),"")</f>
        <v/>
      </c>
      <c r="BY182" t="str">
        <f ca="1">IFERROR(IF(0=LEN(ReferenceData!$BY$182),"",ReferenceData!$BY$182),"")</f>
        <v/>
      </c>
      <c r="BZ182">
        <f ca="1">IFERROR(IF(0=LEN(ReferenceData!$BZ$182),"",ReferenceData!$BZ$182),"")</f>
        <v>55.453980389999998</v>
      </c>
      <c r="CA182" t="str">
        <f ca="1">IFERROR(IF(0=LEN(ReferenceData!$CA$182),"",ReferenceData!$CA$182),"")</f>
        <v/>
      </c>
      <c r="CB182" t="str">
        <f ca="1">IFERROR(IF(0=LEN(ReferenceData!$CB$182),"",ReferenceData!$CB$182),"")</f>
        <v/>
      </c>
      <c r="CC182">
        <f ca="1">IFERROR(IF(0=LEN(ReferenceData!$CC$182),"",ReferenceData!$CC$182),"")</f>
        <v>86.728782640000006</v>
      </c>
      <c r="CD182" t="str">
        <f ca="1">IFERROR(IF(0=LEN(ReferenceData!$CD$182),"",ReferenceData!$CD$182),"")</f>
        <v/>
      </c>
      <c r="CE182" t="str">
        <f ca="1">IFERROR(IF(0=LEN(ReferenceData!$CE$182),"",ReferenceData!$CE$182),"")</f>
        <v/>
      </c>
      <c r="CF182">
        <f ca="1">IFERROR(IF(0=LEN(ReferenceData!$CF$182),"",ReferenceData!$CF$182),"")</f>
        <v>54.676296809999997</v>
      </c>
      <c r="CG182" t="str">
        <f ca="1">IFERROR(IF(0=LEN(ReferenceData!$CG$182),"",ReferenceData!$CG$182),"")</f>
        <v/>
      </c>
      <c r="CH182" t="str">
        <f ca="1">IFERROR(IF(0=LEN(ReferenceData!$CH$182),"",ReferenceData!$CH$182),"")</f>
        <v/>
      </c>
      <c r="CI182">
        <f ca="1">IFERROR(IF(0=LEN(ReferenceData!$CI$182),"",ReferenceData!$CI$182),"")</f>
        <v>56.43147785</v>
      </c>
      <c r="CJ182" t="str">
        <f ca="1">IFERROR(IF(0=LEN(ReferenceData!$CJ$182),"",ReferenceData!$CJ$182),"")</f>
        <v/>
      </c>
      <c r="CK182" t="str">
        <f ca="1">IFERROR(IF(0=LEN(ReferenceData!$CK$182),"",ReferenceData!$CK$182),"")</f>
        <v/>
      </c>
    </row>
    <row r="183" spans="1:89">
      <c r="A183" t="str">
        <f>IFERROR(IF(0=LEN(ReferenceData!$A$183),"",ReferenceData!$A$183),"")</f>
        <v xml:space="preserve">    Essex Property Trust Inc</v>
      </c>
      <c r="B183" t="str">
        <f>IFERROR(IF(0=LEN(ReferenceData!$B$183),"",ReferenceData!$B$183),"")</f>
        <v>ESS US Equity</v>
      </c>
      <c r="C183" t="str">
        <f>IFERROR(IF(0=LEN(ReferenceData!$C$183),"",ReferenceData!$C$183),"")</f>
        <v>F0928</v>
      </c>
      <c r="D183" t="str">
        <f>IFERROR(IF(0=LEN(ReferenceData!$D$183),"",ReferenceData!$D$183),"")</f>
        <v>ADJUSTED_FFO_PAYOUT_RATIO</v>
      </c>
      <c r="E183" t="str">
        <f>IFERROR(IF(0=LEN(ReferenceData!$E$183),"",ReferenceData!$E$183),"")</f>
        <v>动态</v>
      </c>
      <c r="F183" t="str">
        <f ca="1">IFERROR(IF(0=LEN(ReferenceData!$F$183),"",ReferenceData!$F$183),"")</f>
        <v/>
      </c>
      <c r="G183" t="str">
        <f ca="1">IFERROR(IF(0=LEN(ReferenceData!$G$183),"",ReferenceData!$G$183),"")</f>
        <v/>
      </c>
      <c r="H183" t="str">
        <f ca="1">IFERROR(IF(0=LEN(ReferenceData!$H$183),"",ReferenceData!$H$183),"")</f>
        <v/>
      </c>
      <c r="I183">
        <f ca="1">IFERROR(IF(0=LEN(ReferenceData!$I$183),"",ReferenceData!$I$183),"")</f>
        <v>58.119710329999997</v>
      </c>
      <c r="J183" t="str">
        <f ca="1">IFERROR(IF(0=LEN(ReferenceData!$J$183),"",ReferenceData!$J$183),"")</f>
        <v/>
      </c>
      <c r="K183" t="str">
        <f ca="1">IFERROR(IF(0=LEN(ReferenceData!$K$183),"",ReferenceData!$K$183),"")</f>
        <v/>
      </c>
      <c r="L183">
        <f ca="1">IFERROR(IF(0=LEN(ReferenceData!$L$183),"",ReferenceData!$L$183),"")</f>
        <v>58.632927530000003</v>
      </c>
      <c r="M183" t="str">
        <f ca="1">IFERROR(IF(0=LEN(ReferenceData!$M$183),"",ReferenceData!$M$183),"")</f>
        <v/>
      </c>
      <c r="N183" t="str">
        <f ca="1">IFERROR(IF(0=LEN(ReferenceData!$N$183),"",ReferenceData!$N$183),"")</f>
        <v/>
      </c>
      <c r="O183">
        <f ca="1">IFERROR(IF(0=LEN(ReferenceData!$O$183),"",ReferenceData!$O$183),"")</f>
        <v>58.873793200000001</v>
      </c>
      <c r="P183" t="str">
        <f ca="1">IFERROR(IF(0=LEN(ReferenceData!$P$183),"",ReferenceData!$P$183),"")</f>
        <v/>
      </c>
      <c r="Q183" t="str">
        <f ca="1">IFERROR(IF(0=LEN(ReferenceData!$Q$183),"",ReferenceData!$Q$183),"")</f>
        <v/>
      </c>
      <c r="R183">
        <f ca="1">IFERROR(IF(0=LEN(ReferenceData!$R$183),"",ReferenceData!$R$183),"")</f>
        <v>59.564810270000002</v>
      </c>
      <c r="S183" t="str">
        <f ca="1">IFERROR(IF(0=LEN(ReferenceData!$S$183),"",ReferenceData!$S$183),"")</f>
        <v/>
      </c>
      <c r="T183" t="str">
        <f ca="1">IFERROR(IF(0=LEN(ReferenceData!$T$183),"",ReferenceData!$T$183),"")</f>
        <v/>
      </c>
      <c r="U183">
        <f ca="1">IFERROR(IF(0=LEN(ReferenceData!$U$183),"",ReferenceData!$U$183),"")</f>
        <v>56.948478710000003</v>
      </c>
      <c r="V183" t="str">
        <f ca="1">IFERROR(IF(0=LEN(ReferenceData!$V$183),"",ReferenceData!$V$183),"")</f>
        <v/>
      </c>
      <c r="W183" t="str">
        <f ca="1">IFERROR(IF(0=LEN(ReferenceData!$W$183),"",ReferenceData!$W$183),"")</f>
        <v/>
      </c>
      <c r="X183">
        <f ca="1">IFERROR(IF(0=LEN(ReferenceData!$X$183),"",ReferenceData!$X$183),"")</f>
        <v>57.031180159999998</v>
      </c>
      <c r="Y183" t="str">
        <f ca="1">IFERROR(IF(0=LEN(ReferenceData!$Y$183),"",ReferenceData!$Y$183),"")</f>
        <v/>
      </c>
      <c r="Z183" t="str">
        <f ca="1">IFERROR(IF(0=LEN(ReferenceData!$Z$183),"",ReferenceData!$Z$183),"")</f>
        <v/>
      </c>
      <c r="AA183">
        <f ca="1">IFERROR(IF(0=LEN(ReferenceData!$AA$183),"",ReferenceData!$AA$183),"")</f>
        <v>58.347583010000001</v>
      </c>
      <c r="AB183" t="str">
        <f ca="1">IFERROR(IF(0=LEN(ReferenceData!$AB$183),"",ReferenceData!$AB$183),"")</f>
        <v/>
      </c>
      <c r="AC183" t="str">
        <f ca="1">IFERROR(IF(0=LEN(ReferenceData!$AC$183),"",ReferenceData!$AC$183),"")</f>
        <v/>
      </c>
      <c r="AD183">
        <f ca="1">IFERROR(IF(0=LEN(ReferenceData!$AD$183),"",ReferenceData!$AD$183),"")</f>
        <v>59.75628167</v>
      </c>
      <c r="AE183" t="str">
        <f ca="1">IFERROR(IF(0=LEN(ReferenceData!$AE$183),"",ReferenceData!$AE$183),"")</f>
        <v/>
      </c>
      <c r="AF183" t="str">
        <f ca="1">IFERROR(IF(0=LEN(ReferenceData!$AF$183),"",ReferenceData!$AF$183),"")</f>
        <v/>
      </c>
      <c r="AG183">
        <f ca="1">IFERROR(IF(0=LEN(ReferenceData!$AG$183),"",ReferenceData!$AG$183),"")</f>
        <v>54.747973279999997</v>
      </c>
      <c r="AH183" t="str">
        <f ca="1">IFERROR(IF(0=LEN(ReferenceData!$AH$183),"",ReferenceData!$AH$183),"")</f>
        <v/>
      </c>
      <c r="AI183" t="str">
        <f ca="1">IFERROR(IF(0=LEN(ReferenceData!$AI$183),"",ReferenceData!$AI$183),"")</f>
        <v/>
      </c>
      <c r="AJ183">
        <f ca="1">IFERROR(IF(0=LEN(ReferenceData!$AJ$183),"",ReferenceData!$AJ$183),"")</f>
        <v>57.738229230000002</v>
      </c>
      <c r="AK183" t="str">
        <f ca="1">IFERROR(IF(0=LEN(ReferenceData!$AK$183),"",ReferenceData!$AK$183),"")</f>
        <v/>
      </c>
      <c r="AL183" t="str">
        <f ca="1">IFERROR(IF(0=LEN(ReferenceData!$AL$183),"",ReferenceData!$AL$183),"")</f>
        <v/>
      </c>
      <c r="AM183">
        <f ca="1">IFERROR(IF(0=LEN(ReferenceData!$AM$183),"",ReferenceData!$AM$183),"")</f>
        <v>59.98545266</v>
      </c>
      <c r="AN183" t="str">
        <f ca="1">IFERROR(IF(0=LEN(ReferenceData!$AN$183),"",ReferenceData!$AN$183),"")</f>
        <v/>
      </c>
      <c r="AO183" t="str">
        <f ca="1">IFERROR(IF(0=LEN(ReferenceData!$AO$183),"",ReferenceData!$AO$183),"")</f>
        <v/>
      </c>
      <c r="AP183">
        <f ca="1">IFERROR(IF(0=LEN(ReferenceData!$AP$183),"",ReferenceData!$AP$183),"")</f>
        <v>62.87814281</v>
      </c>
      <c r="AQ183" t="str">
        <f ca="1">IFERROR(IF(0=LEN(ReferenceData!$AQ$183),"",ReferenceData!$AQ$183),"")</f>
        <v/>
      </c>
      <c r="AR183" t="str">
        <f ca="1">IFERROR(IF(0=LEN(ReferenceData!$AR$183),"",ReferenceData!$AR$183),"")</f>
        <v/>
      </c>
      <c r="AS183">
        <f ca="1">IFERROR(IF(0=LEN(ReferenceData!$AS$183),"",ReferenceData!$AS$183),"")</f>
        <v>58.041214330000003</v>
      </c>
      <c r="AT183" t="str">
        <f ca="1">IFERROR(IF(0=LEN(ReferenceData!$AT$183),"",ReferenceData!$AT$183),"")</f>
        <v/>
      </c>
      <c r="AU183" t="str">
        <f ca="1">IFERROR(IF(0=LEN(ReferenceData!$AU$183),"",ReferenceData!$AU$183),"")</f>
        <v/>
      </c>
      <c r="AV183">
        <f ca="1">IFERROR(IF(0=LEN(ReferenceData!$AV$183),"",ReferenceData!$AV$183),"")</f>
        <v>60.099969139999999</v>
      </c>
      <c r="AW183" t="str">
        <f ca="1">IFERROR(IF(0=LEN(ReferenceData!$AW$183),"",ReferenceData!$AW$183),"")</f>
        <v/>
      </c>
      <c r="AX183" t="str">
        <f ca="1">IFERROR(IF(0=LEN(ReferenceData!$AX$183),"",ReferenceData!$AX$183),"")</f>
        <v/>
      </c>
      <c r="AY183">
        <f ca="1">IFERROR(IF(0=LEN(ReferenceData!$AY$183),"",ReferenceData!$AY$183),"")</f>
        <v>62.365225629999998</v>
      </c>
      <c r="AZ183" t="str">
        <f ca="1">IFERROR(IF(0=LEN(ReferenceData!$AZ$183),"",ReferenceData!$AZ$183),"")</f>
        <v/>
      </c>
      <c r="BA183" t="str">
        <f ca="1">IFERROR(IF(0=LEN(ReferenceData!$BA$183),"",ReferenceData!$BA$183),"")</f>
        <v/>
      </c>
      <c r="BB183">
        <f ca="1">IFERROR(IF(0=LEN(ReferenceData!$BB$183),"",ReferenceData!$BB$183),"")</f>
        <v>60.019794670000003</v>
      </c>
      <c r="BC183" t="str">
        <f ca="1">IFERROR(IF(0=LEN(ReferenceData!$BC$183),"",ReferenceData!$BC$183),"")</f>
        <v/>
      </c>
      <c r="BD183" t="str">
        <f ca="1">IFERROR(IF(0=LEN(ReferenceData!$BD$183),"",ReferenceData!$BD$183),"")</f>
        <v/>
      </c>
      <c r="BE183">
        <f ca="1">IFERROR(IF(0=LEN(ReferenceData!$BE$183),"",ReferenceData!$BE$183),"")</f>
        <v>62.25526807</v>
      </c>
      <c r="BF183" t="str">
        <f ca="1">IFERROR(IF(0=LEN(ReferenceData!$BF$183),"",ReferenceData!$BF$183),"")</f>
        <v/>
      </c>
      <c r="BG183" t="str">
        <f ca="1">IFERROR(IF(0=LEN(ReferenceData!$BG$183),"",ReferenceData!$BG$183),"")</f>
        <v/>
      </c>
      <c r="BH183">
        <f ca="1">IFERROR(IF(0=LEN(ReferenceData!$BH$183),"",ReferenceData!$BH$183),"")</f>
        <v>63.341797399999997</v>
      </c>
      <c r="BI183" t="str">
        <f ca="1">IFERROR(IF(0=LEN(ReferenceData!$BI$183),"",ReferenceData!$BI$183),"")</f>
        <v/>
      </c>
      <c r="BJ183" t="str">
        <f ca="1">IFERROR(IF(0=LEN(ReferenceData!$BJ$183),"",ReferenceData!$BJ$183),"")</f>
        <v/>
      </c>
      <c r="BK183">
        <f ca="1">IFERROR(IF(0=LEN(ReferenceData!$BK$183),"",ReferenceData!$BK$183),"")</f>
        <v>64.515775629999993</v>
      </c>
      <c r="BL183" t="str">
        <f ca="1">IFERROR(IF(0=LEN(ReferenceData!$BL$183),"",ReferenceData!$BL$183),"")</f>
        <v/>
      </c>
      <c r="BM183" t="str">
        <f ca="1">IFERROR(IF(0=LEN(ReferenceData!$BM$183),"",ReferenceData!$BM$183),"")</f>
        <v/>
      </c>
      <c r="BN183">
        <f ca="1">IFERROR(IF(0=LEN(ReferenceData!$BN$183),"",ReferenceData!$BN$183),"")</f>
        <v>64.795581810000002</v>
      </c>
      <c r="BO183" t="str">
        <f ca="1">IFERROR(IF(0=LEN(ReferenceData!$BO$183),"",ReferenceData!$BO$183),"")</f>
        <v/>
      </c>
      <c r="BP183" t="str">
        <f ca="1">IFERROR(IF(0=LEN(ReferenceData!$BP$183),"",ReferenceData!$BP$183),"")</f>
        <v/>
      </c>
      <c r="BQ183">
        <f ca="1">IFERROR(IF(0=LEN(ReferenceData!$BQ$183),"",ReferenceData!$BQ$183),"")</f>
        <v>60.830742309999998</v>
      </c>
      <c r="BR183" t="str">
        <f ca="1">IFERROR(IF(0=LEN(ReferenceData!$BR$183),"",ReferenceData!$BR$183),"")</f>
        <v/>
      </c>
      <c r="BS183" t="str">
        <f ca="1">IFERROR(IF(0=LEN(ReferenceData!$BS$183),"",ReferenceData!$BS$183),"")</f>
        <v/>
      </c>
      <c r="BT183">
        <f ca="1">IFERROR(IF(0=LEN(ReferenceData!$BT$183),"",ReferenceData!$BT$183),"")</f>
        <v>64.405406150000005</v>
      </c>
      <c r="BU183" t="str">
        <f ca="1">IFERROR(IF(0=LEN(ReferenceData!$BU$183),"",ReferenceData!$BU$183),"")</f>
        <v/>
      </c>
      <c r="BV183" t="str">
        <f ca="1">IFERROR(IF(0=LEN(ReferenceData!$BV$183),"",ReferenceData!$BV$183),"")</f>
        <v/>
      </c>
      <c r="BW183">
        <f ca="1">IFERROR(IF(0=LEN(ReferenceData!$BW$183),"",ReferenceData!$BW$183),"")</f>
        <v>64.004657409999993</v>
      </c>
      <c r="BX183" t="str">
        <f ca="1">IFERROR(IF(0=LEN(ReferenceData!$BX$183),"",ReferenceData!$BX$183),"")</f>
        <v/>
      </c>
      <c r="BY183" t="str">
        <f ca="1">IFERROR(IF(0=LEN(ReferenceData!$BY$183),"",ReferenceData!$BY$183),"")</f>
        <v/>
      </c>
      <c r="BZ183">
        <f ca="1">IFERROR(IF(0=LEN(ReferenceData!$BZ$183),"",ReferenceData!$BZ$183),"")</f>
        <v>67.349031220000001</v>
      </c>
      <c r="CA183" t="str">
        <f ca="1">IFERROR(IF(0=LEN(ReferenceData!$CA$183),"",ReferenceData!$CA$183),"")</f>
        <v/>
      </c>
      <c r="CB183" t="str">
        <f ca="1">IFERROR(IF(0=LEN(ReferenceData!$CB$183),"",ReferenceData!$CB$183),"")</f>
        <v/>
      </c>
      <c r="CC183">
        <f ca="1">IFERROR(IF(0=LEN(ReferenceData!$CC$183),"",ReferenceData!$CC$183),"")</f>
        <v>69.049574680000006</v>
      </c>
      <c r="CD183" t="str">
        <f ca="1">IFERROR(IF(0=LEN(ReferenceData!$CD$183),"",ReferenceData!$CD$183),"")</f>
        <v/>
      </c>
      <c r="CE183" t="str">
        <f ca="1">IFERROR(IF(0=LEN(ReferenceData!$CE$183),"",ReferenceData!$CE$183),"")</f>
        <v/>
      </c>
      <c r="CF183">
        <f ca="1">IFERROR(IF(0=LEN(ReferenceData!$CF$183),"",ReferenceData!$CF$183),"")</f>
        <v>73.449842039999993</v>
      </c>
      <c r="CG183" t="str">
        <f ca="1">IFERROR(IF(0=LEN(ReferenceData!$CG$183),"",ReferenceData!$CG$183),"")</f>
        <v/>
      </c>
      <c r="CH183" t="str">
        <f ca="1">IFERROR(IF(0=LEN(ReferenceData!$CH$183),"",ReferenceData!$CH$183),"")</f>
        <v/>
      </c>
      <c r="CI183">
        <f ca="1">IFERROR(IF(0=LEN(ReferenceData!$CI$183),"",ReferenceData!$CI$183),"")</f>
        <v>74.524609929999997</v>
      </c>
      <c r="CJ183" t="str">
        <f ca="1">IFERROR(IF(0=LEN(ReferenceData!$CJ$183),"",ReferenceData!$CJ$183),"")</f>
        <v/>
      </c>
      <c r="CK183" t="str">
        <f ca="1">IFERROR(IF(0=LEN(ReferenceData!$CK$183),"",ReferenceData!$CK$183),"")</f>
        <v/>
      </c>
    </row>
    <row r="184" spans="1:89">
      <c r="A184" t="str">
        <f>IFERROR(IF(0=LEN(ReferenceData!$A$184),"",ReferenceData!$A$184),"")</f>
        <v xml:space="preserve">    Mid-America Apartment Communit</v>
      </c>
      <c r="B184" t="str">
        <f>IFERROR(IF(0=LEN(ReferenceData!$B$184),"",ReferenceData!$B$184),"")</f>
        <v>MAA US Equity</v>
      </c>
      <c r="C184" t="str">
        <f>IFERROR(IF(0=LEN(ReferenceData!$C$184),"",ReferenceData!$C$184),"")</f>
        <v>F0928</v>
      </c>
      <c r="D184" t="str">
        <f>IFERROR(IF(0=LEN(ReferenceData!$D$184),"",ReferenceData!$D$184),"")</f>
        <v>ADJUSTED_FFO_PAYOUT_RATIO</v>
      </c>
      <c r="E184" t="str">
        <f>IFERROR(IF(0=LEN(ReferenceData!$E$184),"",ReferenceData!$E$184),"")</f>
        <v>动态</v>
      </c>
      <c r="F184" t="str">
        <f ca="1">IFERROR(IF(0=LEN(ReferenceData!$F$184),"",ReferenceData!$F$184),"")</f>
        <v/>
      </c>
      <c r="G184" t="str">
        <f ca="1">IFERROR(IF(0=LEN(ReferenceData!$G$184),"",ReferenceData!$G$184),"")</f>
        <v/>
      </c>
      <c r="H184" t="str">
        <f ca="1">IFERROR(IF(0=LEN(ReferenceData!$H$184),"",ReferenceData!$H$184),"")</f>
        <v/>
      </c>
      <c r="I184">
        <f ca="1">IFERROR(IF(0=LEN(ReferenceData!$I$184),"",ReferenceData!$I$184),"")</f>
        <v>62.236631289999998</v>
      </c>
      <c r="J184" t="str">
        <f ca="1">IFERROR(IF(0=LEN(ReferenceData!$J$184),"",ReferenceData!$J$184),"")</f>
        <v/>
      </c>
      <c r="K184" t="str">
        <f ca="1">IFERROR(IF(0=LEN(ReferenceData!$K$184),"",ReferenceData!$K$184),"")</f>
        <v/>
      </c>
      <c r="L184">
        <f ca="1">IFERROR(IF(0=LEN(ReferenceData!$L$184),"",ReferenceData!$L$184),"")</f>
        <v>58.185464920000001</v>
      </c>
      <c r="M184" t="str">
        <f ca="1">IFERROR(IF(0=LEN(ReferenceData!$M$184),"",ReferenceData!$M$184),"")</f>
        <v/>
      </c>
      <c r="N184" t="str">
        <f ca="1">IFERROR(IF(0=LEN(ReferenceData!$N$184),"",ReferenceData!$N$184),"")</f>
        <v/>
      </c>
      <c r="O184">
        <f ca="1">IFERROR(IF(0=LEN(ReferenceData!$O$184),"",ReferenceData!$O$184),"")</f>
        <v>58.766504449999999</v>
      </c>
      <c r="P184" t="str">
        <f ca="1">IFERROR(IF(0=LEN(ReferenceData!$P$184),"",ReferenceData!$P$184),"")</f>
        <v/>
      </c>
      <c r="Q184" t="str">
        <f ca="1">IFERROR(IF(0=LEN(ReferenceData!$Q$184),"",ReferenceData!$Q$184),"")</f>
        <v/>
      </c>
      <c r="R184">
        <f ca="1">IFERROR(IF(0=LEN(ReferenceData!$R$184),"",ReferenceData!$R$184),"")</f>
        <v>59.694525499999997</v>
      </c>
      <c r="S184" t="str">
        <f ca="1">IFERROR(IF(0=LEN(ReferenceData!$S$184),"",ReferenceData!$S$184),"")</f>
        <v/>
      </c>
      <c r="T184" t="str">
        <f ca="1">IFERROR(IF(0=LEN(ReferenceData!$T$184),"",ReferenceData!$T$184),"")</f>
        <v/>
      </c>
      <c r="U184">
        <f ca="1">IFERROR(IF(0=LEN(ReferenceData!$U$184),"",ReferenceData!$U$184),"")</f>
        <v>77.278307859999998</v>
      </c>
      <c r="V184" t="str">
        <f ca="1">IFERROR(IF(0=LEN(ReferenceData!$V$184),"",ReferenceData!$V$184),"")</f>
        <v/>
      </c>
      <c r="W184" t="str">
        <f ca="1">IFERROR(IF(0=LEN(ReferenceData!$W$184),"",ReferenceData!$W$184),"")</f>
        <v/>
      </c>
      <c r="X184">
        <f ca="1">IFERROR(IF(0=LEN(ReferenceData!$X$184),"",ReferenceData!$X$184),"")</f>
        <v>55.122475829999999</v>
      </c>
      <c r="Y184" t="str">
        <f ca="1">IFERROR(IF(0=LEN(ReferenceData!$Y$184),"",ReferenceData!$Y$184),"")</f>
        <v/>
      </c>
      <c r="Z184" t="str">
        <f ca="1">IFERROR(IF(0=LEN(ReferenceData!$Z$184),"",ReferenceData!$Z$184),"")</f>
        <v/>
      </c>
      <c r="AA184">
        <f ca="1">IFERROR(IF(0=LEN(ReferenceData!$AA$184),"",ReferenceData!$AA$184),"")</f>
        <v>53.357603249999997</v>
      </c>
      <c r="AB184" t="str">
        <f ca="1">IFERROR(IF(0=LEN(ReferenceData!$AB$184),"",ReferenceData!$AB$184),"")</f>
        <v/>
      </c>
      <c r="AC184" t="str">
        <f ca="1">IFERROR(IF(0=LEN(ReferenceData!$AC$184),"",ReferenceData!$AC$184),"")</f>
        <v/>
      </c>
      <c r="AD184">
        <f ca="1">IFERROR(IF(0=LEN(ReferenceData!$AD$184),"",ReferenceData!$AD$184),"")</f>
        <v>57.024108169999998</v>
      </c>
      <c r="AE184" t="str">
        <f ca="1">IFERROR(IF(0=LEN(ReferenceData!$AE$184),"",ReferenceData!$AE$184),"")</f>
        <v/>
      </c>
      <c r="AF184" t="str">
        <f ca="1">IFERROR(IF(0=LEN(ReferenceData!$AF$184),"",ReferenceData!$AF$184),"")</f>
        <v/>
      </c>
      <c r="AG184">
        <f ca="1">IFERROR(IF(0=LEN(ReferenceData!$AG$184),"",ReferenceData!$AG$184),"")</f>
        <v>56.490671560000003</v>
      </c>
      <c r="AH184" t="str">
        <f ca="1">IFERROR(IF(0=LEN(ReferenceData!$AH$184),"",ReferenceData!$AH$184),"")</f>
        <v/>
      </c>
      <c r="AI184" t="str">
        <f ca="1">IFERROR(IF(0=LEN(ReferenceData!$AI$184),"",ReferenceData!$AI$184),"")</f>
        <v/>
      </c>
      <c r="AJ184">
        <f ca="1">IFERROR(IF(0=LEN(ReferenceData!$AJ$184),"",ReferenceData!$AJ$184),"")</f>
        <v>55.754561420000002</v>
      </c>
      <c r="AK184" t="str">
        <f ca="1">IFERROR(IF(0=LEN(ReferenceData!$AK$184),"",ReferenceData!$AK$184),"")</f>
        <v/>
      </c>
      <c r="AL184" t="str">
        <f ca="1">IFERROR(IF(0=LEN(ReferenceData!$AL$184),"",ReferenceData!$AL$184),"")</f>
        <v/>
      </c>
      <c r="AM184">
        <f ca="1">IFERROR(IF(0=LEN(ReferenceData!$AM$184),"",ReferenceData!$AM$184),"")</f>
        <v>56.746447189999998</v>
      </c>
      <c r="AN184" t="str">
        <f ca="1">IFERROR(IF(0=LEN(ReferenceData!$AN$184),"",ReferenceData!$AN$184),"")</f>
        <v/>
      </c>
      <c r="AO184" t="str">
        <f ca="1">IFERROR(IF(0=LEN(ReferenceData!$AO$184),"",ReferenceData!$AO$184),"")</f>
        <v/>
      </c>
      <c r="AP184">
        <f ca="1">IFERROR(IF(0=LEN(ReferenceData!$AP$184),"",ReferenceData!$AP$184),"")</f>
        <v>58.184152750000003</v>
      </c>
      <c r="AQ184" t="str">
        <f ca="1">IFERROR(IF(0=LEN(ReferenceData!$AQ$184),"",ReferenceData!$AQ$184),"")</f>
        <v/>
      </c>
      <c r="AR184" t="str">
        <f ca="1">IFERROR(IF(0=LEN(ReferenceData!$AR$184),"",ReferenceData!$AR$184),"")</f>
        <v/>
      </c>
      <c r="AS184">
        <f ca="1">IFERROR(IF(0=LEN(ReferenceData!$AS$184),"",ReferenceData!$AS$184),"")</f>
        <v>58.452882279999997</v>
      </c>
      <c r="AT184" t="str">
        <f ca="1">IFERROR(IF(0=LEN(ReferenceData!$AT$184),"",ReferenceData!$AT$184),"")</f>
        <v/>
      </c>
      <c r="AU184" t="str">
        <f ca="1">IFERROR(IF(0=LEN(ReferenceData!$AU$184),"",ReferenceData!$AU$184),"")</f>
        <v/>
      </c>
      <c r="AV184">
        <f ca="1">IFERROR(IF(0=LEN(ReferenceData!$AV$184),"",ReferenceData!$AV$184),"")</f>
        <v>57.082344720000002</v>
      </c>
      <c r="AW184" t="str">
        <f ca="1">IFERROR(IF(0=LEN(ReferenceData!$AW$184),"",ReferenceData!$AW$184),"")</f>
        <v/>
      </c>
      <c r="AX184" t="str">
        <f ca="1">IFERROR(IF(0=LEN(ReferenceData!$AX$184),"",ReferenceData!$AX$184),"")</f>
        <v/>
      </c>
      <c r="AY184">
        <f ca="1">IFERROR(IF(0=LEN(ReferenceData!$AY$184),"",ReferenceData!$AY$184),"")</f>
        <v>61.706361719999997</v>
      </c>
      <c r="AZ184" t="str">
        <f ca="1">IFERROR(IF(0=LEN(ReferenceData!$AZ$184),"",ReferenceData!$AZ$184),"")</f>
        <v/>
      </c>
      <c r="BA184" t="str">
        <f ca="1">IFERROR(IF(0=LEN(ReferenceData!$BA$184),"",ReferenceData!$BA$184),"")</f>
        <v/>
      </c>
      <c r="BB184">
        <f ca="1">IFERROR(IF(0=LEN(ReferenceData!$BB$184),"",ReferenceData!$BB$184),"")</f>
        <v>60.507882539999997</v>
      </c>
      <c r="BC184" t="str">
        <f ca="1">IFERROR(IF(0=LEN(ReferenceData!$BC$184),"",ReferenceData!$BC$184),"")</f>
        <v/>
      </c>
      <c r="BD184" t="str">
        <f ca="1">IFERROR(IF(0=LEN(ReferenceData!$BD$184),"",ReferenceData!$BD$184),"")</f>
        <v/>
      </c>
      <c r="BE184">
        <f ca="1">IFERROR(IF(0=LEN(ReferenceData!$BE$184),"",ReferenceData!$BE$184),"")</f>
        <v>60.791061280000001</v>
      </c>
      <c r="BF184" t="str">
        <f ca="1">IFERROR(IF(0=LEN(ReferenceData!$BF$184),"",ReferenceData!$BF$184),"")</f>
        <v/>
      </c>
      <c r="BG184" t="str">
        <f ca="1">IFERROR(IF(0=LEN(ReferenceData!$BG$184),"",ReferenceData!$BG$184),"")</f>
        <v/>
      </c>
      <c r="BH184">
        <f ca="1">IFERROR(IF(0=LEN(ReferenceData!$BH$184),"",ReferenceData!$BH$184),"")</f>
        <v>55.732669960000003</v>
      </c>
      <c r="BI184" t="str">
        <f ca="1">IFERROR(IF(0=LEN(ReferenceData!$BI$184),"",ReferenceData!$BI$184),"")</f>
        <v/>
      </c>
      <c r="BJ184" t="str">
        <f ca="1">IFERROR(IF(0=LEN(ReferenceData!$BJ$184),"",ReferenceData!$BJ$184),"")</f>
        <v/>
      </c>
      <c r="BK184">
        <f ca="1">IFERROR(IF(0=LEN(ReferenceData!$BK$184),"",ReferenceData!$BK$184),"")</f>
        <v>54.389707819999998</v>
      </c>
      <c r="BL184" t="str">
        <f ca="1">IFERROR(IF(0=LEN(ReferenceData!$BL$184),"",ReferenceData!$BL$184),"")</f>
        <v/>
      </c>
      <c r="BM184" t="str">
        <f ca="1">IFERROR(IF(0=LEN(ReferenceData!$BM$184),"",ReferenceData!$BM$184),"")</f>
        <v/>
      </c>
      <c r="BN184">
        <f ca="1">IFERROR(IF(0=LEN(ReferenceData!$BN$184),"",ReferenceData!$BN$184),"")</f>
        <v>55.614360550000001</v>
      </c>
      <c r="BO184" t="str">
        <f ca="1">IFERROR(IF(0=LEN(ReferenceData!$BO$184),"",ReferenceData!$BO$184),"")</f>
        <v/>
      </c>
      <c r="BP184" t="str">
        <f ca="1">IFERROR(IF(0=LEN(ReferenceData!$BP$184),"",ReferenceData!$BP$184),"")</f>
        <v/>
      </c>
      <c r="BQ184">
        <f ca="1">IFERROR(IF(0=LEN(ReferenceData!$BQ$184),"",ReferenceData!$BQ$184),"")</f>
        <v>57.308318819999997</v>
      </c>
      <c r="BR184" t="str">
        <f ca="1">IFERROR(IF(0=LEN(ReferenceData!$BR$184),"",ReferenceData!$BR$184),"")</f>
        <v/>
      </c>
      <c r="BS184" t="str">
        <f ca="1">IFERROR(IF(0=LEN(ReferenceData!$BS$184),"",ReferenceData!$BS$184),"")</f>
        <v/>
      </c>
      <c r="BT184">
        <f ca="1">IFERROR(IF(0=LEN(ReferenceData!$BT$184),"",ReferenceData!$BT$184),"")</f>
        <v>57.87587242</v>
      </c>
      <c r="BU184" t="str">
        <f ca="1">IFERROR(IF(0=LEN(ReferenceData!$BU$184),"",ReferenceData!$BU$184),"")</f>
        <v/>
      </c>
      <c r="BV184" t="str">
        <f ca="1">IFERROR(IF(0=LEN(ReferenceData!$BV$184),"",ReferenceData!$BV$184),"")</f>
        <v/>
      </c>
      <c r="BW184">
        <f ca="1">IFERROR(IF(0=LEN(ReferenceData!$BW$184),"",ReferenceData!$BW$184),"")</f>
        <v>58.623987739999997</v>
      </c>
      <c r="BX184" t="str">
        <f ca="1">IFERROR(IF(0=LEN(ReferenceData!$BX$184),"",ReferenceData!$BX$184),"")</f>
        <v/>
      </c>
      <c r="BY184" t="str">
        <f ca="1">IFERROR(IF(0=LEN(ReferenceData!$BY$184),"",ReferenceData!$BY$184),"")</f>
        <v/>
      </c>
      <c r="BZ184">
        <f ca="1">IFERROR(IF(0=LEN(ReferenceData!$BZ$184),"",ReferenceData!$BZ$184),"")</f>
        <v>59.032812300000003</v>
      </c>
      <c r="CA184" t="str">
        <f ca="1">IFERROR(IF(0=LEN(ReferenceData!$CA$184),"",ReferenceData!$CA$184),"")</f>
        <v/>
      </c>
      <c r="CB184" t="str">
        <f ca="1">IFERROR(IF(0=LEN(ReferenceData!$CB$184),"",ReferenceData!$CB$184),"")</f>
        <v/>
      </c>
      <c r="CC184">
        <f ca="1">IFERROR(IF(0=LEN(ReferenceData!$CC$184),"",ReferenceData!$CC$184),"")</f>
        <v>58.445312139999999</v>
      </c>
      <c r="CD184" t="str">
        <f ca="1">IFERROR(IF(0=LEN(ReferenceData!$CD$184),"",ReferenceData!$CD$184),"")</f>
        <v/>
      </c>
      <c r="CE184" t="str">
        <f ca="1">IFERROR(IF(0=LEN(ReferenceData!$CE$184),"",ReferenceData!$CE$184),"")</f>
        <v/>
      </c>
      <c r="CF184">
        <f ca="1">IFERROR(IF(0=LEN(ReferenceData!$CF$184),"",ReferenceData!$CF$184),"")</f>
        <v>62.833137989999997</v>
      </c>
      <c r="CG184" t="str">
        <f ca="1">IFERROR(IF(0=LEN(ReferenceData!$CG$184),"",ReferenceData!$CG$184),"")</f>
        <v/>
      </c>
      <c r="CH184" t="str">
        <f ca="1">IFERROR(IF(0=LEN(ReferenceData!$CH$184),"",ReferenceData!$CH$184),"")</f>
        <v/>
      </c>
      <c r="CI184">
        <f ca="1">IFERROR(IF(0=LEN(ReferenceData!$CI$184),"",ReferenceData!$CI$184),"")</f>
        <v>67.516744990000007</v>
      </c>
      <c r="CJ184" t="str">
        <f ca="1">IFERROR(IF(0=LEN(ReferenceData!$CJ$184),"",ReferenceData!$CJ$184),"")</f>
        <v/>
      </c>
      <c r="CK184" t="str">
        <f ca="1">IFERROR(IF(0=LEN(ReferenceData!$CK$184),"",ReferenceData!$CK$184),"")</f>
        <v/>
      </c>
    </row>
    <row r="185" spans="1:89">
      <c r="A185" t="str">
        <f>IFERROR(IF(0=LEN(ReferenceData!$A$185),"",ReferenceData!$A$185),"")</f>
        <v xml:space="preserve">    Monogram Residential Trust Inc</v>
      </c>
      <c r="B185" t="str">
        <f>IFERROR(IF(0=LEN(ReferenceData!$B$185),"",ReferenceData!$B$185),"")</f>
        <v>MORE US Equity</v>
      </c>
      <c r="C185" t="str">
        <f>IFERROR(IF(0=LEN(ReferenceData!$C$185),"",ReferenceData!$C$185),"")</f>
        <v>F0928</v>
      </c>
      <c r="D185" t="str">
        <f>IFERROR(IF(0=LEN(ReferenceData!$D$185),"",ReferenceData!$D$185),"")</f>
        <v>ADJUSTED_FFO_PAYOUT_RATIO</v>
      </c>
      <c r="E185" t="str">
        <f>IFERROR(IF(0=LEN(ReferenceData!$E$185),"",ReferenceData!$E$185),"")</f>
        <v>动态</v>
      </c>
      <c r="F185" t="str">
        <f ca="1">IFERROR(IF(0=LEN(ReferenceData!$F$185),"",ReferenceData!$F$185),"")</f>
        <v/>
      </c>
      <c r="G185" t="str">
        <f ca="1">IFERROR(IF(0=LEN(ReferenceData!$G$185),"",ReferenceData!$G$185),"")</f>
        <v/>
      </c>
      <c r="H185" t="str">
        <f ca="1">IFERROR(IF(0=LEN(ReferenceData!$H$185),"",ReferenceData!$H$185),"")</f>
        <v/>
      </c>
      <c r="I185" t="str">
        <f ca="1">IFERROR(IF(0=LEN(ReferenceData!$I$185),"",ReferenceData!$I$185),"")</f>
        <v/>
      </c>
      <c r="J185" t="str">
        <f ca="1">IFERROR(IF(0=LEN(ReferenceData!$J$185),"",ReferenceData!$J$185),"")</f>
        <v/>
      </c>
      <c r="K185" t="str">
        <f ca="1">IFERROR(IF(0=LEN(ReferenceData!$K$185),"",ReferenceData!$K$185),"")</f>
        <v/>
      </c>
      <c r="L185" t="str">
        <f ca="1">IFERROR(IF(0=LEN(ReferenceData!$L$185),"",ReferenceData!$L$185),"")</f>
        <v/>
      </c>
      <c r="M185" t="str">
        <f ca="1">IFERROR(IF(0=LEN(ReferenceData!$M$185),"",ReferenceData!$M$185),"")</f>
        <v/>
      </c>
      <c r="N185" t="str">
        <f ca="1">IFERROR(IF(0=LEN(ReferenceData!$N$185),"",ReferenceData!$N$185),"")</f>
        <v/>
      </c>
      <c r="O185">
        <f ca="1">IFERROR(IF(0=LEN(ReferenceData!$O$185),"",ReferenceData!$O$185),"")</f>
        <v>96.033800240000005</v>
      </c>
      <c r="P185" t="str">
        <f ca="1">IFERROR(IF(0=LEN(ReferenceData!$P$185),"",ReferenceData!$P$185),"")</f>
        <v/>
      </c>
      <c r="Q185" t="str">
        <f ca="1">IFERROR(IF(0=LEN(ReferenceData!$Q$185),"",ReferenceData!$Q$185),"")</f>
        <v/>
      </c>
      <c r="R185">
        <f ca="1">IFERROR(IF(0=LEN(ReferenceData!$R$185),"",ReferenceData!$R$185),"")</f>
        <v>116.603354</v>
      </c>
      <c r="S185" t="str">
        <f ca="1">IFERROR(IF(0=LEN(ReferenceData!$S$185),"",ReferenceData!$S$185),"")</f>
        <v/>
      </c>
      <c r="T185" t="str">
        <f ca="1">IFERROR(IF(0=LEN(ReferenceData!$T$185),"",ReferenceData!$T$185),"")</f>
        <v/>
      </c>
      <c r="U185">
        <f ca="1">IFERROR(IF(0=LEN(ReferenceData!$U$185),"",ReferenceData!$U$185),"")</f>
        <v>65.366221339999996</v>
      </c>
      <c r="V185" t="str">
        <f ca="1">IFERROR(IF(0=LEN(ReferenceData!$V$185),"",ReferenceData!$V$185),"")</f>
        <v/>
      </c>
      <c r="W185" t="str">
        <f ca="1">IFERROR(IF(0=LEN(ReferenceData!$W$185),"",ReferenceData!$W$185),"")</f>
        <v/>
      </c>
      <c r="X185">
        <f ca="1">IFERROR(IF(0=LEN(ReferenceData!$X$185),"",ReferenceData!$X$185),"")</f>
        <v>77.663218040000004</v>
      </c>
      <c r="Y185" t="str">
        <f ca="1">IFERROR(IF(0=LEN(ReferenceData!$Y$185),"",ReferenceData!$Y$185),"")</f>
        <v/>
      </c>
      <c r="Z185" t="str">
        <f ca="1">IFERROR(IF(0=LEN(ReferenceData!$Z$185),"",ReferenceData!$Z$185),"")</f>
        <v/>
      </c>
      <c r="AA185">
        <f ca="1">IFERROR(IF(0=LEN(ReferenceData!$AA$185),"",ReferenceData!$AA$185),"")</f>
        <v>103.6615537</v>
      </c>
      <c r="AB185" t="str">
        <f ca="1">IFERROR(IF(0=LEN(ReferenceData!$AB$185),"",ReferenceData!$AB$185),"")</f>
        <v/>
      </c>
      <c r="AC185" t="str">
        <f ca="1">IFERROR(IF(0=LEN(ReferenceData!$AC$185),"",ReferenceData!$AC$185),"")</f>
        <v/>
      </c>
      <c r="AD185">
        <f ca="1">IFERROR(IF(0=LEN(ReferenceData!$AD$185),"",ReferenceData!$AD$185),"")</f>
        <v>99.622866220000006</v>
      </c>
      <c r="AE185" t="str">
        <f ca="1">IFERROR(IF(0=LEN(ReferenceData!$AE$185),"",ReferenceData!$AE$185),"")</f>
        <v/>
      </c>
      <c r="AF185" t="str">
        <f ca="1">IFERROR(IF(0=LEN(ReferenceData!$AF$185),"",ReferenceData!$AF$185),"")</f>
        <v/>
      </c>
      <c r="AG185">
        <f ca="1">IFERROR(IF(0=LEN(ReferenceData!$AG$185),"",ReferenceData!$AG$185),"")</f>
        <v>90.150388100000001</v>
      </c>
      <c r="AH185" t="str">
        <f ca="1">IFERROR(IF(0=LEN(ReferenceData!$AH$185),"",ReferenceData!$AH$185),"")</f>
        <v/>
      </c>
      <c r="AI185" t="str">
        <f ca="1">IFERROR(IF(0=LEN(ReferenceData!$AI$185),"",ReferenceData!$AI$185),"")</f>
        <v/>
      </c>
      <c r="AJ185">
        <f ca="1">IFERROR(IF(0=LEN(ReferenceData!$AJ$185),"",ReferenceData!$AJ$185),"")</f>
        <v>84.643146250000001</v>
      </c>
      <c r="AK185" t="str">
        <f ca="1">IFERROR(IF(0=LEN(ReferenceData!$AK$185),"",ReferenceData!$AK$185),"")</f>
        <v/>
      </c>
      <c r="AL185" t="str">
        <f ca="1">IFERROR(IF(0=LEN(ReferenceData!$AL$185),"",ReferenceData!$AL$185),"")</f>
        <v/>
      </c>
      <c r="AM185">
        <f ca="1">IFERROR(IF(0=LEN(ReferenceData!$AM$185),"",ReferenceData!$AM$185),"")</f>
        <v>58.454062370000003</v>
      </c>
      <c r="AN185" t="str">
        <f ca="1">IFERROR(IF(0=LEN(ReferenceData!$AN$185),"",ReferenceData!$AN$185),"")</f>
        <v/>
      </c>
      <c r="AO185" t="str">
        <f ca="1">IFERROR(IF(0=LEN(ReferenceData!$AO$185),"",ReferenceData!$AO$185),"")</f>
        <v/>
      </c>
      <c r="AP185">
        <f ca="1">IFERROR(IF(0=LEN(ReferenceData!$AP$185),"",ReferenceData!$AP$185),"")</f>
        <v>88.471211120000007</v>
      </c>
      <c r="AQ185" t="str">
        <f ca="1">IFERROR(IF(0=LEN(ReferenceData!$AQ$185),"",ReferenceData!$AQ$185),"")</f>
        <v/>
      </c>
      <c r="AR185" t="str">
        <f ca="1">IFERROR(IF(0=LEN(ReferenceData!$AR$185),"",ReferenceData!$AR$185),"")</f>
        <v/>
      </c>
      <c r="AS185">
        <f ca="1">IFERROR(IF(0=LEN(ReferenceData!$AS$185),"",ReferenceData!$AS$185),"")</f>
        <v>81.774474400000003</v>
      </c>
      <c r="AT185" t="str">
        <f ca="1">IFERROR(IF(0=LEN(ReferenceData!$AT$185),"",ReferenceData!$AT$185),"")</f>
        <v/>
      </c>
      <c r="AU185" t="str">
        <f ca="1">IFERROR(IF(0=LEN(ReferenceData!$AU$185),"",ReferenceData!$AU$185),"")</f>
        <v/>
      </c>
      <c r="AV185">
        <f ca="1">IFERROR(IF(0=LEN(ReferenceData!$AV$185),"",ReferenceData!$AV$185),"")</f>
        <v>97.064454370000007</v>
      </c>
      <c r="AW185" t="str">
        <f ca="1">IFERROR(IF(0=LEN(ReferenceData!$AW$185),"",ReferenceData!$AW$185),"")</f>
        <v/>
      </c>
      <c r="AX185" t="str">
        <f ca="1">IFERROR(IF(0=LEN(ReferenceData!$AX$185),"",ReferenceData!$AX$185),"")</f>
        <v/>
      </c>
      <c r="AY185">
        <f ca="1">IFERROR(IF(0=LEN(ReferenceData!$AY$185),"",ReferenceData!$AY$185),"")</f>
        <v>112.652975</v>
      </c>
      <c r="AZ185" t="str">
        <f ca="1">IFERROR(IF(0=LEN(ReferenceData!$AZ$185),"",ReferenceData!$AZ$185),"")</f>
        <v/>
      </c>
      <c r="BA185" t="str">
        <f ca="1">IFERROR(IF(0=LEN(ReferenceData!$BA$185),"",ReferenceData!$BA$185),"")</f>
        <v/>
      </c>
      <c r="BB185">
        <f ca="1">IFERROR(IF(0=LEN(ReferenceData!$BB$185),"",ReferenceData!$BB$185),"")</f>
        <v>107.3569845</v>
      </c>
      <c r="BC185" t="str">
        <f ca="1">IFERROR(IF(0=LEN(ReferenceData!$BC$185),"",ReferenceData!$BC$185),"")</f>
        <v/>
      </c>
      <c r="BD185" t="str">
        <f ca="1">IFERROR(IF(0=LEN(ReferenceData!$BD$185),"",ReferenceData!$BD$185),"")</f>
        <v/>
      </c>
      <c r="BE185">
        <f ca="1">IFERROR(IF(0=LEN(ReferenceData!$BE$185),"",ReferenceData!$BE$185),"")</f>
        <v>64.090449169999999</v>
      </c>
      <c r="BF185" t="str">
        <f ca="1">IFERROR(IF(0=LEN(ReferenceData!$BF$185),"",ReferenceData!$BF$185),"")</f>
        <v/>
      </c>
      <c r="BG185" t="str">
        <f ca="1">IFERROR(IF(0=LEN(ReferenceData!$BG$185),"",ReferenceData!$BG$185),"")</f>
        <v/>
      </c>
      <c r="BH185">
        <f ca="1">IFERROR(IF(0=LEN(ReferenceData!$BH$185),"",ReferenceData!$BH$185),"")</f>
        <v>353.51162790000001</v>
      </c>
      <c r="BI185" t="str">
        <f ca="1">IFERROR(IF(0=LEN(ReferenceData!$BI$185),"",ReferenceData!$BI$185),"")</f>
        <v/>
      </c>
      <c r="BJ185" t="str">
        <f ca="1">IFERROR(IF(0=LEN(ReferenceData!$BJ$185),"",ReferenceData!$BJ$185),"")</f>
        <v/>
      </c>
      <c r="BK185">
        <f ca="1">IFERROR(IF(0=LEN(ReferenceData!$BK$185),"",ReferenceData!$BK$185),"")</f>
        <v>104.9592857</v>
      </c>
      <c r="BL185" t="str">
        <f ca="1">IFERROR(IF(0=LEN(ReferenceData!$BL$185),"",ReferenceData!$BL$185),"")</f>
        <v/>
      </c>
      <c r="BM185" t="str">
        <f ca="1">IFERROR(IF(0=LEN(ReferenceData!$BM$185),"",ReferenceData!$BM$185),"")</f>
        <v/>
      </c>
      <c r="BN185">
        <f ca="1">IFERROR(IF(0=LEN(ReferenceData!$BN$185),"",ReferenceData!$BN$185),"")</f>
        <v>105.5226277</v>
      </c>
      <c r="BO185" t="str">
        <f ca="1">IFERROR(IF(0=LEN(ReferenceData!$BO$185),"",ReferenceData!$BO$185),"")</f>
        <v/>
      </c>
      <c r="BP185" t="str">
        <f ca="1">IFERROR(IF(0=LEN(ReferenceData!$BP$185),"",ReferenceData!$BP$185),"")</f>
        <v/>
      </c>
      <c r="BQ185">
        <f ca="1">IFERROR(IF(0=LEN(ReferenceData!$BQ$185),"",ReferenceData!$BQ$185),"")</f>
        <v>0</v>
      </c>
      <c r="BR185" t="str">
        <f ca="1">IFERROR(IF(0=LEN(ReferenceData!$BR$185),"",ReferenceData!$BR$185),"")</f>
        <v/>
      </c>
      <c r="BS185" t="str">
        <f ca="1">IFERROR(IF(0=LEN(ReferenceData!$BS$185),"",ReferenceData!$BS$185),"")</f>
        <v/>
      </c>
      <c r="BT185">
        <f ca="1">IFERROR(IF(0=LEN(ReferenceData!$BT$185),"",ReferenceData!$BT$185),"")</f>
        <v>0</v>
      </c>
      <c r="BU185" t="str">
        <f ca="1">IFERROR(IF(0=LEN(ReferenceData!$BU$185),"",ReferenceData!$BU$185),"")</f>
        <v/>
      </c>
      <c r="BV185" t="str">
        <f ca="1">IFERROR(IF(0=LEN(ReferenceData!$BV$185),"",ReferenceData!$BV$185),"")</f>
        <v/>
      </c>
      <c r="BW185">
        <f ca="1">IFERROR(IF(0=LEN(ReferenceData!$BW$185),"",ReferenceData!$BW$185),"")</f>
        <v>0</v>
      </c>
      <c r="BX185" t="str">
        <f ca="1">IFERROR(IF(0=LEN(ReferenceData!$BX$185),"",ReferenceData!$BX$185),"")</f>
        <v/>
      </c>
      <c r="BY185" t="str">
        <f ca="1">IFERROR(IF(0=LEN(ReferenceData!$BY$185),"",ReferenceData!$BY$185),"")</f>
        <v/>
      </c>
      <c r="BZ185">
        <f ca="1">IFERROR(IF(0=LEN(ReferenceData!$BZ$185),"",ReferenceData!$BZ$185),"")</f>
        <v>0</v>
      </c>
      <c r="CA185" t="str">
        <f ca="1">IFERROR(IF(0=LEN(ReferenceData!$CA$185),"",ReferenceData!$CA$185),"")</f>
        <v/>
      </c>
      <c r="CB185" t="str">
        <f ca="1">IFERROR(IF(0=LEN(ReferenceData!$CB$185),"",ReferenceData!$CB$185),"")</f>
        <v/>
      </c>
      <c r="CC185" t="str">
        <f ca="1">IFERROR(IF(0=LEN(ReferenceData!$CC$185),"",ReferenceData!$CC$185),"")</f>
        <v/>
      </c>
      <c r="CD185" t="str">
        <f ca="1">IFERROR(IF(0=LEN(ReferenceData!$CD$185),"",ReferenceData!$CD$185),"")</f>
        <v/>
      </c>
      <c r="CE185" t="str">
        <f ca="1">IFERROR(IF(0=LEN(ReferenceData!$CE$185),"",ReferenceData!$CE$185),"")</f>
        <v/>
      </c>
      <c r="CF185" t="str">
        <f ca="1">IFERROR(IF(0=LEN(ReferenceData!$CF$185),"",ReferenceData!$CF$185),"")</f>
        <v/>
      </c>
      <c r="CG185" t="str">
        <f ca="1">IFERROR(IF(0=LEN(ReferenceData!$CG$185),"",ReferenceData!$CG$185),"")</f>
        <v/>
      </c>
      <c r="CH185" t="str">
        <f ca="1">IFERROR(IF(0=LEN(ReferenceData!$CH$185),"",ReferenceData!$CH$185),"")</f>
        <v/>
      </c>
      <c r="CI185" t="str">
        <f ca="1">IFERROR(IF(0=LEN(ReferenceData!$CI$185),"",ReferenceData!$CI$185),"")</f>
        <v/>
      </c>
      <c r="CJ185" t="str">
        <f ca="1">IFERROR(IF(0=LEN(ReferenceData!$CJ$185),"",ReferenceData!$CJ$185),"")</f>
        <v/>
      </c>
      <c r="CK185" t="str">
        <f ca="1">IFERROR(IF(0=LEN(ReferenceData!$CK$185),"",ReferenceData!$CK$185),"")</f>
        <v/>
      </c>
    </row>
    <row r="186" spans="1:89">
      <c r="A186" t="str">
        <f>IFERROR(IF(0=LEN(ReferenceData!$A$186),"",ReferenceData!$A$186),"")</f>
        <v xml:space="preserve">    UDR Inc</v>
      </c>
      <c r="B186" t="str">
        <f>IFERROR(IF(0=LEN(ReferenceData!$B$186),"",ReferenceData!$B$186),"")</f>
        <v>UDR US Equity</v>
      </c>
      <c r="C186" t="str">
        <f>IFERROR(IF(0=LEN(ReferenceData!$C$186),"",ReferenceData!$C$186),"")</f>
        <v>F0928</v>
      </c>
      <c r="D186" t="str">
        <f>IFERROR(IF(0=LEN(ReferenceData!$D$186),"",ReferenceData!$D$186),"")</f>
        <v>ADJUSTED_FFO_PAYOUT_RATIO</v>
      </c>
      <c r="E186" t="str">
        <f>IFERROR(IF(0=LEN(ReferenceData!$E$186),"",ReferenceData!$E$186),"")</f>
        <v>动态</v>
      </c>
      <c r="F186" t="str">
        <f ca="1">IFERROR(IF(0=LEN(ReferenceData!$F$186),"",ReferenceData!$F$186),"")</f>
        <v/>
      </c>
      <c r="G186" t="str">
        <f ca="1">IFERROR(IF(0=LEN(ReferenceData!$G$186),"",ReferenceData!$G$186),"")</f>
        <v/>
      </c>
      <c r="H186" t="str">
        <f ca="1">IFERROR(IF(0=LEN(ReferenceData!$H$186),"",ReferenceData!$H$186),"")</f>
        <v/>
      </c>
      <c r="I186">
        <f ca="1">IFERROR(IF(0=LEN(ReferenceData!$I$186),"",ReferenceData!$I$186),"")</f>
        <v>64.942932749999997</v>
      </c>
      <c r="J186" t="str">
        <f ca="1">IFERROR(IF(0=LEN(ReferenceData!$J$186),"",ReferenceData!$J$186),"")</f>
        <v/>
      </c>
      <c r="K186" t="str">
        <f ca="1">IFERROR(IF(0=LEN(ReferenceData!$K$186),"",ReferenceData!$K$186),"")</f>
        <v/>
      </c>
      <c r="L186">
        <f ca="1">IFERROR(IF(0=LEN(ReferenceData!$L$186),"",ReferenceData!$L$186),"")</f>
        <v>65.928626690000002</v>
      </c>
      <c r="M186" t="str">
        <f ca="1">IFERROR(IF(0=LEN(ReferenceData!$M$186),"",ReferenceData!$M$186),"")</f>
        <v/>
      </c>
      <c r="N186" t="str">
        <f ca="1">IFERROR(IF(0=LEN(ReferenceData!$N$186),"",ReferenceData!$N$186),"")</f>
        <v/>
      </c>
      <c r="O186">
        <f ca="1">IFERROR(IF(0=LEN(ReferenceData!$O$186),"",ReferenceData!$O$186),"")</f>
        <v>65.93615878</v>
      </c>
      <c r="P186" t="str">
        <f ca="1">IFERROR(IF(0=LEN(ReferenceData!$P$186),"",ReferenceData!$P$186),"")</f>
        <v/>
      </c>
      <c r="Q186" t="str">
        <f ca="1">IFERROR(IF(0=LEN(ReferenceData!$Q$186),"",ReferenceData!$Q$186),"")</f>
        <v/>
      </c>
      <c r="R186">
        <f ca="1">IFERROR(IF(0=LEN(ReferenceData!$R$186),"",ReferenceData!$R$186),"")</f>
        <v>68.612957129999998</v>
      </c>
      <c r="S186" t="str">
        <f ca="1">IFERROR(IF(0=LEN(ReferenceData!$S$186),"",ReferenceData!$S$186),"")</f>
        <v/>
      </c>
      <c r="T186" t="str">
        <f ca="1">IFERROR(IF(0=LEN(ReferenceData!$T$186),"",ReferenceData!$T$186),"")</f>
        <v/>
      </c>
      <c r="U186">
        <f ca="1">IFERROR(IF(0=LEN(ReferenceData!$U$186),"",ReferenceData!$U$186),"")</f>
        <v>64.321908890000003</v>
      </c>
      <c r="V186" t="str">
        <f ca="1">IFERROR(IF(0=LEN(ReferenceData!$V$186),"",ReferenceData!$V$186),"")</f>
        <v/>
      </c>
      <c r="W186" t="str">
        <f ca="1">IFERROR(IF(0=LEN(ReferenceData!$W$186),"",ReferenceData!$W$186),"")</f>
        <v/>
      </c>
      <c r="X186">
        <f ca="1">IFERROR(IF(0=LEN(ReferenceData!$X$186),"",ReferenceData!$X$186),"")</f>
        <v>65.223747489999994</v>
      </c>
      <c r="Y186" t="str">
        <f ca="1">IFERROR(IF(0=LEN(ReferenceData!$Y$186),"",ReferenceData!$Y$186),"")</f>
        <v/>
      </c>
      <c r="Z186" t="str">
        <f ca="1">IFERROR(IF(0=LEN(ReferenceData!$Z$186),"",ReferenceData!$Z$186),"")</f>
        <v/>
      </c>
      <c r="AA186">
        <f ca="1">IFERROR(IF(0=LEN(ReferenceData!$AA$186),"",ReferenceData!$AA$186),"")</f>
        <v>66.167047569999994</v>
      </c>
      <c r="AB186" t="str">
        <f ca="1">IFERROR(IF(0=LEN(ReferenceData!$AB$186),"",ReferenceData!$AB$186),"")</f>
        <v/>
      </c>
      <c r="AC186" t="str">
        <f ca="1">IFERROR(IF(0=LEN(ReferenceData!$AC$186),"",ReferenceData!$AC$186),"")</f>
        <v/>
      </c>
      <c r="AD186">
        <f ca="1">IFERROR(IF(0=LEN(ReferenceData!$AD$186),"",ReferenceData!$AD$186),"")</f>
        <v>68.661818069999995</v>
      </c>
      <c r="AE186" t="str">
        <f ca="1">IFERROR(IF(0=LEN(ReferenceData!$AE$186),"",ReferenceData!$AE$186),"")</f>
        <v/>
      </c>
      <c r="AF186" t="str">
        <f ca="1">IFERROR(IF(0=LEN(ReferenceData!$AF$186),"",ReferenceData!$AF$186),"")</f>
        <v/>
      </c>
      <c r="AG186">
        <f ca="1">IFERROR(IF(0=LEN(ReferenceData!$AG$186),"",ReferenceData!$AG$186),"")</f>
        <v>65.374810389999993</v>
      </c>
      <c r="AH186" t="str">
        <f ca="1">IFERROR(IF(0=LEN(ReferenceData!$AH$186),"",ReferenceData!$AH$186),"")</f>
        <v/>
      </c>
      <c r="AI186" t="str">
        <f ca="1">IFERROR(IF(0=LEN(ReferenceData!$AI$186),"",ReferenceData!$AI$186),"")</f>
        <v/>
      </c>
      <c r="AJ186">
        <f ca="1">IFERROR(IF(0=LEN(ReferenceData!$AJ$186),"",ReferenceData!$AJ$186),"")</f>
        <v>65.573132189999995</v>
      </c>
      <c r="AK186" t="str">
        <f ca="1">IFERROR(IF(0=LEN(ReferenceData!$AK$186),"",ReferenceData!$AK$186),"")</f>
        <v/>
      </c>
      <c r="AL186" t="str">
        <f ca="1">IFERROR(IF(0=LEN(ReferenceData!$AL$186),"",ReferenceData!$AL$186),"")</f>
        <v/>
      </c>
      <c r="AM186">
        <f ca="1">IFERROR(IF(0=LEN(ReferenceData!$AM$186),"",ReferenceData!$AM$186),"")</f>
        <v>66.106932490000005</v>
      </c>
      <c r="AN186" t="str">
        <f ca="1">IFERROR(IF(0=LEN(ReferenceData!$AN$186),"",ReferenceData!$AN$186),"")</f>
        <v/>
      </c>
      <c r="AO186" t="str">
        <f ca="1">IFERROR(IF(0=LEN(ReferenceData!$AO$186),"",ReferenceData!$AO$186),"")</f>
        <v/>
      </c>
      <c r="AP186">
        <f ca="1">IFERROR(IF(0=LEN(ReferenceData!$AP$186),"",ReferenceData!$AP$186),"")</f>
        <v>69.348245180000006</v>
      </c>
      <c r="AQ186" t="str">
        <f ca="1">IFERROR(IF(0=LEN(ReferenceData!$AQ$186),"",ReferenceData!$AQ$186),"")</f>
        <v/>
      </c>
      <c r="AR186" t="str">
        <f ca="1">IFERROR(IF(0=LEN(ReferenceData!$AR$186),"",ReferenceData!$AR$186),"")</f>
        <v/>
      </c>
      <c r="AS186">
        <f ca="1">IFERROR(IF(0=LEN(ReferenceData!$AS$186),"",ReferenceData!$AS$186),"")</f>
        <v>66.65306357</v>
      </c>
      <c r="AT186" t="str">
        <f ca="1">IFERROR(IF(0=LEN(ReferenceData!$AT$186),"",ReferenceData!$AT$186),"")</f>
        <v/>
      </c>
      <c r="AU186" t="str">
        <f ca="1">IFERROR(IF(0=LEN(ReferenceData!$AU$186),"",ReferenceData!$AU$186),"")</f>
        <v/>
      </c>
      <c r="AV186" t="str">
        <f ca="1">IFERROR(IF(0=LEN(ReferenceData!$AV$186),"",ReferenceData!$AV$186),"")</f>
        <v/>
      </c>
      <c r="AW186" t="str">
        <f ca="1">IFERROR(IF(0=LEN(ReferenceData!$AW$186),"",ReferenceData!$AW$186),"")</f>
        <v/>
      </c>
      <c r="AX186" t="str">
        <f ca="1">IFERROR(IF(0=LEN(ReferenceData!$AX$186),"",ReferenceData!$AX$186),"")</f>
        <v/>
      </c>
      <c r="AY186" t="str">
        <f ca="1">IFERROR(IF(0=LEN(ReferenceData!$AY$186),"",ReferenceData!$AY$186),"")</f>
        <v/>
      </c>
      <c r="AZ186" t="str">
        <f ca="1">IFERROR(IF(0=LEN(ReferenceData!$AZ$186),"",ReferenceData!$AZ$186),"")</f>
        <v/>
      </c>
      <c r="BA186" t="str">
        <f ca="1">IFERROR(IF(0=LEN(ReferenceData!$BA$186),"",ReferenceData!$BA$186),"")</f>
        <v/>
      </c>
      <c r="BB186">
        <f ca="1">IFERROR(IF(0=LEN(ReferenceData!$BB$186),"",ReferenceData!$BB$186),"")</f>
        <v>65.680908799999997</v>
      </c>
      <c r="BC186" t="str">
        <f ca="1">IFERROR(IF(0=LEN(ReferenceData!$BC$186),"",ReferenceData!$BC$186),"")</f>
        <v/>
      </c>
      <c r="BD186" t="str">
        <f ca="1">IFERROR(IF(0=LEN(ReferenceData!$BD$186),"",ReferenceData!$BD$186),"")</f>
        <v/>
      </c>
      <c r="BE186">
        <f ca="1">IFERROR(IF(0=LEN(ReferenceData!$BE$186),"",ReferenceData!$BE$186),"")</f>
        <v>64.366106060000007</v>
      </c>
      <c r="BF186" t="str">
        <f ca="1">IFERROR(IF(0=LEN(ReferenceData!$BF$186),"",ReferenceData!$BF$186),"")</f>
        <v/>
      </c>
      <c r="BG186" t="str">
        <f ca="1">IFERROR(IF(0=LEN(ReferenceData!$BG$186),"",ReferenceData!$BG$186),"")</f>
        <v/>
      </c>
      <c r="BH186">
        <f ca="1">IFERROR(IF(0=LEN(ReferenceData!$BH$186),"",ReferenceData!$BH$186),"")</f>
        <v>66.009428240000005</v>
      </c>
      <c r="BI186" t="str">
        <f ca="1">IFERROR(IF(0=LEN(ReferenceData!$BI$186),"",ReferenceData!$BI$186),"")</f>
        <v/>
      </c>
      <c r="BJ186" t="str">
        <f ca="1">IFERROR(IF(0=LEN(ReferenceData!$BJ$186),"",ReferenceData!$BJ$186),"")</f>
        <v/>
      </c>
      <c r="BK186">
        <f ca="1">IFERROR(IF(0=LEN(ReferenceData!$BK$186),"",ReferenceData!$BK$186),"")</f>
        <v>66.211982989999996</v>
      </c>
      <c r="BL186" t="str">
        <f ca="1">IFERROR(IF(0=LEN(ReferenceData!$BL$186),"",ReferenceData!$BL$186),"")</f>
        <v/>
      </c>
      <c r="BM186" t="str">
        <f ca="1">IFERROR(IF(0=LEN(ReferenceData!$BM$186),"",ReferenceData!$BM$186),"")</f>
        <v/>
      </c>
      <c r="BN186">
        <f ca="1">IFERROR(IF(0=LEN(ReferenceData!$BN$186),"",ReferenceData!$BN$186),"")</f>
        <v>64.944145840000004</v>
      </c>
      <c r="BO186" t="str">
        <f ca="1">IFERROR(IF(0=LEN(ReferenceData!$BO$186),"",ReferenceData!$BO$186),"")</f>
        <v/>
      </c>
      <c r="BP186" t="str">
        <f ca="1">IFERROR(IF(0=LEN(ReferenceData!$BP$186),"",ReferenceData!$BP$186),"")</f>
        <v/>
      </c>
      <c r="BQ186">
        <f ca="1">IFERROR(IF(0=LEN(ReferenceData!$BQ$186),"",ReferenceData!$BQ$186),"")</f>
        <v>58.948814759999998</v>
      </c>
      <c r="BR186" t="str">
        <f ca="1">IFERROR(IF(0=LEN(ReferenceData!$BR$186),"",ReferenceData!$BR$186),"")</f>
        <v/>
      </c>
      <c r="BS186" t="str">
        <f ca="1">IFERROR(IF(0=LEN(ReferenceData!$BS$186),"",ReferenceData!$BS$186),"")</f>
        <v/>
      </c>
      <c r="BT186">
        <f ca="1">IFERROR(IF(0=LEN(ReferenceData!$BT$186),"",ReferenceData!$BT$186),"")</f>
        <v>62.468317740000003</v>
      </c>
      <c r="BU186" t="str">
        <f ca="1">IFERROR(IF(0=LEN(ReferenceData!$BU$186),"",ReferenceData!$BU$186),"")</f>
        <v/>
      </c>
      <c r="BV186" t="str">
        <f ca="1">IFERROR(IF(0=LEN(ReferenceData!$BV$186),"",ReferenceData!$BV$186),"")</f>
        <v/>
      </c>
      <c r="BW186">
        <f ca="1">IFERROR(IF(0=LEN(ReferenceData!$BW$186),"",ReferenceData!$BW$186),"")</f>
        <v>63.791577359999998</v>
      </c>
      <c r="BX186" t="str">
        <f ca="1">IFERROR(IF(0=LEN(ReferenceData!$BX$186),"",ReferenceData!$BX$186),"")</f>
        <v/>
      </c>
      <c r="BY186" t="str">
        <f ca="1">IFERROR(IF(0=LEN(ReferenceData!$BY$186),"",ReferenceData!$BY$186),"")</f>
        <v/>
      </c>
      <c r="BZ186">
        <f ca="1">IFERROR(IF(0=LEN(ReferenceData!$BZ$186),"",ReferenceData!$BZ$186),"")</f>
        <v>61.14331602</v>
      </c>
      <c r="CA186" t="str">
        <f ca="1">IFERROR(IF(0=LEN(ReferenceData!$CA$186),"",ReferenceData!$CA$186),"")</f>
        <v/>
      </c>
      <c r="CB186" t="str">
        <f ca="1">IFERROR(IF(0=LEN(ReferenceData!$CB$186),"",ReferenceData!$CB$186),"")</f>
        <v/>
      </c>
      <c r="CC186">
        <f ca="1">IFERROR(IF(0=LEN(ReferenceData!$CC$186),"",ReferenceData!$CC$186),"")</f>
        <v>59.870554319999997</v>
      </c>
      <c r="CD186" t="str">
        <f ca="1">IFERROR(IF(0=LEN(ReferenceData!$CD$186),"",ReferenceData!$CD$186),"")</f>
        <v/>
      </c>
      <c r="CE186" t="str">
        <f ca="1">IFERROR(IF(0=LEN(ReferenceData!$CE$186),"",ReferenceData!$CE$186),"")</f>
        <v/>
      </c>
      <c r="CF186">
        <f ca="1">IFERROR(IF(0=LEN(ReferenceData!$CF$186),"",ReferenceData!$CF$186),"")</f>
        <v>58.593371060000003</v>
      </c>
      <c r="CG186" t="str">
        <f ca="1">IFERROR(IF(0=LEN(ReferenceData!$CG$186),"",ReferenceData!$CG$186),"")</f>
        <v/>
      </c>
      <c r="CH186" t="str">
        <f ca="1">IFERROR(IF(0=LEN(ReferenceData!$CH$186),"",ReferenceData!$CH$186),"")</f>
        <v/>
      </c>
      <c r="CI186">
        <f ca="1">IFERROR(IF(0=LEN(ReferenceData!$CI$186),"",ReferenceData!$CI$186),"")</f>
        <v>59.92166855</v>
      </c>
      <c r="CJ186" t="str">
        <f ca="1">IFERROR(IF(0=LEN(ReferenceData!$CJ$186),"",ReferenceData!$CJ$186),"")</f>
        <v/>
      </c>
      <c r="CK186" t="str">
        <f ca="1">IFERROR(IF(0=LEN(ReferenceData!$CK$186),"",ReferenceData!$CK$186),"")</f>
        <v/>
      </c>
    </row>
    <row r="187" spans="1:89">
      <c r="A187" t="str">
        <f>IFERROR(IF(0=LEN(ReferenceData!$A$187),"",ReferenceData!$A$187),"")</f>
        <v>FAD支付</v>
      </c>
      <c r="B187" t="str">
        <f>IFERROR(IF(0=LEN(ReferenceData!$B$187),"",ReferenceData!$B$187),"")</f>
        <v/>
      </c>
      <c r="C187" t="str">
        <f>IFERROR(IF(0=LEN(ReferenceData!$C$187),"",ReferenceData!$C$187),"")</f>
        <v/>
      </c>
      <c r="D187" t="str">
        <f>IFERROR(IF(0=LEN(ReferenceData!$D$187),"",ReferenceData!$D$187),"")</f>
        <v/>
      </c>
      <c r="E187" t="str">
        <f>IFERROR(IF(0=LEN(ReferenceData!$E$187),"",ReferenceData!$E$187),"")</f>
        <v>Median</v>
      </c>
      <c r="F187" t="str">
        <f ca="1">IFERROR(IF(0=LEN(ReferenceData!$F$187),"",ReferenceData!$F$187),"")</f>
        <v/>
      </c>
      <c r="G187" t="str">
        <f ca="1">IFERROR(IF(0=LEN(ReferenceData!$G$187),"",ReferenceData!$G$187),"")</f>
        <v/>
      </c>
      <c r="H187" t="str">
        <f ca="1">IFERROR(IF(0=LEN(ReferenceData!$H$187),"",ReferenceData!$H$187),"")</f>
        <v/>
      </c>
      <c r="I187">
        <f ca="1">IFERROR(IF(0=LEN(ReferenceData!$I$187),"",ReferenceData!$I$187),"")</f>
        <v>65.579993369999997</v>
      </c>
      <c r="J187" t="str">
        <f ca="1">IFERROR(IF(0=LEN(ReferenceData!$J$187),"",ReferenceData!$J$187),"")</f>
        <v/>
      </c>
      <c r="K187" t="str">
        <f ca="1">IFERROR(IF(0=LEN(ReferenceData!$K$187),"",ReferenceData!$K$187),"")</f>
        <v/>
      </c>
      <c r="L187">
        <f ca="1">IFERROR(IF(0=LEN(ReferenceData!$L$187),"",ReferenceData!$L$187),"")</f>
        <v>67.900917539999995</v>
      </c>
      <c r="M187" t="str">
        <f ca="1">IFERROR(IF(0=LEN(ReferenceData!$M$187),"",ReferenceData!$M$187),"")</f>
        <v/>
      </c>
      <c r="N187" t="str">
        <f ca="1">IFERROR(IF(0=LEN(ReferenceData!$N$187),"",ReferenceData!$N$187),"")</f>
        <v/>
      </c>
      <c r="O187">
        <f ca="1">IFERROR(IF(0=LEN(ReferenceData!$O$187),"",ReferenceData!$O$187),"")</f>
        <v>71.287711035000001</v>
      </c>
      <c r="P187" t="str">
        <f ca="1">IFERROR(IF(0=LEN(ReferenceData!$P$187),"",ReferenceData!$P$187),"")</f>
        <v/>
      </c>
      <c r="Q187" t="str">
        <f ca="1">IFERROR(IF(0=LEN(ReferenceData!$Q$187),"",ReferenceData!$Q$187),"")</f>
        <v/>
      </c>
      <c r="R187">
        <f ca="1">IFERROR(IF(0=LEN(ReferenceData!$R$187),"",ReferenceData!$R$187),"")</f>
        <v>71.455302410000002</v>
      </c>
      <c r="S187" t="str">
        <f ca="1">IFERROR(IF(0=LEN(ReferenceData!$S$187),"",ReferenceData!$S$187),"")</f>
        <v/>
      </c>
      <c r="T187" t="str">
        <f ca="1">IFERROR(IF(0=LEN(ReferenceData!$T$187),"",ReferenceData!$T$187),"")</f>
        <v/>
      </c>
      <c r="U187">
        <f ca="1">IFERROR(IF(0=LEN(ReferenceData!$U$187),"",ReferenceData!$U$187),"")</f>
        <v>67.223803260000011</v>
      </c>
      <c r="V187" t="str">
        <f ca="1">IFERROR(IF(0=LEN(ReferenceData!$V$187),"",ReferenceData!$V$187),"")</f>
        <v/>
      </c>
      <c r="W187" t="str">
        <f ca="1">IFERROR(IF(0=LEN(ReferenceData!$W$187),"",ReferenceData!$W$187),"")</f>
        <v/>
      </c>
      <c r="X187">
        <f ca="1">IFERROR(IF(0=LEN(ReferenceData!$X$187),"",ReferenceData!$X$187),"")</f>
        <v>74.368009709999995</v>
      </c>
      <c r="Y187" t="str">
        <f ca="1">IFERROR(IF(0=LEN(ReferenceData!$Y$187),"",ReferenceData!$Y$187),"")</f>
        <v/>
      </c>
      <c r="Z187" t="str">
        <f ca="1">IFERROR(IF(0=LEN(ReferenceData!$Z$187),"",ReferenceData!$Z$187),"")</f>
        <v/>
      </c>
      <c r="AA187">
        <f ca="1">IFERROR(IF(0=LEN(ReferenceData!$AA$187),"",ReferenceData!$AA$187),"")</f>
        <v>70.947504510000002</v>
      </c>
      <c r="AB187" t="str">
        <f ca="1">IFERROR(IF(0=LEN(ReferenceData!$AB$187),"",ReferenceData!$AB$187),"")</f>
        <v/>
      </c>
      <c r="AC187" t="str">
        <f ca="1">IFERROR(IF(0=LEN(ReferenceData!$AC$187),"",ReferenceData!$AC$187),"")</f>
        <v/>
      </c>
      <c r="AD187">
        <f ca="1">IFERROR(IF(0=LEN(ReferenceData!$AD$187),"",ReferenceData!$AD$187),"")</f>
        <v>72.127334794999996</v>
      </c>
      <c r="AE187" t="str">
        <f ca="1">IFERROR(IF(0=LEN(ReferenceData!$AE$187),"",ReferenceData!$AE$187),"")</f>
        <v/>
      </c>
      <c r="AF187" t="str">
        <f ca="1">IFERROR(IF(0=LEN(ReferenceData!$AF$187),"",ReferenceData!$AF$187),"")</f>
        <v/>
      </c>
      <c r="AG187">
        <f ca="1">IFERROR(IF(0=LEN(ReferenceData!$AG$187),"",ReferenceData!$AG$187),"")</f>
        <v>67.564856209999988</v>
      </c>
      <c r="AH187" t="str">
        <f ca="1">IFERROR(IF(0=LEN(ReferenceData!$AH$187),"",ReferenceData!$AH$187),"")</f>
        <v/>
      </c>
      <c r="AI187" t="str">
        <f ca="1">IFERROR(IF(0=LEN(ReferenceData!$AI$187),"",ReferenceData!$AI$187),"")</f>
        <v/>
      </c>
      <c r="AJ187">
        <f ca="1">IFERROR(IF(0=LEN(ReferenceData!$AJ$187),"",ReferenceData!$AJ$187),"")</f>
        <v>70.964973764999996</v>
      </c>
      <c r="AK187" t="str">
        <f ca="1">IFERROR(IF(0=LEN(ReferenceData!$AK$187),"",ReferenceData!$AK$187),"")</f>
        <v/>
      </c>
      <c r="AL187" t="str">
        <f ca="1">IFERROR(IF(0=LEN(ReferenceData!$AL$187),"",ReferenceData!$AL$187),"")</f>
        <v/>
      </c>
      <c r="AM187">
        <f ca="1">IFERROR(IF(0=LEN(ReferenceData!$AM$187),"",ReferenceData!$AM$187),"")</f>
        <v>70.423434014999998</v>
      </c>
      <c r="AN187" t="str">
        <f ca="1">IFERROR(IF(0=LEN(ReferenceData!$AN$187),"",ReferenceData!$AN$187),"")</f>
        <v/>
      </c>
      <c r="AO187" t="str">
        <f ca="1">IFERROR(IF(0=LEN(ReferenceData!$AO$187),"",ReferenceData!$AO$187),"")</f>
        <v/>
      </c>
      <c r="AP187">
        <f ca="1">IFERROR(IF(0=LEN(ReferenceData!$AP$187),"",ReferenceData!$AP$187),"")</f>
        <v>74.500967419999995</v>
      </c>
      <c r="AQ187" t="str">
        <f ca="1">IFERROR(IF(0=LEN(ReferenceData!$AQ$187),"",ReferenceData!$AQ$187),"")</f>
        <v/>
      </c>
      <c r="AR187" t="str">
        <f ca="1">IFERROR(IF(0=LEN(ReferenceData!$AR$187),"",ReferenceData!$AR$187),"")</f>
        <v/>
      </c>
      <c r="AS187">
        <f ca="1">IFERROR(IF(0=LEN(ReferenceData!$AS$187),"",ReferenceData!$AS$187),"")</f>
        <v>65.407135124999996</v>
      </c>
      <c r="AT187" t="str">
        <f ca="1">IFERROR(IF(0=LEN(ReferenceData!$AT$187),"",ReferenceData!$AT$187),"")</f>
        <v/>
      </c>
      <c r="AU187" t="str">
        <f ca="1">IFERROR(IF(0=LEN(ReferenceData!$AU$187),"",ReferenceData!$AU$187),"")</f>
        <v/>
      </c>
      <c r="AV187">
        <f ca="1">IFERROR(IF(0=LEN(ReferenceData!$AV$187),"",ReferenceData!$AV$187),"")</f>
        <v>66.781239859999999</v>
      </c>
      <c r="AW187" t="str">
        <f ca="1">IFERROR(IF(0=LEN(ReferenceData!$AW$187),"",ReferenceData!$AW$187),"")</f>
        <v/>
      </c>
      <c r="AX187" t="str">
        <f ca="1">IFERROR(IF(0=LEN(ReferenceData!$AX$187),"",ReferenceData!$AX$187),"")</f>
        <v/>
      </c>
      <c r="AY187">
        <f ca="1">IFERROR(IF(0=LEN(ReferenceData!$AY$187),"",ReferenceData!$AY$187),"")</f>
        <v>70.409066300000006</v>
      </c>
      <c r="AZ187" t="str">
        <f ca="1">IFERROR(IF(0=LEN(ReferenceData!$AZ$187),"",ReferenceData!$AZ$187),"")</f>
        <v/>
      </c>
      <c r="BA187" t="str">
        <f ca="1">IFERROR(IF(0=LEN(ReferenceData!$BA$187),"",ReferenceData!$BA$187),"")</f>
        <v/>
      </c>
      <c r="BB187">
        <f ca="1">IFERROR(IF(0=LEN(ReferenceData!$BB$187),"",ReferenceData!$BB$187),"")</f>
        <v>68.903264100000001</v>
      </c>
      <c r="BC187" t="str">
        <f ca="1">IFERROR(IF(0=LEN(ReferenceData!$BC$187),"",ReferenceData!$BC$187),"")</f>
        <v/>
      </c>
      <c r="BD187" t="str">
        <f ca="1">IFERROR(IF(0=LEN(ReferenceData!$BD$187),"",ReferenceData!$BD$187),"")</f>
        <v/>
      </c>
      <c r="BE187">
        <f ca="1">IFERROR(IF(0=LEN(ReferenceData!$BE$187),"",ReferenceData!$BE$187),"")</f>
        <v>68.858131099999994</v>
      </c>
      <c r="BF187" t="str">
        <f ca="1">IFERROR(IF(0=LEN(ReferenceData!$BF$187),"",ReferenceData!$BF$187),"")</f>
        <v/>
      </c>
      <c r="BG187" t="str">
        <f ca="1">IFERROR(IF(0=LEN(ReferenceData!$BG$187),"",ReferenceData!$BG$187),"")</f>
        <v/>
      </c>
      <c r="BH187">
        <f ca="1">IFERROR(IF(0=LEN(ReferenceData!$BH$187),"",ReferenceData!$BH$187),"")</f>
        <v>68.467644184999997</v>
      </c>
      <c r="BI187" t="str">
        <f ca="1">IFERROR(IF(0=LEN(ReferenceData!$BI$187),"",ReferenceData!$BI$187),"")</f>
        <v/>
      </c>
      <c r="BJ187" t="str">
        <f ca="1">IFERROR(IF(0=LEN(ReferenceData!$BJ$187),"",ReferenceData!$BJ$187),"")</f>
        <v/>
      </c>
      <c r="BK187">
        <f ca="1">IFERROR(IF(0=LEN(ReferenceData!$BK$187),"",ReferenceData!$BK$187),"")</f>
        <v>67.822552994999995</v>
      </c>
      <c r="BL187" t="str">
        <f ca="1">IFERROR(IF(0=LEN(ReferenceData!$BL$187),"",ReferenceData!$BL$187),"")</f>
        <v/>
      </c>
      <c r="BM187" t="str">
        <f ca="1">IFERROR(IF(0=LEN(ReferenceData!$BM$187),"",ReferenceData!$BM$187),"")</f>
        <v/>
      </c>
      <c r="BN187">
        <f ca="1">IFERROR(IF(0=LEN(ReferenceData!$BN$187),"",ReferenceData!$BN$187),"")</f>
        <v>70.429679434999997</v>
      </c>
      <c r="BO187" t="str">
        <f ca="1">IFERROR(IF(0=LEN(ReferenceData!$BO$187),"",ReferenceData!$BO$187),"")</f>
        <v/>
      </c>
      <c r="BP187" t="str">
        <f ca="1">IFERROR(IF(0=LEN(ReferenceData!$BP$187),"",ReferenceData!$BP$187),"")</f>
        <v/>
      </c>
      <c r="BQ187">
        <f ca="1">IFERROR(IF(0=LEN(ReferenceData!$BQ$187),"",ReferenceData!$BQ$187),"")</f>
        <v>71.426823369999994</v>
      </c>
      <c r="BR187" t="str">
        <f ca="1">IFERROR(IF(0=LEN(ReferenceData!$BR$187),"",ReferenceData!$BR$187),"")</f>
        <v/>
      </c>
      <c r="BS187" t="str">
        <f ca="1">IFERROR(IF(0=LEN(ReferenceData!$BS$187),"",ReferenceData!$BS$187),"")</f>
        <v/>
      </c>
      <c r="BT187">
        <f ca="1">IFERROR(IF(0=LEN(ReferenceData!$BT$187),"",ReferenceData!$BT$187),"")</f>
        <v>63.309304139999995</v>
      </c>
      <c r="BU187" t="str">
        <f ca="1">IFERROR(IF(0=LEN(ReferenceData!$BU$187),"",ReferenceData!$BU$187),"")</f>
        <v/>
      </c>
      <c r="BV187" t="str">
        <f ca="1">IFERROR(IF(0=LEN(ReferenceData!$BV$187),"",ReferenceData!$BV$187),"")</f>
        <v/>
      </c>
      <c r="BW187">
        <f ca="1">IFERROR(IF(0=LEN(ReferenceData!$BW$187),"",ReferenceData!$BW$187),"")</f>
        <v>69.937020574999991</v>
      </c>
      <c r="BX187" t="str">
        <f ca="1">IFERROR(IF(0=LEN(ReferenceData!$BX$187),"",ReferenceData!$BX$187),"")</f>
        <v/>
      </c>
      <c r="BY187" t="str">
        <f ca="1">IFERROR(IF(0=LEN(ReferenceData!$BY$187),"",ReferenceData!$BY$187),"")</f>
        <v/>
      </c>
      <c r="BZ187">
        <f ca="1">IFERROR(IF(0=LEN(ReferenceData!$BZ$187),"",ReferenceData!$BZ$187),"")</f>
        <v>68.225493560000004</v>
      </c>
      <c r="CA187" t="str">
        <f ca="1">IFERROR(IF(0=LEN(ReferenceData!$CA$187),"",ReferenceData!$CA$187),"")</f>
        <v/>
      </c>
      <c r="CB187" t="str">
        <f ca="1">IFERROR(IF(0=LEN(ReferenceData!$CB$187),"",ReferenceData!$CB$187),"")</f>
        <v/>
      </c>
      <c r="CC187">
        <f ca="1">IFERROR(IF(0=LEN(ReferenceData!$CC$187),"",ReferenceData!$CC$187),"")</f>
        <v>72.615547419999999</v>
      </c>
      <c r="CD187" t="str">
        <f ca="1">IFERROR(IF(0=LEN(ReferenceData!$CD$187),"",ReferenceData!$CD$187),"")</f>
        <v/>
      </c>
      <c r="CE187" t="str">
        <f ca="1">IFERROR(IF(0=LEN(ReferenceData!$CE$187),"",ReferenceData!$CE$187),"")</f>
        <v/>
      </c>
      <c r="CF187">
        <f ca="1">IFERROR(IF(0=LEN(ReferenceData!$CF$187),"",ReferenceData!$CF$187),"")</f>
        <v>73.661779730000006</v>
      </c>
      <c r="CG187" t="str">
        <f ca="1">IFERROR(IF(0=LEN(ReferenceData!$CG$187),"",ReferenceData!$CG$187),"")</f>
        <v/>
      </c>
      <c r="CH187" t="str">
        <f ca="1">IFERROR(IF(0=LEN(ReferenceData!$CH$187),"",ReferenceData!$CH$187),"")</f>
        <v/>
      </c>
      <c r="CI187">
        <f ca="1">IFERROR(IF(0=LEN(ReferenceData!$CI$187),"",ReferenceData!$CI$187),"")</f>
        <v>83.097151409999995</v>
      </c>
      <c r="CJ187" t="str">
        <f ca="1">IFERROR(IF(0=LEN(ReferenceData!$CJ$187),"",ReferenceData!$CJ$187),"")</f>
        <v/>
      </c>
      <c r="CK187" t="str">
        <f ca="1">IFERROR(IF(0=LEN(ReferenceData!$CK$187),"",ReferenceData!$CK$187),"")</f>
        <v/>
      </c>
    </row>
    <row r="188" spans="1:89">
      <c r="A188" t="str">
        <f>IFERROR(IF(0=LEN(ReferenceData!$A$188),"",ReferenceData!$A$188),"")</f>
        <v xml:space="preserve">    Apartment Investment &amp; Managem</v>
      </c>
      <c r="B188" t="str">
        <f>IFERROR(IF(0=LEN(ReferenceData!$B$188),"",ReferenceData!$B$188),"")</f>
        <v>AIV US Equity</v>
      </c>
      <c r="C188" t="str">
        <f>IFERROR(IF(0=LEN(ReferenceData!$C$188),"",ReferenceData!$C$188),"")</f>
        <v>F0929</v>
      </c>
      <c r="D188" t="str">
        <f>IFERROR(IF(0=LEN(ReferenceData!$D$188),"",ReferenceData!$D$188),"")</f>
        <v>FUNDS_AVAIL_DIST_PAYOUT_RATIO</v>
      </c>
      <c r="E188" t="str">
        <f>IFERROR(IF(0=LEN(ReferenceData!$E$188),"",ReferenceData!$E$188),"")</f>
        <v>动态</v>
      </c>
      <c r="F188" t="str">
        <f ca="1">IFERROR(IF(0=LEN(ReferenceData!$F$188),"",ReferenceData!$F$188),"")</f>
        <v/>
      </c>
      <c r="G188" t="str">
        <f ca="1">IFERROR(IF(0=LEN(ReferenceData!$G$188),"",ReferenceData!$G$188),"")</f>
        <v/>
      </c>
      <c r="H188" t="str">
        <f ca="1">IFERROR(IF(0=LEN(ReferenceData!$H$188),"",ReferenceData!$H$188),"")</f>
        <v/>
      </c>
      <c r="I188">
        <f ca="1">IFERROR(IF(0=LEN(ReferenceData!$I$188),"",ReferenceData!$I$188),"")</f>
        <v>64.251837359999996</v>
      </c>
      <c r="J188" t="str">
        <f ca="1">IFERROR(IF(0=LEN(ReferenceData!$J$188),"",ReferenceData!$J$188),"")</f>
        <v/>
      </c>
      <c r="K188" t="str">
        <f ca="1">IFERROR(IF(0=LEN(ReferenceData!$K$188),"",ReferenceData!$K$188),"")</f>
        <v/>
      </c>
      <c r="L188">
        <f ca="1">IFERROR(IF(0=LEN(ReferenceData!$L$188),"",ReferenceData!$L$188),"")</f>
        <v>67.240987529999998</v>
      </c>
      <c r="M188" t="str">
        <f ca="1">IFERROR(IF(0=LEN(ReferenceData!$M$188),"",ReferenceData!$M$188),"")</f>
        <v/>
      </c>
      <c r="N188" t="str">
        <f ca="1">IFERROR(IF(0=LEN(ReferenceData!$N$188),"",ReferenceData!$N$188),"")</f>
        <v/>
      </c>
      <c r="O188">
        <f ca="1">IFERROR(IF(0=LEN(ReferenceData!$O$188),"",ReferenceData!$O$188),"")</f>
        <v>70.542030830000002</v>
      </c>
      <c r="P188" t="str">
        <f ca="1">IFERROR(IF(0=LEN(ReferenceData!$P$188),"",ReferenceData!$P$188),"")</f>
        <v/>
      </c>
      <c r="Q188" t="str">
        <f ca="1">IFERROR(IF(0=LEN(ReferenceData!$Q$188),"",ReferenceData!$Q$188),"")</f>
        <v/>
      </c>
      <c r="R188">
        <f ca="1">IFERROR(IF(0=LEN(ReferenceData!$R$188),"",ReferenceData!$R$188),"")</f>
        <v>70.423980729999997</v>
      </c>
      <c r="S188" t="str">
        <f ca="1">IFERROR(IF(0=LEN(ReferenceData!$S$188),"",ReferenceData!$S$188),"")</f>
        <v/>
      </c>
      <c r="T188" t="str">
        <f ca="1">IFERROR(IF(0=LEN(ReferenceData!$T$188),"",ReferenceData!$T$188),"")</f>
        <v/>
      </c>
      <c r="U188">
        <f ca="1">IFERROR(IF(0=LEN(ReferenceData!$U$188),"",ReferenceData!$U$188),"")</f>
        <v>65.412482749999995</v>
      </c>
      <c r="V188" t="str">
        <f ca="1">IFERROR(IF(0=LEN(ReferenceData!$V$188),"",ReferenceData!$V$188),"")</f>
        <v/>
      </c>
      <c r="W188" t="str">
        <f ca="1">IFERROR(IF(0=LEN(ReferenceData!$W$188),"",ReferenceData!$W$188),"")</f>
        <v/>
      </c>
      <c r="X188">
        <f ca="1">IFERROR(IF(0=LEN(ReferenceData!$X$188),"",ReferenceData!$X$188),"")</f>
        <v>72.605751799999993</v>
      </c>
      <c r="Y188" t="str">
        <f ca="1">IFERROR(IF(0=LEN(ReferenceData!$Y$188),"",ReferenceData!$Y$188),"")</f>
        <v/>
      </c>
      <c r="Z188" t="str">
        <f ca="1">IFERROR(IF(0=LEN(ReferenceData!$Z$188),"",ReferenceData!$Z$188),"")</f>
        <v/>
      </c>
      <c r="AA188">
        <f ca="1">IFERROR(IF(0=LEN(ReferenceData!$AA$188),"",ReferenceData!$AA$188),"")</f>
        <v>66.070371460000004</v>
      </c>
      <c r="AB188" t="str">
        <f ca="1">IFERROR(IF(0=LEN(ReferenceData!$AB$188),"",ReferenceData!$AB$188),"")</f>
        <v/>
      </c>
      <c r="AC188" t="str">
        <f ca="1">IFERROR(IF(0=LEN(ReferenceData!$AC$188),"",ReferenceData!$AC$188),"")</f>
        <v/>
      </c>
      <c r="AD188">
        <f ca="1">IFERROR(IF(0=LEN(ReferenceData!$AD$188),"",ReferenceData!$AD$188),"")</f>
        <v>65.301877230000002</v>
      </c>
      <c r="AE188" t="str">
        <f ca="1">IFERROR(IF(0=LEN(ReferenceData!$AE$188),"",ReferenceData!$AE$188),"")</f>
        <v/>
      </c>
      <c r="AF188" t="str">
        <f ca="1">IFERROR(IF(0=LEN(ReferenceData!$AF$188),"",ReferenceData!$AF$188),"")</f>
        <v/>
      </c>
      <c r="AG188">
        <f ca="1">IFERROR(IF(0=LEN(ReferenceData!$AG$188),"",ReferenceData!$AG$188),"")</f>
        <v>62.962071280000004</v>
      </c>
      <c r="AH188" t="str">
        <f ca="1">IFERROR(IF(0=LEN(ReferenceData!$AH$188),"",ReferenceData!$AH$188),"")</f>
        <v/>
      </c>
      <c r="AI188" t="str">
        <f ca="1">IFERROR(IF(0=LEN(ReferenceData!$AI$188),"",ReferenceData!$AI$188),"")</f>
        <v/>
      </c>
      <c r="AJ188">
        <f ca="1">IFERROR(IF(0=LEN(ReferenceData!$AJ$188),"",ReferenceData!$AJ$188),"")</f>
        <v>62.736119680000002</v>
      </c>
      <c r="AK188" t="str">
        <f ca="1">IFERROR(IF(0=LEN(ReferenceData!$AK$188),"",ReferenceData!$AK$188),"")</f>
        <v/>
      </c>
      <c r="AL188" t="str">
        <f ca="1">IFERROR(IF(0=LEN(ReferenceData!$AL$188),"",ReferenceData!$AL$188),"")</f>
        <v/>
      </c>
      <c r="AM188">
        <f ca="1">IFERROR(IF(0=LEN(ReferenceData!$AM$188),"",ReferenceData!$AM$188),"")</f>
        <v>64.562967459999996</v>
      </c>
      <c r="AN188" t="str">
        <f ca="1">IFERROR(IF(0=LEN(ReferenceData!$AN$188),"",ReferenceData!$AN$188),"")</f>
        <v/>
      </c>
      <c r="AO188" t="str">
        <f ca="1">IFERROR(IF(0=LEN(ReferenceData!$AO$188),"",ReferenceData!$AO$188),"")</f>
        <v/>
      </c>
      <c r="AP188">
        <f ca="1">IFERROR(IF(0=LEN(ReferenceData!$AP$188),"",ReferenceData!$AP$188),"")</f>
        <v>60.984216619999998</v>
      </c>
      <c r="AQ188" t="str">
        <f ca="1">IFERROR(IF(0=LEN(ReferenceData!$AQ$188),"",ReferenceData!$AQ$188),"")</f>
        <v/>
      </c>
      <c r="AR188" t="str">
        <f ca="1">IFERROR(IF(0=LEN(ReferenceData!$AR$188),"",ReferenceData!$AR$188),"")</f>
        <v/>
      </c>
      <c r="AS188">
        <f ca="1">IFERROR(IF(0=LEN(ReferenceData!$AS$188),"",ReferenceData!$AS$188),"")</f>
        <v>65.333780099999998</v>
      </c>
      <c r="AT188" t="str">
        <f ca="1">IFERROR(IF(0=LEN(ReferenceData!$AT$188),"",ReferenceData!$AT$188),"")</f>
        <v/>
      </c>
      <c r="AU188" t="str">
        <f ca="1">IFERROR(IF(0=LEN(ReferenceData!$AU$188),"",ReferenceData!$AU$188),"")</f>
        <v/>
      </c>
      <c r="AV188">
        <f ca="1">IFERROR(IF(0=LEN(ReferenceData!$AV$188),"",ReferenceData!$AV$188),"")</f>
        <v>66.102354390000002</v>
      </c>
      <c r="AW188" t="str">
        <f ca="1">IFERROR(IF(0=LEN(ReferenceData!$AW$188),"",ReferenceData!$AW$188),"")</f>
        <v/>
      </c>
      <c r="AX188" t="str">
        <f ca="1">IFERROR(IF(0=LEN(ReferenceData!$AX$188),"",ReferenceData!$AX$188),"")</f>
        <v/>
      </c>
      <c r="AY188">
        <f ca="1">IFERROR(IF(0=LEN(ReferenceData!$AY$188),"",ReferenceData!$AY$188),"")</f>
        <v>59.600684630000003</v>
      </c>
      <c r="AZ188" t="str">
        <f ca="1">IFERROR(IF(0=LEN(ReferenceData!$AZ$188),"",ReferenceData!$AZ$188),"")</f>
        <v/>
      </c>
      <c r="BA188" t="str">
        <f ca="1">IFERROR(IF(0=LEN(ReferenceData!$BA$188),"",ReferenceData!$BA$188),"")</f>
        <v/>
      </c>
      <c r="BB188">
        <f ca="1">IFERROR(IF(0=LEN(ReferenceData!$BB$188),"",ReferenceData!$BB$188),"")</f>
        <v>61.14035286</v>
      </c>
      <c r="BC188" t="str">
        <f ca="1">IFERROR(IF(0=LEN(ReferenceData!$BC$188),"",ReferenceData!$BC$188),"")</f>
        <v/>
      </c>
      <c r="BD188" t="str">
        <f ca="1">IFERROR(IF(0=LEN(ReferenceData!$BD$188),"",ReferenceData!$BD$188),"")</f>
        <v/>
      </c>
      <c r="BE188">
        <f ca="1">IFERROR(IF(0=LEN(ReferenceData!$BE$188),"",ReferenceData!$BE$188),"")</f>
        <v>55.938742490000003</v>
      </c>
      <c r="BF188" t="str">
        <f ca="1">IFERROR(IF(0=LEN(ReferenceData!$BF$188),"",ReferenceData!$BF$188),"")</f>
        <v/>
      </c>
      <c r="BG188" t="str">
        <f ca="1">IFERROR(IF(0=LEN(ReferenceData!$BG$188),"",ReferenceData!$BG$188),"")</f>
        <v/>
      </c>
      <c r="BH188">
        <f ca="1">IFERROR(IF(0=LEN(ReferenceData!$BH$188),"",ReferenceData!$BH$188),"")</f>
        <v>68.348795809999999</v>
      </c>
      <c r="BI188" t="str">
        <f ca="1">IFERROR(IF(0=LEN(ReferenceData!$BI$188),"",ReferenceData!$BI$188),"")</f>
        <v/>
      </c>
      <c r="BJ188" t="str">
        <f ca="1">IFERROR(IF(0=LEN(ReferenceData!$BJ$188),"",ReferenceData!$BJ$188),"")</f>
        <v/>
      </c>
      <c r="BK188">
        <f ca="1">IFERROR(IF(0=LEN(ReferenceData!$BK$188),"",ReferenceData!$BK$188),"")</f>
        <v>65.475139049999996</v>
      </c>
      <c r="BL188" t="str">
        <f ca="1">IFERROR(IF(0=LEN(ReferenceData!$BL$188),"",ReferenceData!$BL$188),"")</f>
        <v/>
      </c>
      <c r="BM188" t="str">
        <f ca="1">IFERROR(IF(0=LEN(ReferenceData!$BM$188),"",ReferenceData!$BM$188),"")</f>
        <v/>
      </c>
      <c r="BN188">
        <f ca="1">IFERROR(IF(0=LEN(ReferenceData!$BN$188),"",ReferenceData!$BN$188),"")</f>
        <v>63.419847330000003</v>
      </c>
      <c r="BO188" t="str">
        <f ca="1">IFERROR(IF(0=LEN(ReferenceData!$BO$188),"",ReferenceData!$BO$188),"")</f>
        <v/>
      </c>
      <c r="BP188" t="str">
        <f ca="1">IFERROR(IF(0=LEN(ReferenceData!$BP$188),"",ReferenceData!$BP$188),"")</f>
        <v/>
      </c>
      <c r="BQ188">
        <f ca="1">IFERROR(IF(0=LEN(ReferenceData!$BQ$188),"",ReferenceData!$BQ$188),"")</f>
        <v>52.794516059999999</v>
      </c>
      <c r="BR188" t="str">
        <f ca="1">IFERROR(IF(0=LEN(ReferenceData!$BR$188),"",ReferenceData!$BR$188),"")</f>
        <v/>
      </c>
      <c r="BS188" t="str">
        <f ca="1">IFERROR(IF(0=LEN(ReferenceData!$BS$188),"",ReferenceData!$BS$188),"")</f>
        <v/>
      </c>
      <c r="BT188">
        <f ca="1">IFERROR(IF(0=LEN(ReferenceData!$BT$188),"",ReferenceData!$BT$188),"")</f>
        <v>60.711626160000002</v>
      </c>
      <c r="BU188" t="str">
        <f ca="1">IFERROR(IF(0=LEN(ReferenceData!$BU$188),"",ReferenceData!$BU$188),"")</f>
        <v/>
      </c>
      <c r="BV188" t="str">
        <f ca="1">IFERROR(IF(0=LEN(ReferenceData!$BV$188),"",ReferenceData!$BV$188),"")</f>
        <v/>
      </c>
      <c r="BW188">
        <f ca="1">IFERROR(IF(0=LEN(ReferenceData!$BW$188),"",ReferenceData!$BW$188),"")</f>
        <v>53.26771325</v>
      </c>
      <c r="BX188" t="str">
        <f ca="1">IFERROR(IF(0=LEN(ReferenceData!$BX$188),"",ReferenceData!$BX$188),"")</f>
        <v/>
      </c>
      <c r="BY188" t="str">
        <f ca="1">IFERROR(IF(0=LEN(ReferenceData!$BY$188),"",ReferenceData!$BY$188),"")</f>
        <v/>
      </c>
      <c r="BZ188">
        <f ca="1">IFERROR(IF(0=LEN(ReferenceData!$BZ$188),"",ReferenceData!$BZ$188),"")</f>
        <v>61.892410099999999</v>
      </c>
      <c r="CA188" t="str">
        <f ca="1">IFERROR(IF(0=LEN(ReferenceData!$CA$188),"",ReferenceData!$CA$188),"")</f>
        <v/>
      </c>
      <c r="CB188" t="str">
        <f ca="1">IFERROR(IF(0=LEN(ReferenceData!$CB$188),"",ReferenceData!$CB$188),"")</f>
        <v/>
      </c>
      <c r="CC188">
        <f ca="1">IFERROR(IF(0=LEN(ReferenceData!$CC$188),"",ReferenceData!$CC$188),"")</f>
        <v>59.463010099999998</v>
      </c>
      <c r="CD188" t="str">
        <f ca="1">IFERROR(IF(0=LEN(ReferenceData!$CD$188),"",ReferenceData!$CD$188),"")</f>
        <v/>
      </c>
      <c r="CE188" t="str">
        <f ca="1">IFERROR(IF(0=LEN(ReferenceData!$CE$188),"",ReferenceData!$CE$188),"")</f>
        <v/>
      </c>
      <c r="CF188">
        <f ca="1">IFERROR(IF(0=LEN(ReferenceData!$CF$188),"",ReferenceData!$CF$188),"")</f>
        <v>49.157755369999997</v>
      </c>
      <c r="CG188" t="str">
        <f ca="1">IFERROR(IF(0=LEN(ReferenceData!$CG$188),"",ReferenceData!$CG$188),"")</f>
        <v/>
      </c>
      <c r="CH188" t="str">
        <f ca="1">IFERROR(IF(0=LEN(ReferenceData!$CH$188),"",ReferenceData!$CH$188),"")</f>
        <v/>
      </c>
      <c r="CI188">
        <f ca="1">IFERROR(IF(0=LEN(ReferenceData!$CI$188),"",ReferenceData!$CI$188),"")</f>
        <v>88.824680959999995</v>
      </c>
      <c r="CJ188" t="str">
        <f ca="1">IFERROR(IF(0=LEN(ReferenceData!$CJ$188),"",ReferenceData!$CJ$188),"")</f>
        <v/>
      </c>
      <c r="CK188" t="str">
        <f ca="1">IFERROR(IF(0=LEN(ReferenceData!$CK$188),"",ReferenceData!$CK$188),"")</f>
        <v/>
      </c>
    </row>
    <row r="189" spans="1:89">
      <c r="A189" t="str">
        <f>IFERROR(IF(0=LEN(ReferenceData!$A$189),"",ReferenceData!$A$189),"")</f>
        <v xml:space="preserve">    AvalonBay Communities Inc</v>
      </c>
      <c r="B189" t="str">
        <f>IFERROR(IF(0=LEN(ReferenceData!$B$189),"",ReferenceData!$B$189),"")</f>
        <v>AVB US Equity</v>
      </c>
      <c r="C189" t="str">
        <f>IFERROR(IF(0=LEN(ReferenceData!$C$189),"",ReferenceData!$C$189),"")</f>
        <v>F0929</v>
      </c>
      <c r="D189" t="str">
        <f>IFERROR(IF(0=LEN(ReferenceData!$D$189),"",ReferenceData!$D$189),"")</f>
        <v>FUNDS_AVAIL_DIST_PAYOUT_RATIO</v>
      </c>
      <c r="E189" t="str">
        <f>IFERROR(IF(0=LEN(ReferenceData!$E$189),"",ReferenceData!$E$189),"")</f>
        <v>动态</v>
      </c>
      <c r="F189" t="str">
        <f ca="1">IFERROR(IF(0=LEN(ReferenceData!$F$189),"",ReferenceData!$F$189),"")</f>
        <v/>
      </c>
      <c r="G189" t="str">
        <f ca="1">IFERROR(IF(0=LEN(ReferenceData!$G$189),"",ReferenceData!$G$189),"")</f>
        <v/>
      </c>
      <c r="H189" t="str">
        <f ca="1">IFERROR(IF(0=LEN(ReferenceData!$H$189),"",ReferenceData!$H$189),"")</f>
        <v/>
      </c>
      <c r="I189">
        <f ca="1">IFERROR(IF(0=LEN(ReferenceData!$I$189),"",ReferenceData!$I$189),"")</f>
        <v>65.579993369999997</v>
      </c>
      <c r="J189" t="str">
        <f ca="1">IFERROR(IF(0=LEN(ReferenceData!$J$189),"",ReferenceData!$J$189),"")</f>
        <v/>
      </c>
      <c r="K189" t="str">
        <f ca="1">IFERROR(IF(0=LEN(ReferenceData!$K$189),"",ReferenceData!$K$189),"")</f>
        <v/>
      </c>
      <c r="L189">
        <f ca="1">IFERROR(IF(0=LEN(ReferenceData!$L$189),"",ReferenceData!$L$189),"")</f>
        <v>67.433732239999998</v>
      </c>
      <c r="M189" t="str">
        <f ca="1">IFERROR(IF(0=LEN(ReferenceData!$M$189),"",ReferenceData!$M$189),"")</f>
        <v/>
      </c>
      <c r="N189" t="str">
        <f ca="1">IFERROR(IF(0=LEN(ReferenceData!$N$189),"",ReferenceData!$N$189),"")</f>
        <v/>
      </c>
      <c r="O189">
        <f ca="1">IFERROR(IF(0=LEN(ReferenceData!$O$189),"",ReferenceData!$O$189),"")</f>
        <v>71.133672349999998</v>
      </c>
      <c r="P189" t="str">
        <f ca="1">IFERROR(IF(0=LEN(ReferenceData!$P$189),"",ReferenceData!$P$189),"")</f>
        <v/>
      </c>
      <c r="Q189" t="str">
        <f ca="1">IFERROR(IF(0=LEN(ReferenceData!$Q$189),"",ReferenceData!$Q$189),"")</f>
        <v/>
      </c>
      <c r="R189">
        <f ca="1">IFERROR(IF(0=LEN(ReferenceData!$R$189),"",ReferenceData!$R$189),"")</f>
        <v>70.635982220000002</v>
      </c>
      <c r="S189" t="str">
        <f ca="1">IFERROR(IF(0=LEN(ReferenceData!$S$189),"",ReferenceData!$S$189),"")</f>
        <v/>
      </c>
      <c r="T189" t="str">
        <f ca="1">IFERROR(IF(0=LEN(ReferenceData!$T$189),"",ReferenceData!$T$189),"")</f>
        <v/>
      </c>
      <c r="U189">
        <f ca="1">IFERROR(IF(0=LEN(ReferenceData!$U$189),"",ReferenceData!$U$189),"")</f>
        <v>66.086023440000005</v>
      </c>
      <c r="V189" t="str">
        <f ca="1">IFERROR(IF(0=LEN(ReferenceData!$V$189),"",ReferenceData!$V$189),"")</f>
        <v/>
      </c>
      <c r="W189" t="str">
        <f ca="1">IFERROR(IF(0=LEN(ReferenceData!$W$189),"",ReferenceData!$W$189),"")</f>
        <v/>
      </c>
      <c r="X189">
        <f ca="1">IFERROR(IF(0=LEN(ReferenceData!$X$189),"",ReferenceData!$X$189),"")</f>
        <v>67.793417020000007</v>
      </c>
      <c r="Y189" t="str">
        <f ca="1">IFERROR(IF(0=LEN(ReferenceData!$Y$189),"",ReferenceData!$Y$189),"")</f>
        <v/>
      </c>
      <c r="Z189" t="str">
        <f ca="1">IFERROR(IF(0=LEN(ReferenceData!$Z$189),"",ReferenceData!$Z$189),"")</f>
        <v/>
      </c>
      <c r="AA189">
        <f ca="1">IFERROR(IF(0=LEN(ReferenceData!$AA$189),"",ReferenceData!$AA$189),"")</f>
        <v>69.688831800000003</v>
      </c>
      <c r="AB189" t="str">
        <f ca="1">IFERROR(IF(0=LEN(ReferenceData!$AB$189),"",ReferenceData!$AB$189),"")</f>
        <v/>
      </c>
      <c r="AC189" t="str">
        <f ca="1">IFERROR(IF(0=LEN(ReferenceData!$AC$189),"",ReferenceData!$AC$189),"")</f>
        <v/>
      </c>
      <c r="AD189">
        <f ca="1">IFERROR(IF(0=LEN(ReferenceData!$AD$189),"",ReferenceData!$AD$189),"")</f>
        <v>71.566645730000005</v>
      </c>
      <c r="AE189" t="str">
        <f ca="1">IFERROR(IF(0=LEN(ReferenceData!$AE$189),"",ReferenceData!$AE$189),"")</f>
        <v/>
      </c>
      <c r="AF189" t="str">
        <f ca="1">IFERROR(IF(0=LEN(ReferenceData!$AF$189),"",ReferenceData!$AF$189),"")</f>
        <v/>
      </c>
      <c r="AG189">
        <f ca="1">IFERROR(IF(0=LEN(ReferenceData!$AG$189),"",ReferenceData!$AG$189),"")</f>
        <v>65.624216129999994</v>
      </c>
      <c r="AH189" t="str">
        <f ca="1">IFERROR(IF(0=LEN(ReferenceData!$AH$189),"",ReferenceData!$AH$189),"")</f>
        <v/>
      </c>
      <c r="AI189" t="str">
        <f ca="1">IFERROR(IF(0=LEN(ReferenceData!$AI$189),"",ReferenceData!$AI$189),"")</f>
        <v/>
      </c>
      <c r="AJ189">
        <f ca="1">IFERROR(IF(0=LEN(ReferenceData!$AJ$189),"",ReferenceData!$AJ$189),"")</f>
        <v>67.573757349999994</v>
      </c>
      <c r="AK189" t="str">
        <f ca="1">IFERROR(IF(0=LEN(ReferenceData!$AK$189),"",ReferenceData!$AK$189),"")</f>
        <v/>
      </c>
      <c r="AL189" t="str">
        <f ca="1">IFERROR(IF(0=LEN(ReferenceData!$AL$189),"",ReferenceData!$AL$189),"")</f>
        <v/>
      </c>
      <c r="AM189">
        <f ca="1">IFERROR(IF(0=LEN(ReferenceData!$AM$189),"",ReferenceData!$AM$189),"")</f>
        <v>70.108641120000001</v>
      </c>
      <c r="AN189" t="str">
        <f ca="1">IFERROR(IF(0=LEN(ReferenceData!$AN$189),"",ReferenceData!$AN$189),"")</f>
        <v/>
      </c>
      <c r="AO189" t="str">
        <f ca="1">IFERROR(IF(0=LEN(ReferenceData!$AO$189),"",ReferenceData!$AO$189),"")</f>
        <v/>
      </c>
      <c r="AP189">
        <f ca="1">IFERROR(IF(0=LEN(ReferenceData!$AP$189),"",ReferenceData!$AP$189),"")</f>
        <v>74.687608240000003</v>
      </c>
      <c r="AQ189" t="str">
        <f ca="1">IFERROR(IF(0=LEN(ReferenceData!$AQ$189),"",ReferenceData!$AQ$189),"")</f>
        <v/>
      </c>
      <c r="AR189" t="str">
        <f ca="1">IFERROR(IF(0=LEN(ReferenceData!$AR$189),"",ReferenceData!$AR$189),"")</f>
        <v/>
      </c>
      <c r="AS189">
        <f ca="1">IFERROR(IF(0=LEN(ReferenceData!$AS$189),"",ReferenceData!$AS$189),"")</f>
        <v>70.525350200000005</v>
      </c>
      <c r="AT189" t="str">
        <f ca="1">IFERROR(IF(0=LEN(ReferenceData!$AT$189),"",ReferenceData!$AT$189),"")</f>
        <v/>
      </c>
      <c r="AU189" t="str">
        <f ca="1">IFERROR(IF(0=LEN(ReferenceData!$AU$189),"",ReferenceData!$AU$189),"")</f>
        <v/>
      </c>
      <c r="AV189">
        <f ca="1">IFERROR(IF(0=LEN(ReferenceData!$AV$189),"",ReferenceData!$AV$189),"")</f>
        <v>69.854937750000005</v>
      </c>
      <c r="AW189" t="str">
        <f ca="1">IFERROR(IF(0=LEN(ReferenceData!$AW$189),"",ReferenceData!$AW$189),"")</f>
        <v/>
      </c>
      <c r="AX189" t="str">
        <f ca="1">IFERROR(IF(0=LEN(ReferenceData!$AX$189),"",ReferenceData!$AX$189),"")</f>
        <v/>
      </c>
      <c r="AY189">
        <f ca="1">IFERROR(IF(0=LEN(ReferenceData!$AY$189),"",ReferenceData!$AY$189),"")</f>
        <v>70.934690020000005</v>
      </c>
      <c r="AZ189" t="str">
        <f ca="1">IFERROR(IF(0=LEN(ReferenceData!$AZ$189),"",ReferenceData!$AZ$189),"")</f>
        <v/>
      </c>
      <c r="BA189" t="str">
        <f ca="1">IFERROR(IF(0=LEN(ReferenceData!$BA$189),"",ReferenceData!$BA$189),"")</f>
        <v/>
      </c>
      <c r="BB189">
        <f ca="1">IFERROR(IF(0=LEN(ReferenceData!$BB$189),"",ReferenceData!$BB$189),"")</f>
        <v>74.299493100000007</v>
      </c>
      <c r="BC189" t="str">
        <f ca="1">IFERROR(IF(0=LEN(ReferenceData!$BC$189),"",ReferenceData!$BC$189),"")</f>
        <v/>
      </c>
      <c r="BD189" t="str">
        <f ca="1">IFERROR(IF(0=LEN(ReferenceData!$BD$189),"",ReferenceData!$BD$189),"")</f>
        <v/>
      </c>
      <c r="BE189">
        <f ca="1">IFERROR(IF(0=LEN(ReferenceData!$BE$189),"",ReferenceData!$BE$189),"")</f>
        <v>70.998167089999995</v>
      </c>
      <c r="BF189" t="str">
        <f ca="1">IFERROR(IF(0=LEN(ReferenceData!$BF$189),"",ReferenceData!$BF$189),"")</f>
        <v/>
      </c>
      <c r="BG189" t="str">
        <f ca="1">IFERROR(IF(0=LEN(ReferenceData!$BG$189),"",ReferenceData!$BG$189),"")</f>
        <v/>
      </c>
      <c r="BH189">
        <f ca="1">IFERROR(IF(0=LEN(ReferenceData!$BH$189),"",ReferenceData!$BH$189),"")</f>
        <v>68.586492559999996</v>
      </c>
      <c r="BI189" t="str">
        <f ca="1">IFERROR(IF(0=LEN(ReferenceData!$BI$189),"",ReferenceData!$BI$189),"")</f>
        <v/>
      </c>
      <c r="BJ189" t="str">
        <f ca="1">IFERROR(IF(0=LEN(ReferenceData!$BJ$189),"",ReferenceData!$BJ$189),"")</f>
        <v/>
      </c>
      <c r="BK189">
        <f ca="1">IFERROR(IF(0=LEN(ReferenceData!$BK$189),"",ReferenceData!$BK$189),"")</f>
        <v>69.035649640000003</v>
      </c>
      <c r="BL189" t="str">
        <f ca="1">IFERROR(IF(0=LEN(ReferenceData!$BL$189),"",ReferenceData!$BL$189),"")</f>
        <v/>
      </c>
      <c r="BM189" t="str">
        <f ca="1">IFERROR(IF(0=LEN(ReferenceData!$BM$189),"",ReferenceData!$BM$189),"")</f>
        <v/>
      </c>
      <c r="BN189">
        <f ca="1">IFERROR(IF(0=LEN(ReferenceData!$BN$189),"",ReferenceData!$BN$189),"")</f>
        <v>82.680717290000004</v>
      </c>
      <c r="BO189" t="str">
        <f ca="1">IFERROR(IF(0=LEN(ReferenceData!$BO$189),"",ReferenceData!$BO$189),"")</f>
        <v/>
      </c>
      <c r="BP189" t="str">
        <f ca="1">IFERROR(IF(0=LEN(ReferenceData!$BP$189),"",ReferenceData!$BP$189),"")</f>
        <v/>
      </c>
      <c r="BQ189">
        <f ca="1">IFERROR(IF(0=LEN(ReferenceData!$BQ$189),"",ReferenceData!$BQ$189),"")</f>
        <v>80.425666179999993</v>
      </c>
      <c r="BR189" t="str">
        <f ca="1">IFERROR(IF(0=LEN(ReferenceData!$BR$189),"",ReferenceData!$BR$189),"")</f>
        <v/>
      </c>
      <c r="BS189" t="str">
        <f ca="1">IFERROR(IF(0=LEN(ReferenceData!$BS$189),"",ReferenceData!$BS$189),"")</f>
        <v/>
      </c>
      <c r="BT189">
        <f ca="1">IFERROR(IF(0=LEN(ReferenceData!$BT$189),"",ReferenceData!$BT$189),"")</f>
        <v>70.84799889</v>
      </c>
      <c r="BU189" t="str">
        <f ca="1">IFERROR(IF(0=LEN(ReferenceData!$BU$189),"",ReferenceData!$BU$189),"")</f>
        <v/>
      </c>
      <c r="BV189" t="str">
        <f ca="1">IFERROR(IF(0=LEN(ReferenceData!$BV$189),"",ReferenceData!$BV$189),"")</f>
        <v/>
      </c>
      <c r="BW189">
        <f ca="1">IFERROR(IF(0=LEN(ReferenceData!$BW$189),"",ReferenceData!$BW$189),"")</f>
        <v>76.1792394</v>
      </c>
      <c r="BX189" t="str">
        <f ca="1">IFERROR(IF(0=LEN(ReferenceData!$BX$189),"",ReferenceData!$BX$189),"")</f>
        <v/>
      </c>
      <c r="BY189" t="str">
        <f ca="1">IFERROR(IF(0=LEN(ReferenceData!$BY$189),"",ReferenceData!$BY$189),"")</f>
        <v/>
      </c>
      <c r="BZ189">
        <f ca="1">IFERROR(IF(0=LEN(ReferenceData!$BZ$189),"",ReferenceData!$BZ$189),"")</f>
        <v>80.441258869999999</v>
      </c>
      <c r="CA189" t="str">
        <f ca="1">IFERROR(IF(0=LEN(ReferenceData!$CA$189),"",ReferenceData!$CA$189),"")</f>
        <v/>
      </c>
      <c r="CB189" t="str">
        <f ca="1">IFERROR(IF(0=LEN(ReferenceData!$CB$189),"",ReferenceData!$CB$189),"")</f>
        <v/>
      </c>
      <c r="CC189">
        <f ca="1">IFERROR(IF(0=LEN(ReferenceData!$CC$189),"",ReferenceData!$CC$189),"")</f>
        <v>74.349457450000003</v>
      </c>
      <c r="CD189" t="str">
        <f ca="1">IFERROR(IF(0=LEN(ReferenceData!$CD$189),"",ReferenceData!$CD$189),"")</f>
        <v/>
      </c>
      <c r="CE189" t="str">
        <f ca="1">IFERROR(IF(0=LEN(ReferenceData!$CE$189),"",ReferenceData!$CE$189),"")</f>
        <v/>
      </c>
      <c r="CF189">
        <f ca="1">IFERROR(IF(0=LEN(ReferenceData!$CF$189),"",ReferenceData!$CF$189),"")</f>
        <v>80.71847606</v>
      </c>
      <c r="CG189" t="str">
        <f ca="1">IFERROR(IF(0=LEN(ReferenceData!$CG$189),"",ReferenceData!$CG$189),"")</f>
        <v/>
      </c>
      <c r="CH189" t="str">
        <f ca="1">IFERROR(IF(0=LEN(ReferenceData!$CH$189),"",ReferenceData!$CH$189),"")</f>
        <v/>
      </c>
      <c r="CI189">
        <f ca="1">IFERROR(IF(0=LEN(ReferenceData!$CI$189),"",ReferenceData!$CI$189),"")</f>
        <v>83.097151409999995</v>
      </c>
      <c r="CJ189" t="str">
        <f ca="1">IFERROR(IF(0=LEN(ReferenceData!$CJ$189),"",ReferenceData!$CJ$189),"")</f>
        <v/>
      </c>
      <c r="CK189" t="str">
        <f ca="1">IFERROR(IF(0=LEN(ReferenceData!$CK$189),"",ReferenceData!$CK$189),"")</f>
        <v/>
      </c>
    </row>
    <row r="190" spans="1:89">
      <c r="A190" t="str">
        <f>IFERROR(IF(0=LEN(ReferenceData!$A$190),"",ReferenceData!$A$190),"")</f>
        <v xml:space="preserve">    Camden Property Trust</v>
      </c>
      <c r="B190" t="str">
        <f>IFERROR(IF(0=LEN(ReferenceData!$B$190),"",ReferenceData!$B$190),"")</f>
        <v>CPT US Equity</v>
      </c>
      <c r="C190" t="str">
        <f>IFERROR(IF(0=LEN(ReferenceData!$C$190),"",ReferenceData!$C$190),"")</f>
        <v>F0929</v>
      </c>
      <c r="D190" t="str">
        <f>IFERROR(IF(0=LEN(ReferenceData!$D$190),"",ReferenceData!$D$190),"")</f>
        <v>FUNDS_AVAIL_DIST_PAYOUT_RATIO</v>
      </c>
      <c r="E190" t="str">
        <f>IFERROR(IF(0=LEN(ReferenceData!$E$190),"",ReferenceData!$E$190),"")</f>
        <v>动态</v>
      </c>
      <c r="F190" t="str">
        <f ca="1">IFERROR(IF(0=LEN(ReferenceData!$F$190),"",ReferenceData!$F$190),"")</f>
        <v/>
      </c>
      <c r="G190" t="str">
        <f ca="1">IFERROR(IF(0=LEN(ReferenceData!$G$190),"",ReferenceData!$G$190),"")</f>
        <v/>
      </c>
      <c r="H190" t="str">
        <f ca="1">IFERROR(IF(0=LEN(ReferenceData!$H$190),"",ReferenceData!$H$190),"")</f>
        <v/>
      </c>
      <c r="I190">
        <f ca="1">IFERROR(IF(0=LEN(ReferenceData!$I$190),"",ReferenceData!$I$190),"")</f>
        <v>77.638665230000001</v>
      </c>
      <c r="J190" t="str">
        <f ca="1">IFERROR(IF(0=LEN(ReferenceData!$J$190),"",ReferenceData!$J$190),"")</f>
        <v/>
      </c>
      <c r="K190" t="str">
        <f ca="1">IFERROR(IF(0=LEN(ReferenceData!$K$190),"",ReferenceData!$K$190),"")</f>
        <v/>
      </c>
      <c r="L190">
        <f ca="1">IFERROR(IF(0=LEN(ReferenceData!$L$190),"",ReferenceData!$L$190),"")</f>
        <v>81.503775630000007</v>
      </c>
      <c r="M190" t="str">
        <f ca="1">IFERROR(IF(0=LEN(ReferenceData!$M$190),"",ReferenceData!$M$190),"")</f>
        <v/>
      </c>
      <c r="N190" t="str">
        <f ca="1">IFERROR(IF(0=LEN(ReferenceData!$N$190),"",ReferenceData!$N$190),"")</f>
        <v/>
      </c>
      <c r="O190">
        <f ca="1">IFERROR(IF(0=LEN(ReferenceData!$O$190),"",ReferenceData!$O$190),"")</f>
        <v>77.451711270000004</v>
      </c>
      <c r="P190" t="str">
        <f ca="1">IFERROR(IF(0=LEN(ReferenceData!$P$190),"",ReferenceData!$P$190),"")</f>
        <v/>
      </c>
      <c r="Q190" t="str">
        <f ca="1">IFERROR(IF(0=LEN(ReferenceData!$Q$190),"",ReferenceData!$Q$190),"")</f>
        <v/>
      </c>
      <c r="R190">
        <f ca="1">IFERROR(IF(0=LEN(ReferenceData!$R$190),"",ReferenceData!$R$190),"")</f>
        <v>76.13168838</v>
      </c>
      <c r="S190" t="str">
        <f ca="1">IFERROR(IF(0=LEN(ReferenceData!$S$190),"",ReferenceData!$S$190),"")</f>
        <v/>
      </c>
      <c r="T190" t="str">
        <f ca="1">IFERROR(IF(0=LEN(ReferenceData!$T$190),"",ReferenceData!$T$190),"")</f>
        <v/>
      </c>
      <c r="U190">
        <f ca="1">IFERROR(IF(0=LEN(ReferenceData!$U$190),"",ReferenceData!$U$190),"")</f>
        <v>76.54631449</v>
      </c>
      <c r="V190" t="str">
        <f ca="1">IFERROR(IF(0=LEN(ReferenceData!$V$190),"",ReferenceData!$V$190),"")</f>
        <v/>
      </c>
      <c r="W190" t="str">
        <f ca="1">IFERROR(IF(0=LEN(ReferenceData!$W$190),"",ReferenceData!$W$190),"")</f>
        <v/>
      </c>
      <c r="X190">
        <f ca="1">IFERROR(IF(0=LEN(ReferenceData!$X$190),"",ReferenceData!$X$190),"")</f>
        <v>540.68317130000003</v>
      </c>
      <c r="Y190" t="str">
        <f ca="1">IFERROR(IF(0=LEN(ReferenceData!$Y$190),"",ReferenceData!$Y$190),"")</f>
        <v/>
      </c>
      <c r="Z190" t="str">
        <f ca="1">IFERROR(IF(0=LEN(ReferenceData!$Z$190),"",ReferenceData!$Z$190),"")</f>
        <v/>
      </c>
      <c r="AA190">
        <f ca="1">IFERROR(IF(0=LEN(ReferenceData!$AA$190),"",ReferenceData!$AA$190),"")</f>
        <v>76.030836710000003</v>
      </c>
      <c r="AB190" t="str">
        <f ca="1">IFERROR(IF(0=LEN(ReferenceData!$AB$190),"",ReferenceData!$AB$190),"")</f>
        <v/>
      </c>
      <c r="AC190" t="str">
        <f ca="1">IFERROR(IF(0=LEN(ReferenceData!$AC$190),"",ReferenceData!$AC$190),"")</f>
        <v/>
      </c>
      <c r="AD190">
        <f ca="1">IFERROR(IF(0=LEN(ReferenceData!$AD$190),"",ReferenceData!$AD$190),"")</f>
        <v>68.138737899999995</v>
      </c>
      <c r="AE190" t="str">
        <f ca="1">IFERROR(IF(0=LEN(ReferenceData!$AE$190),"",ReferenceData!$AE$190),"")</f>
        <v/>
      </c>
      <c r="AF190" t="str">
        <f ca="1">IFERROR(IF(0=LEN(ReferenceData!$AF$190),"",ReferenceData!$AF$190),"")</f>
        <v/>
      </c>
      <c r="AG190">
        <f ca="1">IFERROR(IF(0=LEN(ReferenceData!$AG$190),"",ReferenceData!$AG$190),"")</f>
        <v>69.505496289999996</v>
      </c>
      <c r="AH190" t="str">
        <f ca="1">IFERROR(IF(0=LEN(ReferenceData!$AH$190),"",ReferenceData!$AH$190),"")</f>
        <v/>
      </c>
      <c r="AI190" t="str">
        <f ca="1">IFERROR(IF(0=LEN(ReferenceData!$AI$190),"",ReferenceData!$AI$190),"")</f>
        <v/>
      </c>
      <c r="AJ190">
        <f ca="1">IFERROR(IF(0=LEN(ReferenceData!$AJ$190),"",ReferenceData!$AJ$190),"")</f>
        <v>74.293740709999994</v>
      </c>
      <c r="AK190" t="str">
        <f ca="1">IFERROR(IF(0=LEN(ReferenceData!$AK$190),"",ReferenceData!$AK$190),"")</f>
        <v/>
      </c>
      <c r="AL190" t="str">
        <f ca="1">IFERROR(IF(0=LEN(ReferenceData!$AL$190),"",ReferenceData!$AL$190),"")</f>
        <v/>
      </c>
      <c r="AM190">
        <f ca="1">IFERROR(IF(0=LEN(ReferenceData!$AM$190),"",ReferenceData!$AM$190),"")</f>
        <v>75.98203144</v>
      </c>
      <c r="AN190" t="str">
        <f ca="1">IFERROR(IF(0=LEN(ReferenceData!$AN$190),"",ReferenceData!$AN$190),"")</f>
        <v/>
      </c>
      <c r="AO190" t="str">
        <f ca="1">IFERROR(IF(0=LEN(ReferenceData!$AO$190),"",ReferenceData!$AO$190),"")</f>
        <v/>
      </c>
      <c r="AP190">
        <f ca="1">IFERROR(IF(0=LEN(ReferenceData!$AP$190),"",ReferenceData!$AP$190),"")</f>
        <v>70.068321890000007</v>
      </c>
      <c r="AQ190" t="str">
        <f ca="1">IFERROR(IF(0=LEN(ReferenceData!$AQ$190),"",ReferenceData!$AQ$190),"")</f>
        <v/>
      </c>
      <c r="AR190" t="str">
        <f ca="1">IFERROR(IF(0=LEN(ReferenceData!$AR$190),"",ReferenceData!$AR$190),"")</f>
        <v/>
      </c>
      <c r="AS190">
        <f ca="1">IFERROR(IF(0=LEN(ReferenceData!$AS$190),"",ReferenceData!$AS$190),"")</f>
        <v>64.096363690000004</v>
      </c>
      <c r="AT190" t="str">
        <f ca="1">IFERROR(IF(0=LEN(ReferenceData!$AT$190),"",ReferenceData!$AT$190),"")</f>
        <v/>
      </c>
      <c r="AU190" t="str">
        <f ca="1">IFERROR(IF(0=LEN(ReferenceData!$AU$190),"",ReferenceData!$AU$190),"")</f>
        <v/>
      </c>
      <c r="AV190">
        <f ca="1">IFERROR(IF(0=LEN(ReferenceData!$AV$190),"",ReferenceData!$AV$190),"")</f>
        <v>66.781239859999999</v>
      </c>
      <c r="AW190" t="str">
        <f ca="1">IFERROR(IF(0=LEN(ReferenceData!$AW$190),"",ReferenceData!$AW$190),"")</f>
        <v/>
      </c>
      <c r="AX190" t="str">
        <f ca="1">IFERROR(IF(0=LEN(ReferenceData!$AX$190),"",ReferenceData!$AX$190),"")</f>
        <v/>
      </c>
      <c r="AY190">
        <f ca="1">IFERROR(IF(0=LEN(ReferenceData!$AY$190),"",ReferenceData!$AY$190),"")</f>
        <v>67.917819800000004</v>
      </c>
      <c r="AZ190" t="str">
        <f ca="1">IFERROR(IF(0=LEN(ReferenceData!$AZ$190),"",ReferenceData!$AZ$190),"")</f>
        <v/>
      </c>
      <c r="BA190" t="str">
        <f ca="1">IFERROR(IF(0=LEN(ReferenceData!$BA$190),"",ReferenceData!$BA$190),"")</f>
        <v/>
      </c>
      <c r="BB190">
        <f ca="1">IFERROR(IF(0=LEN(ReferenceData!$BB$190),"",ReferenceData!$BB$190),"")</f>
        <v>67.194265779999995</v>
      </c>
      <c r="BC190" t="str">
        <f ca="1">IFERROR(IF(0=LEN(ReferenceData!$BC$190),"",ReferenceData!$BC$190),"")</f>
        <v/>
      </c>
      <c r="BD190" t="str">
        <f ca="1">IFERROR(IF(0=LEN(ReferenceData!$BD$190),"",ReferenceData!$BD$190),"")</f>
        <v/>
      </c>
      <c r="BE190">
        <f ca="1">IFERROR(IF(0=LEN(ReferenceData!$BE$190),"",ReferenceData!$BE$190),"")</f>
        <v>62.657301439999998</v>
      </c>
      <c r="BF190" t="str">
        <f ca="1">IFERROR(IF(0=LEN(ReferenceData!$BF$190),"",ReferenceData!$BF$190),"")</f>
        <v/>
      </c>
      <c r="BG190" t="str">
        <f ca="1">IFERROR(IF(0=LEN(ReferenceData!$BG$190),"",ReferenceData!$BG$190),"")</f>
        <v/>
      </c>
      <c r="BH190">
        <f ca="1">IFERROR(IF(0=LEN(ReferenceData!$BH$190),"",ReferenceData!$BH$190),"")</f>
        <v>65.634836480000004</v>
      </c>
      <c r="BI190" t="str">
        <f ca="1">IFERROR(IF(0=LEN(ReferenceData!$BI$190),"",ReferenceData!$BI$190),"")</f>
        <v/>
      </c>
      <c r="BJ190" t="str">
        <f ca="1">IFERROR(IF(0=LEN(ReferenceData!$BJ$190),"",ReferenceData!$BJ$190),"")</f>
        <v/>
      </c>
      <c r="BK190">
        <f ca="1">IFERROR(IF(0=LEN(ReferenceData!$BK$190),"",ReferenceData!$BK$190),"")</f>
        <v>66.609456350000002</v>
      </c>
      <c r="BL190" t="str">
        <f ca="1">IFERROR(IF(0=LEN(ReferenceData!$BL$190),"",ReferenceData!$BL$190),"")</f>
        <v/>
      </c>
      <c r="BM190" t="str">
        <f ca="1">IFERROR(IF(0=LEN(ReferenceData!$BM$190),"",ReferenceData!$BM$190),"")</f>
        <v/>
      </c>
      <c r="BN190">
        <f ca="1">IFERROR(IF(0=LEN(ReferenceData!$BN$190),"",ReferenceData!$BN$190),"")</f>
        <v>70.594863219999993</v>
      </c>
      <c r="BO190" t="str">
        <f ca="1">IFERROR(IF(0=LEN(ReferenceData!$BO$190),"",ReferenceData!$BO$190),"")</f>
        <v/>
      </c>
      <c r="BP190" t="str">
        <f ca="1">IFERROR(IF(0=LEN(ReferenceData!$BP$190),"",ReferenceData!$BP$190),"")</f>
        <v/>
      </c>
      <c r="BQ190">
        <f ca="1">IFERROR(IF(0=LEN(ReferenceData!$BQ$190),"",ReferenceData!$BQ$190),"")</f>
        <v>63.009647119999997</v>
      </c>
      <c r="BR190" t="str">
        <f ca="1">IFERROR(IF(0=LEN(ReferenceData!$BR$190),"",ReferenceData!$BR$190),"")</f>
        <v/>
      </c>
      <c r="BS190" t="str">
        <f ca="1">IFERROR(IF(0=LEN(ReferenceData!$BS$190),"",ReferenceData!$BS$190),"")</f>
        <v/>
      </c>
      <c r="BT190">
        <f ca="1">IFERROR(IF(0=LEN(ReferenceData!$BT$190),"",ReferenceData!$BT$190),"")</f>
        <v>67.288182989999996</v>
      </c>
      <c r="BU190" t="str">
        <f ca="1">IFERROR(IF(0=LEN(ReferenceData!$BU$190),"",ReferenceData!$BU$190),"")</f>
        <v/>
      </c>
      <c r="BV190" t="str">
        <f ca="1">IFERROR(IF(0=LEN(ReferenceData!$BV$190),"",ReferenceData!$BV$190),"")</f>
        <v/>
      </c>
      <c r="BW190">
        <f ca="1">IFERROR(IF(0=LEN(ReferenceData!$BW$190),"",ReferenceData!$BW$190),"")</f>
        <v>69.386887790000003</v>
      </c>
      <c r="BX190" t="str">
        <f ca="1">IFERROR(IF(0=LEN(ReferenceData!$BX$190),"",ReferenceData!$BX$190),"")</f>
        <v/>
      </c>
      <c r="BY190" t="str">
        <f ca="1">IFERROR(IF(0=LEN(ReferenceData!$BY$190),"",ReferenceData!$BY$190),"")</f>
        <v/>
      </c>
      <c r="BZ190">
        <f ca="1">IFERROR(IF(0=LEN(ReferenceData!$BZ$190),"",ReferenceData!$BZ$190),"")</f>
        <v>75.04981884</v>
      </c>
      <c r="CA190" t="str">
        <f ca="1">IFERROR(IF(0=LEN(ReferenceData!$CA$190),"",ReferenceData!$CA$190),"")</f>
        <v/>
      </c>
      <c r="CB190" t="str">
        <f ca="1">IFERROR(IF(0=LEN(ReferenceData!$CB$190),"",ReferenceData!$CB$190),"")</f>
        <v/>
      </c>
      <c r="CC190">
        <f ca="1">IFERROR(IF(0=LEN(ReferenceData!$CC$190),"",ReferenceData!$CC$190),"")</f>
        <v>65.3819546</v>
      </c>
      <c r="CD190" t="str">
        <f ca="1">IFERROR(IF(0=LEN(ReferenceData!$CD$190),"",ReferenceData!$CD$190),"")</f>
        <v/>
      </c>
      <c r="CE190" t="str">
        <f ca="1">IFERROR(IF(0=LEN(ReferenceData!$CE$190),"",ReferenceData!$CE$190),"")</f>
        <v/>
      </c>
      <c r="CF190">
        <f ca="1">IFERROR(IF(0=LEN(ReferenceData!$CF$190),"",ReferenceData!$CF$190),"")</f>
        <v>73.661779730000006</v>
      </c>
      <c r="CG190" t="str">
        <f ca="1">IFERROR(IF(0=LEN(ReferenceData!$CG$190),"",ReferenceData!$CG$190),"")</f>
        <v/>
      </c>
      <c r="CH190" t="str">
        <f ca="1">IFERROR(IF(0=LEN(ReferenceData!$CH$190),"",ReferenceData!$CH$190),"")</f>
        <v/>
      </c>
      <c r="CI190">
        <f ca="1">IFERROR(IF(0=LEN(ReferenceData!$CI$190),"",ReferenceData!$CI$190),"")</f>
        <v>157.16584560000001</v>
      </c>
      <c r="CJ190" t="str">
        <f ca="1">IFERROR(IF(0=LEN(ReferenceData!$CJ$190),"",ReferenceData!$CJ$190),"")</f>
        <v/>
      </c>
      <c r="CK190" t="str">
        <f ca="1">IFERROR(IF(0=LEN(ReferenceData!$CK$190),"",ReferenceData!$CK$190),"")</f>
        <v/>
      </c>
    </row>
    <row r="191" spans="1:89">
      <c r="A191" t="str">
        <f>IFERROR(IF(0=LEN(ReferenceData!$A$191),"",ReferenceData!$A$191),"")</f>
        <v xml:space="preserve">    Equity Residential</v>
      </c>
      <c r="B191" t="str">
        <f>IFERROR(IF(0=LEN(ReferenceData!$B$191),"",ReferenceData!$B$191),"")</f>
        <v>EQR US Equity</v>
      </c>
      <c r="C191" t="str">
        <f>IFERROR(IF(0=LEN(ReferenceData!$C$191),"",ReferenceData!$C$191),"")</f>
        <v>F0929</v>
      </c>
      <c r="D191" t="str">
        <f>IFERROR(IF(0=LEN(ReferenceData!$D$191),"",ReferenceData!$D$191),"")</f>
        <v>FUNDS_AVAIL_DIST_PAYOUT_RATIO</v>
      </c>
      <c r="E191" t="str">
        <f>IFERROR(IF(0=LEN(ReferenceData!$E$191),"",ReferenceData!$E$191),"")</f>
        <v>动态</v>
      </c>
      <c r="F191" t="str">
        <f ca="1">IFERROR(IF(0=LEN(ReferenceData!$F$191),"",ReferenceData!$F$191),"")</f>
        <v/>
      </c>
      <c r="G191" t="str">
        <f ca="1">IFERROR(IF(0=LEN(ReferenceData!$G$191),"",ReferenceData!$G$191),"")</f>
        <v/>
      </c>
      <c r="H191" t="str">
        <f ca="1">IFERROR(IF(0=LEN(ReferenceData!$H$191),"",ReferenceData!$H$191),"")</f>
        <v/>
      </c>
      <c r="I191">
        <f ca="1">IFERROR(IF(0=LEN(ReferenceData!$I$191),"",ReferenceData!$I$191),"")</f>
        <v>64.801034099999995</v>
      </c>
      <c r="J191" t="str">
        <f ca="1">IFERROR(IF(0=LEN(ReferenceData!$J$191),"",ReferenceData!$J$191),"")</f>
        <v/>
      </c>
      <c r="K191" t="str">
        <f ca="1">IFERROR(IF(0=LEN(ReferenceData!$K$191),"",ReferenceData!$K$191),"")</f>
        <v/>
      </c>
      <c r="L191">
        <f ca="1">IFERROR(IF(0=LEN(ReferenceData!$L$191),"",ReferenceData!$L$191),"")</f>
        <v>67.900917539999995</v>
      </c>
      <c r="M191" t="str">
        <f ca="1">IFERROR(IF(0=LEN(ReferenceData!$M$191),"",ReferenceData!$M$191),"")</f>
        <v/>
      </c>
      <c r="N191" t="str">
        <f ca="1">IFERROR(IF(0=LEN(ReferenceData!$N$191),"",ReferenceData!$N$191),"")</f>
        <v/>
      </c>
      <c r="O191">
        <f ca="1">IFERROR(IF(0=LEN(ReferenceData!$O$191),"",ReferenceData!$O$191),"")</f>
        <v>71.172390309999997</v>
      </c>
      <c r="P191" t="str">
        <f ca="1">IFERROR(IF(0=LEN(ReferenceData!$P$191),"",ReferenceData!$P$191),"")</f>
        <v/>
      </c>
      <c r="Q191" t="str">
        <f ca="1">IFERROR(IF(0=LEN(ReferenceData!$Q$191),"",ReferenceData!$Q$191),"")</f>
        <v/>
      </c>
      <c r="R191">
        <f ca="1">IFERROR(IF(0=LEN(ReferenceData!$R$191),"",ReferenceData!$R$191),"")</f>
        <v>73.509210909999993</v>
      </c>
      <c r="S191" t="str">
        <f ca="1">IFERROR(IF(0=LEN(ReferenceData!$S$191),"",ReferenceData!$S$191),"")</f>
        <v/>
      </c>
      <c r="T191" t="str">
        <f ca="1">IFERROR(IF(0=LEN(ReferenceData!$T$191),"",ReferenceData!$T$191),"")</f>
        <v/>
      </c>
      <c r="U191">
        <f ca="1">IFERROR(IF(0=LEN(ReferenceData!$U$191),"",ReferenceData!$U$191),"")</f>
        <v>68.361583080000003</v>
      </c>
      <c r="V191" t="str">
        <f ca="1">IFERROR(IF(0=LEN(ReferenceData!$V$191),"",ReferenceData!$V$191),"")</f>
        <v/>
      </c>
      <c r="W191" t="str">
        <f ca="1">IFERROR(IF(0=LEN(ReferenceData!$W$191),"",ReferenceData!$W$191),"")</f>
        <v/>
      </c>
      <c r="X191">
        <f ca="1">IFERROR(IF(0=LEN(ReferenceData!$X$191),"",ReferenceData!$X$191),"")</f>
        <v>911.74535619999995</v>
      </c>
      <c r="Y191" t="str">
        <f ca="1">IFERROR(IF(0=LEN(ReferenceData!$Y$191),"",ReferenceData!$Y$191),"")</f>
        <v/>
      </c>
      <c r="Z191" t="str">
        <f ca="1">IFERROR(IF(0=LEN(ReferenceData!$Z$191),"",ReferenceData!$Z$191),"")</f>
        <v/>
      </c>
      <c r="AA191">
        <f ca="1">IFERROR(IF(0=LEN(ReferenceData!$AA$191),"",ReferenceData!$AA$191),"")</f>
        <v>61.467516539999998</v>
      </c>
      <c r="AB191" t="str">
        <f ca="1">IFERROR(IF(0=LEN(ReferenceData!$AB$191),"",ReferenceData!$AB$191),"")</f>
        <v/>
      </c>
      <c r="AC191" t="str">
        <f ca="1">IFERROR(IF(0=LEN(ReferenceData!$AC$191),"",ReferenceData!$AC$191),"")</f>
        <v/>
      </c>
      <c r="AD191">
        <f ca="1">IFERROR(IF(0=LEN(ReferenceData!$AD$191),"",ReferenceData!$AD$191),"")</f>
        <v>2365.1664500000002</v>
      </c>
      <c r="AE191" t="str">
        <f ca="1">IFERROR(IF(0=LEN(ReferenceData!$AE$191),"",ReferenceData!$AE$191),"")</f>
        <v/>
      </c>
      <c r="AF191" t="str">
        <f ca="1">IFERROR(IF(0=LEN(ReferenceData!$AF$191),"",ReferenceData!$AF$191),"")</f>
        <v/>
      </c>
      <c r="AG191">
        <f ca="1">IFERROR(IF(0=LEN(ReferenceData!$AG$191),"",ReferenceData!$AG$191),"")</f>
        <v>64.166719979999996</v>
      </c>
      <c r="AH191" t="str">
        <f ca="1">IFERROR(IF(0=LEN(ReferenceData!$AH$191),"",ReferenceData!$AH$191),"")</f>
        <v/>
      </c>
      <c r="AI191" t="str">
        <f ca="1">IFERROR(IF(0=LEN(ReferenceData!$AI$191),"",ReferenceData!$AI$191),"")</f>
        <v/>
      </c>
      <c r="AJ191">
        <f ca="1">IFERROR(IF(0=LEN(ReferenceData!$AJ$191),"",ReferenceData!$AJ$191),"")</f>
        <v>67.636206819999998</v>
      </c>
      <c r="AK191" t="str">
        <f ca="1">IFERROR(IF(0=LEN(ReferenceData!$AK$191),"",ReferenceData!$AK$191),"")</f>
        <v/>
      </c>
      <c r="AL191" t="str">
        <f ca="1">IFERROR(IF(0=LEN(ReferenceData!$AL$191),"",ReferenceData!$AL$191),"")</f>
        <v/>
      </c>
      <c r="AM191">
        <f ca="1">IFERROR(IF(0=LEN(ReferenceData!$AM$191),"",ReferenceData!$AM$191),"")</f>
        <v>70.738226909999995</v>
      </c>
      <c r="AN191" t="str">
        <f ca="1">IFERROR(IF(0=LEN(ReferenceData!$AN$191),"",ReferenceData!$AN$191),"")</f>
        <v/>
      </c>
      <c r="AO191" t="str">
        <f ca="1">IFERROR(IF(0=LEN(ReferenceData!$AO$191),"",ReferenceData!$AO$191),"")</f>
        <v/>
      </c>
      <c r="AP191">
        <f ca="1">IFERROR(IF(0=LEN(ReferenceData!$AP$191),"",ReferenceData!$AP$191),"")</f>
        <v>77.330114780000002</v>
      </c>
      <c r="AQ191" t="str">
        <f ca="1">IFERROR(IF(0=LEN(ReferenceData!$AQ$191),"",ReferenceData!$AQ$191),"")</f>
        <v/>
      </c>
      <c r="AR191" t="str">
        <f ca="1">IFERROR(IF(0=LEN(ReferenceData!$AR$191),"",ReferenceData!$AR$191),"")</f>
        <v/>
      </c>
      <c r="AS191">
        <f ca="1">IFERROR(IF(0=LEN(ReferenceData!$AS$191),"",ReferenceData!$AS$191),"")</f>
        <v>63.053926500000003</v>
      </c>
      <c r="AT191" t="str">
        <f ca="1">IFERROR(IF(0=LEN(ReferenceData!$AT$191),"",ReferenceData!$AT$191),"")</f>
        <v/>
      </c>
      <c r="AU191" t="str">
        <f ca="1">IFERROR(IF(0=LEN(ReferenceData!$AU$191),"",ReferenceData!$AU$191),"")</f>
        <v/>
      </c>
      <c r="AV191">
        <f ca="1">IFERROR(IF(0=LEN(ReferenceData!$AV$191),"",ReferenceData!$AV$191),"")</f>
        <v>66.698078580000001</v>
      </c>
      <c r="AW191" t="str">
        <f ca="1">IFERROR(IF(0=LEN(ReferenceData!$AW$191),"",ReferenceData!$AW$191),"")</f>
        <v/>
      </c>
      <c r="AX191" t="str">
        <f ca="1">IFERROR(IF(0=LEN(ReferenceData!$AX$191),"",ReferenceData!$AX$191),"")</f>
        <v/>
      </c>
      <c r="AY191">
        <f ca="1">IFERROR(IF(0=LEN(ReferenceData!$AY$191),"",ReferenceData!$AY$191),"")</f>
        <v>70.409066300000006</v>
      </c>
      <c r="AZ191" t="str">
        <f ca="1">IFERROR(IF(0=LEN(ReferenceData!$AZ$191),"",ReferenceData!$AZ$191),"")</f>
        <v/>
      </c>
      <c r="BA191" t="str">
        <f ca="1">IFERROR(IF(0=LEN(ReferenceData!$BA$191),"",ReferenceData!$BA$191),"")</f>
        <v/>
      </c>
      <c r="BB191">
        <f ca="1">IFERROR(IF(0=LEN(ReferenceData!$BB$191),"",ReferenceData!$BB$191),"")</f>
        <v>78.680519259999997</v>
      </c>
      <c r="BC191" t="str">
        <f ca="1">IFERROR(IF(0=LEN(ReferenceData!$BC$191),"",ReferenceData!$BC$191),"")</f>
        <v/>
      </c>
      <c r="BD191" t="str">
        <f ca="1">IFERROR(IF(0=LEN(ReferenceData!$BD$191),"",ReferenceData!$BD$191),"")</f>
        <v/>
      </c>
      <c r="BE191">
        <f ca="1">IFERROR(IF(0=LEN(ReferenceData!$BE$191),"",ReferenceData!$BE$191),"")</f>
        <v>92.907286279999994</v>
      </c>
      <c r="BF191" t="str">
        <f ca="1">IFERROR(IF(0=LEN(ReferenceData!$BF$191),"",ReferenceData!$BF$191),"")</f>
        <v/>
      </c>
      <c r="BG191" t="str">
        <f ca="1">IFERROR(IF(0=LEN(ReferenceData!$BG$191),"",ReferenceData!$BG$191),"")</f>
        <v/>
      </c>
      <c r="BH191">
        <f ca="1">IFERROR(IF(0=LEN(ReferenceData!$BH$191),"",ReferenceData!$BH$191),"")</f>
        <v>61.209009969999997</v>
      </c>
      <c r="BI191" t="str">
        <f ca="1">IFERROR(IF(0=LEN(ReferenceData!$BI$191),"",ReferenceData!$BI$191),"")</f>
        <v/>
      </c>
      <c r="BJ191" t="str">
        <f ca="1">IFERROR(IF(0=LEN(ReferenceData!$BJ$191),"",ReferenceData!$BJ$191),"")</f>
        <v/>
      </c>
      <c r="BK191">
        <f ca="1">IFERROR(IF(0=LEN(ReferenceData!$BK$191),"",ReferenceData!$BK$191),"")</f>
        <v>63.12536996</v>
      </c>
      <c r="BL191" t="str">
        <f ca="1">IFERROR(IF(0=LEN(ReferenceData!$BL$191),"",ReferenceData!$BL$191),"")</f>
        <v/>
      </c>
      <c r="BM191" t="str">
        <f ca="1">IFERROR(IF(0=LEN(ReferenceData!$BM$191),"",ReferenceData!$BM$191),"")</f>
        <v/>
      </c>
      <c r="BN191">
        <f ca="1">IFERROR(IF(0=LEN(ReferenceData!$BN$191),"",ReferenceData!$BN$191),"")</f>
        <v>70.755256790000004</v>
      </c>
      <c r="BO191" t="str">
        <f ca="1">IFERROR(IF(0=LEN(ReferenceData!$BO$191),"",ReferenceData!$BO$191),"")</f>
        <v/>
      </c>
      <c r="BP191" t="str">
        <f ca="1">IFERROR(IF(0=LEN(ReferenceData!$BP$191),"",ReferenceData!$BP$191),"")</f>
        <v/>
      </c>
      <c r="BQ191">
        <f ca="1">IFERROR(IF(0=LEN(ReferenceData!$BQ$191),"",ReferenceData!$BQ$191),"")</f>
        <v>114.66910420000001</v>
      </c>
      <c r="BR191" t="str">
        <f ca="1">IFERROR(IF(0=LEN(ReferenceData!$BR$191),"",ReferenceData!$BR$191),"")</f>
        <v/>
      </c>
      <c r="BS191" t="str">
        <f ca="1">IFERROR(IF(0=LEN(ReferenceData!$BS$191),"",ReferenceData!$BS$191),"")</f>
        <v/>
      </c>
      <c r="BT191">
        <f ca="1">IFERROR(IF(0=LEN(ReferenceData!$BT$191),"",ReferenceData!$BT$191),"")</f>
        <v>52.781388440000001</v>
      </c>
      <c r="BU191" t="str">
        <f ca="1">IFERROR(IF(0=LEN(ReferenceData!$BU$191),"",ReferenceData!$BU$191),"")</f>
        <v/>
      </c>
      <c r="BV191" t="str">
        <f ca="1">IFERROR(IF(0=LEN(ReferenceData!$BV$191),"",ReferenceData!$BV$191),"")</f>
        <v/>
      </c>
      <c r="BW191">
        <f ca="1">IFERROR(IF(0=LEN(ReferenceData!$BW$191),"",ReferenceData!$BW$191),"")</f>
        <v>44.494239329999999</v>
      </c>
      <c r="BX191" t="str">
        <f ca="1">IFERROR(IF(0=LEN(ReferenceData!$BX$191),"",ReferenceData!$BX$191),"")</f>
        <v/>
      </c>
      <c r="BY191" t="str">
        <f ca="1">IFERROR(IF(0=LEN(ReferenceData!$BY$191),"",ReferenceData!$BY$191),"")</f>
        <v/>
      </c>
      <c r="BZ191">
        <f ca="1">IFERROR(IF(0=LEN(ReferenceData!$BZ$191),"",ReferenceData!$BZ$191),"")</f>
        <v>64.124043929999999</v>
      </c>
      <c r="CA191" t="str">
        <f ca="1">IFERROR(IF(0=LEN(ReferenceData!$CA$191),"",ReferenceData!$CA$191),"")</f>
        <v/>
      </c>
      <c r="CB191" t="str">
        <f ca="1">IFERROR(IF(0=LEN(ReferenceData!$CB$191),"",ReferenceData!$CB$191),"")</f>
        <v/>
      </c>
      <c r="CC191">
        <f ca="1">IFERROR(IF(0=LEN(ReferenceData!$CC$191),"",ReferenceData!$CC$191),"")</f>
        <v>99.072683600000005</v>
      </c>
      <c r="CD191" t="str">
        <f ca="1">IFERROR(IF(0=LEN(ReferenceData!$CD$191),"",ReferenceData!$CD$191),"")</f>
        <v/>
      </c>
      <c r="CE191" t="str">
        <f ca="1">IFERROR(IF(0=LEN(ReferenceData!$CE$191),"",ReferenceData!$CE$191),"")</f>
        <v/>
      </c>
      <c r="CF191">
        <f ca="1">IFERROR(IF(0=LEN(ReferenceData!$CF$191),"",ReferenceData!$CF$191),"")</f>
        <v>63.676295869999997</v>
      </c>
      <c r="CG191" t="str">
        <f ca="1">IFERROR(IF(0=LEN(ReferenceData!$CG$191),"",ReferenceData!$CG$191),"")</f>
        <v/>
      </c>
      <c r="CH191" t="str">
        <f ca="1">IFERROR(IF(0=LEN(ReferenceData!$CH$191),"",ReferenceData!$CH$191),"")</f>
        <v/>
      </c>
      <c r="CI191">
        <f ca="1">IFERROR(IF(0=LEN(ReferenceData!$CI$191),"",ReferenceData!$CI$191),"")</f>
        <v>49.489062279999999</v>
      </c>
      <c r="CJ191" t="str">
        <f ca="1">IFERROR(IF(0=LEN(ReferenceData!$CJ$191),"",ReferenceData!$CJ$191),"")</f>
        <v/>
      </c>
      <c r="CK191" t="str">
        <f ca="1">IFERROR(IF(0=LEN(ReferenceData!$CK$191),"",ReferenceData!$CK$191),"")</f>
        <v/>
      </c>
    </row>
    <row r="192" spans="1:89">
      <c r="A192" t="str">
        <f>IFERROR(IF(0=LEN(ReferenceData!$A$192),"",ReferenceData!$A$192),"")</f>
        <v xml:space="preserve">    Essex Property Trust Inc</v>
      </c>
      <c r="B192" t="str">
        <f>IFERROR(IF(0=LEN(ReferenceData!$B$192),"",ReferenceData!$B$192),"")</f>
        <v>ESS US Equity</v>
      </c>
      <c r="C192" t="str">
        <f>IFERROR(IF(0=LEN(ReferenceData!$C$192),"",ReferenceData!$C$192),"")</f>
        <v>F0929</v>
      </c>
      <c r="D192" t="str">
        <f>IFERROR(IF(0=LEN(ReferenceData!$D$192),"",ReferenceData!$D$192),"")</f>
        <v>FUNDS_AVAIL_DIST_PAYOUT_RATIO</v>
      </c>
      <c r="E192" t="str">
        <f>IFERROR(IF(0=LEN(ReferenceData!$E$192),"",ReferenceData!$E$192),"")</f>
        <v>动态</v>
      </c>
      <c r="F192" t="str">
        <f ca="1">IFERROR(IF(0=LEN(ReferenceData!$F$192),"",ReferenceData!$F$192),"")</f>
        <v/>
      </c>
      <c r="G192" t="str">
        <f ca="1">IFERROR(IF(0=LEN(ReferenceData!$G$192),"",ReferenceData!$G$192),"")</f>
        <v/>
      </c>
      <c r="H192" t="str">
        <f ca="1">IFERROR(IF(0=LEN(ReferenceData!$H$192),"",ReferenceData!$H$192),"")</f>
        <v/>
      </c>
      <c r="I192">
        <f ca="1">IFERROR(IF(0=LEN(ReferenceData!$I$192),"",ReferenceData!$I$192),"")</f>
        <v>58.119710329999997</v>
      </c>
      <c r="J192" t="str">
        <f ca="1">IFERROR(IF(0=LEN(ReferenceData!$J$192),"",ReferenceData!$J$192),"")</f>
        <v/>
      </c>
      <c r="K192" t="str">
        <f ca="1">IFERROR(IF(0=LEN(ReferenceData!$K$192),"",ReferenceData!$K$192),"")</f>
        <v/>
      </c>
      <c r="L192">
        <f ca="1">IFERROR(IF(0=LEN(ReferenceData!$L$192),"",ReferenceData!$L$192),"")</f>
        <v>65.31525791</v>
      </c>
      <c r="M192" t="str">
        <f ca="1">IFERROR(IF(0=LEN(ReferenceData!$M$192),"",ReferenceData!$M$192),"")</f>
        <v/>
      </c>
      <c r="N192" t="str">
        <f ca="1">IFERROR(IF(0=LEN(ReferenceData!$N$192),"",ReferenceData!$N$192),"")</f>
        <v/>
      </c>
      <c r="O192">
        <f ca="1">IFERROR(IF(0=LEN(ReferenceData!$O$192),"",ReferenceData!$O$192),"")</f>
        <v>58.873793200000001</v>
      </c>
      <c r="P192" t="str">
        <f ca="1">IFERROR(IF(0=LEN(ReferenceData!$P$192),"",ReferenceData!$P$192),"")</f>
        <v/>
      </c>
      <c r="Q192" t="str">
        <f ca="1">IFERROR(IF(0=LEN(ReferenceData!$Q$192),"",ReferenceData!$Q$192),"")</f>
        <v/>
      </c>
      <c r="R192">
        <f ca="1">IFERROR(IF(0=LEN(ReferenceData!$R$192),"",ReferenceData!$R$192),"")</f>
        <v>62.500722449999998</v>
      </c>
      <c r="S192" t="str">
        <f ca="1">IFERROR(IF(0=LEN(ReferenceData!$S$192),"",ReferenceData!$S$192),"")</f>
        <v/>
      </c>
      <c r="T192" t="str">
        <f ca="1">IFERROR(IF(0=LEN(ReferenceData!$T$192),"",ReferenceData!$T$192),"")</f>
        <v/>
      </c>
      <c r="U192">
        <f ca="1">IFERROR(IF(0=LEN(ReferenceData!$U$192),"",ReferenceData!$U$192),"")</f>
        <v>56.948478710000003</v>
      </c>
      <c r="V192" t="str">
        <f ca="1">IFERROR(IF(0=LEN(ReferenceData!$V$192),"",ReferenceData!$V$192),"")</f>
        <v/>
      </c>
      <c r="W192" t="str">
        <f ca="1">IFERROR(IF(0=LEN(ReferenceData!$W$192),"",ReferenceData!$W$192),"")</f>
        <v/>
      </c>
      <c r="X192">
        <f ca="1">IFERROR(IF(0=LEN(ReferenceData!$X$192),"",ReferenceData!$X$192),"")</f>
        <v>57.031180159999998</v>
      </c>
      <c r="Y192" t="str">
        <f ca="1">IFERROR(IF(0=LEN(ReferenceData!$Y$192),"",ReferenceData!$Y$192),"")</f>
        <v/>
      </c>
      <c r="Z192" t="str">
        <f ca="1">IFERROR(IF(0=LEN(ReferenceData!$Z$192),"",ReferenceData!$Z$192),"")</f>
        <v/>
      </c>
      <c r="AA192">
        <f ca="1">IFERROR(IF(0=LEN(ReferenceData!$AA$192),"",ReferenceData!$AA$192),"")</f>
        <v>58.347583010000001</v>
      </c>
      <c r="AB192" t="str">
        <f ca="1">IFERROR(IF(0=LEN(ReferenceData!$AB$192),"",ReferenceData!$AB$192),"")</f>
        <v/>
      </c>
      <c r="AC192" t="str">
        <f ca="1">IFERROR(IF(0=LEN(ReferenceData!$AC$192),"",ReferenceData!$AC$192),"")</f>
        <v/>
      </c>
      <c r="AD192">
        <f ca="1">IFERROR(IF(0=LEN(ReferenceData!$AD$192),"",ReferenceData!$AD$192),"")</f>
        <v>59.75628167</v>
      </c>
      <c r="AE192" t="str">
        <f ca="1">IFERROR(IF(0=LEN(ReferenceData!$AE$192),"",ReferenceData!$AE$192),"")</f>
        <v/>
      </c>
      <c r="AF192" t="str">
        <f ca="1">IFERROR(IF(0=LEN(ReferenceData!$AF$192),"",ReferenceData!$AF$192),"")</f>
        <v/>
      </c>
      <c r="AG192">
        <f ca="1">IFERROR(IF(0=LEN(ReferenceData!$AG$192),"",ReferenceData!$AG$192),"")</f>
        <v>54.747973279999997</v>
      </c>
      <c r="AH192" t="str">
        <f ca="1">IFERROR(IF(0=LEN(ReferenceData!$AH$192),"",ReferenceData!$AH$192),"")</f>
        <v/>
      </c>
      <c r="AI192" t="str">
        <f ca="1">IFERROR(IF(0=LEN(ReferenceData!$AI$192),"",ReferenceData!$AI$192),"")</f>
        <v/>
      </c>
      <c r="AJ192">
        <f ca="1">IFERROR(IF(0=LEN(ReferenceData!$AJ$192),"",ReferenceData!$AJ$192),"")</f>
        <v>57.738229230000002</v>
      </c>
      <c r="AK192" t="str">
        <f ca="1">IFERROR(IF(0=LEN(ReferenceData!$AK$192),"",ReferenceData!$AK$192),"")</f>
        <v/>
      </c>
      <c r="AL192" t="str">
        <f ca="1">IFERROR(IF(0=LEN(ReferenceData!$AL$192),"",ReferenceData!$AL$192),"")</f>
        <v/>
      </c>
      <c r="AM192">
        <f ca="1">IFERROR(IF(0=LEN(ReferenceData!$AM$192),"",ReferenceData!$AM$192),"")</f>
        <v>59.98545266</v>
      </c>
      <c r="AN192" t="str">
        <f ca="1">IFERROR(IF(0=LEN(ReferenceData!$AN$192),"",ReferenceData!$AN$192),"")</f>
        <v/>
      </c>
      <c r="AO192" t="str">
        <f ca="1">IFERROR(IF(0=LEN(ReferenceData!$AO$192),"",ReferenceData!$AO$192),"")</f>
        <v/>
      </c>
      <c r="AP192">
        <f ca="1">IFERROR(IF(0=LEN(ReferenceData!$AP$192),"",ReferenceData!$AP$192),"")</f>
        <v>62.87814281</v>
      </c>
      <c r="AQ192" t="str">
        <f ca="1">IFERROR(IF(0=LEN(ReferenceData!$AQ$192),"",ReferenceData!$AQ$192),"")</f>
        <v/>
      </c>
      <c r="AR192" t="str">
        <f ca="1">IFERROR(IF(0=LEN(ReferenceData!$AR$192),"",ReferenceData!$AR$192),"")</f>
        <v/>
      </c>
      <c r="AS192">
        <f ca="1">IFERROR(IF(0=LEN(ReferenceData!$AS$192),"",ReferenceData!$AS$192),"")</f>
        <v>62.785433410000003</v>
      </c>
      <c r="AT192" t="str">
        <f ca="1">IFERROR(IF(0=LEN(ReferenceData!$AT$192),"",ReferenceData!$AT$192),"")</f>
        <v/>
      </c>
      <c r="AU192" t="str">
        <f ca="1">IFERROR(IF(0=LEN(ReferenceData!$AU$192),"",ReferenceData!$AU$192),"")</f>
        <v/>
      </c>
      <c r="AV192">
        <f ca="1">IFERROR(IF(0=LEN(ReferenceData!$AV$192),"",ReferenceData!$AV$192),"")</f>
        <v>66.731190740000002</v>
      </c>
      <c r="AW192" t="str">
        <f ca="1">IFERROR(IF(0=LEN(ReferenceData!$AW$192),"",ReferenceData!$AW$192),"")</f>
        <v/>
      </c>
      <c r="AX192" t="str">
        <f ca="1">IFERROR(IF(0=LEN(ReferenceData!$AX$192),"",ReferenceData!$AX$192),"")</f>
        <v/>
      </c>
      <c r="AY192">
        <f ca="1">IFERROR(IF(0=LEN(ReferenceData!$AY$192),"",ReferenceData!$AY$192),"")</f>
        <v>64.492265250000003</v>
      </c>
      <c r="AZ192" t="str">
        <f ca="1">IFERROR(IF(0=LEN(ReferenceData!$AZ$192),"",ReferenceData!$AZ$192),"")</f>
        <v/>
      </c>
      <c r="BA192" t="str">
        <f ca="1">IFERROR(IF(0=LEN(ReferenceData!$BA$192),"",ReferenceData!$BA$192),"")</f>
        <v/>
      </c>
      <c r="BB192">
        <f ca="1">IFERROR(IF(0=LEN(ReferenceData!$BB$192),"",ReferenceData!$BB$192),"")</f>
        <v>60.019794670000003</v>
      </c>
      <c r="BC192" t="str">
        <f ca="1">IFERROR(IF(0=LEN(ReferenceData!$BC$192),"",ReferenceData!$BC$192),"")</f>
        <v/>
      </c>
      <c r="BD192" t="str">
        <f ca="1">IFERROR(IF(0=LEN(ReferenceData!$BD$192),"",ReferenceData!$BD$192),"")</f>
        <v/>
      </c>
      <c r="BE192">
        <f ca="1">IFERROR(IF(0=LEN(ReferenceData!$BE$192),"",ReferenceData!$BE$192),"")</f>
        <v>66.718095109999993</v>
      </c>
      <c r="BF192" t="str">
        <f ca="1">IFERROR(IF(0=LEN(ReferenceData!$BF$192),"",ReferenceData!$BF$192),"")</f>
        <v/>
      </c>
      <c r="BG192" t="str">
        <f ca="1">IFERROR(IF(0=LEN(ReferenceData!$BG$192),"",ReferenceData!$BG$192),"")</f>
        <v/>
      </c>
      <c r="BH192">
        <f ca="1">IFERROR(IF(0=LEN(ReferenceData!$BH$192),"",ReferenceData!$BH$192),"")</f>
        <v>72.482647580000005</v>
      </c>
      <c r="BI192" t="str">
        <f ca="1">IFERROR(IF(0=LEN(ReferenceData!$BI$192),"",ReferenceData!$BI$192),"")</f>
        <v/>
      </c>
      <c r="BJ192" t="str">
        <f ca="1">IFERROR(IF(0=LEN(ReferenceData!$BJ$192),"",ReferenceData!$BJ$192),"")</f>
        <v/>
      </c>
      <c r="BK192">
        <f ca="1">IFERROR(IF(0=LEN(ReferenceData!$BK$192),"",ReferenceData!$BK$192),"")</f>
        <v>72.670928380000007</v>
      </c>
      <c r="BL192" t="str">
        <f ca="1">IFERROR(IF(0=LEN(ReferenceData!$BL$192),"",ReferenceData!$BL$192),"")</f>
        <v/>
      </c>
      <c r="BM192" t="str">
        <f ca="1">IFERROR(IF(0=LEN(ReferenceData!$BM$192),"",ReferenceData!$BM$192),"")</f>
        <v/>
      </c>
      <c r="BN192">
        <f ca="1">IFERROR(IF(0=LEN(ReferenceData!$BN$192),"",ReferenceData!$BN$192),"")</f>
        <v>68.559108170000002</v>
      </c>
      <c r="BO192" t="str">
        <f ca="1">IFERROR(IF(0=LEN(ReferenceData!$BO$192),"",ReferenceData!$BO$192),"")</f>
        <v/>
      </c>
      <c r="BP192" t="str">
        <f ca="1">IFERROR(IF(0=LEN(ReferenceData!$BP$192),"",ReferenceData!$BP$192),"")</f>
        <v/>
      </c>
      <c r="BQ192">
        <f ca="1">IFERROR(IF(0=LEN(ReferenceData!$BQ$192),"",ReferenceData!$BQ$192),"")</f>
        <v>77.303402829999996</v>
      </c>
      <c r="BR192" t="str">
        <f ca="1">IFERROR(IF(0=LEN(ReferenceData!$BR$192),"",ReferenceData!$BR$192),"")</f>
        <v/>
      </c>
      <c r="BS192" t="str">
        <f ca="1">IFERROR(IF(0=LEN(ReferenceData!$BS$192),"",ReferenceData!$BS$192),"")</f>
        <v/>
      </c>
      <c r="BT192">
        <f ca="1">IFERROR(IF(0=LEN(ReferenceData!$BT$192),"",ReferenceData!$BT$192),"")</f>
        <v>56.760868330000001</v>
      </c>
      <c r="BU192" t="str">
        <f ca="1">IFERROR(IF(0=LEN(ReferenceData!$BU$192),"",ReferenceData!$BU$192),"")</f>
        <v/>
      </c>
      <c r="BV192" t="str">
        <f ca="1">IFERROR(IF(0=LEN(ReferenceData!$BV$192),"",ReferenceData!$BV$192),"")</f>
        <v/>
      </c>
      <c r="BW192">
        <f ca="1">IFERROR(IF(0=LEN(ReferenceData!$BW$192),"",ReferenceData!$BW$192),"")</f>
        <v>70.487153359999994</v>
      </c>
      <c r="BX192" t="str">
        <f ca="1">IFERROR(IF(0=LEN(ReferenceData!$BX$192),"",ReferenceData!$BX$192),"")</f>
        <v/>
      </c>
      <c r="BY192" t="str">
        <f ca="1">IFERROR(IF(0=LEN(ReferenceData!$BY$192),"",ReferenceData!$BY$192),"")</f>
        <v/>
      </c>
      <c r="BZ192">
        <f ca="1">IFERROR(IF(0=LEN(ReferenceData!$BZ$192),"",ReferenceData!$BZ$192),"")</f>
        <v>68.736574360000006</v>
      </c>
      <c r="CA192" t="str">
        <f ca="1">IFERROR(IF(0=LEN(ReferenceData!$CA$192),"",ReferenceData!$CA$192),"")</f>
        <v/>
      </c>
      <c r="CB192" t="str">
        <f ca="1">IFERROR(IF(0=LEN(ReferenceData!$CB$192),"",ReferenceData!$CB$192),"")</f>
        <v/>
      </c>
      <c r="CC192">
        <f ca="1">IFERROR(IF(0=LEN(ReferenceData!$CC$192),"",ReferenceData!$CC$192),"")</f>
        <v>89.100699379999995</v>
      </c>
      <c r="CD192" t="str">
        <f ca="1">IFERROR(IF(0=LEN(ReferenceData!$CD$192),"",ReferenceData!$CD$192),"")</f>
        <v/>
      </c>
      <c r="CE192" t="str">
        <f ca="1">IFERROR(IF(0=LEN(ReferenceData!$CE$192),"",ReferenceData!$CE$192),"")</f>
        <v/>
      </c>
      <c r="CF192">
        <f ca="1">IFERROR(IF(0=LEN(ReferenceData!$CF$192),"",ReferenceData!$CF$192),"")</f>
        <v>83.866067419999993</v>
      </c>
      <c r="CG192" t="str">
        <f ca="1">IFERROR(IF(0=LEN(ReferenceData!$CG$192),"",ReferenceData!$CG$192),"")</f>
        <v/>
      </c>
      <c r="CH192" t="str">
        <f ca="1">IFERROR(IF(0=LEN(ReferenceData!$CH$192),"",ReferenceData!$CH$192),"")</f>
        <v/>
      </c>
      <c r="CI192">
        <f ca="1">IFERROR(IF(0=LEN(ReferenceData!$CI$192),"",ReferenceData!$CI$192),"")</f>
        <v>82.769460039999998</v>
      </c>
      <c r="CJ192" t="str">
        <f ca="1">IFERROR(IF(0=LEN(ReferenceData!$CJ$192),"",ReferenceData!$CJ$192),"")</f>
        <v/>
      </c>
      <c r="CK192" t="str">
        <f ca="1">IFERROR(IF(0=LEN(ReferenceData!$CK$192),"",ReferenceData!$CK$192),"")</f>
        <v/>
      </c>
    </row>
    <row r="193" spans="1:89">
      <c r="A193" t="str">
        <f>IFERROR(IF(0=LEN(ReferenceData!$A$193),"",ReferenceData!$A$193),"")</f>
        <v xml:space="preserve">    Mid-America Apartment Communit</v>
      </c>
      <c r="B193" t="str">
        <f>IFERROR(IF(0=LEN(ReferenceData!$B$193),"",ReferenceData!$B$193),"")</f>
        <v>MAA US Equity</v>
      </c>
      <c r="C193" t="str">
        <f>IFERROR(IF(0=LEN(ReferenceData!$C$193),"",ReferenceData!$C$193),"")</f>
        <v>F0929</v>
      </c>
      <c r="D193" t="str">
        <f>IFERROR(IF(0=LEN(ReferenceData!$D$193),"",ReferenceData!$D$193),"")</f>
        <v>FUNDS_AVAIL_DIST_PAYOUT_RATIO</v>
      </c>
      <c r="E193" t="str">
        <f>IFERROR(IF(0=LEN(ReferenceData!$E$193),"",ReferenceData!$E$193),"")</f>
        <v>动态</v>
      </c>
      <c r="F193" t="str">
        <f ca="1">IFERROR(IF(0=LEN(ReferenceData!$F$193),"",ReferenceData!$F$193),"")</f>
        <v/>
      </c>
      <c r="G193" t="str">
        <f ca="1">IFERROR(IF(0=LEN(ReferenceData!$G$193),"",ReferenceData!$G$193),"")</f>
        <v/>
      </c>
      <c r="H193" t="str">
        <f ca="1">IFERROR(IF(0=LEN(ReferenceData!$H$193),"",ReferenceData!$H$193),"")</f>
        <v/>
      </c>
      <c r="I193">
        <f ca="1">IFERROR(IF(0=LEN(ReferenceData!$I$193),"",ReferenceData!$I$193),"")</f>
        <v>85.731115410000001</v>
      </c>
      <c r="J193" t="str">
        <f ca="1">IFERROR(IF(0=LEN(ReferenceData!$J$193),"",ReferenceData!$J$193),"")</f>
        <v/>
      </c>
      <c r="K193" t="str">
        <f ca="1">IFERROR(IF(0=LEN(ReferenceData!$K$193),"",ReferenceData!$K$193),"")</f>
        <v/>
      </c>
      <c r="L193">
        <f ca="1">IFERROR(IF(0=LEN(ReferenceData!$L$193),"",ReferenceData!$L$193),"")</f>
        <v>80.784392359999998</v>
      </c>
      <c r="M193" t="str">
        <f ca="1">IFERROR(IF(0=LEN(ReferenceData!$M$193),"",ReferenceData!$M$193),"")</f>
        <v/>
      </c>
      <c r="N193" t="str">
        <f ca="1">IFERROR(IF(0=LEN(ReferenceData!$N$193),"",ReferenceData!$N$193),"")</f>
        <v/>
      </c>
      <c r="O193">
        <f ca="1">IFERROR(IF(0=LEN(ReferenceData!$O$193),"",ReferenceData!$O$193),"")</f>
        <v>82.4340495</v>
      </c>
      <c r="P193" t="str">
        <f ca="1">IFERROR(IF(0=LEN(ReferenceData!$P$193),"",ReferenceData!$P$193),"")</f>
        <v/>
      </c>
      <c r="Q193" t="str">
        <f ca="1">IFERROR(IF(0=LEN(ReferenceData!$Q$193),"",ReferenceData!$Q$193),"")</f>
        <v/>
      </c>
      <c r="R193">
        <f ca="1">IFERROR(IF(0=LEN(ReferenceData!$R$193),"",ReferenceData!$R$193),"")</f>
        <v>70.595025379999996</v>
      </c>
      <c r="S193" t="str">
        <f ca="1">IFERROR(IF(0=LEN(ReferenceData!$S$193),"",ReferenceData!$S$193),"")</f>
        <v/>
      </c>
      <c r="T193" t="str">
        <f ca="1">IFERROR(IF(0=LEN(ReferenceData!$T$193),"",ReferenceData!$T$193),"")</f>
        <v/>
      </c>
      <c r="U193">
        <f ca="1">IFERROR(IF(0=LEN(ReferenceData!$U$193),"",ReferenceData!$U$193),"")</f>
        <v>101.1336884</v>
      </c>
      <c r="V193" t="str">
        <f ca="1">IFERROR(IF(0=LEN(ReferenceData!$V$193),"",ReferenceData!$V$193),"")</f>
        <v/>
      </c>
      <c r="W193" t="str">
        <f ca="1">IFERROR(IF(0=LEN(ReferenceData!$W$193),"",ReferenceData!$W$193),"")</f>
        <v/>
      </c>
      <c r="X193">
        <f ca="1">IFERROR(IF(0=LEN(ReferenceData!$X$193),"",ReferenceData!$X$193),"")</f>
        <v>78.259604330000002</v>
      </c>
      <c r="Y193" t="str">
        <f ca="1">IFERROR(IF(0=LEN(ReferenceData!$Y$193),"",ReferenceData!$Y$193),"")</f>
        <v/>
      </c>
      <c r="Z193" t="str">
        <f ca="1">IFERROR(IF(0=LEN(ReferenceData!$Z$193),"",ReferenceData!$Z$193),"")</f>
        <v/>
      </c>
      <c r="AA193">
        <f ca="1">IFERROR(IF(0=LEN(ReferenceData!$AA$193),"",ReferenceData!$AA$193),"")</f>
        <v>79.745247469999995</v>
      </c>
      <c r="AB193" t="str">
        <f ca="1">IFERROR(IF(0=LEN(ReferenceData!$AB$193),"",ReferenceData!$AB$193),"")</f>
        <v/>
      </c>
      <c r="AC193" t="str">
        <f ca="1">IFERROR(IF(0=LEN(ReferenceData!$AC$193),"",ReferenceData!$AC$193),"")</f>
        <v/>
      </c>
      <c r="AD193">
        <f ca="1">IFERROR(IF(0=LEN(ReferenceData!$AD$193),"",ReferenceData!$AD$193),"")</f>
        <v>72.846392469999998</v>
      </c>
      <c r="AE193" t="str">
        <f ca="1">IFERROR(IF(0=LEN(ReferenceData!$AE$193),"",ReferenceData!$AE$193),"")</f>
        <v/>
      </c>
      <c r="AF193" t="str">
        <f ca="1">IFERROR(IF(0=LEN(ReferenceData!$AF$193),"",ReferenceData!$AF$193),"")</f>
        <v/>
      </c>
      <c r="AG193">
        <f ca="1">IFERROR(IF(0=LEN(ReferenceData!$AG$193),"",ReferenceData!$AG$193),"")</f>
        <v>73.381331529999997</v>
      </c>
      <c r="AH193" t="str">
        <f ca="1">IFERROR(IF(0=LEN(ReferenceData!$AH$193),"",ReferenceData!$AH$193),"")</f>
        <v/>
      </c>
      <c r="AI193" t="str">
        <f ca="1">IFERROR(IF(0=LEN(ReferenceData!$AI$193),"",ReferenceData!$AI$193),"")</f>
        <v/>
      </c>
      <c r="AJ193">
        <f ca="1">IFERROR(IF(0=LEN(ReferenceData!$AJ$193),"",ReferenceData!$AJ$193),"")</f>
        <v>84.837755130000005</v>
      </c>
      <c r="AK193" t="str">
        <f ca="1">IFERROR(IF(0=LEN(ReferenceData!$AK$193),"",ReferenceData!$AK$193),"")</f>
        <v/>
      </c>
      <c r="AL193" t="str">
        <f ca="1">IFERROR(IF(0=LEN(ReferenceData!$AL$193),"",ReferenceData!$AL$193),"")</f>
        <v/>
      </c>
      <c r="AM193">
        <f ca="1">IFERROR(IF(0=LEN(ReferenceData!$AM$193),"",ReferenceData!$AM$193),"")</f>
        <v>71.177206960000007</v>
      </c>
      <c r="AN193" t="str">
        <f ca="1">IFERROR(IF(0=LEN(ReferenceData!$AN$193),"",ReferenceData!$AN$193),"")</f>
        <v/>
      </c>
      <c r="AO193" t="str">
        <f ca="1">IFERROR(IF(0=LEN(ReferenceData!$AO$193),"",ReferenceData!$AO$193),"")</f>
        <v/>
      </c>
      <c r="AP193">
        <f ca="1">IFERROR(IF(0=LEN(ReferenceData!$AP$193),"",ReferenceData!$AP$193),"")</f>
        <v>76.129602689999999</v>
      </c>
      <c r="AQ193" t="str">
        <f ca="1">IFERROR(IF(0=LEN(ReferenceData!$AQ$193),"",ReferenceData!$AQ$193),"")</f>
        <v/>
      </c>
      <c r="AR193" t="str">
        <f ca="1">IFERROR(IF(0=LEN(ReferenceData!$AR$193),"",ReferenceData!$AR$193),"")</f>
        <v/>
      </c>
      <c r="AS193">
        <f ca="1">IFERROR(IF(0=LEN(ReferenceData!$AS$193),"",ReferenceData!$AS$193),"")</f>
        <v>65.480490149999994</v>
      </c>
      <c r="AT193" t="str">
        <f ca="1">IFERROR(IF(0=LEN(ReferenceData!$AT$193),"",ReferenceData!$AT$193),"")</f>
        <v/>
      </c>
      <c r="AU193" t="str">
        <f ca="1">IFERROR(IF(0=LEN(ReferenceData!$AU$193),"",ReferenceData!$AU$193),"")</f>
        <v/>
      </c>
      <c r="AV193">
        <f ca="1">IFERROR(IF(0=LEN(ReferenceData!$AV$193),"",ReferenceData!$AV$193),"")</f>
        <v>70.391717659999998</v>
      </c>
      <c r="AW193" t="str">
        <f ca="1">IFERROR(IF(0=LEN(ReferenceData!$AW$193),"",ReferenceData!$AW$193),"")</f>
        <v/>
      </c>
      <c r="AX193" t="str">
        <f ca="1">IFERROR(IF(0=LEN(ReferenceData!$AX$193),"",ReferenceData!$AX$193),"")</f>
        <v/>
      </c>
      <c r="AY193">
        <f ca="1">IFERROR(IF(0=LEN(ReferenceData!$AY$193),"",ReferenceData!$AY$193),"")</f>
        <v>77.996216410000002</v>
      </c>
      <c r="AZ193" t="str">
        <f ca="1">IFERROR(IF(0=LEN(ReferenceData!$AZ$193),"",ReferenceData!$AZ$193),"")</f>
        <v/>
      </c>
      <c r="BA193" t="str">
        <f ca="1">IFERROR(IF(0=LEN(ReferenceData!$BA$193),"",ReferenceData!$BA$193),"")</f>
        <v/>
      </c>
      <c r="BB193">
        <f ca="1">IFERROR(IF(0=LEN(ReferenceData!$BB$193),"",ReferenceData!$BB$193),"")</f>
        <v>64.598371639999996</v>
      </c>
      <c r="BC193" t="str">
        <f ca="1">IFERROR(IF(0=LEN(ReferenceData!$BC$193),"",ReferenceData!$BC$193),"")</f>
        <v/>
      </c>
      <c r="BD193" t="str">
        <f ca="1">IFERROR(IF(0=LEN(ReferenceData!$BD$193),"",ReferenceData!$BD$193),"")</f>
        <v/>
      </c>
      <c r="BE193">
        <f ca="1">IFERROR(IF(0=LEN(ReferenceData!$BE$193),"",ReferenceData!$BE$193),"")</f>
        <v>75.091491959999999</v>
      </c>
      <c r="BF193" t="str">
        <f ca="1">IFERROR(IF(0=LEN(ReferenceData!$BF$193),"",ReferenceData!$BF$193),"")</f>
        <v/>
      </c>
      <c r="BG193" t="str">
        <f ca="1">IFERROR(IF(0=LEN(ReferenceData!$BG$193),"",ReferenceData!$BG$193),"")</f>
        <v/>
      </c>
      <c r="BH193">
        <f ca="1">IFERROR(IF(0=LEN(ReferenceData!$BH$193),"",ReferenceData!$BH$193),"")</f>
        <v>64.561134910000007</v>
      </c>
      <c r="BI193" t="str">
        <f ca="1">IFERROR(IF(0=LEN(ReferenceData!$BI$193),"",ReferenceData!$BI$193),"")</f>
        <v/>
      </c>
      <c r="BJ193" t="str">
        <f ca="1">IFERROR(IF(0=LEN(ReferenceData!$BJ$193),"",ReferenceData!$BJ$193),"")</f>
        <v/>
      </c>
      <c r="BK193">
        <f ca="1">IFERROR(IF(0=LEN(ReferenceData!$BK$193),"",ReferenceData!$BK$193),"")</f>
        <v>66.224256980000007</v>
      </c>
      <c r="BL193" t="str">
        <f ca="1">IFERROR(IF(0=LEN(ReferenceData!$BL$193),"",ReferenceData!$BL$193),"")</f>
        <v/>
      </c>
      <c r="BM193" t="str">
        <f ca="1">IFERROR(IF(0=LEN(ReferenceData!$BM$193),"",ReferenceData!$BM$193),"")</f>
        <v/>
      </c>
      <c r="BN193">
        <f ca="1">IFERROR(IF(0=LEN(ReferenceData!$BN$193),"",ReferenceData!$BN$193),"")</f>
        <v>61.903191640000003</v>
      </c>
      <c r="BO193" t="str">
        <f ca="1">IFERROR(IF(0=LEN(ReferenceData!$BO$193),"",ReferenceData!$BO$193),"")</f>
        <v/>
      </c>
      <c r="BP193" t="str">
        <f ca="1">IFERROR(IF(0=LEN(ReferenceData!$BP$193),"",ReferenceData!$BP$193),"")</f>
        <v/>
      </c>
      <c r="BQ193">
        <f ca="1">IFERROR(IF(0=LEN(ReferenceData!$BQ$193),"",ReferenceData!$BQ$193),"")</f>
        <v>762.7161724</v>
      </c>
      <c r="BR193" t="str">
        <f ca="1">IFERROR(IF(0=LEN(ReferenceData!$BR$193),"",ReferenceData!$BR$193),"")</f>
        <v/>
      </c>
      <c r="BS193" t="str">
        <f ca="1">IFERROR(IF(0=LEN(ReferenceData!$BS$193),"",ReferenceData!$BS$193),"")</f>
        <v/>
      </c>
      <c r="BT193">
        <f ca="1">IFERROR(IF(0=LEN(ReferenceData!$BT$193),"",ReferenceData!$BT$193),"")</f>
        <v>65.906982119999995</v>
      </c>
      <c r="BU193" t="str">
        <f ca="1">IFERROR(IF(0=LEN(ReferenceData!$BU$193),"",ReferenceData!$BU$193),"")</f>
        <v/>
      </c>
      <c r="BV193" t="str">
        <f ca="1">IFERROR(IF(0=LEN(ReferenceData!$BV$193),"",ReferenceData!$BV$193),"")</f>
        <v/>
      </c>
      <c r="BW193">
        <f ca="1">IFERROR(IF(0=LEN(ReferenceData!$BW$193),"",ReferenceData!$BW$193),"")</f>
        <v>72.749614480000005</v>
      </c>
      <c r="BX193" t="str">
        <f ca="1">IFERROR(IF(0=LEN(ReferenceData!$BX$193),"",ReferenceData!$BX$193),"")</f>
        <v/>
      </c>
      <c r="BY193" t="str">
        <f ca="1">IFERROR(IF(0=LEN(ReferenceData!$BY$193),"",ReferenceData!$BY$193),"")</f>
        <v/>
      </c>
      <c r="BZ193">
        <f ca="1">IFERROR(IF(0=LEN(ReferenceData!$BZ$193),"",ReferenceData!$BZ$193),"")</f>
        <v>70.49332819</v>
      </c>
      <c r="CA193" t="str">
        <f ca="1">IFERROR(IF(0=LEN(ReferenceData!$CA$193),"",ReferenceData!$CA$193),"")</f>
        <v/>
      </c>
      <c r="CB193" t="str">
        <f ca="1">IFERROR(IF(0=LEN(ReferenceData!$CB$193),"",ReferenceData!$CB$193),"")</f>
        <v/>
      </c>
      <c r="CC193">
        <f ca="1">IFERROR(IF(0=LEN(ReferenceData!$CC$193),"",ReferenceData!$CC$193),"")</f>
        <v>64.38307854</v>
      </c>
      <c r="CD193" t="str">
        <f ca="1">IFERROR(IF(0=LEN(ReferenceData!$CD$193),"",ReferenceData!$CD$193),"")</f>
        <v/>
      </c>
      <c r="CE193" t="str">
        <f ca="1">IFERROR(IF(0=LEN(ReferenceData!$CE$193),"",ReferenceData!$CE$193),"")</f>
        <v/>
      </c>
      <c r="CF193">
        <f ca="1">IFERROR(IF(0=LEN(ReferenceData!$CF$193),"",ReferenceData!$CF$193),"")</f>
        <v>76.903826359999996</v>
      </c>
      <c r="CG193" t="str">
        <f ca="1">IFERROR(IF(0=LEN(ReferenceData!$CG$193),"",ReferenceData!$CG$193),"")</f>
        <v/>
      </c>
      <c r="CH193" t="str">
        <f ca="1">IFERROR(IF(0=LEN(ReferenceData!$CH$193),"",ReferenceData!$CH$193),"")</f>
        <v/>
      </c>
      <c r="CI193">
        <f ca="1">IFERROR(IF(0=LEN(ReferenceData!$CI$193),"",ReferenceData!$CI$193),"")</f>
        <v>91.575803309999998</v>
      </c>
      <c r="CJ193" t="str">
        <f ca="1">IFERROR(IF(0=LEN(ReferenceData!$CJ$193),"",ReferenceData!$CJ$193),"")</f>
        <v/>
      </c>
      <c r="CK193" t="str">
        <f ca="1">IFERROR(IF(0=LEN(ReferenceData!$CK$193),"",ReferenceData!$CK$193),"")</f>
        <v/>
      </c>
    </row>
    <row r="194" spans="1:89">
      <c r="A194" t="str">
        <f>IFERROR(IF(0=LEN(ReferenceData!$A$194),"",ReferenceData!$A$194),"")</f>
        <v xml:space="preserve">    Monogram Residential Trust Inc</v>
      </c>
      <c r="B194" t="str">
        <f>IFERROR(IF(0=LEN(ReferenceData!$B$194),"",ReferenceData!$B$194),"")</f>
        <v>MORE US Equity</v>
      </c>
      <c r="C194" t="str">
        <f>IFERROR(IF(0=LEN(ReferenceData!$C$194),"",ReferenceData!$C$194),"")</f>
        <v>F0929</v>
      </c>
      <c r="D194" t="str">
        <f>IFERROR(IF(0=LEN(ReferenceData!$D$194),"",ReferenceData!$D$194),"")</f>
        <v>FUNDS_AVAIL_DIST_PAYOUT_RATIO</v>
      </c>
      <c r="E194" t="str">
        <f>IFERROR(IF(0=LEN(ReferenceData!$E$194),"",ReferenceData!$E$194),"")</f>
        <v>动态</v>
      </c>
      <c r="F194" t="str">
        <f ca="1">IFERROR(IF(0=LEN(ReferenceData!$F$194),"",ReferenceData!$F$194),"")</f>
        <v/>
      </c>
      <c r="G194" t="str">
        <f ca="1">IFERROR(IF(0=LEN(ReferenceData!$G$194),"",ReferenceData!$G$194),"")</f>
        <v/>
      </c>
      <c r="H194" t="str">
        <f ca="1">IFERROR(IF(0=LEN(ReferenceData!$H$194),"",ReferenceData!$H$194),"")</f>
        <v/>
      </c>
      <c r="I194" t="str">
        <f ca="1">IFERROR(IF(0=LEN(ReferenceData!$I$194),"",ReferenceData!$I$194),"")</f>
        <v/>
      </c>
      <c r="J194" t="str">
        <f ca="1">IFERROR(IF(0=LEN(ReferenceData!$J$194),"",ReferenceData!$J$194),"")</f>
        <v/>
      </c>
      <c r="K194" t="str">
        <f ca="1">IFERROR(IF(0=LEN(ReferenceData!$K$194),"",ReferenceData!$K$194),"")</f>
        <v/>
      </c>
      <c r="L194" t="str">
        <f ca="1">IFERROR(IF(0=LEN(ReferenceData!$L$194),"",ReferenceData!$L$194),"")</f>
        <v/>
      </c>
      <c r="M194" t="str">
        <f ca="1">IFERROR(IF(0=LEN(ReferenceData!$M$194),"",ReferenceData!$M$194),"")</f>
        <v/>
      </c>
      <c r="N194" t="str">
        <f ca="1">IFERROR(IF(0=LEN(ReferenceData!$N$194),"",ReferenceData!$N$194),"")</f>
        <v/>
      </c>
      <c r="O194">
        <f ca="1">IFERROR(IF(0=LEN(ReferenceData!$O$194),"",ReferenceData!$O$194),"")</f>
        <v>87.982982280000002</v>
      </c>
      <c r="P194" t="str">
        <f ca="1">IFERROR(IF(0=LEN(ReferenceData!$P$194),"",ReferenceData!$P$194),"")</f>
        <v/>
      </c>
      <c r="Q194" t="str">
        <f ca="1">IFERROR(IF(0=LEN(ReferenceData!$Q$194),"",ReferenceData!$Q$194),"")</f>
        <v/>
      </c>
      <c r="R194">
        <f ca="1">IFERROR(IF(0=LEN(ReferenceData!$R$194),"",ReferenceData!$R$194),"")</f>
        <v>108.3419421</v>
      </c>
      <c r="S194" t="str">
        <f ca="1">IFERROR(IF(0=LEN(ReferenceData!$S$194),"",ReferenceData!$S$194),"")</f>
        <v/>
      </c>
      <c r="T194" t="str">
        <f ca="1">IFERROR(IF(0=LEN(ReferenceData!$T$194),"",ReferenceData!$T$194),"")</f>
        <v/>
      </c>
      <c r="U194">
        <f ca="1">IFERROR(IF(0=LEN(ReferenceData!$U$194),"",ReferenceData!$U$194),"")</f>
        <v>63.56857591</v>
      </c>
      <c r="V194" t="str">
        <f ca="1">IFERROR(IF(0=LEN(ReferenceData!$V$194),"",ReferenceData!$V$194),"")</f>
        <v/>
      </c>
      <c r="W194" t="str">
        <f ca="1">IFERROR(IF(0=LEN(ReferenceData!$W$194),"",ReferenceData!$W$194),"")</f>
        <v/>
      </c>
      <c r="X194">
        <f ca="1">IFERROR(IF(0=LEN(ReferenceData!$X$194),"",ReferenceData!$X$194),"")</f>
        <v>76.130267619999998</v>
      </c>
      <c r="Y194" t="str">
        <f ca="1">IFERROR(IF(0=LEN(ReferenceData!$Y$194),"",ReferenceData!$Y$194),"")</f>
        <v/>
      </c>
      <c r="Z194" t="str">
        <f ca="1">IFERROR(IF(0=LEN(ReferenceData!$Z$194),"",ReferenceData!$Z$194),"")</f>
        <v/>
      </c>
      <c r="AA194">
        <f ca="1">IFERROR(IF(0=LEN(ReferenceData!$AA$194),"",ReferenceData!$AA$194),"")</f>
        <v>85.272369580000003</v>
      </c>
      <c r="AB194" t="str">
        <f ca="1">IFERROR(IF(0=LEN(ReferenceData!$AB$194),"",ReferenceData!$AB$194),"")</f>
        <v/>
      </c>
      <c r="AC194" t="str">
        <f ca="1">IFERROR(IF(0=LEN(ReferenceData!$AC$194),"",ReferenceData!$AC$194),"")</f>
        <v/>
      </c>
      <c r="AD194">
        <f ca="1">IFERROR(IF(0=LEN(ReferenceData!$AD$194),"",ReferenceData!$AD$194),"")</f>
        <v>96.966769709999994</v>
      </c>
      <c r="AE194" t="str">
        <f ca="1">IFERROR(IF(0=LEN(ReferenceData!$AE$194),"",ReferenceData!$AE$194),"")</f>
        <v/>
      </c>
      <c r="AF194" t="str">
        <f ca="1">IFERROR(IF(0=LEN(ReferenceData!$AF$194),"",ReferenceData!$AF$194),"")</f>
        <v/>
      </c>
      <c r="AG194">
        <f ca="1">IFERROR(IF(0=LEN(ReferenceData!$AG$194),"",ReferenceData!$AG$194),"")</f>
        <v>86.038308529999995</v>
      </c>
      <c r="AH194" t="str">
        <f ca="1">IFERROR(IF(0=LEN(ReferenceData!$AH$194),"",ReferenceData!$AH$194),"")</f>
        <v/>
      </c>
      <c r="AI194" t="str">
        <f ca="1">IFERROR(IF(0=LEN(ReferenceData!$AI$194),"",ReferenceData!$AI$194),"")</f>
        <v/>
      </c>
      <c r="AJ194">
        <f ca="1">IFERROR(IF(0=LEN(ReferenceData!$AJ$194),"",ReferenceData!$AJ$194),"")</f>
        <v>82.723496839999996</v>
      </c>
      <c r="AK194" t="str">
        <f ca="1">IFERROR(IF(0=LEN(ReferenceData!$AK$194),"",ReferenceData!$AK$194),"")</f>
        <v/>
      </c>
      <c r="AL194" t="str">
        <f ca="1">IFERROR(IF(0=LEN(ReferenceData!$AL$194),"",ReferenceData!$AL$194),"")</f>
        <v/>
      </c>
      <c r="AM194">
        <f ca="1">IFERROR(IF(0=LEN(ReferenceData!$AM$194),"",ReferenceData!$AM$194),"")</f>
        <v>57.847356769999998</v>
      </c>
      <c r="AN194" t="str">
        <f ca="1">IFERROR(IF(0=LEN(ReferenceData!$AN$194),"",ReferenceData!$AN$194),"")</f>
        <v/>
      </c>
      <c r="AO194" t="str">
        <f ca="1">IFERROR(IF(0=LEN(ReferenceData!$AO$194),"",ReferenceData!$AO$194),"")</f>
        <v/>
      </c>
      <c r="AP194">
        <f ca="1">IFERROR(IF(0=LEN(ReferenceData!$AP$194),"",ReferenceData!$AP$194),"")</f>
        <v>86.867242840000003</v>
      </c>
      <c r="AQ194" t="str">
        <f ca="1">IFERROR(IF(0=LEN(ReferenceData!$AQ$194),"",ReferenceData!$AQ$194),"")</f>
        <v/>
      </c>
      <c r="AR194" t="str">
        <f ca="1">IFERROR(IF(0=LEN(ReferenceData!$AR$194),"",ReferenceData!$AR$194),"")</f>
        <v/>
      </c>
      <c r="AS194">
        <f ca="1">IFERROR(IF(0=LEN(ReferenceData!$AS$194),"",ReferenceData!$AS$194),"")</f>
        <v>80.075465739999999</v>
      </c>
      <c r="AT194" t="str">
        <f ca="1">IFERROR(IF(0=LEN(ReferenceData!$AT$194),"",ReferenceData!$AT$194),"")</f>
        <v/>
      </c>
      <c r="AU194" t="str">
        <f ca="1">IFERROR(IF(0=LEN(ReferenceData!$AU$194),"",ReferenceData!$AU$194),"")</f>
        <v/>
      </c>
      <c r="AV194">
        <f ca="1">IFERROR(IF(0=LEN(ReferenceData!$AV$194),"",ReferenceData!$AV$194),"")</f>
        <v>95.276872960000006</v>
      </c>
      <c r="AW194" t="str">
        <f ca="1">IFERROR(IF(0=LEN(ReferenceData!$AW$194),"",ReferenceData!$AW$194),"")</f>
        <v/>
      </c>
      <c r="AX194" t="str">
        <f ca="1">IFERROR(IF(0=LEN(ReferenceData!$AX$194),"",ReferenceData!$AX$194),"")</f>
        <v/>
      </c>
      <c r="AY194">
        <f ca="1">IFERROR(IF(0=LEN(ReferenceData!$AY$194),"",ReferenceData!$AY$194),"")</f>
        <v>106.9372101</v>
      </c>
      <c r="AZ194" t="str">
        <f ca="1">IFERROR(IF(0=LEN(ReferenceData!$AZ$194),"",ReferenceData!$AZ$194),"")</f>
        <v/>
      </c>
      <c r="BA194" t="str">
        <f ca="1">IFERROR(IF(0=LEN(ReferenceData!$BA$194),"",ReferenceData!$BA$194),"")</f>
        <v/>
      </c>
      <c r="BB194">
        <f ca="1">IFERROR(IF(0=LEN(ReferenceData!$BB$194),"",ReferenceData!$BB$194),"")</f>
        <v>104.54440769999999</v>
      </c>
      <c r="BC194" t="str">
        <f ca="1">IFERROR(IF(0=LEN(ReferenceData!$BC$194),"",ReferenceData!$BC$194),"")</f>
        <v/>
      </c>
      <c r="BD194" t="str">
        <f ca="1">IFERROR(IF(0=LEN(ReferenceData!$BD$194),"",ReferenceData!$BD$194),"")</f>
        <v/>
      </c>
      <c r="BE194">
        <f ca="1">IFERROR(IF(0=LEN(ReferenceData!$BE$194),"",ReferenceData!$BE$194),"")</f>
        <v>64.090449169999999</v>
      </c>
      <c r="BF194" t="str">
        <f ca="1">IFERROR(IF(0=LEN(ReferenceData!$BF$194),"",ReferenceData!$BF$194),"")</f>
        <v/>
      </c>
      <c r="BG194" t="str">
        <f ca="1">IFERROR(IF(0=LEN(ReferenceData!$BG$194),"",ReferenceData!$BG$194),"")</f>
        <v/>
      </c>
      <c r="BH194">
        <f ca="1">IFERROR(IF(0=LEN(ReferenceData!$BH$194),"",ReferenceData!$BH$194),"")</f>
        <v>330.4565217</v>
      </c>
      <c r="BI194" t="str">
        <f ca="1">IFERROR(IF(0=LEN(ReferenceData!$BI$194),"",ReferenceData!$BI$194),"")</f>
        <v/>
      </c>
      <c r="BJ194" t="str">
        <f ca="1">IFERROR(IF(0=LEN(ReferenceData!$BJ$194),"",ReferenceData!$BJ$194),"")</f>
        <v/>
      </c>
      <c r="BK194">
        <f ca="1">IFERROR(IF(0=LEN(ReferenceData!$BK$194),"",ReferenceData!$BK$194),"")</f>
        <v>104.2148936</v>
      </c>
      <c r="BL194" t="str">
        <f ca="1">IFERROR(IF(0=LEN(ReferenceData!$BL$194),"",ReferenceData!$BL$194),"")</f>
        <v/>
      </c>
      <c r="BM194" t="str">
        <f ca="1">IFERROR(IF(0=LEN(ReferenceData!$BM$194),"",ReferenceData!$BM$194),"")</f>
        <v/>
      </c>
      <c r="BN194">
        <f ca="1">IFERROR(IF(0=LEN(ReferenceData!$BN$194),"",ReferenceData!$BN$194),"")</f>
        <v>104.757971</v>
      </c>
      <c r="BO194" t="str">
        <f ca="1">IFERROR(IF(0=LEN(ReferenceData!$BO$194),"",ReferenceData!$BO$194),"")</f>
        <v/>
      </c>
      <c r="BP194" t="str">
        <f ca="1">IFERROR(IF(0=LEN(ReferenceData!$BP$194),"",ReferenceData!$BP$194),"")</f>
        <v/>
      </c>
      <c r="BQ194">
        <f ca="1">IFERROR(IF(0=LEN(ReferenceData!$BQ$194),"",ReferenceData!$BQ$194),"")</f>
        <v>0</v>
      </c>
      <c r="BR194" t="str">
        <f ca="1">IFERROR(IF(0=LEN(ReferenceData!$BR$194),"",ReferenceData!$BR$194),"")</f>
        <v/>
      </c>
      <c r="BS194" t="str">
        <f ca="1">IFERROR(IF(0=LEN(ReferenceData!$BS$194),"",ReferenceData!$BS$194),"")</f>
        <v/>
      </c>
      <c r="BT194">
        <f ca="1">IFERROR(IF(0=LEN(ReferenceData!$BT$194),"",ReferenceData!$BT$194),"")</f>
        <v>0</v>
      </c>
      <c r="BU194" t="str">
        <f ca="1">IFERROR(IF(0=LEN(ReferenceData!$BU$194),"",ReferenceData!$BU$194),"")</f>
        <v/>
      </c>
      <c r="BV194" t="str">
        <f ca="1">IFERROR(IF(0=LEN(ReferenceData!$BV$194),"",ReferenceData!$BV$194),"")</f>
        <v/>
      </c>
      <c r="BW194">
        <f ca="1">IFERROR(IF(0=LEN(ReferenceData!$BW$194),"",ReferenceData!$BW$194),"")</f>
        <v>0</v>
      </c>
      <c r="BX194" t="str">
        <f ca="1">IFERROR(IF(0=LEN(ReferenceData!$BX$194),"",ReferenceData!$BX$194),"")</f>
        <v/>
      </c>
      <c r="BY194" t="str">
        <f ca="1">IFERROR(IF(0=LEN(ReferenceData!$BY$194),"",ReferenceData!$BY$194),"")</f>
        <v/>
      </c>
      <c r="BZ194">
        <f ca="1">IFERROR(IF(0=LEN(ReferenceData!$BZ$194),"",ReferenceData!$BZ$194),"")</f>
        <v>0</v>
      </c>
      <c r="CA194" t="str">
        <f ca="1">IFERROR(IF(0=LEN(ReferenceData!$CA$194),"",ReferenceData!$CA$194),"")</f>
        <v/>
      </c>
      <c r="CB194" t="str">
        <f ca="1">IFERROR(IF(0=LEN(ReferenceData!$CB$194),"",ReferenceData!$CB$194),"")</f>
        <v/>
      </c>
      <c r="CC194" t="str">
        <f ca="1">IFERROR(IF(0=LEN(ReferenceData!$CC$194),"",ReferenceData!$CC$194),"")</f>
        <v/>
      </c>
      <c r="CD194" t="str">
        <f ca="1">IFERROR(IF(0=LEN(ReferenceData!$CD$194),"",ReferenceData!$CD$194),"")</f>
        <v/>
      </c>
      <c r="CE194" t="str">
        <f ca="1">IFERROR(IF(0=LEN(ReferenceData!$CE$194),"",ReferenceData!$CE$194),"")</f>
        <v/>
      </c>
      <c r="CF194" t="str">
        <f ca="1">IFERROR(IF(0=LEN(ReferenceData!$CF$194),"",ReferenceData!$CF$194),"")</f>
        <v/>
      </c>
      <c r="CG194" t="str">
        <f ca="1">IFERROR(IF(0=LEN(ReferenceData!$CG$194),"",ReferenceData!$CG$194),"")</f>
        <v/>
      </c>
      <c r="CH194" t="str">
        <f ca="1">IFERROR(IF(0=LEN(ReferenceData!$CH$194),"",ReferenceData!$CH$194),"")</f>
        <v/>
      </c>
      <c r="CI194" t="str">
        <f ca="1">IFERROR(IF(0=LEN(ReferenceData!$CI$194),"",ReferenceData!$CI$194),"")</f>
        <v/>
      </c>
      <c r="CJ194" t="str">
        <f ca="1">IFERROR(IF(0=LEN(ReferenceData!$CJ$194),"",ReferenceData!$CJ$194),"")</f>
        <v/>
      </c>
      <c r="CK194" t="str">
        <f ca="1">IFERROR(IF(0=LEN(ReferenceData!$CK$194),"",ReferenceData!$CK$194),"")</f>
        <v/>
      </c>
    </row>
    <row r="195" spans="1:89">
      <c r="A195" t="str">
        <f>IFERROR(IF(0=LEN(ReferenceData!$A$195),"",ReferenceData!$A$195),"")</f>
        <v xml:space="preserve">    UDR Inc</v>
      </c>
      <c r="B195" t="str">
        <f>IFERROR(IF(0=LEN(ReferenceData!$B$195),"",ReferenceData!$B$195),"")</f>
        <v>UDR US Equity</v>
      </c>
      <c r="C195" t="str">
        <f>IFERROR(IF(0=LEN(ReferenceData!$C$195),"",ReferenceData!$C$195),"")</f>
        <v>F0929</v>
      </c>
      <c r="D195" t="str">
        <f>IFERROR(IF(0=LEN(ReferenceData!$D$195),"",ReferenceData!$D$195),"")</f>
        <v>FUNDS_AVAIL_DIST_PAYOUT_RATIO</v>
      </c>
      <c r="E195" t="str">
        <f>IFERROR(IF(0=LEN(ReferenceData!$E$195),"",ReferenceData!$E$195),"")</f>
        <v>动态</v>
      </c>
      <c r="F195" t="str">
        <f ca="1">IFERROR(IF(0=LEN(ReferenceData!$F$195),"",ReferenceData!$F$195),"")</f>
        <v/>
      </c>
      <c r="G195" t="str">
        <f ca="1">IFERROR(IF(0=LEN(ReferenceData!$G$195),"",ReferenceData!$G$195),"")</f>
        <v/>
      </c>
      <c r="H195" t="str">
        <f ca="1">IFERROR(IF(0=LEN(ReferenceData!$H$195),"",ReferenceData!$H$195),"")</f>
        <v/>
      </c>
      <c r="I195">
        <f ca="1">IFERROR(IF(0=LEN(ReferenceData!$I$195),"",ReferenceData!$I$195),"")</f>
        <v>73.157466729999996</v>
      </c>
      <c r="J195" t="str">
        <f ca="1">IFERROR(IF(0=LEN(ReferenceData!$J$195),"",ReferenceData!$J$195),"")</f>
        <v/>
      </c>
      <c r="K195" t="str">
        <f ca="1">IFERROR(IF(0=LEN(ReferenceData!$K$195),"",ReferenceData!$K$195),"")</f>
        <v/>
      </c>
      <c r="L195">
        <f ca="1">IFERROR(IF(0=LEN(ReferenceData!$L$195),"",ReferenceData!$L$195),"")</f>
        <v>72.497341579999997</v>
      </c>
      <c r="M195" t="str">
        <f ca="1">IFERROR(IF(0=LEN(ReferenceData!$M$195),"",ReferenceData!$M$195),"")</f>
        <v/>
      </c>
      <c r="N195" t="str">
        <f ca="1">IFERROR(IF(0=LEN(ReferenceData!$N$195),"",ReferenceData!$N$195),"")</f>
        <v/>
      </c>
      <c r="O195">
        <f ca="1">IFERROR(IF(0=LEN(ReferenceData!$O$195),"",ReferenceData!$O$195),"")</f>
        <v>71.403031760000005</v>
      </c>
      <c r="P195" t="str">
        <f ca="1">IFERROR(IF(0=LEN(ReferenceData!$P$195),"",ReferenceData!$P$195),"")</f>
        <v/>
      </c>
      <c r="Q195" t="str">
        <f ca="1">IFERROR(IF(0=LEN(ReferenceData!$Q$195),"",ReferenceData!$Q$195),"")</f>
        <v/>
      </c>
      <c r="R195">
        <f ca="1">IFERROR(IF(0=LEN(ReferenceData!$R$195),"",ReferenceData!$R$195),"")</f>
        <v>72.274622600000001</v>
      </c>
      <c r="S195" t="str">
        <f ca="1">IFERROR(IF(0=LEN(ReferenceData!$S$195),"",ReferenceData!$S$195),"")</f>
        <v/>
      </c>
      <c r="T195" t="str">
        <f ca="1">IFERROR(IF(0=LEN(ReferenceData!$T$195),"",ReferenceData!$T$195),"")</f>
        <v/>
      </c>
      <c r="U195">
        <f ca="1">IFERROR(IF(0=LEN(ReferenceData!$U$195),"",ReferenceData!$U$195),"")</f>
        <v>72.88272886</v>
      </c>
      <c r="V195" t="str">
        <f ca="1">IFERROR(IF(0=LEN(ReferenceData!$V$195),"",ReferenceData!$V$195),"")</f>
        <v/>
      </c>
      <c r="W195" t="str">
        <f ca="1">IFERROR(IF(0=LEN(ReferenceData!$W$195),"",ReferenceData!$W$195),"")</f>
        <v/>
      </c>
      <c r="X195">
        <f ca="1">IFERROR(IF(0=LEN(ReferenceData!$X$195),"",ReferenceData!$X$195),"")</f>
        <v>72.386209980000004</v>
      </c>
      <c r="Y195" t="str">
        <f ca="1">IFERROR(IF(0=LEN(ReferenceData!$Y$195),"",ReferenceData!$Y$195),"")</f>
        <v/>
      </c>
      <c r="Z195" t="str">
        <f ca="1">IFERROR(IF(0=LEN(ReferenceData!$Z$195),"",ReferenceData!$Z$195),"")</f>
        <v/>
      </c>
      <c r="AA195">
        <f ca="1">IFERROR(IF(0=LEN(ReferenceData!$AA$195),"",ReferenceData!$AA$195),"")</f>
        <v>72.206177220000001</v>
      </c>
      <c r="AB195" t="str">
        <f ca="1">IFERROR(IF(0=LEN(ReferenceData!$AB$195),"",ReferenceData!$AB$195),"")</f>
        <v/>
      </c>
      <c r="AC195" t="str">
        <f ca="1">IFERROR(IF(0=LEN(ReferenceData!$AC$195),"",ReferenceData!$AC$195),"")</f>
        <v/>
      </c>
      <c r="AD195">
        <f ca="1">IFERROR(IF(0=LEN(ReferenceData!$AD$195),"",ReferenceData!$AD$195),"")</f>
        <v>72.688023860000001</v>
      </c>
      <c r="AE195" t="str">
        <f ca="1">IFERROR(IF(0=LEN(ReferenceData!$AE$195),"",ReferenceData!$AE$195),"")</f>
        <v/>
      </c>
      <c r="AF195" t="str">
        <f ca="1">IFERROR(IF(0=LEN(ReferenceData!$AF$195),"",ReferenceData!$AF$195),"")</f>
        <v/>
      </c>
      <c r="AG195">
        <f ca="1">IFERROR(IF(0=LEN(ReferenceData!$AG$195),"",ReferenceData!$AG$195),"")</f>
        <v>74.034159180000003</v>
      </c>
      <c r="AH195" t="str">
        <f ca="1">IFERROR(IF(0=LEN(ReferenceData!$AH$195),"",ReferenceData!$AH$195),"")</f>
        <v/>
      </c>
      <c r="AI195" t="str">
        <f ca="1">IFERROR(IF(0=LEN(ReferenceData!$AI$195),"",ReferenceData!$AI$195),"")</f>
        <v/>
      </c>
      <c r="AJ195">
        <f ca="1">IFERROR(IF(0=LEN(ReferenceData!$AJ$195),"",ReferenceData!$AJ$195),"")</f>
        <v>74.379841220000003</v>
      </c>
      <c r="AK195" t="str">
        <f ca="1">IFERROR(IF(0=LEN(ReferenceData!$AK$195),"",ReferenceData!$AK$195),"")</f>
        <v/>
      </c>
      <c r="AL195" t="str">
        <f ca="1">IFERROR(IF(0=LEN(ReferenceData!$AL$195),"",ReferenceData!$AL$195),"")</f>
        <v/>
      </c>
      <c r="AM195">
        <f ca="1">IFERROR(IF(0=LEN(ReferenceData!$AM$195),"",ReferenceData!$AM$195),"")</f>
        <v>72.503969389999995</v>
      </c>
      <c r="AN195" t="str">
        <f ca="1">IFERROR(IF(0=LEN(ReferenceData!$AN$195),"",ReferenceData!$AN$195),"")</f>
        <v/>
      </c>
      <c r="AO195" t="str">
        <f ca="1">IFERROR(IF(0=LEN(ReferenceData!$AO$195),"",ReferenceData!$AO$195),"")</f>
        <v/>
      </c>
      <c r="AP195">
        <f ca="1">IFERROR(IF(0=LEN(ReferenceData!$AP$195),"",ReferenceData!$AP$195),"")</f>
        <v>74.314326600000001</v>
      </c>
      <c r="AQ195" t="str">
        <f ca="1">IFERROR(IF(0=LEN(ReferenceData!$AQ$195),"",ReferenceData!$AQ$195),"")</f>
        <v/>
      </c>
      <c r="AR195" t="str">
        <f ca="1">IFERROR(IF(0=LEN(ReferenceData!$AR$195),"",ReferenceData!$AR$195),"")</f>
        <v/>
      </c>
      <c r="AS195">
        <f ca="1">IFERROR(IF(0=LEN(ReferenceData!$AS$195),"",ReferenceData!$AS$195),"")</f>
        <v>76.901388260000004</v>
      </c>
      <c r="AT195" t="str">
        <f ca="1">IFERROR(IF(0=LEN(ReferenceData!$AT$195),"",ReferenceData!$AT$195),"")</f>
        <v/>
      </c>
      <c r="AU195" t="str">
        <f ca="1">IFERROR(IF(0=LEN(ReferenceData!$AU$195),"",ReferenceData!$AU$195),"")</f>
        <v/>
      </c>
      <c r="AV195" t="str">
        <f ca="1">IFERROR(IF(0=LEN(ReferenceData!$AV$195),"",ReferenceData!$AV$195),"")</f>
        <v/>
      </c>
      <c r="AW195" t="str">
        <f ca="1">IFERROR(IF(0=LEN(ReferenceData!$AW$195),"",ReferenceData!$AW$195),"")</f>
        <v/>
      </c>
      <c r="AX195" t="str">
        <f ca="1">IFERROR(IF(0=LEN(ReferenceData!$AX$195),"",ReferenceData!$AX$195),"")</f>
        <v/>
      </c>
      <c r="AY195" t="str">
        <f ca="1">IFERROR(IF(0=LEN(ReferenceData!$AY$195),"",ReferenceData!$AY$195),"")</f>
        <v/>
      </c>
      <c r="AZ195" t="str">
        <f ca="1">IFERROR(IF(0=LEN(ReferenceData!$AZ$195),"",ReferenceData!$AZ$195),"")</f>
        <v/>
      </c>
      <c r="BA195" t="str">
        <f ca="1">IFERROR(IF(0=LEN(ReferenceData!$BA$195),"",ReferenceData!$BA$195),"")</f>
        <v/>
      </c>
      <c r="BB195">
        <f ca="1">IFERROR(IF(0=LEN(ReferenceData!$BB$195),"",ReferenceData!$BB$195),"")</f>
        <v>70.612262419999993</v>
      </c>
      <c r="BC195" t="str">
        <f ca="1">IFERROR(IF(0=LEN(ReferenceData!$BC$195),"",ReferenceData!$BC$195),"")</f>
        <v/>
      </c>
      <c r="BD195" t="str">
        <f ca="1">IFERROR(IF(0=LEN(ReferenceData!$BD$195),"",ReferenceData!$BD$195),"")</f>
        <v/>
      </c>
      <c r="BE195">
        <f ca="1">IFERROR(IF(0=LEN(ReferenceData!$BE$195),"",ReferenceData!$BE$195),"")</f>
        <v>73.860224040000006</v>
      </c>
      <c r="BF195" t="str">
        <f ca="1">IFERROR(IF(0=LEN(ReferenceData!$BF$195),"",ReferenceData!$BF$195),"")</f>
        <v/>
      </c>
      <c r="BG195" t="str">
        <f ca="1">IFERROR(IF(0=LEN(ReferenceData!$BG$195),"",ReferenceData!$BG$195),"")</f>
        <v/>
      </c>
      <c r="BH195">
        <f ca="1">IFERROR(IF(0=LEN(ReferenceData!$BH$195),"",ReferenceData!$BH$195),"")</f>
        <v>75.668617499999996</v>
      </c>
      <c r="BI195" t="str">
        <f ca="1">IFERROR(IF(0=LEN(ReferenceData!$BI$195),"",ReferenceData!$BI$195),"")</f>
        <v/>
      </c>
      <c r="BJ195" t="str">
        <f ca="1">IFERROR(IF(0=LEN(ReferenceData!$BJ$195),"",ReferenceData!$BJ$195),"")</f>
        <v/>
      </c>
      <c r="BK195">
        <f ca="1">IFERROR(IF(0=LEN(ReferenceData!$BK$195),"",ReferenceData!$BK$195),"")</f>
        <v>76.156145570000007</v>
      </c>
      <c r="BL195" t="str">
        <f ca="1">IFERROR(IF(0=LEN(ReferenceData!$BL$195),"",ReferenceData!$BL$195),"")</f>
        <v/>
      </c>
      <c r="BM195" t="str">
        <f ca="1">IFERROR(IF(0=LEN(ReferenceData!$BM$195),"",ReferenceData!$BM$195),"")</f>
        <v/>
      </c>
      <c r="BN195">
        <f ca="1">IFERROR(IF(0=LEN(ReferenceData!$BN$195),"",ReferenceData!$BN$195),"")</f>
        <v>70.264495650000001</v>
      </c>
      <c r="BO195" t="str">
        <f ca="1">IFERROR(IF(0=LEN(ReferenceData!$BO$195),"",ReferenceData!$BO$195),"")</f>
        <v/>
      </c>
      <c r="BP195" t="str">
        <f ca="1">IFERROR(IF(0=LEN(ReferenceData!$BP$195),"",ReferenceData!$BP$195),"")</f>
        <v/>
      </c>
      <c r="BQ195">
        <f ca="1">IFERROR(IF(0=LEN(ReferenceData!$BQ$195),"",ReferenceData!$BQ$195),"")</f>
        <v>65.550243910000006</v>
      </c>
      <c r="BR195" t="str">
        <f ca="1">IFERROR(IF(0=LEN(ReferenceData!$BR$195),"",ReferenceData!$BR$195),"")</f>
        <v/>
      </c>
      <c r="BS195" t="str">
        <f ca="1">IFERROR(IF(0=LEN(ReferenceData!$BS$195),"",ReferenceData!$BS$195),"")</f>
        <v/>
      </c>
      <c r="BT195">
        <f ca="1">IFERROR(IF(0=LEN(ReferenceData!$BT$195),"",ReferenceData!$BT$195),"")</f>
        <v>73.150329409999998</v>
      </c>
      <c r="BU195" t="str">
        <f ca="1">IFERROR(IF(0=LEN(ReferenceData!$BU$195),"",ReferenceData!$BU$195),"")</f>
        <v/>
      </c>
      <c r="BV195" t="str">
        <f ca="1">IFERROR(IF(0=LEN(ReferenceData!$BV$195),"",ReferenceData!$BV$195),"")</f>
        <v/>
      </c>
      <c r="BW195">
        <f ca="1">IFERROR(IF(0=LEN(ReferenceData!$BW$195),"",ReferenceData!$BW$195),"")</f>
        <v>75.100748280000005</v>
      </c>
      <c r="BX195" t="str">
        <f ca="1">IFERROR(IF(0=LEN(ReferenceData!$BX$195),"",ReferenceData!$BX$195),"")</f>
        <v/>
      </c>
      <c r="BY195" t="str">
        <f ca="1">IFERROR(IF(0=LEN(ReferenceData!$BY$195),"",ReferenceData!$BY$195),"")</f>
        <v/>
      </c>
      <c r="BZ195">
        <f ca="1">IFERROR(IF(0=LEN(ReferenceData!$BZ$195),"",ReferenceData!$BZ$195),"")</f>
        <v>67.714412760000002</v>
      </c>
      <c r="CA195" t="str">
        <f ca="1">IFERROR(IF(0=LEN(ReferenceData!$CA$195),"",ReferenceData!$CA$195),"")</f>
        <v/>
      </c>
      <c r="CB195" t="str">
        <f ca="1">IFERROR(IF(0=LEN(ReferenceData!$CB$195),"",ReferenceData!$CB$195),"")</f>
        <v/>
      </c>
      <c r="CC195">
        <f ca="1">IFERROR(IF(0=LEN(ReferenceData!$CC$195),"",ReferenceData!$CC$195),"")</f>
        <v>72.615547419999999</v>
      </c>
      <c r="CD195" t="str">
        <f ca="1">IFERROR(IF(0=LEN(ReferenceData!$CD$195),"",ReferenceData!$CD$195),"")</f>
        <v/>
      </c>
      <c r="CE195" t="str">
        <f ca="1">IFERROR(IF(0=LEN(ReferenceData!$CE$195),"",ReferenceData!$CE$195),"")</f>
        <v/>
      </c>
      <c r="CF195">
        <f ca="1">IFERROR(IF(0=LEN(ReferenceData!$CF$195),"",ReferenceData!$CF$195),"")</f>
        <v>58.593371060000003</v>
      </c>
      <c r="CG195" t="str">
        <f ca="1">IFERROR(IF(0=LEN(ReferenceData!$CG$195),"",ReferenceData!$CG$195),"")</f>
        <v/>
      </c>
      <c r="CH195" t="str">
        <f ca="1">IFERROR(IF(0=LEN(ReferenceData!$CH$195),"",ReferenceData!$CH$195),"")</f>
        <v/>
      </c>
      <c r="CI195">
        <f ca="1">IFERROR(IF(0=LEN(ReferenceData!$CI$195),"",ReferenceData!$CI$195),"")</f>
        <v>59.92166855</v>
      </c>
      <c r="CJ195" t="str">
        <f ca="1">IFERROR(IF(0=LEN(ReferenceData!$CJ$195),"",ReferenceData!$CJ$195),"")</f>
        <v/>
      </c>
      <c r="CK195" t="str">
        <f ca="1">IFERROR(IF(0=LEN(ReferenceData!$CK$195),"",ReferenceData!$CK$195),"")</f>
        <v/>
      </c>
    </row>
    <row r="196" spans="1:89">
      <c r="A196" t="str">
        <f>IFERROR(IF(0=LEN(ReferenceData!$A$196),"",ReferenceData!$A$196),"")</f>
        <v>股息率</v>
      </c>
      <c r="B196" t="str">
        <f>IFERROR(IF(0=LEN(ReferenceData!$B$196),"",ReferenceData!$B$196),"")</f>
        <v>BRFREITV Index</v>
      </c>
      <c r="C196" t="str">
        <f>IFERROR(IF(0=LEN(ReferenceData!$C$196),"",ReferenceData!$C$196),"")</f>
        <v/>
      </c>
      <c r="D196" t="str">
        <f>IFERROR(IF(0=LEN(ReferenceData!$D$196),"",ReferenceData!$D$196),"")</f>
        <v/>
      </c>
      <c r="E196" t="str">
        <f>IFERROR(IF(0=LEN(ReferenceData!$E$196),"",ReferenceData!$E$196),"")</f>
        <v>Average</v>
      </c>
      <c r="F196">
        <f ca="1">IFERROR(IF(0=LEN(ReferenceData!$F$196),"",ReferenceData!$F$196),"")</f>
        <v>3.6159460474285714</v>
      </c>
      <c r="G196">
        <f ca="1">IFERROR(IF(0=LEN(ReferenceData!$G$196),"",ReferenceData!$G$196),"")</f>
        <v>3.7799846594285715</v>
      </c>
      <c r="H196">
        <f ca="1">IFERROR(IF(0=LEN(ReferenceData!$H$196),"",ReferenceData!$H$196),"")</f>
        <v>3.4411614290000001</v>
      </c>
      <c r="I196">
        <f ca="1">IFERROR(IF(0=LEN(ReferenceData!$I$196),"",ReferenceData!$I$196),"")</f>
        <v>3.2407608789999998</v>
      </c>
      <c r="J196">
        <f ca="1">IFERROR(IF(0=LEN(ReferenceData!$J$196),"",ReferenceData!$J$196),"")</f>
        <v>3.154950756285714</v>
      </c>
      <c r="K196">
        <f ca="1">IFERROR(IF(0=LEN(ReferenceData!$K$196),"",ReferenceData!$K$196),"")</f>
        <v>3.1363815395714281</v>
      </c>
      <c r="L196">
        <f ca="1">IFERROR(IF(0=LEN(ReferenceData!$L$196),"",ReferenceData!$L$196),"")</f>
        <v>3.153654049</v>
      </c>
      <c r="M196">
        <f ca="1">IFERROR(IF(0=LEN(ReferenceData!$M$196),"",ReferenceData!$M$196),"")</f>
        <v>3.0929591917142858</v>
      </c>
      <c r="N196">
        <f ca="1">IFERROR(IF(0=LEN(ReferenceData!$N$196),"",ReferenceData!$N$196),"")</f>
        <v>3.0896780195714291</v>
      </c>
      <c r="O196">
        <f ca="1">IFERROR(IF(0=LEN(ReferenceData!$O$196),"",ReferenceData!$O$196),"")</f>
        <v>3.1544734257142859</v>
      </c>
      <c r="P196">
        <f ca="1">IFERROR(IF(0=LEN(ReferenceData!$P$196),"",ReferenceData!$P$196),"")</f>
        <v>3.1959786942857145</v>
      </c>
      <c r="Q196">
        <f ca="1">IFERROR(IF(0=LEN(ReferenceData!$Q$196),"",ReferenceData!$Q$196),"")</f>
        <v>3.2485844762857141</v>
      </c>
      <c r="R196">
        <f ca="1">IFERROR(IF(0=LEN(ReferenceData!$R$196),"",ReferenceData!$R$196),"")</f>
        <v>3.3101781838571429</v>
      </c>
      <c r="S196">
        <f ca="1">IFERROR(IF(0=LEN(ReferenceData!$S$196),"",ReferenceData!$S$196),"")</f>
        <v>3.2181750519999994</v>
      </c>
      <c r="T196">
        <f ca="1">IFERROR(IF(0=LEN(ReferenceData!$T$196),"",ReferenceData!$T$196),"")</f>
        <v>3.3119398771428572</v>
      </c>
      <c r="U196">
        <f ca="1">IFERROR(IF(0=LEN(ReferenceData!$U$196),"",ReferenceData!$U$196),"")</f>
        <v>3.1704421690000002</v>
      </c>
      <c r="V196">
        <f ca="1">IFERROR(IF(0=LEN(ReferenceData!$V$196),"",ReferenceData!$V$196),"")</f>
        <v>3.3710977695714286</v>
      </c>
      <c r="W196">
        <f ca="1">IFERROR(IF(0=LEN(ReferenceData!$W$196),"",ReferenceData!$W$196),"")</f>
        <v>3.2852523678571433</v>
      </c>
      <c r="X196">
        <f ca="1">IFERROR(IF(0=LEN(ReferenceData!$X$196),"",ReferenceData!$X$196),"")</f>
        <v>3.1812392511428578</v>
      </c>
      <c r="Y196">
        <f ca="1">IFERROR(IF(0=LEN(ReferenceData!$Y$196),"",ReferenceData!$Y$196),"")</f>
        <v>3.1572524122857146</v>
      </c>
      <c r="Z196">
        <f ca="1">IFERROR(IF(0=LEN(ReferenceData!$Z$196),"",ReferenceData!$Z$196),"")</f>
        <v>3.0131550427142857</v>
      </c>
      <c r="AA196">
        <f ca="1">IFERROR(IF(0=LEN(ReferenceData!$AA$196),"",ReferenceData!$AA$196),"")</f>
        <v>3.0550908681428575</v>
      </c>
      <c r="AB196">
        <f ca="1">IFERROR(IF(0=LEN(ReferenceData!$AB$196),"",ReferenceData!$AB$196),"")</f>
        <v>3.1150651875714286</v>
      </c>
      <c r="AC196">
        <f ca="1">IFERROR(IF(0=LEN(ReferenceData!$AC$196),"",ReferenceData!$AC$196),"")</f>
        <v>3.2478759784285716</v>
      </c>
      <c r="AD196">
        <f ca="1">IFERROR(IF(0=LEN(ReferenceData!$AD$196),"",ReferenceData!$AD$196),"")</f>
        <v>3.0367154365714284</v>
      </c>
      <c r="AE196">
        <f ca="1">IFERROR(IF(0=LEN(ReferenceData!$AE$196),"",ReferenceData!$AE$196),"")</f>
        <v>3.381535960571429</v>
      </c>
      <c r="AF196">
        <f ca="1">IFERROR(IF(0=LEN(ReferenceData!$AF$196),"",ReferenceData!$AF$196),"")</f>
        <v>3.2005194548571425</v>
      </c>
      <c r="AG196">
        <f ca="1">IFERROR(IF(0=LEN(ReferenceData!$AG$196),"",ReferenceData!$AG$196),"")</f>
        <v>3.0059942342857147</v>
      </c>
      <c r="AH196">
        <f ca="1">IFERROR(IF(0=LEN(ReferenceData!$AH$196),"",ReferenceData!$AH$196),"")</f>
        <v>3.044967953</v>
      </c>
      <c r="AI196">
        <f ca="1">IFERROR(IF(0=LEN(ReferenceData!$AI$196),"",ReferenceData!$AI$196),"")</f>
        <v>3.1463228634285718</v>
      </c>
      <c r="AJ196">
        <f ca="1">IFERROR(IF(0=LEN(ReferenceData!$AJ$196),"",ReferenceData!$AJ$196),"")</f>
        <v>3.1988375331428571</v>
      </c>
      <c r="AK196">
        <f ca="1">IFERROR(IF(0=LEN(ReferenceData!$AK$196),"",ReferenceData!$AK$196),"")</f>
        <v>3.3411717937142851</v>
      </c>
      <c r="AL196">
        <f ca="1">IFERROR(IF(0=LEN(ReferenceData!$AL$196),"",ReferenceData!$AL$196),"")</f>
        <v>3.1600089987142854</v>
      </c>
      <c r="AM196">
        <f ca="1">IFERROR(IF(0=LEN(ReferenceData!$AM$196),"",ReferenceData!$AM$196),"")</f>
        <v>3.3860320484285715</v>
      </c>
      <c r="AN196">
        <f ca="1">IFERROR(IF(0=LEN(ReferenceData!$AN$196),"",ReferenceData!$AN$196),"")</f>
        <v>3.2718690564285713</v>
      </c>
      <c r="AO196">
        <f ca="1">IFERROR(IF(0=LEN(ReferenceData!$AO$196),"",ReferenceData!$AO$196),"")</f>
        <v>3.2935750288571426</v>
      </c>
      <c r="AP196">
        <f ca="1">IFERROR(IF(0=LEN(ReferenceData!$AP$196),"",ReferenceData!$AP$196),"")</f>
        <v>3.127207932142857</v>
      </c>
      <c r="AQ196">
        <f ca="1">IFERROR(IF(0=LEN(ReferenceData!$AQ$196),"",ReferenceData!$AQ$196),"")</f>
        <v>3.2116242951428573</v>
      </c>
      <c r="AR196">
        <f ca="1">IFERROR(IF(0=LEN(ReferenceData!$AR$196),"",ReferenceData!$AR$196),"")</f>
        <v>3.0316323795714282</v>
      </c>
      <c r="AS196">
        <f ca="1">IFERROR(IF(0=LEN(ReferenceData!$AS$196),"",ReferenceData!$AS$196),"")</f>
        <v>3.1448844751428569</v>
      </c>
      <c r="AT196">
        <f ca="1">IFERROR(IF(0=LEN(ReferenceData!$AT$196),"",ReferenceData!$AT$196),"")</f>
        <v>3.1222658622857145</v>
      </c>
      <c r="AU196">
        <f ca="1">IFERROR(IF(0=LEN(ReferenceData!$AU$196),"",ReferenceData!$AU$196),"")</f>
        <v>3.1931246271428573</v>
      </c>
      <c r="AV196">
        <f ca="1">IFERROR(IF(0=LEN(ReferenceData!$AV$196),"",ReferenceData!$AV$196),"")</f>
        <v>3.5476334535714282</v>
      </c>
      <c r="AW196">
        <f ca="1">IFERROR(IF(0=LEN(ReferenceData!$AW$196),"",ReferenceData!$AW$196),"")</f>
        <v>3.254819567428572</v>
      </c>
      <c r="AX196">
        <f ca="1">IFERROR(IF(0=LEN(ReferenceData!$AX$196),"",ReferenceData!$AX$196),"")</f>
        <v>3.3448220238571422</v>
      </c>
      <c r="AY196">
        <f ca="1">IFERROR(IF(0=LEN(ReferenceData!$AY$196),"",ReferenceData!$AY$196),"")</f>
        <v>3.4018735739999997</v>
      </c>
      <c r="AZ196">
        <f ca="1">IFERROR(IF(0=LEN(ReferenceData!$AZ$196),"",ReferenceData!$AZ$196),"")</f>
        <v>3.4370564245714279</v>
      </c>
      <c r="BA196">
        <f ca="1">IFERROR(IF(0=LEN(ReferenceData!$BA$196),"",ReferenceData!$BA$196),"")</f>
        <v>3.5711729065714288</v>
      </c>
      <c r="BB196">
        <f ca="1">IFERROR(IF(0=LEN(ReferenceData!$BB$196),"",ReferenceData!$BB$196),"")</f>
        <v>3.6419628765714287</v>
      </c>
      <c r="BC196">
        <f ca="1">IFERROR(IF(0=LEN(ReferenceData!$BC$196),"",ReferenceData!$BC$196),"")</f>
        <v>3.762107015571428</v>
      </c>
      <c r="BD196">
        <f ca="1">IFERROR(IF(0=LEN(ReferenceData!$BD$196),"",ReferenceData!$BD$196),"")</f>
        <v>3.9832955520000004</v>
      </c>
      <c r="BE196">
        <f ca="1">IFERROR(IF(0=LEN(ReferenceData!$BE$196),"",ReferenceData!$BE$196),"")</f>
        <v>4.1391094031428572</v>
      </c>
      <c r="BF196">
        <f ca="1">IFERROR(IF(0=LEN(ReferenceData!$BF$196),"",ReferenceData!$BF$196),"")</f>
        <v>3.8187119762857145</v>
      </c>
      <c r="BG196">
        <f ca="1">IFERROR(IF(0=LEN(ReferenceData!$BG$196),"",ReferenceData!$BG$196),"")</f>
        <v>3.5452010957142859</v>
      </c>
      <c r="BH196">
        <f ca="1">IFERROR(IF(0=LEN(ReferenceData!$BH$196),"",ReferenceData!$BH$196),"")</f>
        <v>3.654727525857143</v>
      </c>
      <c r="BI196">
        <f ca="1">IFERROR(IF(0=LEN(ReferenceData!$BI$196),"",ReferenceData!$BI$196),"")</f>
        <v>3.7357574521428569</v>
      </c>
      <c r="BJ196">
        <f ca="1">IFERROR(IF(0=LEN(ReferenceData!$BJ$196),"",ReferenceData!$BJ$196),"")</f>
        <v>3.3899697891428575</v>
      </c>
      <c r="BK196">
        <f ca="1">IFERROR(IF(0=LEN(ReferenceData!$BK$196),"",ReferenceData!$BK$196),"")</f>
        <v>3.3720230550000001</v>
      </c>
      <c r="BL196">
        <f ca="1">IFERROR(IF(0=LEN(ReferenceData!$BL$196),"",ReferenceData!$BL$196),"")</f>
        <v>3.4134912581428574</v>
      </c>
      <c r="BM196">
        <f ca="1">IFERROR(IF(0=LEN(ReferenceData!$BM$196),"",ReferenceData!$BM$196),"")</f>
        <v>3.3561576397142856</v>
      </c>
      <c r="BN196">
        <f ca="1">IFERROR(IF(0=LEN(ReferenceData!$BN$196),"",ReferenceData!$BN$196),"")</f>
        <v>3.4586731378571427</v>
      </c>
      <c r="BO196">
        <f ca="1">IFERROR(IF(0=LEN(ReferenceData!$BO$196),"",ReferenceData!$BO$196),"")</f>
        <v>3.8332048711428572</v>
      </c>
      <c r="BP196">
        <f ca="1">IFERROR(IF(0=LEN(ReferenceData!$BP$196),"",ReferenceData!$BP$196),"")</f>
        <v>3.8269079017142857</v>
      </c>
      <c r="BQ196">
        <f ca="1">IFERROR(IF(0=LEN(ReferenceData!$BQ$196),"",ReferenceData!$BQ$196),"")</f>
        <v>3.6448045012857144</v>
      </c>
      <c r="BR196">
        <f ca="1">IFERROR(IF(0=LEN(ReferenceData!$BR$196),"",ReferenceData!$BR$196),"")</f>
        <v>3.309870589</v>
      </c>
      <c r="BS196">
        <f ca="1">IFERROR(IF(0=LEN(ReferenceData!$BS$196),"",ReferenceData!$BS$196),"")</f>
        <v>3.1804440288571425</v>
      </c>
      <c r="BT196">
        <f ca="1">IFERROR(IF(0=LEN(ReferenceData!$BT$196),"",ReferenceData!$BT$196),"")</f>
        <v>3.1867449081428569</v>
      </c>
      <c r="BU196">
        <f ca="1">IFERROR(IF(0=LEN(ReferenceData!$BU$196),"",ReferenceData!$BU$196),"")</f>
        <v>3.0695428578571433</v>
      </c>
      <c r="BV196">
        <f ca="1">IFERROR(IF(0=LEN(ReferenceData!$BV$196),"",ReferenceData!$BV$196),"")</f>
        <v>2.9218318358571431</v>
      </c>
      <c r="BW196">
        <f ca="1">IFERROR(IF(0=LEN(ReferenceData!$BW$196),"",ReferenceData!$BW$196),"")</f>
        <v>3.0020106962857147</v>
      </c>
      <c r="BX196">
        <f ca="1">IFERROR(IF(0=LEN(ReferenceData!$BX$196),"",ReferenceData!$BX$196),"")</f>
        <v>3.0465037208571428</v>
      </c>
      <c r="BY196">
        <f ca="1">IFERROR(IF(0=LEN(ReferenceData!$BY$196),"",ReferenceData!$BY$196),"")</f>
        <v>2.9762538465714283</v>
      </c>
      <c r="BZ196">
        <f ca="1">IFERROR(IF(0=LEN(ReferenceData!$BZ$196),"",ReferenceData!$BZ$196),"")</f>
        <v>3.0244549431428571</v>
      </c>
      <c r="CA196">
        <f ca="1">IFERROR(IF(0=LEN(ReferenceData!$CA$196),"",ReferenceData!$CA$196),"")</f>
        <v>3.407906441857143</v>
      </c>
      <c r="CB196">
        <f ca="1">IFERROR(IF(0=LEN(ReferenceData!$CB$196),"",ReferenceData!$CB$196),"")</f>
        <v>3.107726908714286</v>
      </c>
      <c r="CC196">
        <f ca="1">IFERROR(IF(0=LEN(ReferenceData!$CC$196),"",ReferenceData!$CC$196),"")</f>
        <v>3.2236736688571428</v>
      </c>
      <c r="CD196">
        <f ca="1">IFERROR(IF(0=LEN(ReferenceData!$CD$196),"",ReferenceData!$CD$196),"")</f>
        <v>3.1170043270000001</v>
      </c>
      <c r="CE196">
        <f ca="1">IFERROR(IF(0=LEN(ReferenceData!$CE$196),"",ReferenceData!$CE$196),"")</f>
        <v>2.8991779688571429</v>
      </c>
      <c r="CF196">
        <f ca="1">IFERROR(IF(0=LEN(ReferenceData!$CF$196),"",ReferenceData!$CF$196),"")</f>
        <v>3.2423784531428566</v>
      </c>
      <c r="CG196">
        <f ca="1">IFERROR(IF(0=LEN(ReferenceData!$CG$196),"",ReferenceData!$CG$196),"")</f>
        <v>2.7098058782857142</v>
      </c>
      <c r="CH196">
        <f ca="1">IFERROR(IF(0=LEN(ReferenceData!$CH$196),"",ReferenceData!$CH$196),"")</f>
        <v>2.7249860977142859</v>
      </c>
      <c r="CI196">
        <f ca="1">IFERROR(IF(0=LEN(ReferenceData!$CI$196),"",ReferenceData!$CI$196),"")</f>
        <v>2.863572985571428</v>
      </c>
      <c r="CJ196">
        <f ca="1">IFERROR(IF(0=LEN(ReferenceData!$CJ$196),"",ReferenceData!$CJ$196),"")</f>
        <v>2.7478996511428568</v>
      </c>
      <c r="CK196">
        <f ca="1">IFERROR(IF(0=LEN(ReferenceData!$CK$196),"",ReferenceData!$CK$196),"")</f>
        <v>2.8095544628571427</v>
      </c>
    </row>
    <row r="197" spans="1:89">
      <c r="A197" t="str">
        <f>IFERROR(IF(0=LEN(ReferenceData!$A$197),"",ReferenceData!$A$197),"")</f>
        <v xml:space="preserve">    公寓投资与管理</v>
      </c>
      <c r="B197" t="str">
        <f>IFERROR(IF(0=LEN(ReferenceData!$B$197),"",ReferenceData!$B$197),"")</f>
        <v>AIV US Equity</v>
      </c>
      <c r="C197" t="str">
        <f>IFERROR(IF(0=LEN(ReferenceData!$C$197),"",ReferenceData!$C$197),"")</f>
        <v>DV013</v>
      </c>
      <c r="D197" t="str">
        <f>IFERROR(IF(0=LEN(ReferenceData!$D$197),"",ReferenceData!$D$197),"")</f>
        <v>EQY_DVD_YLD_IND</v>
      </c>
      <c r="E197" t="str">
        <f>IFERROR(IF(0=LEN(ReferenceData!$E$197),"",ReferenceData!$E$197),"")</f>
        <v>动态</v>
      </c>
      <c r="F197">
        <f ca="1">IFERROR(IF(0=LEN(ReferenceData!$F$197),"",ReferenceData!$F$197),"")</f>
        <v>3.795255955</v>
      </c>
      <c r="G197">
        <f ca="1">IFERROR(IF(0=LEN(ReferenceData!$G$197),"",ReferenceData!$G$197),"")</f>
        <v>3.931712315</v>
      </c>
      <c r="H197">
        <f ca="1">IFERROR(IF(0=LEN(ReferenceData!$H$197),"",ReferenceData!$H$197),"")</f>
        <v>3.6328871440000001</v>
      </c>
      <c r="I197">
        <f ca="1">IFERROR(IF(0=LEN(ReferenceData!$I$197),"",ReferenceData!$I$197),"")</f>
        <v>3.2944407619999998</v>
      </c>
      <c r="J197">
        <f ca="1">IFERROR(IF(0=LEN(ReferenceData!$J$197),"",ReferenceData!$J$197),"")</f>
        <v>3.2660468520000001</v>
      </c>
      <c r="K197">
        <f ca="1">IFERROR(IF(0=LEN(ReferenceData!$K$197),"",ReferenceData!$K$197),"")</f>
        <v>3.274215683</v>
      </c>
      <c r="L197">
        <f ca="1">IFERROR(IF(0=LEN(ReferenceData!$L$197),"",ReferenceData!$L$197),"")</f>
        <v>3.2831738650000002</v>
      </c>
      <c r="M197">
        <f ca="1">IFERROR(IF(0=LEN(ReferenceData!$M$197),"",ReferenceData!$M$197),"")</f>
        <v>3.176704296</v>
      </c>
      <c r="N197">
        <f ca="1">IFERROR(IF(0=LEN(ReferenceData!$N$197),"",ReferenceData!$N$197),"")</f>
        <v>3.1613612670000002</v>
      </c>
      <c r="O197">
        <f ca="1">IFERROR(IF(0=LEN(ReferenceData!$O$197),"",ReferenceData!$O$197),"")</f>
        <v>3.3511753720000002</v>
      </c>
      <c r="P197">
        <f ca="1">IFERROR(IF(0=LEN(ReferenceData!$P$197),"",ReferenceData!$P$197),"")</f>
        <v>3.35507935</v>
      </c>
      <c r="Q197">
        <f ca="1">IFERROR(IF(0=LEN(ReferenceData!$Q$197),"",ReferenceData!$Q$197),"")</f>
        <v>3.292181201</v>
      </c>
      <c r="R197">
        <f ca="1">IFERROR(IF(0=LEN(ReferenceData!$R$197),"",ReferenceData!$R$197),"")</f>
        <v>3.2468997910000001</v>
      </c>
      <c r="S197">
        <f ca="1">IFERROR(IF(0=LEN(ReferenceData!$S$197),"",ReferenceData!$S$197),"")</f>
        <v>3.094777686</v>
      </c>
      <c r="T197">
        <f ca="1">IFERROR(IF(0=LEN(ReferenceData!$T$197),"",ReferenceData!$T$197),"")</f>
        <v>3.2675290609999998</v>
      </c>
      <c r="U197">
        <f ca="1">IFERROR(IF(0=LEN(ReferenceData!$U$197),"",ReferenceData!$U$197),"")</f>
        <v>2.9042905440000002</v>
      </c>
      <c r="V197">
        <f ca="1">IFERROR(IF(0=LEN(ReferenceData!$V$197),"",ReferenceData!$V$197),"")</f>
        <v>3.135392049</v>
      </c>
      <c r="W197">
        <f ca="1">IFERROR(IF(0=LEN(ReferenceData!$W$197),"",ReferenceData!$W$197),"")</f>
        <v>2.9952349730000001</v>
      </c>
      <c r="X197">
        <f ca="1">IFERROR(IF(0=LEN(ReferenceData!$X$197),"",ReferenceData!$X$197),"")</f>
        <v>2.8751907050000001</v>
      </c>
      <c r="Y197">
        <f ca="1">IFERROR(IF(0=LEN(ReferenceData!$Y$197),"",ReferenceData!$Y$197),"")</f>
        <v>2.9216468619999998</v>
      </c>
      <c r="Z197">
        <f ca="1">IFERROR(IF(0=LEN(ReferenceData!$Z$197),"",ReferenceData!$Z$197),"")</f>
        <v>2.8714380080000002</v>
      </c>
      <c r="AA197">
        <f ca="1">IFERROR(IF(0=LEN(ReferenceData!$AA$197),"",ReferenceData!$AA$197),"")</f>
        <v>2.9891305539999999</v>
      </c>
      <c r="AB197">
        <f ca="1">IFERROR(IF(0=LEN(ReferenceData!$AB$197),"",ReferenceData!$AB$197),"")</f>
        <v>3.0949590910000002</v>
      </c>
      <c r="AC197">
        <f ca="1">IFERROR(IF(0=LEN(ReferenceData!$AC$197),"",ReferenceData!$AC$197),"")</f>
        <v>3.2950575450000001</v>
      </c>
      <c r="AD197">
        <f ca="1">IFERROR(IF(0=LEN(ReferenceData!$AD$197),"",ReferenceData!$AD$197),"")</f>
        <v>3.1563846299999998</v>
      </c>
      <c r="AE197">
        <f ca="1">IFERROR(IF(0=LEN(ReferenceData!$AE$197),"",ReferenceData!$AE$197),"")</f>
        <v>3.6055723909999999</v>
      </c>
      <c r="AF197">
        <f ca="1">IFERROR(IF(0=LEN(ReferenceData!$AF$197),"",ReferenceData!$AF$197),"")</f>
        <v>3.3716476439999998</v>
      </c>
      <c r="AG197">
        <f ca="1">IFERROR(IF(0=LEN(ReferenceData!$AG$197),"",ReferenceData!$AG$197),"")</f>
        <v>2.997751805</v>
      </c>
      <c r="AH197">
        <f ca="1">IFERROR(IF(0=LEN(ReferenceData!$AH$197),"",ReferenceData!$AH$197),"")</f>
        <v>3.1487799729999999</v>
      </c>
      <c r="AI197">
        <f ca="1">IFERROR(IF(0=LEN(ReferenceData!$AI$197),"",ReferenceData!$AI$197),"")</f>
        <v>3.0620057350000001</v>
      </c>
      <c r="AJ197">
        <f ca="1">IFERROR(IF(0=LEN(ReferenceData!$AJ$197),"",ReferenceData!$AJ$197),"")</f>
        <v>3.2414912149999999</v>
      </c>
      <c r="AK197">
        <f ca="1">IFERROR(IF(0=LEN(ReferenceData!$AK$197),"",ReferenceData!$AK$197),"")</f>
        <v>3.330558001</v>
      </c>
      <c r="AL197">
        <f ca="1">IFERROR(IF(0=LEN(ReferenceData!$AL$197),"",ReferenceData!$AL$197),"")</f>
        <v>3.0706244819999999</v>
      </c>
      <c r="AM197">
        <f ca="1">IFERROR(IF(0=LEN(ReferenceData!$AM$197),"",ReferenceData!$AM$197),"")</f>
        <v>3.2493908679999999</v>
      </c>
      <c r="AN197">
        <f ca="1">IFERROR(IF(0=LEN(ReferenceData!$AN$197),"",ReferenceData!$AN$197),"")</f>
        <v>3.1637227729999999</v>
      </c>
      <c r="AO197">
        <f ca="1">IFERROR(IF(0=LEN(ReferenceData!$AO$197),"",ReferenceData!$AO$197),"")</f>
        <v>3.1804931029999999</v>
      </c>
      <c r="AP197">
        <f ca="1">IFERROR(IF(0=LEN(ReferenceData!$AP$197),"",ReferenceData!$AP$197),"")</f>
        <v>2.8455284669999998</v>
      </c>
      <c r="AQ197">
        <f ca="1">IFERROR(IF(0=LEN(ReferenceData!$AQ$197),"",ReferenceData!$AQ$197),"")</f>
        <v>2.972399163</v>
      </c>
      <c r="AR197">
        <f ca="1">IFERROR(IF(0=LEN(ReferenceData!$AR$197),"",ReferenceData!$AR$197),"")</f>
        <v>2.8098344320000002</v>
      </c>
      <c r="AS197">
        <f ca="1">IFERROR(IF(0=LEN(ReferenceData!$AS$197),"",ReferenceData!$AS$197),"")</f>
        <v>2.7994615390000002</v>
      </c>
      <c r="AT197">
        <f ca="1">IFERROR(IF(0=LEN(ReferenceData!$AT$197),"",ReferenceData!$AT$197),"")</f>
        <v>2.791946206</v>
      </c>
      <c r="AU197">
        <f ca="1">IFERROR(IF(0=LEN(ReferenceData!$AU$197),"",ReferenceData!$AU$197),"")</f>
        <v>2.9058395130000001</v>
      </c>
      <c r="AV197">
        <f ca="1">IFERROR(IF(0=LEN(ReferenceData!$AV$197),"",ReferenceData!$AV$197),"")</f>
        <v>3.2683845439999999</v>
      </c>
      <c r="AW197">
        <f ca="1">IFERROR(IF(0=LEN(ReferenceData!$AW$197),"",ReferenceData!$AW$197),"")</f>
        <v>3.034724137</v>
      </c>
      <c r="AX197">
        <f ca="1">IFERROR(IF(0=LEN(ReferenceData!$AX$197),"",ReferenceData!$AX$197),"")</f>
        <v>3.0427149259999999</v>
      </c>
      <c r="AY197">
        <f ca="1">IFERROR(IF(0=LEN(ReferenceData!$AY$197),"",ReferenceData!$AY$197),"")</f>
        <v>3.2228074430000002</v>
      </c>
      <c r="AZ197">
        <f ca="1">IFERROR(IF(0=LEN(ReferenceData!$AZ$197),"",ReferenceData!$AZ$197),"")</f>
        <v>3.3036847580000002</v>
      </c>
      <c r="BA197">
        <f ca="1">IFERROR(IF(0=LEN(ReferenceData!$BA$197),"",ReferenceData!$BA$197),"")</f>
        <v>3.373337534</v>
      </c>
      <c r="BB197">
        <f ca="1">IFERROR(IF(0=LEN(ReferenceData!$BB$197),"",ReferenceData!$BB$197),"")</f>
        <v>3.4414293909999998</v>
      </c>
      <c r="BC197">
        <f ca="1">IFERROR(IF(0=LEN(ReferenceData!$BC$197),"",ReferenceData!$BC$197),"")</f>
        <v>3.4794244289999998</v>
      </c>
      <c r="BD197">
        <f ca="1">IFERROR(IF(0=LEN(ReferenceData!$BD$197),"",ReferenceData!$BD$197),"")</f>
        <v>3.7182694380000001</v>
      </c>
      <c r="BE197">
        <f ca="1">IFERROR(IF(0=LEN(ReferenceData!$BE$197),"",ReferenceData!$BE$197),"")</f>
        <v>3.70513307</v>
      </c>
      <c r="BF197">
        <f ca="1">IFERROR(IF(0=LEN(ReferenceData!$BF$197),"",ReferenceData!$BF$197),"")</f>
        <v>3.823177931</v>
      </c>
      <c r="BG197">
        <f ca="1">IFERROR(IF(0=LEN(ReferenceData!$BG$197),"",ReferenceData!$BG$197),"")</f>
        <v>3.4310220820000001</v>
      </c>
      <c r="BH197">
        <f ca="1">IFERROR(IF(0=LEN(ReferenceData!$BH$197),"",ReferenceData!$BH$197),"")</f>
        <v>3.4359340679999999</v>
      </c>
      <c r="BI197">
        <f ca="1">IFERROR(IF(0=LEN(ReferenceData!$BI$197),"",ReferenceData!$BI$197),"")</f>
        <v>3.4871048980000001</v>
      </c>
      <c r="BJ197">
        <f ca="1">IFERROR(IF(0=LEN(ReferenceData!$BJ$197),"",ReferenceData!$BJ$197),"")</f>
        <v>3.2675288579999999</v>
      </c>
      <c r="BK197">
        <f ca="1">IFERROR(IF(0=LEN(ReferenceData!$BK$197),"",ReferenceData!$BK$197),"")</f>
        <v>3.1957389429999998</v>
      </c>
      <c r="BL197">
        <f ca="1">IFERROR(IF(0=LEN(ReferenceData!$BL$197),"",ReferenceData!$BL$197),"")</f>
        <v>3.172504886</v>
      </c>
      <c r="BM197">
        <f ca="1">IFERROR(IF(0=LEN(ReferenceData!$BM$197),"",ReferenceData!$BM$197),"")</f>
        <v>3.0858244250000002</v>
      </c>
      <c r="BN197">
        <f ca="1">IFERROR(IF(0=LEN(ReferenceData!$BN$197),"",ReferenceData!$BN$197),"")</f>
        <v>3.1311153900000002</v>
      </c>
      <c r="BO197">
        <f ca="1">IFERROR(IF(0=LEN(ReferenceData!$BO$197),"",ReferenceData!$BO$197),"")</f>
        <v>3.2410532700000001</v>
      </c>
      <c r="BP197">
        <f ca="1">IFERROR(IF(0=LEN(ReferenceData!$BP$197),"",ReferenceData!$BP$197),"")</f>
        <v>3.5190615049999998</v>
      </c>
      <c r="BQ197">
        <f ca="1">IFERROR(IF(0=LEN(ReferenceData!$BQ$197),"",ReferenceData!$BQ$197),"")</f>
        <v>2.956393244</v>
      </c>
      <c r="BR197">
        <f ca="1">IFERROR(IF(0=LEN(ReferenceData!$BR$197),"",ReferenceData!$BR$197),"")</f>
        <v>3.1910650660000002</v>
      </c>
      <c r="BS197">
        <f ca="1">IFERROR(IF(0=LEN(ReferenceData!$BS$197),"",ReferenceData!$BS$197),"")</f>
        <v>2.9973773399999999</v>
      </c>
      <c r="BT197">
        <f ca="1">IFERROR(IF(0=LEN(ReferenceData!$BT$197),"",ReferenceData!$BT$197),"")</f>
        <v>3.0781070100000001</v>
      </c>
      <c r="BU197">
        <f ca="1">IFERROR(IF(0=LEN(ReferenceData!$BU$197),"",ReferenceData!$BU$197),"")</f>
        <v>3.0211480810000002</v>
      </c>
      <c r="BV197">
        <f ca="1">IFERROR(IF(0=LEN(ReferenceData!$BV$197),"",ReferenceData!$BV$197),"")</f>
        <v>2.624863393</v>
      </c>
      <c r="BW197">
        <f ca="1">IFERROR(IF(0=LEN(ReferenceData!$BW$197),"",ReferenceData!$BW$197),"")</f>
        <v>2.6637070980000002</v>
      </c>
      <c r="BX197">
        <f ca="1">IFERROR(IF(0=LEN(ReferenceData!$BX$197),"",ReferenceData!$BX$197),"")</f>
        <v>2.6597710700000001</v>
      </c>
      <c r="BY197">
        <f ca="1">IFERROR(IF(0=LEN(ReferenceData!$BY$197),"",ReferenceData!$BY$197),"")</f>
        <v>2.6519338069999998</v>
      </c>
      <c r="BZ197">
        <f ca="1">IFERROR(IF(0=LEN(ReferenceData!$BZ$197),"",ReferenceData!$BZ$197),"")</f>
        <v>2.726240169</v>
      </c>
      <c r="CA197">
        <f ca="1">IFERROR(IF(0=LEN(ReferenceData!$CA$197),"",ReferenceData!$CA$197),"")</f>
        <v>2.89855084</v>
      </c>
      <c r="CB197">
        <f ca="1">IFERROR(IF(0=LEN(ReferenceData!$CB$197),"",ReferenceData!$CB$197),"")</f>
        <v>1.95439735</v>
      </c>
      <c r="CC197">
        <f ca="1">IFERROR(IF(0=LEN(ReferenceData!$CC$197),"",ReferenceData!$CC$197),"")</f>
        <v>2.095154907</v>
      </c>
      <c r="CD197">
        <f ca="1">IFERROR(IF(0=LEN(ReferenceData!$CD$197),"",ReferenceData!$CD$197),"")</f>
        <v>2.2038566999999998</v>
      </c>
      <c r="CE197">
        <f ca="1">IFERROR(IF(0=LEN(ReferenceData!$CE$197),"",ReferenceData!$CE$197),"")</f>
        <v>1.945682972</v>
      </c>
      <c r="CF197">
        <f ca="1">IFERROR(IF(0=LEN(ReferenceData!$CF$197),"",ReferenceData!$CF$197),"")</f>
        <v>2.1699818679999998</v>
      </c>
      <c r="CG197">
        <f ca="1">IFERROR(IF(0=LEN(ReferenceData!$CG$197),"",ReferenceData!$CG$197),"")</f>
        <v>1.8065486989999999</v>
      </c>
      <c r="CH197">
        <f ca="1">IFERROR(IF(0=LEN(ReferenceData!$CH$197),"",ReferenceData!$CH$197),"")</f>
        <v>1.7582417189999999</v>
      </c>
      <c r="CI197">
        <f ca="1">IFERROR(IF(0=LEN(ReferenceData!$CI$197),"",ReferenceData!$CI$197),"")</f>
        <v>1.8801409689999999</v>
      </c>
      <c r="CJ197">
        <f ca="1">IFERROR(IF(0=LEN(ReferenceData!$CJ$197),"",ReferenceData!$CJ$197),"")</f>
        <v>1.7957350889999999</v>
      </c>
      <c r="CK197">
        <f ca="1">IFERROR(IF(0=LEN(ReferenceData!$CK$197),"",ReferenceData!$CK$197),"")</f>
        <v>1.7804153899999999</v>
      </c>
    </row>
    <row r="198" spans="1:89">
      <c r="A198" t="str">
        <f>IFERROR(IF(0=LEN(ReferenceData!$A$198),"",ReferenceData!$A$198),"")</f>
        <v xml:space="preserve">    AvalonBay社区股份有限公司</v>
      </c>
      <c r="B198" t="str">
        <f>IFERROR(IF(0=LEN(ReferenceData!$B$198),"",ReferenceData!$B$198),"")</f>
        <v>AVB US Equity</v>
      </c>
      <c r="C198" t="str">
        <f>IFERROR(IF(0=LEN(ReferenceData!$C$198),"",ReferenceData!$C$198),"")</f>
        <v>DV013</v>
      </c>
      <c r="D198" t="str">
        <f>IFERROR(IF(0=LEN(ReferenceData!$D$198),"",ReferenceData!$D$198),"")</f>
        <v>EQY_DVD_YLD_IND</v>
      </c>
      <c r="E198" t="str">
        <f>IFERROR(IF(0=LEN(ReferenceData!$E$198),"",ReferenceData!$E$198),"")</f>
        <v>动态</v>
      </c>
      <c r="F198">
        <f ca="1">IFERROR(IF(0=LEN(ReferenceData!$F$198),"",ReferenceData!$F$198),"")</f>
        <v>3.6404160220000001</v>
      </c>
      <c r="G198">
        <f ca="1">IFERROR(IF(0=LEN(ReferenceData!$G$198),"",ReferenceData!$G$198),"")</f>
        <v>3.7687476700000002</v>
      </c>
      <c r="H198">
        <f ca="1">IFERROR(IF(0=LEN(ReferenceData!$H$198),"",ReferenceData!$H$198),"")</f>
        <v>3.4507042929999998</v>
      </c>
      <c r="I198">
        <f ca="1">IFERROR(IF(0=LEN(ReferenceData!$I$198),"",ReferenceData!$I$198),"")</f>
        <v>3.1836779489999998</v>
      </c>
      <c r="J198">
        <f ca="1">IFERROR(IF(0=LEN(ReferenceData!$J$198),"",ReferenceData!$J$198),"")</f>
        <v>3.132410428</v>
      </c>
      <c r="K198">
        <f ca="1">IFERROR(IF(0=LEN(ReferenceData!$K$198),"",ReferenceData!$K$198),"")</f>
        <v>3.132410428</v>
      </c>
      <c r="L198">
        <f ca="1">IFERROR(IF(0=LEN(ReferenceData!$L$198),"",ReferenceData!$L$198),"")</f>
        <v>3.1834995109999999</v>
      </c>
      <c r="M198">
        <f ca="1">IFERROR(IF(0=LEN(ReferenceData!$M$198),"",ReferenceData!$M$198),"")</f>
        <v>3.0256218119999998</v>
      </c>
      <c r="N198">
        <f ca="1">IFERROR(IF(0=LEN(ReferenceData!$N$198),"",ReferenceData!$N$198),"")</f>
        <v>2.9529502619999999</v>
      </c>
      <c r="O198">
        <f ca="1">IFERROR(IF(0=LEN(ReferenceData!$O$198),"",ReferenceData!$O$198),"")</f>
        <v>2.9557162039999998</v>
      </c>
      <c r="P198">
        <f ca="1">IFERROR(IF(0=LEN(ReferenceData!$P$198),"",ReferenceData!$P$198),"")</f>
        <v>2.9700898499999999</v>
      </c>
      <c r="Q198">
        <f ca="1">IFERROR(IF(0=LEN(ReferenceData!$Q$198),"",ReferenceData!$Q$198),"")</f>
        <v>2.991993167</v>
      </c>
      <c r="R198">
        <f ca="1">IFERROR(IF(0=LEN(ReferenceData!$R$198),"",ReferenceData!$R$198),"")</f>
        <v>3.0936818239999999</v>
      </c>
      <c r="S198">
        <f ca="1">IFERROR(IF(0=LEN(ReferenceData!$S$198),"",ReferenceData!$S$198),"")</f>
        <v>3.0906517729999998</v>
      </c>
      <c r="T198">
        <f ca="1">IFERROR(IF(0=LEN(ReferenceData!$T$198),"",ReferenceData!$T$198),"")</f>
        <v>3.1158041060000001</v>
      </c>
      <c r="U198">
        <f ca="1">IFERROR(IF(0=LEN(ReferenceData!$U$198),"",ReferenceData!$U$198),"")</f>
        <v>3.0482642370000002</v>
      </c>
      <c r="V198">
        <f ca="1">IFERROR(IF(0=LEN(ReferenceData!$V$198),"",ReferenceData!$V$198),"")</f>
        <v>3.2828743970000001</v>
      </c>
      <c r="W198">
        <f ca="1">IFERROR(IF(0=LEN(ReferenceData!$W$198),"",ReferenceData!$W$198),"")</f>
        <v>3.1545741879999998</v>
      </c>
      <c r="X198">
        <f ca="1">IFERROR(IF(0=LEN(ReferenceData!$X$198),"",ReferenceData!$X$198),"")</f>
        <v>3.0364373009999999</v>
      </c>
      <c r="Y198">
        <f ca="1">IFERROR(IF(0=LEN(ReferenceData!$Y$198),"",ReferenceData!$Y$198),"")</f>
        <v>3.0855380239999999</v>
      </c>
      <c r="Z198">
        <f ca="1">IFERROR(IF(0=LEN(ReferenceData!$Z$198),"",ReferenceData!$Z$198),"")</f>
        <v>2.908699216</v>
      </c>
      <c r="AA198">
        <f ca="1">IFERROR(IF(0=LEN(ReferenceData!$AA$198),"",ReferenceData!$AA$198),"")</f>
        <v>2.9935141060000001</v>
      </c>
      <c r="AB198">
        <f ca="1">IFERROR(IF(0=LEN(ReferenceData!$AB$198),"",ReferenceData!$AB$198),"")</f>
        <v>3.002001387</v>
      </c>
      <c r="AC198">
        <f ca="1">IFERROR(IF(0=LEN(ReferenceData!$AC$198),"",ReferenceData!$AC$198),"")</f>
        <v>3.0544714609999999</v>
      </c>
      <c r="AD198">
        <f ca="1">IFERROR(IF(0=LEN(ReferenceData!$AD$198),"",ReferenceData!$AD$198),"")</f>
        <v>2.8391167689999999</v>
      </c>
      <c r="AE198">
        <f ca="1">IFERROR(IF(0=LEN(ReferenceData!$AE$198),"",ReferenceData!$AE$198),"")</f>
        <v>3.146119841</v>
      </c>
      <c r="AF198">
        <f ca="1">IFERROR(IF(0=LEN(ReferenceData!$AF$198),"",ReferenceData!$AF$198),"")</f>
        <v>2.9156219019999998</v>
      </c>
      <c r="AG198">
        <f ca="1">IFERROR(IF(0=LEN(ReferenceData!$AG$198),"",ReferenceData!$AG$198),"")</f>
        <v>2.7154727639999998</v>
      </c>
      <c r="AH198">
        <f ca="1">IFERROR(IF(0=LEN(ReferenceData!$AH$198),"",ReferenceData!$AH$198),"")</f>
        <v>2.750426316</v>
      </c>
      <c r="AI198">
        <f ca="1">IFERROR(IF(0=LEN(ReferenceData!$AI$198),"",ReferenceData!$AI$198),"")</f>
        <v>2.8599210660000001</v>
      </c>
      <c r="AJ198">
        <f ca="1">IFERROR(IF(0=LEN(ReferenceData!$AJ$198),"",ReferenceData!$AJ$198),"")</f>
        <v>2.860084659</v>
      </c>
      <c r="AK198">
        <f ca="1">IFERROR(IF(0=LEN(ReferenceData!$AK$198),"",ReferenceData!$AK$198),"")</f>
        <v>3.0292015019999998</v>
      </c>
      <c r="AL198">
        <f ca="1">IFERROR(IF(0=LEN(ReferenceData!$AL$198),"",ReferenceData!$AL$198),"")</f>
        <v>2.9012417309999998</v>
      </c>
      <c r="AM198">
        <f ca="1">IFERROR(IF(0=LEN(ReferenceData!$AM$198),"",ReferenceData!$AM$198),"")</f>
        <v>3.1275411270000002</v>
      </c>
      <c r="AN198">
        <f ca="1">IFERROR(IF(0=LEN(ReferenceData!$AN$198),"",ReferenceData!$AN$198),"")</f>
        <v>3.0030030029999999</v>
      </c>
      <c r="AO198">
        <f ca="1">IFERROR(IF(0=LEN(ReferenceData!$AO$198),"",ReferenceData!$AO$198),"")</f>
        <v>3.042472922</v>
      </c>
      <c r="AP198">
        <f ca="1">IFERROR(IF(0=LEN(ReferenceData!$AP$198),"",ReferenceData!$AP$198),"")</f>
        <v>2.8694404590000002</v>
      </c>
      <c r="AQ198">
        <f ca="1">IFERROR(IF(0=LEN(ReferenceData!$AQ$198),"",ReferenceData!$AQ$198),"")</f>
        <v>2.9701793990000001</v>
      </c>
      <c r="AR198">
        <f ca="1">IFERROR(IF(0=LEN(ReferenceData!$AR$198),"",ReferenceData!$AR$198),"")</f>
        <v>2.890340482</v>
      </c>
      <c r="AS198">
        <f ca="1">IFERROR(IF(0=LEN(ReferenceData!$AS$198),"",ReferenceData!$AS$198),"")</f>
        <v>2.839830997</v>
      </c>
      <c r="AT198">
        <f ca="1">IFERROR(IF(0=LEN(ReferenceData!$AT$198),"",ReferenceData!$AT$198),"")</f>
        <v>2.8857515180000002</v>
      </c>
      <c r="AU198">
        <f ca="1">IFERROR(IF(0=LEN(ReferenceData!$AU$198),"",ReferenceData!$AU$198),"")</f>
        <v>2.9774126449999998</v>
      </c>
      <c r="AV198">
        <f ca="1">IFERROR(IF(0=LEN(ReferenceData!$AV$198),"",ReferenceData!$AV$198),"")</f>
        <v>3.2914803620000002</v>
      </c>
      <c r="AW198">
        <f ca="1">IFERROR(IF(0=LEN(ReferenceData!$AW$198),"",ReferenceData!$AW$198),"")</f>
        <v>3.0110317110000002</v>
      </c>
      <c r="AX198">
        <f ca="1">IFERROR(IF(0=LEN(ReferenceData!$AX$198),"",ReferenceData!$AX$198),"")</f>
        <v>3.1334412930000002</v>
      </c>
      <c r="AY198">
        <f ca="1">IFERROR(IF(0=LEN(ReferenceData!$AY$198),"",ReferenceData!$AY$198),"")</f>
        <v>3.2632392339999998</v>
      </c>
      <c r="AZ198">
        <f ca="1">IFERROR(IF(0=LEN(ReferenceData!$AZ$198),"",ReferenceData!$AZ$198),"")</f>
        <v>3.271291502</v>
      </c>
      <c r="BA198">
        <f ca="1">IFERROR(IF(0=LEN(ReferenceData!$BA$198),"",ReferenceData!$BA$198),"")</f>
        <v>3.398022605</v>
      </c>
      <c r="BB198">
        <f ca="1">IFERROR(IF(0=LEN(ReferenceData!$BB$198),"",ReferenceData!$BB$198),"")</f>
        <v>3.5333535380000001</v>
      </c>
      <c r="BC198">
        <f ca="1">IFERROR(IF(0=LEN(ReferenceData!$BC$198),"",ReferenceData!$BC$198),"")</f>
        <v>3.597735804</v>
      </c>
      <c r="BD198">
        <f ca="1">IFERROR(IF(0=LEN(ReferenceData!$BD$198),"",ReferenceData!$BD$198),"")</f>
        <v>3.7570849119999998</v>
      </c>
      <c r="BE198">
        <f ca="1">IFERROR(IF(0=LEN(ReferenceData!$BE$198),"",ReferenceData!$BE$198),"")</f>
        <v>3.6200627669999998</v>
      </c>
      <c r="BF198">
        <f ca="1">IFERROR(IF(0=LEN(ReferenceData!$BF$198),"",ReferenceData!$BF$198),"")</f>
        <v>3.6099866820000002</v>
      </c>
      <c r="BG198">
        <f ca="1">IFERROR(IF(0=LEN(ReferenceData!$BG$198),"",ReferenceData!$BG$198),"")</f>
        <v>3.4226311150000002</v>
      </c>
      <c r="BH198">
        <f ca="1">IFERROR(IF(0=LEN(ReferenceData!$BH$198),"",ReferenceData!$BH$198),"")</f>
        <v>3.3676923520000002</v>
      </c>
      <c r="BI198">
        <f ca="1">IFERROR(IF(0=LEN(ReferenceData!$BI$198),"",ReferenceData!$BI$198),"")</f>
        <v>3.4543988780000001</v>
      </c>
      <c r="BJ198">
        <f ca="1">IFERROR(IF(0=LEN(ReferenceData!$BJ$198),"",ReferenceData!$BJ$198),"")</f>
        <v>3.162405948</v>
      </c>
      <c r="BK198">
        <f ca="1">IFERROR(IF(0=LEN(ReferenceData!$BK$198),"",ReferenceData!$BK$198),"")</f>
        <v>3.1724855160000001</v>
      </c>
      <c r="BL198">
        <f ca="1">IFERROR(IF(0=LEN(ReferenceData!$BL$198),"",ReferenceData!$BL$198),"")</f>
        <v>3.2262929370000002</v>
      </c>
      <c r="BM198">
        <f ca="1">IFERROR(IF(0=LEN(ReferenceData!$BM$198),"",ReferenceData!$BM$198),"")</f>
        <v>3.217077728</v>
      </c>
      <c r="BN198">
        <f ca="1">IFERROR(IF(0=LEN(ReferenceData!$BN$198),"",ReferenceData!$BN$198),"")</f>
        <v>3.3788586170000001</v>
      </c>
      <c r="BO198">
        <f ca="1">IFERROR(IF(0=LEN(ReferenceData!$BO$198),"",ReferenceData!$BO$198),"")</f>
        <v>3.4286631500000002</v>
      </c>
      <c r="BP198">
        <f ca="1">IFERROR(IF(0=LEN(ReferenceData!$BP$198),"",ReferenceData!$BP$198),"")</f>
        <v>3.2976348020000001</v>
      </c>
      <c r="BQ198">
        <f ca="1">IFERROR(IF(0=LEN(ReferenceData!$BQ$198),"",ReferenceData!$BQ$198),"")</f>
        <v>2.861568047</v>
      </c>
      <c r="BR198">
        <f ca="1">IFERROR(IF(0=LEN(ReferenceData!$BR$198),"",ReferenceData!$BR$198),"")</f>
        <v>2.9440777859999998</v>
      </c>
      <c r="BS198">
        <f ca="1">IFERROR(IF(0=LEN(ReferenceData!$BS$198),"",ReferenceData!$BS$198),"")</f>
        <v>2.8622013239999999</v>
      </c>
      <c r="BT198">
        <f ca="1">IFERROR(IF(0=LEN(ReferenceData!$BT$198),"",ReferenceData!$BT$198),"")</f>
        <v>2.8531510510000002</v>
      </c>
      <c r="BU198">
        <f ca="1">IFERROR(IF(0=LEN(ReferenceData!$BU$198),"",ReferenceData!$BU$198),"")</f>
        <v>2.7416620370000002</v>
      </c>
      <c r="BV198">
        <f ca="1">IFERROR(IF(0=LEN(ReferenceData!$BV$198),"",ReferenceData!$BV$198),"")</f>
        <v>2.637840856</v>
      </c>
      <c r="BW198">
        <f ca="1">IFERROR(IF(0=LEN(ReferenceData!$BW$198),"",ReferenceData!$BW$198),"")</f>
        <v>2.742437174</v>
      </c>
      <c r="BX198">
        <f ca="1">IFERROR(IF(0=LEN(ReferenceData!$BX$198),"",ReferenceData!$BX$198),"")</f>
        <v>2.7763864859999998</v>
      </c>
      <c r="BY198">
        <f ca="1">IFERROR(IF(0=LEN(ReferenceData!$BY$198),"",ReferenceData!$BY$198),"")</f>
        <v>2.6685007660000002</v>
      </c>
      <c r="BZ198">
        <f ca="1">IFERROR(IF(0=LEN(ReferenceData!$BZ$198),"",ReferenceData!$BZ$198),"")</f>
        <v>2.7449594020000001</v>
      </c>
      <c r="CA198">
        <f ca="1">IFERROR(IF(0=LEN(ReferenceData!$CA$198),"",ReferenceData!$CA$198),"")</f>
        <v>2.9922110850000001</v>
      </c>
      <c r="CB198">
        <f ca="1">IFERROR(IF(0=LEN(ReferenceData!$CB$198),"",ReferenceData!$CB$198),"")</f>
        <v>2.62480695</v>
      </c>
      <c r="CC198">
        <f ca="1">IFERROR(IF(0=LEN(ReferenceData!$CC$198),"",ReferenceData!$CC$198),"")</f>
        <v>2.7335374680000002</v>
      </c>
      <c r="CD198">
        <f ca="1">IFERROR(IF(0=LEN(ReferenceData!$CD$198),"",ReferenceData!$CD$198),"")</f>
        <v>2.8594312639999999</v>
      </c>
      <c r="CE198">
        <f ca="1">IFERROR(IF(0=LEN(ReferenceData!$CE$198),"",ReferenceData!$CE$198),"")</f>
        <v>2.6703567459999999</v>
      </c>
      <c r="CF198">
        <f ca="1">IFERROR(IF(0=LEN(ReferenceData!$CF$198),"",ReferenceData!$CF$198),"")</f>
        <v>3.130205991</v>
      </c>
      <c r="CG198">
        <f ca="1">IFERROR(IF(0=LEN(ReferenceData!$CG$198),"",ReferenceData!$CG$198),"")</f>
        <v>2.617685829</v>
      </c>
      <c r="CH198">
        <f ca="1">IFERROR(IF(0=LEN(ReferenceData!$CH$198),"",ReferenceData!$CH$198),"")</f>
        <v>2.6604068359999999</v>
      </c>
      <c r="CI198">
        <f ca="1">IFERROR(IF(0=LEN(ReferenceData!$CI$198),"",ReferenceData!$CI$198),"")</f>
        <v>2.7803737800000001</v>
      </c>
      <c r="CJ198">
        <f ca="1">IFERROR(IF(0=LEN(ReferenceData!$CJ$198),"",ReferenceData!$CJ$198),"")</f>
        <v>2.682798477</v>
      </c>
      <c r="CK198">
        <f ca="1">IFERROR(IF(0=LEN(ReferenceData!$CK$198),"",ReferenceData!$CK$198),"")</f>
        <v>2.819682437</v>
      </c>
    </row>
    <row r="199" spans="1:89">
      <c r="A199" t="str">
        <f>IFERROR(IF(0=LEN(ReferenceData!$A$199),"",ReferenceData!$A$199),"")</f>
        <v xml:space="preserve">    Camden 房地产信托公司</v>
      </c>
      <c r="B199" t="str">
        <f>IFERROR(IF(0=LEN(ReferenceData!$B$199),"",ReferenceData!$B$199),"")</f>
        <v>CPT US Equity</v>
      </c>
      <c r="C199" t="str">
        <f>IFERROR(IF(0=LEN(ReferenceData!$C$199),"",ReferenceData!$C$199),"")</f>
        <v>DV013</v>
      </c>
      <c r="D199" t="str">
        <f>IFERROR(IF(0=LEN(ReferenceData!$D$199),"",ReferenceData!$D$199),"")</f>
        <v>EQY_DVD_YLD_IND</v>
      </c>
      <c r="E199" t="str">
        <f>IFERROR(IF(0=LEN(ReferenceData!$E$199),"",ReferenceData!$E$199),"")</f>
        <v>动态</v>
      </c>
      <c r="F199">
        <f ca="1">IFERROR(IF(0=LEN(ReferenceData!$F$199),"",ReferenceData!$F$199),"")</f>
        <v>3.722954096</v>
      </c>
      <c r="G199">
        <f ca="1">IFERROR(IF(0=LEN(ReferenceData!$G$199),"",ReferenceData!$G$199),"")</f>
        <v>3.86400693</v>
      </c>
      <c r="H199">
        <f ca="1">IFERROR(IF(0=LEN(ReferenceData!$H$199),"",ReferenceData!$H$199),"")</f>
        <v>3.4658040670000001</v>
      </c>
      <c r="I199">
        <f ca="1">IFERROR(IF(0=LEN(ReferenceData!$I$199),"",ReferenceData!$I$199),"")</f>
        <v>3.2587442969999998</v>
      </c>
      <c r="J199">
        <f ca="1">IFERROR(IF(0=LEN(ReferenceData!$J$199),"",ReferenceData!$J$199),"")</f>
        <v>3.28659071</v>
      </c>
      <c r="K199">
        <f ca="1">IFERROR(IF(0=LEN(ReferenceData!$K$199),"",ReferenceData!$K$199),"")</f>
        <v>3.2880315649999998</v>
      </c>
      <c r="L199">
        <f ca="1">IFERROR(IF(0=LEN(ReferenceData!$L$199),"",ReferenceData!$L$199),"")</f>
        <v>3.2804811370000002</v>
      </c>
      <c r="M199">
        <f ca="1">IFERROR(IF(0=LEN(ReferenceData!$M$199),"",ReferenceData!$M$199),"")</f>
        <v>3.3527045150000001</v>
      </c>
      <c r="N199">
        <f ca="1">IFERROR(IF(0=LEN(ReferenceData!$N$199),"",ReferenceData!$N$199),"")</f>
        <v>3.3444816049999999</v>
      </c>
      <c r="O199">
        <f ca="1">IFERROR(IF(0=LEN(ReferenceData!$O$199),"",ReferenceData!$O$199),"")</f>
        <v>3.5083615950000002</v>
      </c>
      <c r="P199">
        <f ca="1">IFERROR(IF(0=LEN(ReferenceData!$P$199),"",ReferenceData!$P$199),"")</f>
        <v>3.601008282</v>
      </c>
      <c r="Q199">
        <f ca="1">IFERROR(IF(0=LEN(ReferenceData!$Q$199),"",ReferenceData!$Q$199),"")</f>
        <v>3.6438722220000002</v>
      </c>
      <c r="R199">
        <f ca="1">IFERROR(IF(0=LEN(ReferenceData!$R$199),"",ReferenceData!$R$199),"")</f>
        <v>3.7285607760000001</v>
      </c>
      <c r="S199">
        <f ca="1">IFERROR(IF(0=LEN(ReferenceData!$S$199),"",ReferenceData!$S$199),"")</f>
        <v>3.5440047250000002</v>
      </c>
      <c r="T199">
        <f ca="1">IFERROR(IF(0=LEN(ReferenceData!$T$199),"",ReferenceData!$T$199),"")</f>
        <v>3.5898049539999999</v>
      </c>
      <c r="U199">
        <f ca="1">IFERROR(IF(0=LEN(ReferenceData!$U$199),"",ReferenceData!$U$199),"")</f>
        <v>3.568454859</v>
      </c>
      <c r="V199">
        <f ca="1">IFERROR(IF(0=LEN(ReferenceData!$V$199),"",ReferenceData!$V$199),"")</f>
        <v>3.8114597890000002</v>
      </c>
      <c r="W199">
        <f ca="1">IFERROR(IF(0=LEN(ReferenceData!$W$199),"",ReferenceData!$W$199),"")</f>
        <v>3.683693517</v>
      </c>
      <c r="X199">
        <f ca="1">IFERROR(IF(0=LEN(ReferenceData!$X$199),"",ReferenceData!$X$199),"")</f>
        <v>3.5825173160000001</v>
      </c>
      <c r="Y199">
        <f ca="1">IFERROR(IF(0=LEN(ReferenceData!$Y$199),"",ReferenceData!$Y$199),"")</f>
        <v>3.418024382</v>
      </c>
      <c r="Z199">
        <f ca="1">IFERROR(IF(0=LEN(ReferenceData!$Z$199),"",ReferenceData!$Z$199),"")</f>
        <v>3.348588012</v>
      </c>
      <c r="AA199">
        <f ca="1">IFERROR(IF(0=LEN(ReferenceData!$AA$199),"",ReferenceData!$AA$199),"")</f>
        <v>3.3928975339999998</v>
      </c>
      <c r="AB199">
        <f ca="1">IFERROR(IF(0=LEN(ReferenceData!$AB$199),"",ReferenceData!$AB$199),"")</f>
        <v>3.5207135310000002</v>
      </c>
      <c r="AC199">
        <f ca="1">IFERROR(IF(0=LEN(ReferenceData!$AC$199),"",ReferenceData!$AC$199),"")</f>
        <v>3.7160906730000001</v>
      </c>
      <c r="AD199">
        <f ca="1">IFERROR(IF(0=LEN(ReferenceData!$AD$199),"",ReferenceData!$AD$199),"")</f>
        <v>3.5676061360000002</v>
      </c>
      <c r="AE199">
        <f ca="1">IFERROR(IF(0=LEN(ReferenceData!$AE$199),"",ReferenceData!$AE$199),"")</f>
        <v>4.013914905</v>
      </c>
      <c r="AF199">
        <f ca="1">IFERROR(IF(0=LEN(ReferenceData!$AF$199),"",ReferenceData!$AF$199),"")</f>
        <v>3.9318479690000001</v>
      </c>
      <c r="AG199">
        <f ca="1">IFERROR(IF(0=LEN(ReferenceData!$AG$199),"",ReferenceData!$AG$199),"")</f>
        <v>3.6477331319999999</v>
      </c>
      <c r="AH199">
        <f ca="1">IFERROR(IF(0=LEN(ReferenceData!$AH$199),"",ReferenceData!$AH$199),"")</f>
        <v>3.6658810580000001</v>
      </c>
      <c r="AI199">
        <f ca="1">IFERROR(IF(0=LEN(ReferenceData!$AI$199),"",ReferenceData!$AI$199),"")</f>
        <v>3.7945520429999999</v>
      </c>
      <c r="AJ199">
        <f ca="1">IFERROR(IF(0=LEN(ReferenceData!$AJ$199),"",ReferenceData!$AJ$199),"")</f>
        <v>3.78890386</v>
      </c>
      <c r="AK199">
        <f ca="1">IFERROR(IF(0=LEN(ReferenceData!$AK$199),"",ReferenceData!$AK$199),"")</f>
        <v>3.8872691270000002</v>
      </c>
      <c r="AL199">
        <f ca="1">IFERROR(IF(0=LEN(ReferenceData!$AL$199),"",ReferenceData!$AL$199),"")</f>
        <v>3.5162626549999998</v>
      </c>
      <c r="AM199">
        <f ca="1">IFERROR(IF(0=LEN(ReferenceData!$AM$199),"",ReferenceData!$AM$199),"")</f>
        <v>3.7695206680000002</v>
      </c>
      <c r="AN199">
        <f ca="1">IFERROR(IF(0=LEN(ReferenceData!$AN$199),"",ReferenceData!$AN$199),"")</f>
        <v>3.7343290910000002</v>
      </c>
      <c r="AO199">
        <f ca="1">IFERROR(IF(0=LEN(ReferenceData!$AO$199),"",ReferenceData!$AO$199),"")</f>
        <v>3.7293552910000001</v>
      </c>
      <c r="AP199">
        <f ca="1">IFERROR(IF(0=LEN(ReferenceData!$AP$199),"",ReferenceData!$AP$199),"")</f>
        <v>3.5837705780000002</v>
      </c>
      <c r="AQ199">
        <f ca="1">IFERROR(IF(0=LEN(ReferenceData!$AQ$199),"",ReferenceData!$AQ$199),"")</f>
        <v>3.8466821709999999</v>
      </c>
      <c r="AR199">
        <f ca="1">IFERROR(IF(0=LEN(ReferenceData!$AR$199),"",ReferenceData!$AR$199),"")</f>
        <v>3.6340038319999999</v>
      </c>
      <c r="AS199">
        <f ca="1">IFERROR(IF(0=LEN(ReferenceData!$AS$199),"",ReferenceData!$AS$199),"")</f>
        <v>3.5752980839999999</v>
      </c>
      <c r="AT199">
        <f ca="1">IFERROR(IF(0=LEN(ReferenceData!$AT$199),"",ReferenceData!$AT$199),"")</f>
        <v>3.4428796359999998</v>
      </c>
      <c r="AU199">
        <f ca="1">IFERROR(IF(0=LEN(ReferenceData!$AU$199),"",ReferenceData!$AU$199),"")</f>
        <v>3.4433286879999998</v>
      </c>
      <c r="AV199">
        <f ca="1">IFERROR(IF(0=LEN(ReferenceData!$AV$199),"",ReferenceData!$AV$199),"")</f>
        <v>3.8523276009999998</v>
      </c>
      <c r="AW199">
        <f ca="1">IFERROR(IF(0=LEN(ReferenceData!$AW$199),"",ReferenceData!$AW$199),"")</f>
        <v>3.527525528</v>
      </c>
      <c r="AX199">
        <f ca="1">IFERROR(IF(0=LEN(ReferenceData!$AX$199),"",ReferenceData!$AX$199),"")</f>
        <v>3.6484246890000001</v>
      </c>
      <c r="AY199">
        <f ca="1">IFERROR(IF(0=LEN(ReferenceData!$AY$199),"",ReferenceData!$AY$199),"")</f>
        <v>3.7104709840000001</v>
      </c>
      <c r="AZ199">
        <f ca="1">IFERROR(IF(0=LEN(ReferenceData!$AZ$199),"",ReferenceData!$AZ$199),"")</f>
        <v>3.7585422909999999</v>
      </c>
      <c r="BA199">
        <f ca="1">IFERROR(IF(0=LEN(ReferenceData!$BA$199),"",ReferenceData!$BA$199),"")</f>
        <v>3.8545774640000001</v>
      </c>
      <c r="BB199">
        <f ca="1">IFERROR(IF(0=LEN(ReferenceData!$BB$199),"",ReferenceData!$BB$199),"")</f>
        <v>3.9204040760000001</v>
      </c>
      <c r="BC199">
        <f ca="1">IFERROR(IF(0=LEN(ReferenceData!$BC$199),"",ReferenceData!$BC$199),"")</f>
        <v>3.9580211470000002</v>
      </c>
      <c r="BD199">
        <f ca="1">IFERROR(IF(0=LEN(ReferenceData!$BD$199),"",ReferenceData!$BD$199),"")</f>
        <v>4.270462803</v>
      </c>
      <c r="BE199">
        <f ca="1">IFERROR(IF(0=LEN(ReferenceData!$BE$199),"",ReferenceData!$BE$199),"")</f>
        <v>4.4303797129999998</v>
      </c>
      <c r="BF199">
        <f ca="1">IFERROR(IF(0=LEN(ReferenceData!$BF$199),"",ReferenceData!$BF$199),"")</f>
        <v>4.3508286959999998</v>
      </c>
      <c r="BG199">
        <f ca="1">IFERROR(IF(0=LEN(ReferenceData!$BG$199),"",ReferenceData!$BG$199),"")</f>
        <v>3.9252336149999998</v>
      </c>
      <c r="BH199">
        <f ca="1">IFERROR(IF(0=LEN(ReferenceData!$BH$199),"",ReferenceData!$BH$199),"")</f>
        <v>4.1015624690000001</v>
      </c>
      <c r="BI199">
        <f ca="1">IFERROR(IF(0=LEN(ReferenceData!$BI$199),"",ReferenceData!$BI$199),"")</f>
        <v>4.0783297960000002</v>
      </c>
      <c r="BJ199">
        <f ca="1">IFERROR(IF(0=LEN(ReferenceData!$BJ$199),"",ReferenceData!$BJ$199),"")</f>
        <v>3.5724411410000001</v>
      </c>
      <c r="BK199">
        <f ca="1">IFERROR(IF(0=LEN(ReferenceData!$BK$199),"",ReferenceData!$BK$199),"")</f>
        <v>3.6447786820000001</v>
      </c>
      <c r="BL199">
        <f ca="1">IFERROR(IF(0=LEN(ReferenceData!$BL$199),"",ReferenceData!$BL$199),"")</f>
        <v>3.6389891419999998</v>
      </c>
      <c r="BM199">
        <f ca="1">IFERROR(IF(0=LEN(ReferenceData!$BM$199),"",ReferenceData!$BM$199),"")</f>
        <v>3.4835498770000002</v>
      </c>
      <c r="BN199">
        <f ca="1">IFERROR(IF(0=LEN(ReferenceData!$BN$199),"",ReferenceData!$BN$199),"")</f>
        <v>3.6691904210000001</v>
      </c>
      <c r="BO199">
        <f ca="1">IFERROR(IF(0=LEN(ReferenceData!$BO$199),"",ReferenceData!$BO$199),"")</f>
        <v>3.6447786820000001</v>
      </c>
      <c r="BP199">
        <f ca="1">IFERROR(IF(0=LEN(ReferenceData!$BP$199),"",ReferenceData!$BP$199),"")</f>
        <v>3.6316471840000002</v>
      </c>
      <c r="BQ199">
        <f ca="1">IFERROR(IF(0=LEN(ReferenceData!$BQ$199),"",ReferenceData!$BQ$199),"")</f>
        <v>3.2839759709999998</v>
      </c>
      <c r="BR199">
        <f ca="1">IFERROR(IF(0=LEN(ReferenceData!$BR$199),"",ReferenceData!$BR$199),"")</f>
        <v>3.409436849</v>
      </c>
      <c r="BS199">
        <f ca="1">IFERROR(IF(0=LEN(ReferenceData!$BS$199),"",ReferenceData!$BS$199),"")</f>
        <v>3.4130733040000001</v>
      </c>
      <c r="BT199">
        <f ca="1">IFERROR(IF(0=LEN(ReferenceData!$BT$199),"",ReferenceData!$BT$199),"")</f>
        <v>3.4734067450000001</v>
      </c>
      <c r="BU199">
        <f ca="1">IFERROR(IF(0=LEN(ReferenceData!$BU$199),"",ReferenceData!$BU$199),"")</f>
        <v>3.2262710779999999</v>
      </c>
      <c r="BV199">
        <f ca="1">IFERROR(IF(0=LEN(ReferenceData!$BV$199),"",ReferenceData!$BV$199),"")</f>
        <v>3.1412144290000001</v>
      </c>
      <c r="BW199">
        <f ca="1">IFERROR(IF(0=LEN(ReferenceData!$BW$199),"",ReferenceData!$BW$199),"")</f>
        <v>3.3101817790000001</v>
      </c>
      <c r="BX199">
        <f ca="1">IFERROR(IF(0=LEN(ReferenceData!$BX$199),"",ReferenceData!$BX$199),"")</f>
        <v>3.4403317609999999</v>
      </c>
      <c r="BY199">
        <f ca="1">IFERROR(IF(0=LEN(ReferenceData!$BY$199),"",ReferenceData!$BY$199),"")</f>
        <v>3.3101817790000001</v>
      </c>
      <c r="BZ199">
        <f ca="1">IFERROR(IF(0=LEN(ReferenceData!$BZ$199),"",ReferenceData!$BZ$199),"")</f>
        <v>3.4068441209999998</v>
      </c>
      <c r="CA199">
        <f ca="1">IFERROR(IF(0=LEN(ReferenceData!$CA$199),"",ReferenceData!$CA$199),"")</f>
        <v>3.161290384</v>
      </c>
      <c r="CB199">
        <f ca="1">IFERROR(IF(0=LEN(ReferenceData!$CB$199),"",ReferenceData!$CB$199),"")</f>
        <v>3.038759749</v>
      </c>
      <c r="CC199">
        <f ca="1">IFERROR(IF(0=LEN(ReferenceData!$CC$199),"",ReferenceData!$CC$199),"")</f>
        <v>3.1491003179999999</v>
      </c>
      <c r="CD199">
        <f ca="1">IFERROR(IF(0=LEN(ReferenceData!$CD$199),"",ReferenceData!$CD$199),"")</f>
        <v>3.3951152570000001</v>
      </c>
      <c r="CE199">
        <f ca="1">IFERROR(IF(0=LEN(ReferenceData!$CE$199),"",ReferenceData!$CE$199),"")</f>
        <v>3.2321900370000001</v>
      </c>
      <c r="CF199">
        <f ca="1">IFERROR(IF(0=LEN(ReferenceData!$CF$199),"",ReferenceData!$CF$199),"")</f>
        <v>3.5468694140000001</v>
      </c>
      <c r="CG199">
        <f ca="1">IFERROR(IF(0=LEN(ReferenceData!$CG$199),"",ReferenceData!$CG$199),"")</f>
        <v>2.9332535740000001</v>
      </c>
      <c r="CH199">
        <f ca="1">IFERROR(IF(0=LEN(ReferenceData!$CH$199),"",ReferenceData!$CH$199),"")</f>
        <v>2.922320021</v>
      </c>
      <c r="CI199">
        <f ca="1">IFERROR(IF(0=LEN(ReferenceData!$CI$199),"",ReferenceData!$CI$199),"")</f>
        <v>3.0807922639999998</v>
      </c>
      <c r="CJ199">
        <f ca="1">IFERROR(IF(0=LEN(ReferenceData!$CJ$199),"",ReferenceData!$CJ$199),"")</f>
        <v>3.0491599850000002</v>
      </c>
      <c r="CK199">
        <f ca="1">IFERROR(IF(0=LEN(ReferenceData!$CK$199),"",ReferenceData!$CK$199),"")</f>
        <v>3.1235060369999998</v>
      </c>
    </row>
    <row r="200" spans="1:89">
      <c r="A200" t="str">
        <f>IFERROR(IF(0=LEN(ReferenceData!$A$200),"",ReferenceData!$A$200),"")</f>
        <v xml:space="preserve">    公寓物业权益信托</v>
      </c>
      <c r="B200" t="str">
        <f>IFERROR(IF(0=LEN(ReferenceData!$B$200),"",ReferenceData!$B$200),"")</f>
        <v>EQR US Equity</v>
      </c>
      <c r="C200" t="str">
        <f>IFERROR(IF(0=LEN(ReferenceData!$C$200),"",ReferenceData!$C$200),"")</f>
        <v>DV013</v>
      </c>
      <c r="D200" t="str">
        <f>IFERROR(IF(0=LEN(ReferenceData!$D$200),"",ReferenceData!$D$200),"")</f>
        <v>EQY_DVD_YLD_IND</v>
      </c>
      <c r="E200" t="str">
        <f>IFERROR(IF(0=LEN(ReferenceData!$E$200),"",ReferenceData!$E$200),"")</f>
        <v>动态</v>
      </c>
      <c r="F200">
        <f ca="1">IFERROR(IF(0=LEN(ReferenceData!$F$200),"",ReferenceData!$F$200),"")</f>
        <v>3.3865547980000001</v>
      </c>
      <c r="G200">
        <f ca="1">IFERROR(IF(0=LEN(ReferenceData!$G$200),"",ReferenceData!$G$200),"")</f>
        <v>3.5834965410000001</v>
      </c>
      <c r="H200">
        <f ca="1">IFERROR(IF(0=LEN(ReferenceData!$H$200),"",ReferenceData!$H$200),"")</f>
        <v>3.2705731290000002</v>
      </c>
      <c r="I200">
        <f ca="1">IFERROR(IF(0=LEN(ReferenceData!$I$200),"",ReferenceData!$I$200),"")</f>
        <v>3.159793171</v>
      </c>
      <c r="J200">
        <f ca="1">IFERROR(IF(0=LEN(ReferenceData!$J$200),"",ReferenceData!$J$200),"")</f>
        <v>3.0155643589999999</v>
      </c>
      <c r="K200">
        <f ca="1">IFERROR(IF(0=LEN(ReferenceData!$K$200),"",ReferenceData!$K$200),"")</f>
        <v>2.995837206</v>
      </c>
      <c r="L200">
        <f ca="1">IFERROR(IF(0=LEN(ReferenceData!$L$200),"",ReferenceData!$L$200),"")</f>
        <v>3.0562719629999999</v>
      </c>
      <c r="M200">
        <f ca="1">IFERROR(IF(0=LEN(ReferenceData!$M$200),"",ReferenceData!$M$200),"")</f>
        <v>3.0007447580000002</v>
      </c>
      <c r="N200">
        <f ca="1">IFERROR(IF(0=LEN(ReferenceData!$N$200),"",ReferenceData!$N$200),"")</f>
        <v>2.960623134</v>
      </c>
      <c r="O200">
        <f ca="1">IFERROR(IF(0=LEN(ReferenceData!$O$200),"",ReferenceData!$O$200),"")</f>
        <v>3.0609146360000001</v>
      </c>
      <c r="P200">
        <f ca="1">IFERROR(IF(0=LEN(ReferenceData!$P$200),"",ReferenceData!$P$200),"")</f>
        <v>3.0957137879999999</v>
      </c>
      <c r="Q200">
        <f ca="1">IFERROR(IF(0=LEN(ReferenceData!$Q$200),"",ReferenceData!$Q$200),"")</f>
        <v>3.1201612029999999</v>
      </c>
      <c r="R200">
        <f ca="1">IFERROR(IF(0=LEN(ReferenceData!$R$200),"",ReferenceData!$R$200),"")</f>
        <v>3.2385086869999999</v>
      </c>
      <c r="S200">
        <f ca="1">IFERROR(IF(0=LEN(ReferenceData!$S$200),"",ReferenceData!$S$200),"")</f>
        <v>3.1948630169999999</v>
      </c>
      <c r="T200">
        <f ca="1">IFERROR(IF(0=LEN(ReferenceData!$T$200),"",ReferenceData!$T$200),"")</f>
        <v>3.315780986</v>
      </c>
      <c r="U200">
        <f ca="1">IFERROR(IF(0=LEN(ReferenceData!$U$200),"",ReferenceData!$U$200),"")</f>
        <v>3.130826763</v>
      </c>
      <c r="V200">
        <f ca="1">IFERROR(IF(0=LEN(ReferenceData!$V$200),"",ReferenceData!$V$200),"")</f>
        <v>3.3577738789999998</v>
      </c>
      <c r="W200">
        <f ca="1">IFERROR(IF(0=LEN(ReferenceData!$W$200),"",ReferenceData!$W$200),"")</f>
        <v>3.2631580649999998</v>
      </c>
      <c r="X200">
        <f ca="1">IFERROR(IF(0=LEN(ReferenceData!$X$200),"",ReferenceData!$X$200),"")</f>
        <v>3.1322868100000001</v>
      </c>
      <c r="Y200">
        <f ca="1">IFERROR(IF(0=LEN(ReferenceData!$Y$200),"",ReferenceData!$Y$200),"")</f>
        <v>3.1062125869999999</v>
      </c>
      <c r="Z200">
        <f ca="1">IFERROR(IF(0=LEN(ReferenceData!$Z$200),"",ReferenceData!$Z$200),"")</f>
        <v>2.963671282</v>
      </c>
      <c r="AA200">
        <f ca="1">IFERROR(IF(0=LEN(ReferenceData!$AA$200),"",ReferenceData!$AA$200),"")</f>
        <v>2.9253776199999999</v>
      </c>
      <c r="AB200">
        <f ca="1">IFERROR(IF(0=LEN(ReferenceData!$AB$200),"",ReferenceData!$AB$200),"")</f>
        <v>2.9114291360000002</v>
      </c>
      <c r="AC200">
        <f ca="1">IFERROR(IF(0=LEN(ReferenceData!$AC$200),"",ReferenceData!$AC$200),"")</f>
        <v>2.9601881959999998</v>
      </c>
      <c r="AD200">
        <f ca="1">IFERROR(IF(0=LEN(ReferenceData!$AD$200),"",ReferenceData!$AD$200),"")</f>
        <v>2.6855925699999998</v>
      </c>
      <c r="AE200">
        <f ca="1">IFERROR(IF(0=LEN(ReferenceData!$AE$200),"",ReferenceData!$AE$200),"")</f>
        <v>2.9668412380000002</v>
      </c>
      <c r="AF200">
        <f ca="1">IFERROR(IF(0=LEN(ReferenceData!$AF$200),"",ReferenceData!$AF$200),"")</f>
        <v>2.8667791390000001</v>
      </c>
      <c r="AG200">
        <f ca="1">IFERROR(IF(0=LEN(ReferenceData!$AG$200),"",ReferenceData!$AG$200),"")</f>
        <v>2.708665324</v>
      </c>
      <c r="AH200">
        <f ca="1">IFERROR(IF(0=LEN(ReferenceData!$AH$200),"",ReferenceData!$AH$200),"")</f>
        <v>2.7687296890000002</v>
      </c>
      <c r="AI200">
        <f ca="1">IFERROR(IF(0=LEN(ReferenceData!$AI$200),"",ReferenceData!$AI$200),"")</f>
        <v>2.8582514720000001</v>
      </c>
      <c r="AJ200">
        <f ca="1">IFERROR(IF(0=LEN(ReferenceData!$AJ$200),"",ReferenceData!$AJ$200),"")</f>
        <v>2.941959582</v>
      </c>
      <c r="AK200">
        <f ca="1">IFERROR(IF(0=LEN(ReferenceData!$AK$200),"",ReferenceData!$AK$200),"")</f>
        <v>3.1017544400000001</v>
      </c>
      <c r="AL200">
        <f ca="1">IFERROR(IF(0=LEN(ReferenceData!$AL$200),"",ReferenceData!$AL$200),"")</f>
        <v>2.954150566</v>
      </c>
      <c r="AM200">
        <f ca="1">IFERROR(IF(0=LEN(ReferenceData!$AM$200),"",ReferenceData!$AM$200),"")</f>
        <v>3.1494941399999998</v>
      </c>
      <c r="AN200">
        <f ca="1">IFERROR(IF(0=LEN(ReferenceData!$AN$200),"",ReferenceData!$AN$200),"")</f>
        <v>2.9736276080000001</v>
      </c>
      <c r="AO200">
        <f ca="1">IFERROR(IF(0=LEN(ReferenceData!$AO$200),"",ReferenceData!$AO$200),"")</f>
        <v>2.9921473569999999</v>
      </c>
      <c r="AP200">
        <f ca="1">IFERROR(IF(0=LEN(ReferenceData!$AP$200),"",ReferenceData!$AP$200),"")</f>
        <v>2.8384279970000001</v>
      </c>
      <c r="AQ200">
        <f ca="1">IFERROR(IF(0=LEN(ReferenceData!$AQ$200),"",ReferenceData!$AQ$200),"")</f>
        <v>2.5963910160000001</v>
      </c>
      <c r="AR200">
        <f ca="1">IFERROR(IF(0=LEN(ReferenceData!$AR$200),"",ReferenceData!$AR$200),"")</f>
        <v>2.5769875020000002</v>
      </c>
      <c r="AS200">
        <f ca="1">IFERROR(IF(0=LEN(ReferenceData!$AS$200),"",ReferenceData!$AS$200),"")</f>
        <v>2.7839643650000001</v>
      </c>
      <c r="AT200">
        <f ca="1">IFERROR(IF(0=LEN(ReferenceData!$AT$200),"",ReferenceData!$AT$200),"")</f>
        <v>2.8232636929999999</v>
      </c>
      <c r="AU200">
        <f ca="1">IFERROR(IF(0=LEN(ReferenceData!$AU$200),"",ReferenceData!$AU$200),"")</f>
        <v>2.875215641</v>
      </c>
      <c r="AV200">
        <f ca="1">IFERROR(IF(0=LEN(ReferenceData!$AV$200),"",ReferenceData!$AV$200),"")</f>
        <v>3.2478077299999999</v>
      </c>
      <c r="AW200">
        <f ca="1">IFERROR(IF(0=LEN(ReferenceData!$AW$200),"",ReferenceData!$AW$200),"")</f>
        <v>3.0088761850000001</v>
      </c>
      <c r="AX200">
        <f ca="1">IFERROR(IF(0=LEN(ReferenceData!$AX$200),"",ReferenceData!$AX$200),"")</f>
        <v>3.0935808200000001</v>
      </c>
      <c r="AY200">
        <f ca="1">IFERROR(IF(0=LEN(ReferenceData!$AY$200),"",ReferenceData!$AY$200),"")</f>
        <v>3.1746031750000001</v>
      </c>
      <c r="AZ200">
        <f ca="1">IFERROR(IF(0=LEN(ReferenceData!$AZ$200),"",ReferenceData!$AZ$200),"")</f>
        <v>3.2362459549999998</v>
      </c>
      <c r="BA200">
        <f ca="1">IFERROR(IF(0=LEN(ReferenceData!$BA$200),"",ReferenceData!$BA$200),"")</f>
        <v>3.3647375500000001</v>
      </c>
      <c r="BB200">
        <f ca="1">IFERROR(IF(0=LEN(ReferenceData!$BB$200),"",ReferenceData!$BB$200),"")</f>
        <v>3.448870495</v>
      </c>
      <c r="BC200">
        <f ca="1">IFERROR(IF(0=LEN(ReferenceData!$BC$200),"",ReferenceData!$BC$200),"")</f>
        <v>4.4467246530000004</v>
      </c>
      <c r="BD200">
        <f ca="1">IFERROR(IF(0=LEN(ReferenceData!$BD$200),"",ReferenceData!$BD$200),"")</f>
        <v>4.6948355089999998</v>
      </c>
      <c r="BE200">
        <f ca="1">IFERROR(IF(0=LEN(ReferenceData!$BE$200),"",ReferenceData!$BE$200),"")</f>
        <v>5.0125311440000004</v>
      </c>
      <c r="BF200">
        <f ca="1">IFERROR(IF(0=LEN(ReferenceData!$BF$200),"",ReferenceData!$BF$200),"")</f>
        <v>3.1043849899999998</v>
      </c>
      <c r="BG200">
        <f ca="1">IFERROR(IF(0=LEN(ReferenceData!$BG$200),"",ReferenceData!$BG$200),"")</f>
        <v>3.0557678070000001</v>
      </c>
      <c r="BH200">
        <f ca="1">IFERROR(IF(0=LEN(ReferenceData!$BH$200),"",ReferenceData!$BH$200),"")</f>
        <v>2.986746358</v>
      </c>
      <c r="BI200">
        <f ca="1">IFERROR(IF(0=LEN(ReferenceData!$BI$200),"",ReferenceData!$BI$200),"")</f>
        <v>3.083445797</v>
      </c>
      <c r="BJ200">
        <f ca="1">IFERROR(IF(0=LEN(ReferenceData!$BJ$200),"",ReferenceData!$BJ$200),"")</f>
        <v>2.8571428999999999</v>
      </c>
      <c r="BK200">
        <f ca="1">IFERROR(IF(0=LEN(ReferenceData!$BK$200),"",ReferenceData!$BK$200),"")</f>
        <v>2.7557699339999999</v>
      </c>
      <c r="BL200">
        <f ca="1">IFERROR(IF(0=LEN(ReferenceData!$BL$200),"",ReferenceData!$BL$200),"")</f>
        <v>2.8293545959999999</v>
      </c>
      <c r="BM200">
        <f ca="1">IFERROR(IF(0=LEN(ReferenceData!$BM$200),"",ReferenceData!$BM$200),"")</f>
        <v>2.7557699339999999</v>
      </c>
      <c r="BN200">
        <f ca="1">IFERROR(IF(0=LEN(ReferenceData!$BN$200),"",ReferenceData!$BN$200),"")</f>
        <v>2.9059208569999999</v>
      </c>
      <c r="BO200">
        <f ca="1">IFERROR(IF(0=LEN(ReferenceData!$BO$200),"",ReferenceData!$BO$200),"")</f>
        <v>5.577761507</v>
      </c>
      <c r="BP200">
        <f ca="1">IFERROR(IF(0=LEN(ReferenceData!$BP$200),"",ReferenceData!$BP$200),"")</f>
        <v>5.5425165789999999</v>
      </c>
      <c r="BQ200">
        <f ca="1">IFERROR(IF(0=LEN(ReferenceData!$BQ$200),"",ReferenceData!$BQ$200),"")</f>
        <v>5.417328275</v>
      </c>
      <c r="BR200">
        <f ca="1">IFERROR(IF(0=LEN(ReferenceData!$BR$200),"",ReferenceData!$BR$200),"")</f>
        <v>2.4319942779999999</v>
      </c>
      <c r="BS200">
        <f ca="1">IFERROR(IF(0=LEN(ReferenceData!$BS$200),"",ReferenceData!$BS$200),"")</f>
        <v>2.3515067479999998</v>
      </c>
      <c r="BT200">
        <f ca="1">IFERROR(IF(0=LEN(ReferenceData!$BT$200),"",ReferenceData!$BT$200),"")</f>
        <v>2.346601814</v>
      </c>
      <c r="BU200">
        <f ca="1">IFERROR(IF(0=LEN(ReferenceData!$BU$200),"",ReferenceData!$BU$200),"")</f>
        <v>2.2350993770000001</v>
      </c>
      <c r="BV200">
        <f ca="1">IFERROR(IF(0=LEN(ReferenceData!$BV$200),"",ReferenceData!$BV$200),"")</f>
        <v>2.1323645930000001</v>
      </c>
      <c r="BW200">
        <f ca="1">IFERROR(IF(0=LEN(ReferenceData!$BW$200),"",ReferenceData!$BW$200),"")</f>
        <v>2.1648493009999998</v>
      </c>
      <c r="BX200">
        <f ca="1">IFERROR(IF(0=LEN(ReferenceData!$BX$200),"",ReferenceData!$BX$200),"")</f>
        <v>2.2094926739999998</v>
      </c>
      <c r="BY200">
        <f ca="1">IFERROR(IF(0=LEN(ReferenceData!$BY$200),"",ReferenceData!$BY$200),"")</f>
        <v>2.1972656640000001</v>
      </c>
      <c r="BZ200">
        <f ca="1">IFERROR(IF(0=LEN(ReferenceData!$BZ$200),"",ReferenceData!$BZ$200),"")</f>
        <v>2.1558607849999998</v>
      </c>
      <c r="CA200">
        <f ca="1">IFERROR(IF(0=LEN(ReferenceData!$CA$200),"",ReferenceData!$CA$200),"")</f>
        <v>3.9901564089999999</v>
      </c>
      <c r="CB200">
        <f ca="1">IFERROR(IF(0=LEN(ReferenceData!$CB$200),"",ReferenceData!$CB$200),"")</f>
        <v>3.8119227219999998</v>
      </c>
      <c r="CC200">
        <f ca="1">IFERROR(IF(0=LEN(ReferenceData!$CC$200),"",ReferenceData!$CC$200),"")</f>
        <v>3.9803611800000001</v>
      </c>
      <c r="CD200">
        <f ca="1">IFERROR(IF(0=LEN(ReferenceData!$CD$200),"",ReferenceData!$CD$200),"")</f>
        <v>2.4460953499999998</v>
      </c>
      <c r="CE200">
        <f ca="1">IFERROR(IF(0=LEN(ReferenceData!$CE$200),"",ReferenceData!$CE$200),"")</f>
        <v>2.3006135379999999</v>
      </c>
      <c r="CF200">
        <f ca="1">IFERROR(IF(0=LEN(ReferenceData!$CF$200),"",ReferenceData!$CF$200),"")</f>
        <v>2.6026605429999998</v>
      </c>
      <c r="CG200">
        <f ca="1">IFERROR(IF(0=LEN(ReferenceData!$CG$200),"",ReferenceData!$CG$200),"")</f>
        <v>2.2066035039999998</v>
      </c>
      <c r="CH200">
        <f ca="1">IFERROR(IF(0=LEN(ReferenceData!$CH$200),"",ReferenceData!$CH$200),"")</f>
        <v>2.1837593399999999</v>
      </c>
      <c r="CI200">
        <f ca="1">IFERROR(IF(0=LEN(ReferenceData!$CI$200),"",ReferenceData!$CI$200),"")</f>
        <v>2.2500000400000002</v>
      </c>
      <c r="CJ200">
        <f ca="1">IFERROR(IF(0=LEN(ReferenceData!$CJ$200),"",ReferenceData!$CJ$200),"")</f>
        <v>2.1834061519999999</v>
      </c>
      <c r="CK200">
        <f ca="1">IFERROR(IF(0=LEN(ReferenceData!$CK$200),"",ReferenceData!$CK$200),"")</f>
        <v>2.2597924740000002</v>
      </c>
    </row>
    <row r="201" spans="1:89">
      <c r="A201" t="str">
        <f>IFERROR(IF(0=LEN(ReferenceData!$A$201),"",ReferenceData!$A$201),"")</f>
        <v xml:space="preserve">    埃塞克斯房地产信托公司</v>
      </c>
      <c r="B201" t="str">
        <f>IFERROR(IF(0=LEN(ReferenceData!$B$201),"",ReferenceData!$B$201),"")</f>
        <v>ESS US Equity</v>
      </c>
      <c r="C201" t="str">
        <f>IFERROR(IF(0=LEN(ReferenceData!$C$201),"",ReferenceData!$C$201),"")</f>
        <v>DV013</v>
      </c>
      <c r="D201" t="str">
        <f>IFERROR(IF(0=LEN(ReferenceData!$D$201),"",ReferenceData!$D$201),"")</f>
        <v>EQY_DVD_YLD_IND</v>
      </c>
      <c r="E201" t="str">
        <f>IFERROR(IF(0=LEN(ReferenceData!$E$201),"",ReferenceData!$E$201),"")</f>
        <v>动态</v>
      </c>
      <c r="F201">
        <f ca="1">IFERROR(IF(0=LEN(ReferenceData!$F$201),"",ReferenceData!$F$201),"")</f>
        <v>3.1253938090000002</v>
      </c>
      <c r="G201">
        <f ca="1">IFERROR(IF(0=LEN(ReferenceData!$G$201),"",ReferenceData!$G$201),"")</f>
        <v>3.3239512389999999</v>
      </c>
      <c r="H201">
        <f ca="1">IFERROR(IF(0=LEN(ReferenceData!$H$201),"",ReferenceData!$H$201),"")</f>
        <v>3.004549747</v>
      </c>
      <c r="I201">
        <f ca="1">IFERROR(IF(0=LEN(ReferenceData!$I$201),"",ReferenceData!$I$201),"")</f>
        <v>2.9001118610000001</v>
      </c>
      <c r="J201">
        <f ca="1">IFERROR(IF(0=LEN(ReferenceData!$J$201),"",ReferenceData!$J$201),"")</f>
        <v>2.8341228389999999</v>
      </c>
      <c r="K201">
        <f ca="1">IFERROR(IF(0=LEN(ReferenceData!$K$201),"",ReferenceData!$K$201),"")</f>
        <v>2.6673779670000002</v>
      </c>
      <c r="L201">
        <f ca="1">IFERROR(IF(0=LEN(ReferenceData!$L$201),"",ReferenceData!$L$201),"")</f>
        <v>2.7555800499999998</v>
      </c>
      <c r="M201">
        <f ca="1">IFERROR(IF(0=LEN(ReferenceData!$M$201),"",ReferenceData!$M$201),"")</f>
        <v>2.6318757750000001</v>
      </c>
      <c r="N201">
        <f ca="1">IFERROR(IF(0=LEN(ReferenceData!$N$201),"",ReferenceData!$N$201),"")</f>
        <v>2.6748184940000002</v>
      </c>
      <c r="O201">
        <f ca="1">IFERROR(IF(0=LEN(ReferenceData!$O$201),"",ReferenceData!$O$201),"")</f>
        <v>2.7208768999999999</v>
      </c>
      <c r="P201">
        <f ca="1">IFERROR(IF(0=LEN(ReferenceData!$P$201),"",ReferenceData!$P$201),"")</f>
        <v>2.7245835280000001</v>
      </c>
      <c r="Q201">
        <f ca="1">IFERROR(IF(0=LEN(ReferenceData!$Q$201),"",ReferenceData!$Q$201),"")</f>
        <v>2.8633370149999999</v>
      </c>
      <c r="R201">
        <f ca="1">IFERROR(IF(0=LEN(ReferenceData!$R$201),"",ReferenceData!$R$201),"")</f>
        <v>3.0233663019999999</v>
      </c>
      <c r="S201">
        <f ca="1">IFERROR(IF(0=LEN(ReferenceData!$S$201),"",ReferenceData!$S$201),"")</f>
        <v>2.98253089</v>
      </c>
      <c r="T201">
        <f ca="1">IFERROR(IF(0=LEN(ReferenceData!$T$201),"",ReferenceData!$T$201),"")</f>
        <v>2.8533214870000001</v>
      </c>
      <c r="U201">
        <f ca="1">IFERROR(IF(0=LEN(ReferenceData!$U$201),"",ReferenceData!$U$201),"")</f>
        <v>2.7526882129999999</v>
      </c>
      <c r="V201">
        <f ca="1">IFERROR(IF(0=LEN(ReferenceData!$V$201),"",ReferenceData!$V$201),"")</f>
        <v>2.9640608070000001</v>
      </c>
      <c r="W201">
        <f ca="1">IFERROR(IF(0=LEN(ReferenceData!$W$201),"",ReferenceData!$W$201),"")</f>
        <v>2.9893970269999999</v>
      </c>
      <c r="X201">
        <f ca="1">IFERROR(IF(0=LEN(ReferenceData!$X$201),"",ReferenceData!$X$201),"")</f>
        <v>2.8738213269999999</v>
      </c>
      <c r="Y201">
        <f ca="1">IFERROR(IF(0=LEN(ReferenceData!$Y$201),"",ReferenceData!$Y$201),"")</f>
        <v>2.8181418300000001</v>
      </c>
      <c r="Z201">
        <f ca="1">IFERROR(IF(0=LEN(ReferenceData!$Z$201),"",ReferenceData!$Z$201),"")</f>
        <v>2.736446081</v>
      </c>
      <c r="AA201">
        <f ca="1">IFERROR(IF(0=LEN(ReferenceData!$AA$201),"",ReferenceData!$AA$201),"")</f>
        <v>2.80590999</v>
      </c>
      <c r="AB201">
        <f ca="1">IFERROR(IF(0=LEN(ReferenceData!$AB$201),"",ReferenceData!$AB$201),"")</f>
        <v>2.8165295499999998</v>
      </c>
      <c r="AC201">
        <f ca="1">IFERROR(IF(0=LEN(ReferenceData!$AC$201),"",ReferenceData!$AC$201),"")</f>
        <v>2.9031526859999999</v>
      </c>
      <c r="AD201">
        <f ca="1">IFERROR(IF(0=LEN(ReferenceData!$AD$201),"",ReferenceData!$AD$201),"")</f>
        <v>2.7366801060000001</v>
      </c>
      <c r="AE201">
        <f ca="1">IFERROR(IF(0=LEN(ReferenceData!$AE$201),"",ReferenceData!$AE$201),"")</f>
        <v>3.0581040210000001</v>
      </c>
      <c r="AF201">
        <f ca="1">IFERROR(IF(0=LEN(ReferenceData!$AF$201),"",ReferenceData!$AF$201),"")</f>
        <v>2.7028296319999998</v>
      </c>
      <c r="AG201">
        <f ca="1">IFERROR(IF(0=LEN(ReferenceData!$AG$201),"",ReferenceData!$AG$201),"")</f>
        <v>2.4059146359999999</v>
      </c>
      <c r="AH201">
        <f ca="1">IFERROR(IF(0=LEN(ReferenceData!$AH$201),"",ReferenceData!$AH$201),"")</f>
        <v>2.4957754790000002</v>
      </c>
      <c r="AI201">
        <f ca="1">IFERROR(IF(0=LEN(ReferenceData!$AI$201),"",ReferenceData!$AI$201),"")</f>
        <v>2.61295601</v>
      </c>
      <c r="AJ201">
        <f ca="1">IFERROR(IF(0=LEN(ReferenceData!$AJ$201),"",ReferenceData!$AJ$201),"")</f>
        <v>2.5781041220000001</v>
      </c>
      <c r="AK201">
        <f ca="1">IFERROR(IF(0=LEN(ReferenceData!$AK$201),"",ReferenceData!$AK$201),"")</f>
        <v>2.6838133580000001</v>
      </c>
      <c r="AL201">
        <f ca="1">IFERROR(IF(0=LEN(ReferenceData!$AL$201),"",ReferenceData!$AL$201),"")</f>
        <v>2.5610245119999999</v>
      </c>
      <c r="AM201">
        <f ca="1">IFERROR(IF(0=LEN(ReferenceData!$AM$201),"",ReferenceData!$AM$201),"")</f>
        <v>2.710588343</v>
      </c>
      <c r="AN201">
        <f ca="1">IFERROR(IF(0=LEN(ReferenceData!$AN$201),"",ReferenceData!$AN$201),"")</f>
        <v>2.587368713</v>
      </c>
      <c r="AO201">
        <f ca="1">IFERROR(IF(0=LEN(ReferenceData!$AO$201),"",ReferenceData!$AO$201),"")</f>
        <v>2.5951791979999999</v>
      </c>
      <c r="AP201">
        <f ca="1">IFERROR(IF(0=LEN(ReferenceData!$AP$201),"",ReferenceData!$AP$201),"")</f>
        <v>2.5054372460000001</v>
      </c>
      <c r="AQ201">
        <f ca="1">IFERROR(IF(0=LEN(ReferenceData!$AQ$201),"",ReferenceData!$AQ$201),"")</f>
        <v>2.5895788469999999</v>
      </c>
      <c r="AR201">
        <f ca="1">IFERROR(IF(0=LEN(ReferenceData!$AR$201),"",ReferenceData!$AR$201),"")</f>
        <v>2.3003759389999998</v>
      </c>
      <c r="AS201">
        <f ca="1">IFERROR(IF(0=LEN(ReferenceData!$AS$201),"",ReferenceData!$AS$201),"")</f>
        <v>2.5169408560000002</v>
      </c>
      <c r="AT201">
        <f ca="1">IFERROR(IF(0=LEN(ReferenceData!$AT$201),"",ReferenceData!$AT$201),"")</f>
        <v>2.5690429369999999</v>
      </c>
      <c r="AU201">
        <f ca="1">IFERROR(IF(0=LEN(ReferenceData!$AU$201),"",ReferenceData!$AU$201),"")</f>
        <v>2.5773194930000001</v>
      </c>
      <c r="AV201">
        <f ca="1">IFERROR(IF(0=LEN(ReferenceData!$AV$201),"",ReferenceData!$AV$201),"")</f>
        <v>2.9090908020000001</v>
      </c>
      <c r="AW201">
        <f ca="1">IFERROR(IF(0=LEN(ReferenceData!$AW$201),"",ReferenceData!$AW$201),"")</f>
        <v>2.688032985</v>
      </c>
      <c r="AX201">
        <f ca="1">IFERROR(IF(0=LEN(ReferenceData!$AX$201),"",ReferenceData!$AX$201),"")</f>
        <v>2.74304996</v>
      </c>
      <c r="AY201">
        <f ca="1">IFERROR(IF(0=LEN(ReferenceData!$AY$201),"",ReferenceData!$AY$201),"")</f>
        <v>2.8121787949999999</v>
      </c>
      <c r="AZ201">
        <f ca="1">IFERROR(IF(0=LEN(ReferenceData!$AZ$201),"",ReferenceData!$AZ$201),"")</f>
        <v>2.6746243110000001</v>
      </c>
      <c r="BA201">
        <f ca="1">IFERROR(IF(0=LEN(ReferenceData!$BA$201),"",ReferenceData!$BA$201),"")</f>
        <v>2.7934896409999999</v>
      </c>
      <c r="BB201">
        <f ca="1">IFERROR(IF(0=LEN(ReferenceData!$BB$201),"",ReferenceData!$BB$201),"")</f>
        <v>2.8462217889999999</v>
      </c>
      <c r="BC201">
        <f ca="1">IFERROR(IF(0=LEN(ReferenceData!$BC$201),"",ReferenceData!$BC$201),"")</f>
        <v>2.8938715410000002</v>
      </c>
      <c r="BD201">
        <f ca="1">IFERROR(IF(0=LEN(ReferenceData!$BD$201),"",ReferenceData!$BD$201),"")</f>
        <v>3.056134465</v>
      </c>
      <c r="BE201">
        <f ca="1">IFERROR(IF(0=LEN(ReferenceData!$BE$201),"",ReferenceData!$BE$201),"")</f>
        <v>3.3725873819999999</v>
      </c>
      <c r="BF201">
        <f ca="1">IFERROR(IF(0=LEN(ReferenceData!$BF$201),"",ReferenceData!$BF$201),"")</f>
        <v>3.1881958720000001</v>
      </c>
      <c r="BG201">
        <f ca="1">IFERROR(IF(0=LEN(ReferenceData!$BG$201),"",ReferenceData!$BG$201),"")</f>
        <v>3.0062112750000001</v>
      </c>
      <c r="BH201">
        <f ca="1">IFERROR(IF(0=LEN(ReferenceData!$BH$201),"",ReferenceData!$BH$201),"")</f>
        <v>3.276912764</v>
      </c>
      <c r="BI201">
        <f ca="1">IFERROR(IF(0=LEN(ReferenceData!$BI$201),"",ReferenceData!$BI$201),"")</f>
        <v>3.3772940849999999</v>
      </c>
      <c r="BJ201">
        <f ca="1">IFERROR(IF(0=LEN(ReferenceData!$BJ$201),"",ReferenceData!$BJ$201),"")</f>
        <v>3.0008060959999998</v>
      </c>
      <c r="BK201">
        <f ca="1">IFERROR(IF(0=LEN(ReferenceData!$BK$201),"",ReferenceData!$BK$201),"")</f>
        <v>3.0455576089999998</v>
      </c>
      <c r="BL201">
        <f ca="1">IFERROR(IF(0=LEN(ReferenceData!$BL$201),"",ReferenceData!$BL$201),"")</f>
        <v>3.080056098</v>
      </c>
      <c r="BM201">
        <f ca="1">IFERROR(IF(0=LEN(ReferenceData!$BM$201),"",ReferenceData!$BM$201),"")</f>
        <v>3.0818211729999998</v>
      </c>
      <c r="BN201">
        <f ca="1">IFERROR(IF(0=LEN(ReferenceData!$BN$201),"",ReferenceData!$BN$201),"")</f>
        <v>3.2142383799999998</v>
      </c>
      <c r="BO201">
        <f ca="1">IFERROR(IF(0=LEN(ReferenceData!$BO$201),"",ReferenceData!$BO$201),"")</f>
        <v>3.2485402730000001</v>
      </c>
      <c r="BP201">
        <f ca="1">IFERROR(IF(0=LEN(ReferenceData!$BP$201),"",ReferenceData!$BP$201),"")</f>
        <v>2.8612303909999999</v>
      </c>
      <c r="BQ201">
        <f ca="1">IFERROR(IF(0=LEN(ReferenceData!$BQ$201),"",ReferenceData!$BQ$201),"")</f>
        <v>3.0003410129999999</v>
      </c>
      <c r="BR201">
        <f ca="1">IFERROR(IF(0=LEN(ReferenceData!$BR$201),"",ReferenceData!$BR$201),"")</f>
        <v>3.1318955759999998</v>
      </c>
      <c r="BS201">
        <f ca="1">IFERROR(IF(0=LEN(ReferenceData!$BS$201),"",ReferenceData!$BS$201),"")</f>
        <v>2.9333333970000002</v>
      </c>
      <c r="BT201">
        <f ca="1">IFERROR(IF(0=LEN(ReferenceData!$BT$201),"",ReferenceData!$BT$201),"")</f>
        <v>2.968159805</v>
      </c>
      <c r="BU201">
        <f ca="1">IFERROR(IF(0=LEN(ReferenceData!$BU$201),"",ReferenceData!$BU$201),"")</f>
        <v>2.8951178409999998</v>
      </c>
      <c r="BV201">
        <f ca="1">IFERROR(IF(0=LEN(ReferenceData!$BV$201),"",ReferenceData!$BV$201),"")</f>
        <v>2.796136309</v>
      </c>
      <c r="BW201">
        <f ca="1">IFERROR(IF(0=LEN(ReferenceData!$BW$201),"",ReferenceData!$BW$201),"")</f>
        <v>2.8586279210000001</v>
      </c>
      <c r="BX201">
        <f ca="1">IFERROR(IF(0=LEN(ReferenceData!$BX$201),"",ReferenceData!$BX$201),"")</f>
        <v>2.9243653429999998</v>
      </c>
      <c r="BY201">
        <f ca="1">IFERROR(IF(0=LEN(ReferenceData!$BY$201),"",ReferenceData!$BY$201),"")</f>
        <v>2.7853390490000001</v>
      </c>
      <c r="BZ201">
        <f ca="1">IFERROR(IF(0=LEN(ReferenceData!$BZ$201),"",ReferenceData!$BZ$201),"")</f>
        <v>2.904098802</v>
      </c>
      <c r="CA201">
        <f ca="1">IFERROR(IF(0=LEN(ReferenceData!$CA$201),"",ReferenceData!$CA$201),"")</f>
        <v>3.1430817169999998</v>
      </c>
      <c r="CB201">
        <f ca="1">IFERROR(IF(0=LEN(ReferenceData!$CB$201),"",ReferenceData!$CB$201),"")</f>
        <v>2.8888887830000001</v>
      </c>
      <c r="CC201">
        <f ca="1">IFERROR(IF(0=LEN(ReferenceData!$CC$201),"",ReferenceData!$CC$201),"")</f>
        <v>2.9606432620000001</v>
      </c>
      <c r="CD201">
        <f ca="1">IFERROR(IF(0=LEN(ReferenceData!$CD$201),"",ReferenceData!$CD$201),"")</f>
        <v>3.1313510330000001</v>
      </c>
      <c r="CE201">
        <f ca="1">IFERROR(IF(0=LEN(ReferenceData!$CE$201),"",ReferenceData!$CE$201),"")</f>
        <v>2.913981401</v>
      </c>
      <c r="CF201">
        <f ca="1">IFERROR(IF(0=LEN(ReferenceData!$CF$201),"",ReferenceData!$CF$201),"")</f>
        <v>3.4655113690000001</v>
      </c>
      <c r="CG201">
        <f ca="1">IFERROR(IF(0=LEN(ReferenceData!$CG$201),"",ReferenceData!$CG$201),"")</f>
        <v>2.897944861</v>
      </c>
      <c r="CH201">
        <f ca="1">IFERROR(IF(0=LEN(ReferenceData!$CH$201),"",ReferenceData!$CH$201),"")</f>
        <v>2.9638072439999998</v>
      </c>
      <c r="CI201">
        <f ca="1">IFERROR(IF(0=LEN(ReferenceData!$CI$201),"",ReferenceData!$CI$201),"")</f>
        <v>3.074876079</v>
      </c>
      <c r="CJ201">
        <f ca="1">IFERROR(IF(0=LEN(ReferenceData!$CJ$201),"",ReferenceData!$CJ$201),"")</f>
        <v>3.0230360059999999</v>
      </c>
      <c r="CK201">
        <f ca="1">IFERROR(IF(0=LEN(ReferenceData!$CK$201),"",ReferenceData!$CK$201),"")</f>
        <v>3.0705638080000002</v>
      </c>
    </row>
    <row r="202" spans="1:89">
      <c r="A202" t="str">
        <f>IFERROR(IF(0=LEN(ReferenceData!$A$202),"",ReferenceData!$A$202),"")</f>
        <v xml:space="preserve">    Mid-America Apartment Communities股份有限公司</v>
      </c>
      <c r="B202" t="str">
        <f>IFERROR(IF(0=LEN(ReferenceData!$B$202),"",ReferenceData!$B$202),"")</f>
        <v>MAA US Equity</v>
      </c>
      <c r="C202" t="str">
        <f>IFERROR(IF(0=LEN(ReferenceData!$C$202),"",ReferenceData!$C$202),"")</f>
        <v>DV013</v>
      </c>
      <c r="D202" t="str">
        <f>IFERROR(IF(0=LEN(ReferenceData!$D$202),"",ReferenceData!$D$202),"")</f>
        <v>EQY_DVD_YLD_IND</v>
      </c>
      <c r="E202" t="str">
        <f>IFERROR(IF(0=LEN(ReferenceData!$E$202),"",ReferenceData!$E$202),"")</f>
        <v>动态</v>
      </c>
      <c r="F202">
        <f ca="1">IFERROR(IF(0=LEN(ReferenceData!$F$202),"",ReferenceData!$F$202),"")</f>
        <v>4.1302888480000002</v>
      </c>
      <c r="G202">
        <f ca="1">IFERROR(IF(0=LEN(ReferenceData!$G$202),"",ReferenceData!$G$202),"")</f>
        <v>4.2996971070000001</v>
      </c>
      <c r="H202">
        <f ca="1">IFERROR(IF(0=LEN(ReferenceData!$H$202),"",ReferenceData!$H$202),"")</f>
        <v>3.8691412989999998</v>
      </c>
      <c r="I202">
        <f ca="1">IFERROR(IF(0=LEN(ReferenceData!$I$202),"",ReferenceData!$I$202),"")</f>
        <v>3.6694511310000002</v>
      </c>
      <c r="J202">
        <f ca="1">IFERROR(IF(0=LEN(ReferenceData!$J$202),"",ReferenceData!$J$202),"")</f>
        <v>3.3971105220000002</v>
      </c>
      <c r="K202">
        <f ca="1">IFERROR(IF(0=LEN(ReferenceData!$K$202),"",ReferenceData!$K$202),"")</f>
        <v>3.400097723</v>
      </c>
      <c r="L202">
        <f ca="1">IFERROR(IF(0=LEN(ReferenceData!$L$202),"",ReferenceData!$L$202),"")</f>
        <v>3.2559880419999998</v>
      </c>
      <c r="M202">
        <f ca="1">IFERROR(IF(0=LEN(ReferenceData!$M$202),"",ReferenceData!$M$202),"")</f>
        <v>3.268833383</v>
      </c>
      <c r="N202">
        <f ca="1">IFERROR(IF(0=LEN(ReferenceData!$N$202),"",ReferenceData!$N$202),"")</f>
        <v>3.3613445560000001</v>
      </c>
      <c r="O202">
        <f ca="1">IFERROR(IF(0=LEN(ReferenceData!$O$202),"",ReferenceData!$O$202),"")</f>
        <v>3.3023344269999999</v>
      </c>
      <c r="P202">
        <f ca="1">IFERROR(IF(0=LEN(ReferenceData!$P$202),"",ReferenceData!$P$202),"")</f>
        <v>3.4137728260000002</v>
      </c>
      <c r="Q202">
        <f ca="1">IFERROR(IF(0=LEN(ReferenceData!$Q$202),"",ReferenceData!$Q$202),"")</f>
        <v>3.507710935</v>
      </c>
      <c r="R202">
        <f ca="1">IFERROR(IF(0=LEN(ReferenceData!$R$202),"",ReferenceData!$R$202),"")</f>
        <v>3.4204836040000002</v>
      </c>
      <c r="S202">
        <f ca="1">IFERROR(IF(0=LEN(ReferenceData!$S$202),"",ReferenceData!$S$202),"")</f>
        <v>3.3875207039999999</v>
      </c>
      <c r="T202">
        <f ca="1">IFERROR(IF(0=LEN(ReferenceData!$T$202),"",ReferenceData!$T$202),"")</f>
        <v>3.6650869080000001</v>
      </c>
      <c r="U202">
        <f ca="1">IFERROR(IF(0=LEN(ReferenceData!$U$202),"",ReferenceData!$U$202),"")</f>
        <v>3.5539215880000001</v>
      </c>
      <c r="V202">
        <f ca="1">IFERROR(IF(0=LEN(ReferenceData!$V$202),"",ReferenceData!$V$202),"")</f>
        <v>3.579613632</v>
      </c>
      <c r="W202">
        <f ca="1">IFERROR(IF(0=LEN(ReferenceData!$W$202),"",ReferenceData!$W$202),"")</f>
        <v>3.5363881089999998</v>
      </c>
      <c r="X202">
        <f ca="1">IFERROR(IF(0=LEN(ReferenceData!$X$202),"",ReferenceData!$X$202),"")</f>
        <v>3.4897329199999998</v>
      </c>
      <c r="Y202">
        <f ca="1">IFERROR(IF(0=LEN(ReferenceData!$Y$202),"",ReferenceData!$Y$202),"")</f>
        <v>3.4897329199999998</v>
      </c>
      <c r="Z202">
        <f ca="1">IFERROR(IF(0=LEN(ReferenceData!$Z$202),"",ReferenceData!$Z$202),"")</f>
        <v>3.0937558680000001</v>
      </c>
      <c r="AA202">
        <f ca="1">IFERROR(IF(0=LEN(ReferenceData!$AA$202),"",ReferenceData!$AA$202),"")</f>
        <v>3.0827067399999999</v>
      </c>
      <c r="AB202">
        <f ca="1">IFERROR(IF(0=LEN(ReferenceData!$AB$202),"",ReferenceData!$AB$202),"")</f>
        <v>3.1847751930000001</v>
      </c>
      <c r="AC202">
        <f ca="1">IFERROR(IF(0=LEN(ReferenceData!$AC$202),"",ReferenceData!$AC$202),"")</f>
        <v>3.4270190899999999</v>
      </c>
      <c r="AD202">
        <f ca="1">IFERROR(IF(0=LEN(ReferenceData!$AD$202),"",ReferenceData!$AD$202),"")</f>
        <v>3.2090793180000001</v>
      </c>
      <c r="AE202">
        <f ca="1">IFERROR(IF(0=LEN(ReferenceData!$AE$202),"",ReferenceData!$AE$202),"")</f>
        <v>3.6468756629999999</v>
      </c>
      <c r="AF202">
        <f ca="1">IFERROR(IF(0=LEN(ReferenceData!$AF$202),"",ReferenceData!$AF$202),"")</f>
        <v>3.4960562469999998</v>
      </c>
      <c r="AG202">
        <f ca="1">IFERROR(IF(0=LEN(ReferenceData!$AG$202),"",ReferenceData!$AG$202),"")</f>
        <v>3.6119369799999999</v>
      </c>
      <c r="AH202">
        <f ca="1">IFERROR(IF(0=LEN(ReferenceData!$AH$202),"",ReferenceData!$AH$202),"")</f>
        <v>3.4778680259999999</v>
      </c>
      <c r="AI202">
        <f ca="1">IFERROR(IF(0=LEN(ReferenceData!$AI$202),"",ReferenceData!$AI$202),"")</f>
        <v>3.6154477329999999</v>
      </c>
      <c r="AJ202">
        <f ca="1">IFERROR(IF(0=LEN(ReferenceData!$AJ$202),"",ReferenceData!$AJ$202),"")</f>
        <v>3.7620617119999999</v>
      </c>
      <c r="AK202">
        <f ca="1">IFERROR(IF(0=LEN(ReferenceData!$AK$202),"",ReferenceData!$AK$202),"")</f>
        <v>3.9190735760000002</v>
      </c>
      <c r="AL202">
        <f ca="1">IFERROR(IF(0=LEN(ReferenceData!$AL$202),"",ReferenceData!$AL$202),"")</f>
        <v>3.833706651</v>
      </c>
      <c r="AM202">
        <f ca="1">IFERROR(IF(0=LEN(ReferenceData!$AM$202),"",ReferenceData!$AM$202),"")</f>
        <v>4.2301880560000003</v>
      </c>
      <c r="AN202">
        <f ca="1">IFERROR(IF(0=LEN(ReferenceData!$AN$202),"",ReferenceData!$AN$202),"")</f>
        <v>4.0319412540000004</v>
      </c>
      <c r="AO202">
        <f ca="1">IFERROR(IF(0=LEN(ReferenceData!$AO$202),"",ReferenceData!$AO$202),"")</f>
        <v>4.1281328559999997</v>
      </c>
      <c r="AP202">
        <f ca="1">IFERROR(IF(0=LEN(ReferenceData!$AP$202),"",ReferenceData!$AP$202),"")</f>
        <v>3.986022937</v>
      </c>
      <c r="AQ202">
        <f ca="1">IFERROR(IF(0=LEN(ReferenceData!$AQ$202),"",ReferenceData!$AQ$202),"")</f>
        <v>4.2500343919999999</v>
      </c>
      <c r="AR202">
        <f ca="1">IFERROR(IF(0=LEN(ReferenceData!$AR$202),"",ReferenceData!$AR$202),"")</f>
        <v>3.8830054509999998</v>
      </c>
      <c r="AS202">
        <f ca="1">IFERROR(IF(0=LEN(ReferenceData!$AS$202),"",ReferenceData!$AS$202),"")</f>
        <v>4.1242634220000003</v>
      </c>
      <c r="AT202">
        <f ca="1">IFERROR(IF(0=LEN(ReferenceData!$AT$202),"",ReferenceData!$AT$202),"")</f>
        <v>3.9641597559999999</v>
      </c>
      <c r="AU202">
        <f ca="1">IFERROR(IF(0=LEN(ReferenceData!$AU$202),"",ReferenceData!$AU$202),"")</f>
        <v>4.1324654350000003</v>
      </c>
      <c r="AV202">
        <f ca="1">IFERROR(IF(0=LEN(ReferenceData!$AV$202),"",ReferenceData!$AV$202),"")</f>
        <v>4.4478295149999996</v>
      </c>
      <c r="AW202">
        <f ca="1">IFERROR(IF(0=LEN(ReferenceData!$AW$202),"",ReferenceData!$AW$202),"")</f>
        <v>4.0376107250000004</v>
      </c>
      <c r="AX202">
        <f ca="1">IFERROR(IF(0=LEN(ReferenceData!$AX$202),"",ReferenceData!$AX$202),"")</f>
        <v>4.1762014819999997</v>
      </c>
      <c r="AY202">
        <f ca="1">IFERROR(IF(0=LEN(ReferenceData!$AY$202),"",ReferenceData!$AY$202),"")</f>
        <v>3.9972622539999998</v>
      </c>
      <c r="AZ202">
        <f ca="1">IFERROR(IF(0=LEN(ReferenceData!$AZ$202),"",ReferenceData!$AZ$202),"")</f>
        <v>4.0359365260000004</v>
      </c>
      <c r="BA202">
        <f ca="1">IFERROR(IF(0=LEN(ReferenceData!$BA$202),"",ReferenceData!$BA$202),"")</f>
        <v>4.1923906339999997</v>
      </c>
      <c r="BB202">
        <f ca="1">IFERROR(IF(0=LEN(ReferenceData!$BB$202),"",ReferenceData!$BB$202),"")</f>
        <v>4.277135017</v>
      </c>
      <c r="BC202">
        <f ca="1">IFERROR(IF(0=LEN(ReferenceData!$BC$202),"",ReferenceData!$BC$202),"")</f>
        <v>4.3169723189999996</v>
      </c>
      <c r="BD202">
        <f ca="1">IFERROR(IF(0=LEN(ReferenceData!$BD$202),"",ReferenceData!$BD$202),"")</f>
        <v>4.5243261180000003</v>
      </c>
      <c r="BE202">
        <f ca="1">IFERROR(IF(0=LEN(ReferenceData!$BE$202),"",ReferenceData!$BE$202),"")</f>
        <v>4.8073758250000003</v>
      </c>
      <c r="BF202">
        <f ca="1">IFERROR(IF(0=LEN(ReferenceData!$BF$202),"",ReferenceData!$BF$202),"")</f>
        <v>4.6148737899999999</v>
      </c>
      <c r="BG202">
        <f ca="1">IFERROR(IF(0=LEN(ReferenceData!$BG$202),"",ReferenceData!$BG$202),"")</f>
        <v>4.1867469450000003</v>
      </c>
      <c r="BH202">
        <f ca="1">IFERROR(IF(0=LEN(ReferenceData!$BH$202),"",ReferenceData!$BH$202),"")</f>
        <v>4.4479999540000001</v>
      </c>
      <c r="BI202">
        <f ca="1">IFERROR(IF(0=LEN(ReferenceData!$BI$202),"",ReferenceData!$BI$202),"")</f>
        <v>4.5085954770000001</v>
      </c>
      <c r="BJ202">
        <f ca="1">IFERROR(IF(0=LEN(ReferenceData!$BJ$202),"",ReferenceData!$BJ$202),"")</f>
        <v>4.1154699800000003</v>
      </c>
      <c r="BK202">
        <f ca="1">IFERROR(IF(0=LEN(ReferenceData!$BK$202),"",ReferenceData!$BK$202),"")</f>
        <v>4.102110036</v>
      </c>
      <c r="BL202">
        <f ca="1">IFERROR(IF(0=LEN(ReferenceData!$BL$202),"",ReferenceData!$BL$202),"")</f>
        <v>4.0900396810000004</v>
      </c>
      <c r="BM202">
        <f ca="1">IFERROR(IF(0=LEN(ReferenceData!$BM$202),"",ReferenceData!$BM$202),"")</f>
        <v>4.044812995</v>
      </c>
      <c r="BN202">
        <f ca="1">IFERROR(IF(0=LEN(ReferenceData!$BN$202),"",ReferenceData!$BN$202),"")</f>
        <v>4.0254850439999998</v>
      </c>
      <c r="BO202">
        <f ca="1">IFERROR(IF(0=LEN(ReferenceData!$BO$202),"",ReferenceData!$BO$202),"")</f>
        <v>4.0034561799999997</v>
      </c>
      <c r="BP202">
        <f ca="1">IFERROR(IF(0=LEN(ReferenceData!$BP$202),"",ReferenceData!$BP$202),"")</f>
        <v>4.2527152690000003</v>
      </c>
      <c r="BQ202">
        <f ca="1">IFERROR(IF(0=LEN(ReferenceData!$BQ$202),"",ReferenceData!$BQ$202),"")</f>
        <v>4.293436249</v>
      </c>
      <c r="BR202">
        <f ca="1">IFERROR(IF(0=LEN(ReferenceData!$BR$202),"",ReferenceData!$BR$202),"")</f>
        <v>4.2362004249999998</v>
      </c>
      <c r="BS202">
        <f ca="1">IFERROR(IF(0=LEN(ReferenceData!$BS$202),"",ReferenceData!$BS$202),"")</f>
        <v>4.0797405419999997</v>
      </c>
      <c r="BT202">
        <f ca="1">IFERROR(IF(0=LEN(ReferenceData!$BT$202),"",ReferenceData!$BT$202),"")</f>
        <v>4.0422601509999998</v>
      </c>
      <c r="BU202">
        <f ca="1">IFERROR(IF(0=LEN(ReferenceData!$BU$202),"",ReferenceData!$BU$202),"")</f>
        <v>3.882353095</v>
      </c>
      <c r="BV202">
        <f ca="1">IFERROR(IF(0=LEN(ReferenceData!$BV$202),"",ReferenceData!$BV$202),"")</f>
        <v>3.813375856</v>
      </c>
      <c r="BW202">
        <f ca="1">IFERROR(IF(0=LEN(ReferenceData!$BW$202),"",ReferenceData!$BW$202),"")</f>
        <v>3.8686988640000002</v>
      </c>
      <c r="BX202">
        <f ca="1">IFERROR(IF(0=LEN(ReferenceData!$BX$202),"",ReferenceData!$BX$202),"")</f>
        <v>3.9174953330000002</v>
      </c>
      <c r="BY202">
        <f ca="1">IFERROR(IF(0=LEN(ReferenceData!$BY$202),"",ReferenceData!$BY$202),"")</f>
        <v>3.8783606650000002</v>
      </c>
      <c r="BZ202">
        <f ca="1">IFERROR(IF(0=LEN(ReferenceData!$BZ$202),"",ReferenceData!$BZ$202),"")</f>
        <v>3.938535141</v>
      </c>
      <c r="CA202">
        <f ca="1">IFERROR(IF(0=LEN(ReferenceData!$CA$202),"",ReferenceData!$CA$202),"")</f>
        <v>4.2328044010000001</v>
      </c>
      <c r="CB202">
        <f ca="1">IFERROR(IF(0=LEN(ReferenceData!$CB$202),"",ReferenceData!$CB$202),"")</f>
        <v>4.1301628670000001</v>
      </c>
      <c r="CC202">
        <f ca="1">IFERROR(IF(0=LEN(ReferenceData!$CC$202),"",ReferenceData!$CC$202),"")</f>
        <v>4.2206236690000001</v>
      </c>
      <c r="CD202">
        <f ca="1">IFERROR(IF(0=LEN(ReferenceData!$CD$202),"",ReferenceData!$CD$202),"")</f>
        <v>4.378925315</v>
      </c>
      <c r="CE202">
        <f ca="1">IFERROR(IF(0=LEN(ReferenceData!$CE$202),"",ReferenceData!$CE$202),"")</f>
        <v>4.0224358819999999</v>
      </c>
      <c r="CF202">
        <f ca="1">IFERROR(IF(0=LEN(ReferenceData!$CF$202),"",ReferenceData!$CF$202),"")</f>
        <v>4.1680504660000004</v>
      </c>
      <c r="CG202">
        <f ca="1">IFERROR(IF(0=LEN(ReferenceData!$CG$202),"",ReferenceData!$CG$202),"")</f>
        <v>3.511471727</v>
      </c>
      <c r="CH202">
        <f ca="1">IFERROR(IF(0=LEN(ReferenceData!$CH$202),"",ReferenceData!$CH$202),"")</f>
        <v>3.5456985319999998</v>
      </c>
      <c r="CI202">
        <f ca="1">IFERROR(IF(0=LEN(ReferenceData!$CI$202),"",ReferenceData!$CI$202),"")</f>
        <v>3.7201719139999998</v>
      </c>
      <c r="CJ202">
        <f ca="1">IFERROR(IF(0=LEN(ReferenceData!$CJ$202),"",ReferenceData!$CJ$202),"")</f>
        <v>3.6615608910000002</v>
      </c>
      <c r="CK202">
        <f ca="1">IFERROR(IF(0=LEN(ReferenceData!$CK$202),"",ReferenceData!$CK$202),"")</f>
        <v>3.7546746299999998</v>
      </c>
    </row>
    <row r="203" spans="1:89">
      <c r="A203" t="str">
        <f>IFERROR(IF(0=LEN(ReferenceData!$A$203),"",ReferenceData!$A$203),"")</f>
        <v xml:space="preserve">    UDR 公司</v>
      </c>
      <c r="B203" t="str">
        <f>IFERROR(IF(0=LEN(ReferenceData!$B$203),"",ReferenceData!$B$203),"")</f>
        <v>UDR US Equity</v>
      </c>
      <c r="C203" t="str">
        <f>IFERROR(IF(0=LEN(ReferenceData!$C$203),"",ReferenceData!$C$203),"")</f>
        <v>DV013</v>
      </c>
      <c r="D203" t="str">
        <f>IFERROR(IF(0=LEN(ReferenceData!$D$203),"",ReferenceData!$D$203),"")</f>
        <v>EQY_DVD_YLD_IND</v>
      </c>
      <c r="E203" t="str">
        <f>IFERROR(IF(0=LEN(ReferenceData!$E$203),"",ReferenceData!$E$203),"")</f>
        <v>动态</v>
      </c>
      <c r="F203">
        <f ca="1">IFERROR(IF(0=LEN(ReferenceData!$F$203),"",ReferenceData!$F$203),"")</f>
        <v>3.510758804</v>
      </c>
      <c r="G203">
        <f ca="1">IFERROR(IF(0=LEN(ReferenceData!$G$203),"",ReferenceData!$G$203),"")</f>
        <v>3.6882808140000001</v>
      </c>
      <c r="H203">
        <f ca="1">IFERROR(IF(0=LEN(ReferenceData!$H$203),"",ReferenceData!$H$203),"")</f>
        <v>3.3944703239999998</v>
      </c>
      <c r="I203">
        <f ca="1">IFERROR(IF(0=LEN(ReferenceData!$I$203),"",ReferenceData!$I$203),"")</f>
        <v>3.219106982</v>
      </c>
      <c r="J203">
        <f ca="1">IFERROR(IF(0=LEN(ReferenceData!$J$203),"",ReferenceData!$J$203),"")</f>
        <v>3.1528095839999999</v>
      </c>
      <c r="K203">
        <f ca="1">IFERROR(IF(0=LEN(ReferenceData!$K$203),"",ReferenceData!$K$203),"")</f>
        <v>3.196700205</v>
      </c>
      <c r="L203">
        <f ca="1">IFERROR(IF(0=LEN(ReferenceData!$L$203),"",ReferenceData!$L$203),"")</f>
        <v>3.2605837750000002</v>
      </c>
      <c r="M203">
        <f ca="1">IFERROR(IF(0=LEN(ReferenceData!$M$203),"",ReferenceData!$M$203),"")</f>
        <v>3.1942298029999998</v>
      </c>
      <c r="N203">
        <f ca="1">IFERROR(IF(0=LEN(ReferenceData!$N$203),"",ReferenceData!$N$203),"")</f>
        <v>3.1721668190000001</v>
      </c>
      <c r="O203">
        <f ca="1">IFERROR(IF(0=LEN(ReferenceData!$O$203),"",ReferenceData!$O$203),"")</f>
        <v>3.1819348459999999</v>
      </c>
      <c r="P203">
        <f ca="1">IFERROR(IF(0=LEN(ReferenceData!$P$203),"",ReferenceData!$P$203),"")</f>
        <v>3.2116032360000002</v>
      </c>
      <c r="Q203">
        <f ca="1">IFERROR(IF(0=LEN(ReferenceData!$Q$203),"",ReferenceData!$Q$203),"")</f>
        <v>3.3208355909999998</v>
      </c>
      <c r="R203">
        <f ca="1">IFERROR(IF(0=LEN(ReferenceData!$R$203),"",ReferenceData!$R$203),"")</f>
        <v>3.4197463030000002</v>
      </c>
      <c r="S203">
        <f ca="1">IFERROR(IF(0=LEN(ReferenceData!$S$203),"",ReferenceData!$S$203),"")</f>
        <v>3.2328765690000001</v>
      </c>
      <c r="T203">
        <f ca="1">IFERROR(IF(0=LEN(ReferenceData!$T$203),"",ReferenceData!$T$203),"")</f>
        <v>3.3762516379999998</v>
      </c>
      <c r="U203">
        <f ca="1">IFERROR(IF(0=LEN(ReferenceData!$U$203),"",ReferenceData!$U$203),"")</f>
        <v>3.2346489790000001</v>
      </c>
      <c r="V203">
        <f ca="1">IFERROR(IF(0=LEN(ReferenceData!$V$203),"",ReferenceData!$V$203),"")</f>
        <v>3.466509834</v>
      </c>
      <c r="W203">
        <f ca="1">IFERROR(IF(0=LEN(ReferenceData!$W$203),"",ReferenceData!$W$203),"")</f>
        <v>3.3743206959999998</v>
      </c>
      <c r="X203">
        <f ca="1">IFERROR(IF(0=LEN(ReferenceData!$X$203),"",ReferenceData!$X$203),"")</f>
        <v>3.2786883790000001</v>
      </c>
      <c r="Y203">
        <f ca="1">IFERROR(IF(0=LEN(ReferenceData!$Y$203),"",ReferenceData!$Y$203),"")</f>
        <v>3.2614702809999998</v>
      </c>
      <c r="Z203">
        <f ca="1">IFERROR(IF(0=LEN(ReferenceData!$Z$203),"",ReferenceData!$Z$203),"")</f>
        <v>3.169486832</v>
      </c>
      <c r="AA203">
        <f ca="1">IFERROR(IF(0=LEN(ReferenceData!$AA$203),"",ReferenceData!$AA$203),"")</f>
        <v>3.1960995329999999</v>
      </c>
      <c r="AB203">
        <f ca="1">IFERROR(IF(0=LEN(ReferenceData!$AB$203),"",ReferenceData!$AB$203),"")</f>
        <v>3.275048425</v>
      </c>
      <c r="AC203">
        <f ca="1">IFERROR(IF(0=LEN(ReferenceData!$AC$203),"",ReferenceData!$AC$203),"")</f>
        <v>3.3791521979999999</v>
      </c>
      <c r="AD203">
        <f ca="1">IFERROR(IF(0=LEN(ReferenceData!$AD$203),"",ReferenceData!$AD$203),"")</f>
        <v>3.0625485270000001</v>
      </c>
      <c r="AE203">
        <f ca="1">IFERROR(IF(0=LEN(ReferenceData!$AE$203),"",ReferenceData!$AE$203),"")</f>
        <v>3.2333236649999999</v>
      </c>
      <c r="AF203">
        <f ca="1">IFERROR(IF(0=LEN(ReferenceData!$AF$203),"",ReferenceData!$AF$203),"")</f>
        <v>3.1188536509999998</v>
      </c>
      <c r="AG203">
        <f ca="1">IFERROR(IF(0=LEN(ReferenceData!$AG$203),"",ReferenceData!$AG$203),"")</f>
        <v>2.9544849989999999</v>
      </c>
      <c r="AH203">
        <f ca="1">IFERROR(IF(0=LEN(ReferenceData!$AH$203),"",ReferenceData!$AH$203),"")</f>
        <v>3.0073151299999998</v>
      </c>
      <c r="AI203">
        <f ca="1">IFERROR(IF(0=LEN(ReferenceData!$AI$203),"",ReferenceData!$AI$203),"")</f>
        <v>3.221125985</v>
      </c>
      <c r="AJ203">
        <f ca="1">IFERROR(IF(0=LEN(ReferenceData!$AJ$203),"",ReferenceData!$AJ$203),"")</f>
        <v>3.219257582</v>
      </c>
      <c r="AK203">
        <f ca="1">IFERROR(IF(0=LEN(ReferenceData!$AK$203),"",ReferenceData!$AK$203),"")</f>
        <v>3.4365325520000001</v>
      </c>
      <c r="AL203">
        <f ca="1">IFERROR(IF(0=LEN(ReferenceData!$AL$203),"",ReferenceData!$AL$203),"")</f>
        <v>3.2830523939999998</v>
      </c>
      <c r="AM203">
        <f ca="1">IFERROR(IF(0=LEN(ReferenceData!$AM$203),"",ReferenceData!$AM$203),"")</f>
        <v>3.465501137</v>
      </c>
      <c r="AN203">
        <f ca="1">IFERROR(IF(0=LEN(ReferenceData!$AN$203),"",ReferenceData!$AN$203),"")</f>
        <v>3.4090909530000002</v>
      </c>
      <c r="AO203">
        <f ca="1">IFERROR(IF(0=LEN(ReferenceData!$AO$203),"",ReferenceData!$AO$203),"")</f>
        <v>3.3872444750000001</v>
      </c>
      <c r="AP203">
        <f ca="1">IFERROR(IF(0=LEN(ReferenceData!$AP$203),"",ReferenceData!$AP$203),"")</f>
        <v>3.2618278410000001</v>
      </c>
      <c r="AQ203">
        <f ca="1">IFERROR(IF(0=LEN(ReferenceData!$AQ$203),"",ReferenceData!$AQ$203),"")</f>
        <v>3.256105078</v>
      </c>
      <c r="AR203">
        <f ca="1">IFERROR(IF(0=LEN(ReferenceData!$AR$203),"",ReferenceData!$AR$203),"")</f>
        <v>3.126879019</v>
      </c>
      <c r="AS203">
        <f ca="1">IFERROR(IF(0=LEN(ReferenceData!$AS$203),"",ReferenceData!$AS$203),"")</f>
        <v>3.374432063</v>
      </c>
      <c r="AT203">
        <f ca="1">IFERROR(IF(0=LEN(ReferenceData!$AT$203),"",ReferenceData!$AT$203),"")</f>
        <v>3.3788172900000002</v>
      </c>
      <c r="AU203">
        <f ca="1">IFERROR(IF(0=LEN(ReferenceData!$AU$203),"",ReferenceData!$AU$203),"")</f>
        <v>3.4402909749999999</v>
      </c>
      <c r="AV203">
        <f ca="1">IFERROR(IF(0=LEN(ReferenceData!$AV$203),"",ReferenceData!$AV$203),"")</f>
        <v>3.8165136209999999</v>
      </c>
      <c r="AW203">
        <f ca="1">IFERROR(IF(0=LEN(ReferenceData!$AW$203),"",ReferenceData!$AW$203),"")</f>
        <v>3.475935701</v>
      </c>
      <c r="AX203">
        <f ca="1">IFERROR(IF(0=LEN(ReferenceData!$AX$203),"",ReferenceData!$AX$203),"")</f>
        <v>3.576340997</v>
      </c>
      <c r="AY203">
        <f ca="1">IFERROR(IF(0=LEN(ReferenceData!$AY$203),"",ReferenceData!$AY$203),"")</f>
        <v>3.632553133</v>
      </c>
      <c r="AZ203">
        <f ca="1">IFERROR(IF(0=LEN(ReferenceData!$AZ$203),"",ReferenceData!$AZ$203),"")</f>
        <v>3.7790696289999999</v>
      </c>
      <c r="BA203">
        <f ca="1">IFERROR(IF(0=LEN(ReferenceData!$BA$203),"",ReferenceData!$BA$203),"")</f>
        <v>4.0216549180000003</v>
      </c>
      <c r="BB203">
        <f ca="1">IFERROR(IF(0=LEN(ReferenceData!$BB$203),"",ReferenceData!$BB$203),"")</f>
        <v>4.0263258300000002</v>
      </c>
      <c r="BC203">
        <f ca="1">IFERROR(IF(0=LEN(ReferenceData!$BC$203),"",ReferenceData!$BC$203),"")</f>
        <v>3.6419992159999999</v>
      </c>
      <c r="BD203">
        <f ca="1">IFERROR(IF(0=LEN(ReferenceData!$BD$203),"",ReferenceData!$BD$203),"")</f>
        <v>3.8619556190000002</v>
      </c>
      <c r="BE203">
        <f ca="1">IFERROR(IF(0=LEN(ReferenceData!$BE$203),"",ReferenceData!$BE$203),"")</f>
        <v>4.0256959209999996</v>
      </c>
      <c r="BF203">
        <f ca="1">IFERROR(IF(0=LEN(ReferenceData!$BF$203),"",ReferenceData!$BF$203),"")</f>
        <v>4.0395358730000002</v>
      </c>
      <c r="BG203">
        <f ca="1">IFERROR(IF(0=LEN(ReferenceData!$BG$203),"",ReferenceData!$BG$203),"")</f>
        <v>3.7887948310000001</v>
      </c>
      <c r="BH203">
        <f ca="1">IFERROR(IF(0=LEN(ReferenceData!$BH$203),"",ReferenceData!$BH$203),"")</f>
        <v>3.9662447159999998</v>
      </c>
      <c r="BI203">
        <f ca="1">IFERROR(IF(0=LEN(ReferenceData!$BI$203),"",ReferenceData!$BI$203),"")</f>
        <v>4.1611332340000002</v>
      </c>
      <c r="BJ203">
        <f ca="1">IFERROR(IF(0=LEN(ReferenceData!$BJ$203),"",ReferenceData!$BJ$203),"")</f>
        <v>3.7539936009999999</v>
      </c>
      <c r="BK203">
        <f ca="1">IFERROR(IF(0=LEN(ReferenceData!$BK$203),"",ReferenceData!$BK$203),"")</f>
        <v>3.6877206650000001</v>
      </c>
      <c r="BL203">
        <f ca="1">IFERROR(IF(0=LEN(ReferenceData!$BL$203),"",ReferenceData!$BL$203),"")</f>
        <v>3.8572014669999999</v>
      </c>
      <c r="BM203">
        <f ca="1">IFERROR(IF(0=LEN(ReferenceData!$BM$203),"",ReferenceData!$BM$203),"")</f>
        <v>3.8242473459999999</v>
      </c>
      <c r="BN203">
        <f ca="1">IFERROR(IF(0=LEN(ReferenceData!$BN$203),"",ReferenceData!$BN$203),"")</f>
        <v>3.8859032560000002</v>
      </c>
      <c r="BO203">
        <f ca="1">IFERROR(IF(0=LEN(ReferenceData!$BO$203),"",ReferenceData!$BO$203),"")</f>
        <v>3.688181036</v>
      </c>
      <c r="BP203">
        <f ca="1">IFERROR(IF(0=LEN(ReferenceData!$BP$203),"",ReferenceData!$BP$203),"")</f>
        <v>3.6835495819999999</v>
      </c>
      <c r="BQ203">
        <f ca="1">IFERROR(IF(0=LEN(ReferenceData!$BQ$203),"",ReferenceData!$BQ$203),"")</f>
        <v>3.7005887099999999</v>
      </c>
      <c r="BR203">
        <f ca="1">IFERROR(IF(0=LEN(ReferenceData!$BR$203),"",ReferenceData!$BR$203),"")</f>
        <v>3.8244241429999999</v>
      </c>
      <c r="BS203">
        <f ca="1">IFERROR(IF(0=LEN(ReferenceData!$BS$203),"",ReferenceData!$BS$203),"")</f>
        <v>3.6258755470000001</v>
      </c>
      <c r="BT203">
        <f ca="1">IFERROR(IF(0=LEN(ReferenceData!$BT$203),"",ReferenceData!$BT$203),"")</f>
        <v>3.5455277810000001</v>
      </c>
      <c r="BU203">
        <f ca="1">IFERROR(IF(0=LEN(ReferenceData!$BU$203),"",ReferenceData!$BU$203),"")</f>
        <v>3.4851484959999999</v>
      </c>
      <c r="BV203">
        <f ca="1">IFERROR(IF(0=LEN(ReferenceData!$BV$203),"",ReferenceData!$BV$203),"")</f>
        <v>3.3070274149999999</v>
      </c>
      <c r="BW203">
        <f ca="1">IFERROR(IF(0=LEN(ReferenceData!$BW$203),"",ReferenceData!$BW$203),"")</f>
        <v>3.405572737</v>
      </c>
      <c r="BX203">
        <f ca="1">IFERROR(IF(0=LEN(ReferenceData!$BX$203),"",ReferenceData!$BX$203),"")</f>
        <v>3.3976833790000001</v>
      </c>
      <c r="BY203">
        <f ca="1">IFERROR(IF(0=LEN(ReferenceData!$BY$203),"",ReferenceData!$BY$203),"")</f>
        <v>3.342195196</v>
      </c>
      <c r="BZ203">
        <f ca="1">IFERROR(IF(0=LEN(ReferenceData!$BZ$203),"",ReferenceData!$BZ$203),"")</f>
        <v>3.2946461820000001</v>
      </c>
      <c r="CA203">
        <f ca="1">IFERROR(IF(0=LEN(ReferenceData!$CA$203),"",ReferenceData!$CA$203),"")</f>
        <v>3.4372502570000001</v>
      </c>
      <c r="CB203">
        <f ca="1">IFERROR(IF(0=LEN(ReferenceData!$CB$203),"",ReferenceData!$CB$203),"")</f>
        <v>3.3051499400000002</v>
      </c>
      <c r="CC203">
        <f ca="1">IFERROR(IF(0=LEN(ReferenceData!$CC$203),"",ReferenceData!$CC$203),"")</f>
        <v>3.4262948780000002</v>
      </c>
      <c r="CD203">
        <f ca="1">IFERROR(IF(0=LEN(ReferenceData!$CD$203),"",ReferenceData!$CD$203),"")</f>
        <v>3.40425537</v>
      </c>
      <c r="CE203">
        <f ca="1">IFERROR(IF(0=LEN(ReferenceData!$CE$203),"",ReferenceData!$CE$203),"")</f>
        <v>3.2089852059999999</v>
      </c>
      <c r="CF203">
        <f ca="1">IFERROR(IF(0=LEN(ReferenceData!$CF$203),"",ReferenceData!$CF$203),"")</f>
        <v>3.6133695210000001</v>
      </c>
      <c r="CG203">
        <f ca="1">IFERROR(IF(0=LEN(ReferenceData!$CG$203),"",ReferenceData!$CG$203),"")</f>
        <v>2.9951329539999998</v>
      </c>
      <c r="CH203">
        <f ca="1">IFERROR(IF(0=LEN(ReferenceData!$CH$203),"",ReferenceData!$CH$203),"")</f>
        <v>3.0406689920000001</v>
      </c>
      <c r="CI203">
        <f ca="1">IFERROR(IF(0=LEN(ReferenceData!$CI$203),"",ReferenceData!$CI$203),"")</f>
        <v>3.258655853</v>
      </c>
      <c r="CJ203">
        <f ca="1">IFERROR(IF(0=LEN(ReferenceData!$CJ$203),"",ReferenceData!$CJ$203),"")</f>
        <v>2.8396009580000001</v>
      </c>
      <c r="CK203">
        <f ca="1">IFERROR(IF(0=LEN(ReferenceData!$CK$203),"",ReferenceData!$CK$203),"")</f>
        <v>2.858246464</v>
      </c>
    </row>
    <row r="204" spans="1:89">
      <c r="A204" t="str">
        <f>IFERROR(IF(0=LEN(ReferenceData!$A$204),"",ReferenceData!$A$204),"")</f>
        <v>FFO收益率</v>
      </c>
      <c r="B204" t="str">
        <f>IFERROR(IF(0=LEN(ReferenceData!$B$204),"",ReferenceData!$B$204),"")</f>
        <v/>
      </c>
      <c r="C204" t="str">
        <f>IFERROR(IF(0=LEN(ReferenceData!$C$204),"",ReferenceData!$C$204),"")</f>
        <v/>
      </c>
      <c r="D204" t="str">
        <f>IFERROR(IF(0=LEN(ReferenceData!$D$204),"",ReferenceData!$D$204),"")</f>
        <v/>
      </c>
      <c r="E204" t="str">
        <f>IFERROR(IF(0=LEN(ReferenceData!$E$204),"",ReferenceData!$E$204),"")</f>
        <v>Average</v>
      </c>
      <c r="F204">
        <f ca="1">IFERROR(IF(0=LEN(ReferenceData!$F$204),"",ReferenceData!$F$204),"")</f>
        <v>5.5761402094285728</v>
      </c>
      <c r="G204">
        <f ca="1">IFERROR(IF(0=LEN(ReferenceData!$G$204),"",ReferenceData!$G$204),"")</f>
        <v>5.8337980799999993</v>
      </c>
      <c r="H204">
        <f ca="1">IFERROR(IF(0=LEN(ReferenceData!$H$204),"",ReferenceData!$H$204),"")</f>
        <v>5.3734444917142863</v>
      </c>
      <c r="I204">
        <f ca="1">IFERROR(IF(0=LEN(ReferenceData!$I$204),"",ReferenceData!$I$204),"")</f>
        <v>5.1274487907142845</v>
      </c>
      <c r="J204">
        <f ca="1">IFERROR(IF(0=LEN(ReferenceData!$J$204),"",ReferenceData!$J$204),"")</f>
        <v>4.953409188285713</v>
      </c>
      <c r="K204">
        <f ca="1">IFERROR(IF(0=LEN(ReferenceData!$K$204),"",ReferenceData!$K$204),"")</f>
        <v>4.9213835142857141</v>
      </c>
      <c r="L204">
        <f ca="1">IFERROR(IF(0=LEN(ReferenceData!$L$204),"",ReferenceData!$L$204),"")</f>
        <v>4.9480578628571426</v>
      </c>
      <c r="M204">
        <f ca="1">IFERROR(IF(0=LEN(ReferenceData!$M$204),"",ReferenceData!$M$204),"")</f>
        <v>4.777521115142858</v>
      </c>
      <c r="N204">
        <f ca="1">IFERROR(IF(0=LEN(ReferenceData!$N$204),"",ReferenceData!$N$204),"")</f>
        <v>4.7749935784285711</v>
      </c>
      <c r="O204">
        <f ca="1">IFERROR(IF(0=LEN(ReferenceData!$O$204),"",ReferenceData!$O$204),"")</f>
        <v>4.8764176298571433</v>
      </c>
      <c r="P204">
        <f ca="1">IFERROR(IF(0=LEN(ReferenceData!$P$204),"",ReferenceData!$P$204),"")</f>
        <v>4.967072268571429</v>
      </c>
      <c r="Q204">
        <f ca="1">IFERROR(IF(0=LEN(ReferenceData!$Q$204),"",ReferenceData!$Q$204),"")</f>
        <v>5.0488972372857148</v>
      </c>
      <c r="R204">
        <f ca="1">IFERROR(IF(0=LEN(ReferenceData!$R$204),"",ReferenceData!$R$204),"")</f>
        <v>5.1431304942857139</v>
      </c>
      <c r="S204">
        <f ca="1">IFERROR(IF(0=LEN(ReferenceData!$S$204),"",ReferenceData!$S$204),"")</f>
        <v>4.967026340857144</v>
      </c>
      <c r="T204">
        <f ca="1">IFERROR(IF(0=LEN(ReferenceData!$T$204),"",ReferenceData!$T$204),"")</f>
        <v>5.2076406407142866</v>
      </c>
      <c r="U204">
        <f ca="1">IFERROR(IF(0=LEN(ReferenceData!$U$204),"",ReferenceData!$U$204),"")</f>
        <v>5.0450576060000003</v>
      </c>
      <c r="V204">
        <f ca="1">IFERROR(IF(0=LEN(ReferenceData!$V$204),"",ReferenceData!$V$204),"")</f>
        <v>5.4381360457142858</v>
      </c>
      <c r="W204">
        <f ca="1">IFERROR(IF(0=LEN(ReferenceData!$W$204),"",ReferenceData!$W$204),"")</f>
        <v>5.3023308678571439</v>
      </c>
      <c r="X204">
        <f ca="1">IFERROR(IF(0=LEN(ReferenceData!$X$204),"",ReferenceData!$X$204),"")</f>
        <v>5.1361578445714287</v>
      </c>
      <c r="Y204">
        <f ca="1">IFERROR(IF(0=LEN(ReferenceData!$Y$204),"",ReferenceData!$Y$204),"")</f>
        <v>5.0884128288571437</v>
      </c>
      <c r="Z204">
        <f ca="1">IFERROR(IF(0=LEN(ReferenceData!$Z$204),"",ReferenceData!$Z$204),"")</f>
        <v>4.8495519512857141</v>
      </c>
      <c r="AA204">
        <f ca="1">IFERROR(IF(0=LEN(ReferenceData!$AA$204),"",ReferenceData!$AA$204),"")</f>
        <v>4.9172386125714294</v>
      </c>
      <c r="AB204">
        <f ca="1">IFERROR(IF(0=LEN(ReferenceData!$AB$204),"",ReferenceData!$AB$204),"")</f>
        <v>4.9584962174285705</v>
      </c>
      <c r="AC204">
        <f ca="1">IFERROR(IF(0=LEN(ReferenceData!$AC$204),"",ReferenceData!$AC$204),"")</f>
        <v>5.1758452939999993</v>
      </c>
      <c r="AD204">
        <f ca="1">IFERROR(IF(0=LEN(ReferenceData!$AD$204),"",ReferenceData!$AD$204),"")</f>
        <v>4.8432723254285719</v>
      </c>
      <c r="AE204">
        <f ca="1">IFERROR(IF(0=LEN(ReferenceData!$AE$204),"",ReferenceData!$AE$204),"")</f>
        <v>5.3325195649999992</v>
      </c>
      <c r="AF204">
        <f ca="1">IFERROR(IF(0=LEN(ReferenceData!$AF$204),"",ReferenceData!$AF$204),"")</f>
        <v>5.1627734684285711</v>
      </c>
      <c r="AG204">
        <f ca="1">IFERROR(IF(0=LEN(ReferenceData!$AG$204),"",ReferenceData!$AG$204),"")</f>
        <v>4.980205098571429</v>
      </c>
      <c r="AH204">
        <f ca="1">IFERROR(IF(0=LEN(ReferenceData!$AH$204),"",ReferenceData!$AH$204),"")</f>
        <v>4.9799908788571434</v>
      </c>
      <c r="AI204">
        <f ca="1">IFERROR(IF(0=LEN(ReferenceData!$AI$204),"",ReferenceData!$AI$204),"")</f>
        <v>5.1388225261428557</v>
      </c>
      <c r="AJ204">
        <f ca="1">IFERROR(IF(0=LEN(ReferenceData!$AJ$204),"",ReferenceData!$AJ$204),"")</f>
        <v>5.2318878881428574</v>
      </c>
      <c r="AK204">
        <f ca="1">IFERROR(IF(0=LEN(ReferenceData!$AK$204),"",ReferenceData!$AK$204),"")</f>
        <v>5.4120823851666664</v>
      </c>
      <c r="AL204">
        <f ca="1">IFERROR(IF(0=LEN(ReferenceData!$AL$204),"",ReferenceData!$AL$204),"")</f>
        <v>5.1124966194999999</v>
      </c>
      <c r="AM204">
        <f ca="1">IFERROR(IF(0=LEN(ReferenceData!$AM$204),"",ReferenceData!$AM$204),"")</f>
        <v>5.4945743496666664</v>
      </c>
      <c r="AN204">
        <f ca="1">IFERROR(IF(0=LEN(ReferenceData!$AN$204),"",ReferenceData!$AN$204),"")</f>
        <v>5.0910643501666666</v>
      </c>
      <c r="AO204">
        <f ca="1">IFERROR(IF(0=LEN(ReferenceData!$AO$204),"",ReferenceData!$AO$204),"")</f>
        <v>5.1380265811666668</v>
      </c>
      <c r="AP204">
        <f ca="1">IFERROR(IF(0=LEN(ReferenceData!$AP$204),"",ReferenceData!$AP$204),"")</f>
        <v>4.9208025306666672</v>
      </c>
      <c r="AQ204">
        <f ca="1">IFERROR(IF(0=LEN(ReferenceData!$AQ$204),"",ReferenceData!$AQ$204),"")</f>
        <v>5.0314019766666664</v>
      </c>
      <c r="AR204">
        <f ca="1">IFERROR(IF(0=LEN(ReferenceData!$AR$204),"",ReferenceData!$AR$204),"")</f>
        <v>4.793557099</v>
      </c>
      <c r="AS204">
        <f ca="1">IFERROR(IF(0=LEN(ReferenceData!$AS$204),"",ReferenceData!$AS$204),"")</f>
        <v>5.1122804830000002</v>
      </c>
      <c r="AT204">
        <f ca="1">IFERROR(IF(0=LEN(ReferenceData!$AT$204),"",ReferenceData!$AT$204),"")</f>
        <v>4.9541196224999995</v>
      </c>
      <c r="AU204">
        <f ca="1">IFERROR(IF(0=LEN(ReferenceData!$AU$204),"",ReferenceData!$AU$204),"")</f>
        <v>5.0754921244999993</v>
      </c>
      <c r="AV204">
        <f ca="1">IFERROR(IF(0=LEN(ReferenceData!$AV$204),"",ReferenceData!$AV$204),"")</f>
        <v>5.6409768611666671</v>
      </c>
      <c r="AW204">
        <f ca="1">IFERROR(IF(0=LEN(ReferenceData!$AW$204),"",ReferenceData!$AW$204),"")</f>
        <v>4.9825009031666658</v>
      </c>
      <c r="AX204">
        <f ca="1">IFERROR(IF(0=LEN(ReferenceData!$AX$204),"",ReferenceData!$AX$204),"")</f>
        <v>5.1124586713333331</v>
      </c>
      <c r="AY204">
        <f ca="1">IFERROR(IF(0=LEN(ReferenceData!$AY$204),"",ReferenceData!$AY$204),"")</f>
        <v>5.2065722523333333</v>
      </c>
      <c r="AZ204">
        <f ca="1">IFERROR(IF(0=LEN(ReferenceData!$AZ$204),"",ReferenceData!$AZ$204),"")</f>
        <v>5.238355872833333</v>
      </c>
      <c r="BA204">
        <f ca="1">IFERROR(IF(0=LEN(ReferenceData!$BA$204),"",ReferenceData!$BA$204),"")</f>
        <v>5.4135159629999992</v>
      </c>
      <c r="BB204">
        <f ca="1">IFERROR(IF(0=LEN(ReferenceData!$BB$204),"",ReferenceData!$BB$204),"")</f>
        <v>5.5366589879999992</v>
      </c>
      <c r="BC204">
        <f ca="1">IFERROR(IF(0=LEN(ReferenceData!$BC$204),"",ReferenceData!$BC$204),"")</f>
        <v>5.3428576733333335</v>
      </c>
      <c r="BD204">
        <f ca="1">IFERROR(IF(0=LEN(ReferenceData!$BD$204),"",ReferenceData!$BD$204),"")</f>
        <v>5.6635492979999995</v>
      </c>
      <c r="BE204">
        <f ca="1">IFERROR(IF(0=LEN(ReferenceData!$BE$204),"",ReferenceData!$BE$204),"")</f>
        <v>6.0743128827142865</v>
      </c>
      <c r="BF204">
        <f ca="1">IFERROR(IF(0=LEN(ReferenceData!$BF$204),"",ReferenceData!$BF$204),"")</f>
        <v>6.1147810025714291</v>
      </c>
      <c r="BG204">
        <f ca="1">IFERROR(IF(0=LEN(ReferenceData!$BG$204),"",ReferenceData!$BG$204),"")</f>
        <v>5.6629878397142859</v>
      </c>
      <c r="BH204">
        <f ca="1">IFERROR(IF(0=LEN(ReferenceData!$BH$204),"",ReferenceData!$BH$204),"")</f>
        <v>5.8406718521428571</v>
      </c>
      <c r="BI204">
        <f ca="1">IFERROR(IF(0=LEN(ReferenceData!$BI$204),"",ReferenceData!$BI$204),"")</f>
        <v>5.9117133995714282</v>
      </c>
      <c r="BJ204">
        <f ca="1">IFERROR(IF(0=LEN(ReferenceData!$BJ$204),"",ReferenceData!$BJ$204),"")</f>
        <v>5.3722403395714284</v>
      </c>
      <c r="BK204">
        <f ca="1">IFERROR(IF(0=LEN(ReferenceData!$BK$204),"",ReferenceData!$BK$204),"")</f>
        <v>5.3367801252857143</v>
      </c>
      <c r="BL204">
        <f ca="1">IFERROR(IF(0=LEN(ReferenceData!$BL$204),"",ReferenceData!$BL$204),"")</f>
        <v>5.2264990149999999</v>
      </c>
      <c r="BM204">
        <f ca="1">IFERROR(IF(0=LEN(ReferenceData!$BM$204),"",ReferenceData!$BM$204),"")</f>
        <v>5.1338732994285721</v>
      </c>
      <c r="BN204">
        <f ca="1">IFERROR(IF(0=LEN(ReferenceData!$BN$204),"",ReferenceData!$BN$204),"")</f>
        <v>5.283604280714286</v>
      </c>
      <c r="BO204">
        <f ca="1">IFERROR(IF(0=LEN(ReferenceData!$BO$204),"",ReferenceData!$BO$204),"")</f>
        <v>5.3604538031428577</v>
      </c>
      <c r="BP204">
        <f ca="1">IFERROR(IF(0=LEN(ReferenceData!$BP$204),"",ReferenceData!$BP$204),"")</f>
        <v>5.436386366571428</v>
      </c>
      <c r="BQ204">
        <f ca="1">IFERROR(IF(0=LEN(ReferenceData!$BQ$204),"",ReferenceData!$BQ$204),"")</f>
        <v>5.4566989837142872</v>
      </c>
      <c r="BR204">
        <f ca="1">IFERROR(IF(0=LEN(ReferenceData!$BR$204),"",ReferenceData!$BR$204),"")</f>
        <v>5.4928890111428572</v>
      </c>
      <c r="BS204">
        <f ca="1">IFERROR(IF(0=LEN(ReferenceData!$BS$204),"",ReferenceData!$BS$204),"")</f>
        <v>5.2749419302857143</v>
      </c>
      <c r="BT204">
        <f ca="1">IFERROR(IF(0=LEN(ReferenceData!$BT$204),"",ReferenceData!$BT$204),"")</f>
        <v>5.2886239404285718</v>
      </c>
      <c r="BU204">
        <f ca="1">IFERROR(IF(0=LEN(ReferenceData!$BU$204),"",ReferenceData!$BU$204),"")</f>
        <v>4.9308808164285711</v>
      </c>
      <c r="BV204">
        <f ca="1">IFERROR(IF(0=LEN(ReferenceData!$BV$204),"",ReferenceData!$BV$204),"")</f>
        <v>4.760238465714286</v>
      </c>
      <c r="BW204">
        <f ca="1">IFERROR(IF(0=LEN(ReferenceData!$BW$204),"",ReferenceData!$BW$204),"")</f>
        <v>4.8839484258571426</v>
      </c>
      <c r="BX204">
        <f ca="1">IFERROR(IF(0=LEN(ReferenceData!$BX$204),"",ReferenceData!$BX$204),"")</f>
        <v>4.6785252752857147</v>
      </c>
      <c r="BY204">
        <f ca="1">IFERROR(IF(0=LEN(ReferenceData!$BY$204),"",ReferenceData!$BY$204),"")</f>
        <v>4.582784245428571</v>
      </c>
      <c r="BZ204">
        <f ca="1">IFERROR(IF(0=LEN(ReferenceData!$BZ$204),"",ReferenceData!$BZ$204),"")</f>
        <v>4.6512571875714288</v>
      </c>
      <c r="CA204">
        <f ca="1">IFERROR(IF(0=LEN(ReferenceData!$CA$204),"",ReferenceData!$CA$204),"")</f>
        <v>4.8552606015714295</v>
      </c>
      <c r="CB204">
        <f ca="1">IFERROR(IF(0=LEN(ReferenceData!$CB$204),"",ReferenceData!$CB$204),"")</f>
        <v>4.7231969352857135</v>
      </c>
      <c r="CC204">
        <f ca="1">IFERROR(IF(0=LEN(ReferenceData!$CC$204),"",ReferenceData!$CC$204),"")</f>
        <v>4.9142469048571433</v>
      </c>
      <c r="CD204">
        <f ca="1">IFERROR(IF(0=LEN(ReferenceData!$CD$204),"",ReferenceData!$CD$204),"")</f>
        <v>4.9743674670000004</v>
      </c>
      <c r="CE204">
        <f ca="1">IFERROR(IF(0=LEN(ReferenceData!$CE$204),"",ReferenceData!$CE$204),"")</f>
        <v>4.6027465851428584</v>
      </c>
      <c r="CF204">
        <f ca="1">IFERROR(IF(0=LEN(ReferenceData!$CF$204),"",ReferenceData!$CF$204),"")</f>
        <v>5.1360950294285725</v>
      </c>
      <c r="CG204">
        <f ca="1">IFERROR(IF(0=LEN(ReferenceData!$CG$204),"",ReferenceData!$CG$204),"")</f>
        <v>4.1577886624285707</v>
      </c>
      <c r="CH204">
        <f ca="1">IFERROR(IF(0=LEN(ReferenceData!$CH$204),"",ReferenceData!$CH$204),"")</f>
        <v>4.1656116695714287</v>
      </c>
      <c r="CI204">
        <f ca="1">IFERROR(IF(0=LEN(ReferenceData!$CI$204),"",ReferenceData!$CI$204),"")</f>
        <v>4.3851184134285708</v>
      </c>
      <c r="CJ204">
        <f ca="1">IFERROR(IF(0=LEN(ReferenceData!$CJ$204),"",ReferenceData!$CJ$204),"")</f>
        <v>4.3046478937142849</v>
      </c>
      <c r="CK204">
        <f ca="1">IFERROR(IF(0=LEN(ReferenceData!$CK$204),"",ReferenceData!$CK$204),"")</f>
        <v>4.3843128402857152</v>
      </c>
    </row>
    <row r="205" spans="1:89">
      <c r="A205" t="str">
        <f>IFERROR(IF(0=LEN(ReferenceData!$A$205),"",ReferenceData!$A$205),"")</f>
        <v xml:space="preserve">    公寓投资与管理</v>
      </c>
      <c r="B205" t="str">
        <f>IFERROR(IF(0=LEN(ReferenceData!$B$205),"",ReferenceData!$B$205),"")</f>
        <v>AIV US Equity</v>
      </c>
      <c r="C205" t="str">
        <f>IFERROR(IF(0=LEN(ReferenceData!$C$205),"",ReferenceData!$C$205),"")</f>
        <v>RR890</v>
      </c>
      <c r="D205" t="str">
        <f>IFERROR(IF(0=LEN(ReferenceData!$D$205),"",ReferenceData!$D$205),"")</f>
        <v>FFO_YIELD</v>
      </c>
      <c r="E205" t="str">
        <f>IFERROR(IF(0=LEN(ReferenceData!$E$205),"",ReferenceData!$E$205),"")</f>
        <v>动态</v>
      </c>
      <c r="F205">
        <f ca="1">IFERROR(IF(0=LEN(ReferenceData!$F$205),"",ReferenceData!$F$205),"")</f>
        <v>6.1188811190000001</v>
      </c>
      <c r="G205">
        <f ca="1">IFERROR(IF(0=LEN(ReferenceData!$G$205),"",ReferenceData!$G$205),"")</f>
        <v>6.3372995339999996</v>
      </c>
      <c r="H205">
        <f ca="1">IFERROR(IF(0=LEN(ReferenceData!$H$205),"",ReferenceData!$H$205),"")</f>
        <v>5.855640535</v>
      </c>
      <c r="I205">
        <f ca="1">IFERROR(IF(0=LEN(ReferenceData!$I$205),"",ReferenceData!$I$205),"")</f>
        <v>5.6051246849999998</v>
      </c>
      <c r="J205">
        <f ca="1">IFERROR(IF(0=LEN(ReferenceData!$J$205),"",ReferenceData!$J$205),"")</f>
        <v>5.4887729639999998</v>
      </c>
      <c r="K205">
        <f ca="1">IFERROR(IF(0=LEN(ReferenceData!$K$205),"",ReferenceData!$K$205),"")</f>
        <v>5.5025011370000003</v>
      </c>
      <c r="L205">
        <f ca="1">IFERROR(IF(0=LEN(ReferenceData!$L$205),"",ReferenceData!$L$205),"")</f>
        <v>5.5175558599999999</v>
      </c>
      <c r="M205">
        <f ca="1">IFERROR(IF(0=LEN(ReferenceData!$M$205),"",ReferenceData!$M$205),"")</f>
        <v>5.14008383</v>
      </c>
      <c r="N205">
        <f ca="1">IFERROR(IF(0=LEN(ReferenceData!$N$205),"",ReferenceData!$N$205),"")</f>
        <v>5.1152579579999999</v>
      </c>
      <c r="O205">
        <f ca="1">IFERROR(IF(0=LEN(ReferenceData!$O$205),"",ReferenceData!$O$205),"")</f>
        <v>5.4223877119999999</v>
      </c>
      <c r="P205">
        <f ca="1">IFERROR(IF(0=LEN(ReferenceData!$P$205),"",ReferenceData!$P$205),"")</f>
        <v>5.382106244</v>
      </c>
      <c r="Q205">
        <f ca="1">IFERROR(IF(0=LEN(ReferenceData!$Q$205),"",ReferenceData!$Q$205),"")</f>
        <v>5.2812071329999997</v>
      </c>
      <c r="R205">
        <f ca="1">IFERROR(IF(0=LEN(ReferenceData!$R$205),"",ReferenceData!$R$205),"")</f>
        <v>5.2085682069999999</v>
      </c>
      <c r="S205">
        <f ca="1">IFERROR(IF(0=LEN(ReferenceData!$S$205),"",ReferenceData!$S$205),"")</f>
        <v>4.9430474960000002</v>
      </c>
      <c r="T205">
        <f ca="1">IFERROR(IF(0=LEN(ReferenceData!$T$205),"",ReferenceData!$T$205),"")</f>
        <v>5.218969821</v>
      </c>
      <c r="U205">
        <f ca="1">IFERROR(IF(0=LEN(ReferenceData!$U$205),"",ReferenceData!$U$205),"")</f>
        <v>5.0605060509999999</v>
      </c>
      <c r="V205">
        <f ca="1">IFERROR(IF(0=LEN(ReferenceData!$V$205),"",ReferenceData!$V$205),"")</f>
        <v>5.4156769599999999</v>
      </c>
      <c r="W205">
        <f ca="1">IFERROR(IF(0=LEN(ReferenceData!$W$205),"",ReferenceData!$W$205),"")</f>
        <v>5.1735874739999996</v>
      </c>
      <c r="X205">
        <f ca="1">IFERROR(IF(0=LEN(ReferenceData!$X$205),"",ReferenceData!$X$205),"")</f>
        <v>4.9662382919999999</v>
      </c>
      <c r="Y205">
        <f ca="1">IFERROR(IF(0=LEN(ReferenceData!$Y$205),"",ReferenceData!$Y$205),"")</f>
        <v>5.1128818059999999</v>
      </c>
      <c r="Z205">
        <f ca="1">IFERROR(IF(0=LEN(ReferenceData!$Z$205),"",ReferenceData!$Z$205),"")</f>
        <v>5.0250163150000002</v>
      </c>
      <c r="AA205">
        <f ca="1">IFERROR(IF(0=LEN(ReferenceData!$AA$205),"",ReferenceData!$AA$205),"")</f>
        <v>5.2309782609999997</v>
      </c>
      <c r="AB205">
        <f ca="1">IFERROR(IF(0=LEN(ReferenceData!$AB$205),"",ReferenceData!$AB$205),"")</f>
        <v>5.3458382179999999</v>
      </c>
      <c r="AC205">
        <f ca="1">IFERROR(IF(0=LEN(ReferenceData!$AC$205),"",ReferenceData!$AC$205),"")</f>
        <v>5.6914628059999997</v>
      </c>
      <c r="AD205">
        <f ca="1">IFERROR(IF(0=LEN(ReferenceData!$AD$205),"",ReferenceData!$AD$205),"")</f>
        <v>5.4519368720000001</v>
      </c>
      <c r="AE205">
        <f ca="1">IFERROR(IF(0=LEN(ReferenceData!$AE$205),"",ReferenceData!$AE$205),"")</f>
        <v>6.0639169629999996</v>
      </c>
      <c r="AF205">
        <f ca="1">IFERROR(IF(0=LEN(ReferenceData!$AF$205),"",ReferenceData!$AF$205),"")</f>
        <v>5.6704980840000001</v>
      </c>
      <c r="AG205">
        <f ca="1">IFERROR(IF(0=LEN(ReferenceData!$AG$205),"",ReferenceData!$AG$205),"")</f>
        <v>5.5458406199999999</v>
      </c>
      <c r="AH205">
        <f ca="1">IFERROR(IF(0=LEN(ReferenceData!$AH$205),"",ReferenceData!$AH$205),"")</f>
        <v>5.7202833899999996</v>
      </c>
      <c r="AI205">
        <f ca="1">IFERROR(IF(0=LEN(ReferenceData!$AI$205),"",ReferenceData!$AI$205),"")</f>
        <v>5.5626435320000001</v>
      </c>
      <c r="AJ205">
        <f ca="1">IFERROR(IF(0=LEN(ReferenceData!$AJ$205),"",ReferenceData!$AJ$205),"")</f>
        <v>5.8887088060000004</v>
      </c>
      <c r="AK205">
        <f ca="1">IFERROR(IF(0=LEN(ReferenceData!$AK$205),"",ReferenceData!$AK$205),"")</f>
        <v>5.8839855679999999</v>
      </c>
      <c r="AL205">
        <f ca="1">IFERROR(IF(0=LEN(ReferenceData!$AL$205),"",ReferenceData!$AL$205),"")</f>
        <v>5.4247697029999999</v>
      </c>
      <c r="AM205">
        <f ca="1">IFERROR(IF(0=LEN(ReferenceData!$AM$205),"",ReferenceData!$AM$205),"")</f>
        <v>5.7405903059999996</v>
      </c>
      <c r="AN205">
        <f ca="1">IFERROR(IF(0=LEN(ReferenceData!$AN$205),"",ReferenceData!$AN$205),"")</f>
        <v>5.483785921</v>
      </c>
      <c r="AO205">
        <f ca="1">IFERROR(IF(0=LEN(ReferenceData!$AO$205),"",ReferenceData!$AO$205),"")</f>
        <v>5.5128544919999998</v>
      </c>
      <c r="AP205">
        <f ca="1">IFERROR(IF(0=LEN(ReferenceData!$AP$205),"",ReferenceData!$AP$205),"")</f>
        <v>5.2845528460000004</v>
      </c>
      <c r="AQ205">
        <f ca="1">IFERROR(IF(0=LEN(ReferenceData!$AQ$205),"",ReferenceData!$AQ$205),"")</f>
        <v>5.4936305729999999</v>
      </c>
      <c r="AR205">
        <f ca="1">IFERROR(IF(0=LEN(ReferenceData!$AR$205),"",ReferenceData!$AR$205),"")</f>
        <v>5.1931761160000001</v>
      </c>
      <c r="AS205">
        <f ca="1">IFERROR(IF(0=LEN(ReferenceData!$AS$205),"",ReferenceData!$AS$205),"")</f>
        <v>5.5720053839999997</v>
      </c>
      <c r="AT205">
        <f ca="1">IFERROR(IF(0=LEN(ReferenceData!$AT$205),"",ReferenceData!$AT$205),"")</f>
        <v>5.6375838930000004</v>
      </c>
      <c r="AU205">
        <f ca="1">IFERROR(IF(0=LEN(ReferenceData!$AU$205),"",ReferenceData!$AU$205),"")</f>
        <v>5.867560771</v>
      </c>
      <c r="AV205">
        <f ca="1">IFERROR(IF(0=LEN(ReferenceData!$AV$205),"",ReferenceData!$AV$205),"")</f>
        <v>6.599622879</v>
      </c>
      <c r="AW205">
        <f ca="1">IFERROR(IF(0=LEN(ReferenceData!$AW$205),"",ReferenceData!$AW$205),"")</f>
        <v>6.0986285379999998</v>
      </c>
      <c r="AX205">
        <f ca="1">IFERROR(IF(0=LEN(ReferenceData!$AX$205),"",ReferenceData!$AX$205),"")</f>
        <v>6.1146869510000004</v>
      </c>
      <c r="AY205">
        <f ca="1">IFERROR(IF(0=LEN(ReferenceData!$AY$205),"",ReferenceData!$AY$205),"")</f>
        <v>6.4766036570000001</v>
      </c>
      <c r="AZ205">
        <f ca="1">IFERROR(IF(0=LEN(ReferenceData!$AZ$205),"",ReferenceData!$AZ$205),"")</f>
        <v>6.5438373570000001</v>
      </c>
      <c r="BA205">
        <f ca="1">IFERROR(IF(0=LEN(ReferenceData!$BA$205),"",ReferenceData!$BA$205),"")</f>
        <v>6.6818034380000002</v>
      </c>
      <c r="BB205">
        <f ca="1">IFERROR(IF(0=LEN(ReferenceData!$BB$205),"",ReferenceData!$BB$205),"")</f>
        <v>6.8166776970000003</v>
      </c>
      <c r="BC205">
        <f ca="1">IFERROR(IF(0=LEN(ReferenceData!$BC$205),"",ReferenceData!$BC$205),"")</f>
        <v>6.8250250919999997</v>
      </c>
      <c r="BD205">
        <f ca="1">IFERROR(IF(0=LEN(ReferenceData!$BD$205),"",ReferenceData!$BD$205),"")</f>
        <v>7.293528781</v>
      </c>
      <c r="BE205">
        <f ca="1">IFERROR(IF(0=LEN(ReferenceData!$BE$205),"",ReferenceData!$BE$205),"")</f>
        <v>7.8734079509999999</v>
      </c>
      <c r="BF205">
        <f ca="1">IFERROR(IF(0=LEN(ReferenceData!$BF$205),"",ReferenceData!$BF$205),"")</f>
        <v>7.9251294310000002</v>
      </c>
      <c r="BG205">
        <f ca="1">IFERROR(IF(0=LEN(ReferenceData!$BG$205),"",ReferenceData!$BG$205),"")</f>
        <v>7.1122230159999997</v>
      </c>
      <c r="BH205">
        <f ca="1">IFERROR(IF(0=LEN(ReferenceData!$BH$205),"",ReferenceData!$BH$205),"")</f>
        <v>7.122405154</v>
      </c>
      <c r="BI205">
        <f ca="1">IFERROR(IF(0=LEN(ReferenceData!$BI$205),"",ReferenceData!$BI$205),"")</f>
        <v>6.7925899019999996</v>
      </c>
      <c r="BJ205">
        <f ca="1">IFERROR(IF(0=LEN(ReferenceData!$BJ$205),"",ReferenceData!$BJ$205),"")</f>
        <v>6.3648740640000003</v>
      </c>
      <c r="BK205">
        <f ca="1">IFERROR(IF(0=LEN(ReferenceData!$BK$205),"",ReferenceData!$BK$205),"")</f>
        <v>6.2250332889999997</v>
      </c>
      <c r="BL205">
        <f ca="1">IFERROR(IF(0=LEN(ReferenceData!$BL$205),"",ReferenceData!$BL$205),"")</f>
        <v>5.8162590879999998</v>
      </c>
      <c r="BM205">
        <f ca="1">IFERROR(IF(0=LEN(ReferenceData!$BM$205),"",ReferenceData!$BM$205),"")</f>
        <v>5.6573449050000004</v>
      </c>
      <c r="BN205">
        <f ca="1">IFERROR(IF(0=LEN(ReferenceData!$BN$205),"",ReferenceData!$BN$205),"")</f>
        <v>5.7403783429999997</v>
      </c>
      <c r="BO205">
        <f ca="1">IFERROR(IF(0=LEN(ReferenceData!$BO$205),"",ReferenceData!$BO$205),"")</f>
        <v>5.6718433490000004</v>
      </c>
      <c r="BP205">
        <f ca="1">IFERROR(IF(0=LEN(ReferenceData!$BP$205),"",ReferenceData!$BP$205),"")</f>
        <v>6.1583577710000004</v>
      </c>
      <c r="BQ205">
        <f ca="1">IFERROR(IF(0=LEN(ReferenceData!$BQ$205),"",ReferenceData!$BQ$205),"")</f>
        <v>6.2084257210000002</v>
      </c>
      <c r="BR205">
        <f ca="1">IFERROR(IF(0=LEN(ReferenceData!$BR$205),"",ReferenceData!$BR$205),"")</f>
        <v>6.3422417229999999</v>
      </c>
      <c r="BS205">
        <f ca="1">IFERROR(IF(0=LEN(ReferenceData!$BS$205),"",ReferenceData!$BS$205),"")</f>
        <v>5.9572873739999999</v>
      </c>
      <c r="BT205">
        <f ca="1">IFERROR(IF(0=LEN(ReferenceData!$BT$205),"",ReferenceData!$BT$205),"")</f>
        <v>6.117737591</v>
      </c>
      <c r="BU205">
        <f ca="1">IFERROR(IF(0=LEN(ReferenceData!$BU$205),"",ReferenceData!$BU$205),"")</f>
        <v>6.1178247729999997</v>
      </c>
      <c r="BV205">
        <f ca="1">IFERROR(IF(0=LEN(ReferenceData!$BV$205),"",ReferenceData!$BV$205),"")</f>
        <v>5.9059423989999997</v>
      </c>
      <c r="BW205">
        <f ca="1">IFERROR(IF(0=LEN(ReferenceData!$BW$205),"",ReferenceData!$BW$205),"")</f>
        <v>5.9933407330000001</v>
      </c>
      <c r="BX205">
        <f ca="1">IFERROR(IF(0=LEN(ReferenceData!$BX$205),"",ReferenceData!$BX$205),"")</f>
        <v>5.652013299</v>
      </c>
      <c r="BY205">
        <f ca="1">IFERROR(IF(0=LEN(ReferenceData!$BY$205),"",ReferenceData!$BY$205),"")</f>
        <v>5.6353591160000001</v>
      </c>
      <c r="BZ205">
        <f ca="1">IFERROR(IF(0=LEN(ReferenceData!$BZ$205),"",ReferenceData!$BZ$205),"")</f>
        <v>5.7932601290000001</v>
      </c>
      <c r="CA205">
        <f ca="1">IFERROR(IF(0=LEN(ReferenceData!$CA$205),"",ReferenceData!$CA$205),"")</f>
        <v>6.119162641</v>
      </c>
      <c r="CB205">
        <f ca="1">IFERROR(IF(0=LEN(ReferenceData!$CB$205),"",ReferenceData!$CB$205),"")</f>
        <v>6.1889250809999998</v>
      </c>
      <c r="CC205">
        <f ca="1">IFERROR(IF(0=LEN(ReferenceData!$CC$205),"",ReferenceData!$CC$205),"")</f>
        <v>6.6346573549999999</v>
      </c>
      <c r="CD205">
        <f ca="1">IFERROR(IF(0=LEN(ReferenceData!$CD$205),"",ReferenceData!$CD$205),"")</f>
        <v>6.6115702479999996</v>
      </c>
      <c r="CE205">
        <f ca="1">IFERROR(IF(0=LEN(ReferenceData!$CE$205),"",ReferenceData!$CE$205),"")</f>
        <v>5.8370490469999998</v>
      </c>
      <c r="CF205">
        <f ca="1">IFERROR(IF(0=LEN(ReferenceData!$CF$205),"",ReferenceData!$CF$205),"")</f>
        <v>6.50994575</v>
      </c>
      <c r="CG205">
        <f ca="1">IFERROR(IF(0=LEN(ReferenceData!$CG$205),"",ReferenceData!$CG$205),"")</f>
        <v>5.4572826499999998</v>
      </c>
      <c r="CH205">
        <f ca="1">IFERROR(IF(0=LEN(ReferenceData!$CH$205),"",ReferenceData!$CH$205),"")</f>
        <v>5.3113553109999998</v>
      </c>
      <c r="CI205">
        <f ca="1">IFERROR(IF(0=LEN(ReferenceData!$CI$205),"",ReferenceData!$CI$205),"")</f>
        <v>5.6795926359999998</v>
      </c>
      <c r="CJ205">
        <f ca="1">IFERROR(IF(0=LEN(ReferenceData!$CJ$205),"",ReferenceData!$CJ$205),"")</f>
        <v>5.836139169</v>
      </c>
      <c r="CK205">
        <f ca="1">IFERROR(IF(0=LEN(ReferenceData!$CK$205),"",ReferenceData!$CK$205),"")</f>
        <v>5.7863501480000004</v>
      </c>
    </row>
    <row r="206" spans="1:89">
      <c r="A206" t="str">
        <f>IFERROR(IF(0=LEN(ReferenceData!$A$206),"",ReferenceData!$A$206),"")</f>
        <v xml:space="preserve">    AvalonBay社区股份有限公司</v>
      </c>
      <c r="B206" t="str">
        <f>IFERROR(IF(0=LEN(ReferenceData!$B$206),"",ReferenceData!$B$206),"")</f>
        <v>AVB US Equity</v>
      </c>
      <c r="C206" t="str">
        <f>IFERROR(IF(0=LEN(ReferenceData!$C$206),"",ReferenceData!$C$206),"")</f>
        <v>RR890</v>
      </c>
      <c r="D206" t="str">
        <f>IFERROR(IF(0=LEN(ReferenceData!$D$206),"",ReferenceData!$D$206),"")</f>
        <v>FFO_YIELD</v>
      </c>
      <c r="E206" t="str">
        <f>IFERROR(IF(0=LEN(ReferenceData!$E$206),"",ReferenceData!$E$206),"")</f>
        <v>动态</v>
      </c>
      <c r="F206">
        <f ca="1">IFERROR(IF(0=LEN(ReferenceData!$F$206),"",ReferenceData!$F$206),"")</f>
        <v>5.2377413180000003</v>
      </c>
      <c r="G206">
        <f ca="1">IFERROR(IF(0=LEN(ReferenceData!$G$206),"",ReferenceData!$G$206),"")</f>
        <v>5.4223817460000001</v>
      </c>
      <c r="H206">
        <f ca="1">IFERROR(IF(0=LEN(ReferenceData!$H$206),"",ReferenceData!$H$206),"")</f>
        <v>4.9647887319999997</v>
      </c>
      <c r="I206">
        <f ca="1">IFERROR(IF(0=LEN(ReferenceData!$I$206),"",ReferenceData!$I$206),"")</f>
        <v>4.7418866660000001</v>
      </c>
      <c r="J206">
        <f ca="1">IFERROR(IF(0=LEN(ReferenceData!$J$206),"",ReferenceData!$J$206),"")</f>
        <v>4.6180052939999996</v>
      </c>
      <c r="K206">
        <f ca="1">IFERROR(IF(0=LEN(ReferenceData!$K$206),"",ReferenceData!$K$206),"")</f>
        <v>4.6180052939999996</v>
      </c>
      <c r="L206">
        <f ca="1">IFERROR(IF(0=LEN(ReferenceData!$L$206),"",ReferenceData!$L$206),"")</f>
        <v>4.6933241790000002</v>
      </c>
      <c r="M206">
        <f ca="1">IFERROR(IF(0=LEN(ReferenceData!$M$206),"",ReferenceData!$M$206),"")</f>
        <v>4.3361732279999998</v>
      </c>
      <c r="N206">
        <f ca="1">IFERROR(IF(0=LEN(ReferenceData!$N$206),"",ReferenceData!$N$206),"")</f>
        <v>4.2320239150000001</v>
      </c>
      <c r="O206">
        <f ca="1">IFERROR(IF(0=LEN(ReferenceData!$O$206),"",ReferenceData!$O$206),"")</f>
        <v>4.235987927</v>
      </c>
      <c r="P206">
        <f ca="1">IFERROR(IF(0=LEN(ReferenceData!$P$206),"",ReferenceData!$P$206),"")</f>
        <v>4.3036488180000001</v>
      </c>
      <c r="Q206">
        <f ca="1">IFERROR(IF(0=LEN(ReferenceData!$Q$206),"",ReferenceData!$Q$206),"")</f>
        <v>4.3353866410000004</v>
      </c>
      <c r="R206">
        <f ca="1">IFERROR(IF(0=LEN(ReferenceData!$R$206),"",ReferenceData!$R$206),"")</f>
        <v>4.4827331150000003</v>
      </c>
      <c r="S206">
        <f ca="1">IFERROR(IF(0=LEN(ReferenceData!$S$206),"",ReferenceData!$S$206),"")</f>
        <v>4.4946664490000003</v>
      </c>
      <c r="T206">
        <f ca="1">IFERROR(IF(0=LEN(ReferenceData!$T$206),"",ReferenceData!$T$206),"")</f>
        <v>4.7661981420000004</v>
      </c>
      <c r="U206">
        <f ca="1">IFERROR(IF(0=LEN(ReferenceData!$U$206),"",ReferenceData!$U$206),"")</f>
        <v>4.6628834320000001</v>
      </c>
      <c r="V206">
        <f ca="1">IFERROR(IF(0=LEN(ReferenceData!$V$206),"",ReferenceData!$V$206),"")</f>
        <v>4.9437272779999999</v>
      </c>
      <c r="W206">
        <f ca="1">IFERROR(IF(0=LEN(ReferenceData!$W$206),"",ReferenceData!$W$206),"")</f>
        <v>4.7505181680000002</v>
      </c>
      <c r="X206">
        <f ca="1">IFERROR(IF(0=LEN(ReferenceData!$X$206),"",ReferenceData!$X$206),"")</f>
        <v>4.5726141480000004</v>
      </c>
      <c r="Y206">
        <f ca="1">IFERROR(IF(0=LEN(ReferenceData!$Y$206),"",ReferenceData!$Y$206),"")</f>
        <v>4.5977184160000002</v>
      </c>
      <c r="Z206">
        <f ca="1">IFERROR(IF(0=LEN(ReferenceData!$Z$206),"",ReferenceData!$Z$206),"")</f>
        <v>4.3342133049999996</v>
      </c>
      <c r="AA206">
        <f ca="1">IFERROR(IF(0=LEN(ReferenceData!$AA$206),"",ReferenceData!$AA$206),"")</f>
        <v>4.460594822</v>
      </c>
      <c r="AB206">
        <f ca="1">IFERROR(IF(0=LEN(ReferenceData!$AB$206),"",ReferenceData!$AB$206),"")</f>
        <v>4.5803063149999996</v>
      </c>
      <c r="AC206">
        <f ca="1">IFERROR(IF(0=LEN(ReferenceData!$AC$206),"",ReferenceData!$AC$206),"")</f>
        <v>4.6603625769999999</v>
      </c>
      <c r="AD206">
        <f ca="1">IFERROR(IF(0=LEN(ReferenceData!$AD$206),"",ReferenceData!$AD$206),"")</f>
        <v>4.3317849629999996</v>
      </c>
      <c r="AE206">
        <f ca="1">IFERROR(IF(0=LEN(ReferenceData!$AE$206),"",ReferenceData!$AE$206),"")</f>
        <v>4.6894983689999998</v>
      </c>
      <c r="AF206">
        <f ca="1">IFERROR(IF(0=LEN(ReferenceData!$AF$206),"",ReferenceData!$AF$206),"")</f>
        <v>4.6936002099999996</v>
      </c>
      <c r="AG206">
        <f ca="1">IFERROR(IF(0=LEN(ReferenceData!$AG$206),"",ReferenceData!$AG$206),"")</f>
        <v>4.3713979250000001</v>
      </c>
      <c r="AH206">
        <f ca="1">IFERROR(IF(0=LEN(ReferenceData!$AH$206),"",ReferenceData!$AH$206),"")</f>
        <v>4.3140920840000003</v>
      </c>
      <c r="AI206">
        <f ca="1">IFERROR(IF(0=LEN(ReferenceData!$AI$206),"",ReferenceData!$AI$206),"")</f>
        <v>4.485836527</v>
      </c>
      <c r="AJ206">
        <f ca="1">IFERROR(IF(0=LEN(ReferenceData!$AJ$206),"",ReferenceData!$AJ$206),"")</f>
        <v>4.4860931239999999</v>
      </c>
      <c r="AK206">
        <f ca="1">IFERROR(IF(0=LEN(ReferenceData!$AK$206),"",ReferenceData!$AK$206),"")</f>
        <v>4.8240567070000004</v>
      </c>
      <c r="AL206">
        <f ca="1">IFERROR(IF(0=LEN(ReferenceData!$AL$206),"",ReferenceData!$AL$206),"")</f>
        <v>4.6202785190000002</v>
      </c>
      <c r="AM206">
        <f ca="1">IFERROR(IF(0=LEN(ReferenceData!$AM$206),"",ReferenceData!$AM$206),"")</f>
        <v>4.98066429</v>
      </c>
      <c r="AN206">
        <f ca="1">IFERROR(IF(0=LEN(ReferenceData!$AN$206),"",ReferenceData!$AN$206),"")</f>
        <v>4.498498498</v>
      </c>
      <c r="AO206">
        <f ca="1">IFERROR(IF(0=LEN(ReferenceData!$AO$206),"",ReferenceData!$AO$206),"")</f>
        <v>4.5576244370000003</v>
      </c>
      <c r="AP206">
        <f ca="1">IFERROR(IF(0=LEN(ReferenceData!$AP$206),"",ReferenceData!$AP$206),"")</f>
        <v>4.2984218079999996</v>
      </c>
      <c r="AQ206">
        <f ca="1">IFERROR(IF(0=LEN(ReferenceData!$AQ$206),"",ReferenceData!$AQ$206),"")</f>
        <v>4.3067601279999996</v>
      </c>
      <c r="AR206">
        <f ca="1">IFERROR(IF(0=LEN(ReferenceData!$AR$206),"",ReferenceData!$AR$206),"")</f>
        <v>4.1909936989999999</v>
      </c>
      <c r="AS206">
        <f ca="1">IFERROR(IF(0=LEN(ReferenceData!$AS$206),"",ReferenceData!$AS$206),"")</f>
        <v>4.4372360610000001</v>
      </c>
      <c r="AT206">
        <f ca="1">IFERROR(IF(0=LEN(ReferenceData!$AT$206),"",ReferenceData!$AT$206),"")</f>
        <v>4.3515821880000001</v>
      </c>
      <c r="AU206">
        <f ca="1">IFERROR(IF(0=LEN(ReferenceData!$AU$206),"",ReferenceData!$AU$206),"")</f>
        <v>4.4898030029999996</v>
      </c>
      <c r="AV206">
        <f ca="1">IFERROR(IF(0=LEN(ReferenceData!$AV$206),"",ReferenceData!$AV$206),"")</f>
        <v>4.9634028519999998</v>
      </c>
      <c r="AW206">
        <f ca="1">IFERROR(IF(0=LEN(ReferenceData!$AW$206),"",ReferenceData!$AW$206),"")</f>
        <v>3.9175269309999998</v>
      </c>
      <c r="AX206">
        <f ca="1">IFERROR(IF(0=LEN(ReferenceData!$AX$206),"",ReferenceData!$AX$206),"")</f>
        <v>4.0767888980000002</v>
      </c>
      <c r="AY206">
        <f ca="1">IFERROR(IF(0=LEN(ReferenceData!$AY$206),"",ReferenceData!$AY$206),"")</f>
        <v>4.2456635489999996</v>
      </c>
      <c r="AZ206">
        <f ca="1">IFERROR(IF(0=LEN(ReferenceData!$AZ$206),"",ReferenceData!$AZ$206),"")</f>
        <v>4.1433368579999996</v>
      </c>
      <c r="BA206">
        <f ca="1">IFERROR(IF(0=LEN(ReferenceData!$BA$206),"",ReferenceData!$BA$206),"")</f>
        <v>4.3038513370000002</v>
      </c>
      <c r="BB206">
        <f ca="1">IFERROR(IF(0=LEN(ReferenceData!$BB$206),"",ReferenceData!$BB$206),"")</f>
        <v>4.475258148</v>
      </c>
      <c r="BC206">
        <f ca="1">IFERROR(IF(0=LEN(ReferenceData!$BC$206),"",ReferenceData!$BC$206),"")</f>
        <v>3.8899813910000001</v>
      </c>
      <c r="BD206">
        <f ca="1">IFERROR(IF(0=LEN(ReferenceData!$BD$206),"",ReferenceData!$BD$206),"")</f>
        <v>4.0622744940000004</v>
      </c>
      <c r="BE206">
        <f ca="1">IFERROR(IF(0=LEN(ReferenceData!$BE$206),"",ReferenceData!$BE$206),"")</f>
        <v>4.2433468660000004</v>
      </c>
      <c r="BF206">
        <f ca="1">IFERROR(IF(0=LEN(ReferenceData!$BF$206),"",ReferenceData!$BF$206),"")</f>
        <v>4.0313630229999999</v>
      </c>
      <c r="BG206">
        <f ca="1">IFERROR(IF(0=LEN(ReferenceData!$BG$206),"",ReferenceData!$BG$206),"")</f>
        <v>3.8221383449999999</v>
      </c>
      <c r="BH206">
        <f ca="1">IFERROR(IF(0=LEN(ReferenceData!$BH$206),"",ReferenceData!$BH$206),"")</f>
        <v>3.7607868440000001</v>
      </c>
      <c r="BI206">
        <f ca="1">IFERROR(IF(0=LEN(ReferenceData!$BI$206),"",ReferenceData!$BI$206),"")</f>
        <v>4.0654374500000001</v>
      </c>
      <c r="BJ206">
        <f ca="1">IFERROR(IF(0=LEN(ReferenceData!$BJ$206),"",ReferenceData!$BJ$206),"")</f>
        <v>3.7217947389999999</v>
      </c>
      <c r="BK206">
        <f ca="1">IFERROR(IF(0=LEN(ReferenceData!$BK$206),"",ReferenceData!$BK$206),"")</f>
        <v>3.7336572530000001</v>
      </c>
      <c r="BL206">
        <f ca="1">IFERROR(IF(0=LEN(ReferenceData!$BL$206),"",ReferenceData!$BL$206),"")</f>
        <v>3.6353135839999999</v>
      </c>
      <c r="BM206">
        <f ca="1">IFERROR(IF(0=LEN(ReferenceData!$BM$206),"",ReferenceData!$BM$206),"")</f>
        <v>3.6249300959999999</v>
      </c>
      <c r="BN206">
        <f ca="1">IFERROR(IF(0=LEN(ReferenceData!$BN$206),"",ReferenceData!$BN$206),"")</f>
        <v>3.807221126</v>
      </c>
      <c r="BO206">
        <f ca="1">IFERROR(IF(0=LEN(ReferenceData!$BO$206),"",ReferenceData!$BO$206),"")</f>
        <v>4.263884483</v>
      </c>
      <c r="BP206">
        <f ca="1">IFERROR(IF(0=LEN(ReferenceData!$BP$206),"",ReferenceData!$BP$206),"")</f>
        <v>4.1009376690000003</v>
      </c>
      <c r="BQ206">
        <f ca="1">IFERROR(IF(0=LEN(ReferenceData!$BQ$206),"",ReferenceData!$BQ$206),"")</f>
        <v>3.9255158940000001</v>
      </c>
      <c r="BR206">
        <f ca="1">IFERROR(IF(0=LEN(ReferenceData!$BR$206),"",ReferenceData!$BR$206),"")</f>
        <v>3.9763419080000002</v>
      </c>
      <c r="BS206">
        <f ca="1">IFERROR(IF(0=LEN(ReferenceData!$BS$206),"",ReferenceData!$BS$206),"")</f>
        <v>3.8657575980000001</v>
      </c>
      <c r="BT206">
        <f ca="1">IFERROR(IF(0=LEN(ReferenceData!$BT$206),"",ReferenceData!$BT$206),"")</f>
        <v>3.853534083</v>
      </c>
      <c r="BU206">
        <f ca="1">IFERROR(IF(0=LEN(ReferenceData!$BU$206),"",ReferenceData!$BU$206),"")</f>
        <v>3.5099335780000001</v>
      </c>
      <c r="BV206">
        <f ca="1">IFERROR(IF(0=LEN(ReferenceData!$BV$206),"",ReferenceData!$BV$206),"")</f>
        <v>3.3770195119999999</v>
      </c>
      <c r="BW206">
        <f ca="1">IFERROR(IF(0=LEN(ReferenceData!$BW$206),"",ReferenceData!$BW$206),"")</f>
        <v>3.5109259260000001</v>
      </c>
      <c r="BX206">
        <f ca="1">IFERROR(IF(0=LEN(ReferenceData!$BX$206),"",ReferenceData!$BX$206),"")</f>
        <v>3.4095806799999999</v>
      </c>
      <c r="BY206">
        <f ca="1">IFERROR(IF(0=LEN(ReferenceData!$BY$206),"",ReferenceData!$BY$206),"")</f>
        <v>3.2770900959999998</v>
      </c>
      <c r="BZ206">
        <f ca="1">IFERROR(IF(0=LEN(ReferenceData!$BZ$206),"",ReferenceData!$BZ$206),"")</f>
        <v>3.3709862039999998</v>
      </c>
      <c r="CA206">
        <f ca="1">IFERROR(IF(0=LEN(ReferenceData!$CA$206),"",ReferenceData!$CA$206),"")</f>
        <v>3.5203894500000001</v>
      </c>
      <c r="CB206">
        <f ca="1">IFERROR(IF(0=LEN(ReferenceData!$CB$206),"",ReferenceData!$CB$206),"")</f>
        <v>3.356289243</v>
      </c>
      <c r="CC206">
        <f ca="1">IFERROR(IF(0=LEN(ReferenceData!$CC$206),"",ReferenceData!$CC$206),"")</f>
        <v>3.495320827</v>
      </c>
      <c r="CD206">
        <f ca="1">IFERROR(IF(0=LEN(ReferenceData!$CD$206),"",ReferenceData!$CD$206),"")</f>
        <v>3.5125903080000001</v>
      </c>
      <c r="CE206">
        <f ca="1">IFERROR(IF(0=LEN(ReferenceData!$CE$206),"",ReferenceData!$CE$206),"")</f>
        <v>3.2803268760000002</v>
      </c>
      <c r="CF206">
        <f ca="1">IFERROR(IF(0=LEN(ReferenceData!$CF$206),"",ReferenceData!$CF$206),"")</f>
        <v>3.8452161330000001</v>
      </c>
      <c r="CG206">
        <f ca="1">IFERROR(IF(0=LEN(ReferenceData!$CG$206),"",ReferenceData!$CG$206),"")</f>
        <v>3.0829256489999999</v>
      </c>
      <c r="CH206">
        <f ca="1">IFERROR(IF(0=LEN(ReferenceData!$CH$206),"",ReferenceData!$CH$206),"")</f>
        <v>3.1332394369999998</v>
      </c>
      <c r="CI206">
        <f ca="1">IFERROR(IF(0=LEN(ReferenceData!$CI$206),"",ReferenceData!$CI$206),"")</f>
        <v>3.2745280370000001</v>
      </c>
      <c r="CJ206">
        <f ca="1">IFERROR(IF(0=LEN(ReferenceData!$CJ$206),"",ReferenceData!$CJ$206),"")</f>
        <v>3.0918358760000002</v>
      </c>
      <c r="CK206">
        <f ca="1">IFERROR(IF(0=LEN(ReferenceData!$CK$206),"",ReferenceData!$CK$206),"")</f>
        <v>3.2495900799999999</v>
      </c>
    </row>
    <row r="207" spans="1:89">
      <c r="A207" t="str">
        <f>IFERROR(IF(0=LEN(ReferenceData!$A$207),"",ReferenceData!$A$207),"")</f>
        <v xml:space="preserve">    Camden 房地产信托公司</v>
      </c>
      <c r="B207" t="str">
        <f>IFERROR(IF(0=LEN(ReferenceData!$B$207),"",ReferenceData!$B$207),"")</f>
        <v>CPT US Equity</v>
      </c>
      <c r="C207" t="str">
        <f>IFERROR(IF(0=LEN(ReferenceData!$C$207),"",ReferenceData!$C$207),"")</f>
        <v>RR890</v>
      </c>
      <c r="D207" t="str">
        <f>IFERROR(IF(0=LEN(ReferenceData!$D$207),"",ReferenceData!$D$207),"")</f>
        <v>FFO_YIELD</v>
      </c>
      <c r="E207" t="str">
        <f>IFERROR(IF(0=LEN(ReferenceData!$E$207),"",ReferenceData!$E$207),"")</f>
        <v>动态</v>
      </c>
      <c r="F207">
        <f ca="1">IFERROR(IF(0=LEN(ReferenceData!$F$207),"",ReferenceData!$F$207),"")</f>
        <v>5.4499516970000004</v>
      </c>
      <c r="G207">
        <f ca="1">IFERROR(IF(0=LEN(ReferenceData!$G$207),"",ReferenceData!$G$207),"")</f>
        <v>5.6831012420000002</v>
      </c>
      <c r="H207">
        <f ca="1">IFERROR(IF(0=LEN(ReferenceData!$H$207),"",ReferenceData!$H$207),"")</f>
        <v>5.2333641399999999</v>
      </c>
      <c r="I207">
        <f ca="1">IFERROR(IF(0=LEN(ReferenceData!$I$207),"",ReferenceData!$I$207),"")</f>
        <v>4.9207038890000003</v>
      </c>
      <c r="J207">
        <f ca="1">IFERROR(IF(0=LEN(ReferenceData!$J$207),"",ReferenceData!$J$207),"")</f>
        <v>4.9298860649999998</v>
      </c>
      <c r="K207">
        <f ca="1">IFERROR(IF(0=LEN(ReferenceData!$K$207),"",ReferenceData!$K$207),"")</f>
        <v>4.9320473480000002</v>
      </c>
      <c r="L207">
        <f ca="1">IFERROR(IF(0=LEN(ReferenceData!$L$207),"",ReferenceData!$L$207),"")</f>
        <v>4.9207217060000001</v>
      </c>
      <c r="M207">
        <f ca="1">IFERROR(IF(0=LEN(ReferenceData!$M$207),"",ReferenceData!$M$207),"")</f>
        <v>5.051408136</v>
      </c>
      <c r="N207">
        <f ca="1">IFERROR(IF(0=LEN(ReferenceData!$N$207),"",ReferenceData!$N$207),"")</f>
        <v>5.0390189520000002</v>
      </c>
      <c r="O207">
        <f ca="1">IFERROR(IF(0=LEN(ReferenceData!$O$207),"",ReferenceData!$O$207),"")</f>
        <v>5.2859314700000004</v>
      </c>
      <c r="P207">
        <f ca="1">IFERROR(IF(0=LEN(ReferenceData!$P$207),"",ReferenceData!$P$207),"")</f>
        <v>5.425519145</v>
      </c>
      <c r="Q207">
        <f ca="1">IFERROR(IF(0=LEN(ReferenceData!$Q$207),"",ReferenceData!$Q$207),"")</f>
        <v>5.4901008139999998</v>
      </c>
      <c r="R207">
        <f ca="1">IFERROR(IF(0=LEN(ReferenceData!$R$207),"",ReferenceData!$R$207),"")</f>
        <v>5.6176982349999998</v>
      </c>
      <c r="S207">
        <f ca="1">IFERROR(IF(0=LEN(ReferenceData!$S$207),"",ReferenceData!$S$207),"")</f>
        <v>5.4695806259999999</v>
      </c>
      <c r="T207">
        <f ca="1">IFERROR(IF(0=LEN(ReferenceData!$T$207),"",ReferenceData!$T$207),"")</f>
        <v>5.5402656459999999</v>
      </c>
      <c r="U207">
        <f ca="1">IFERROR(IF(0=LEN(ReferenceData!$U$207),"",ReferenceData!$U$207),"")</f>
        <v>5.5073153320000001</v>
      </c>
      <c r="V207">
        <f ca="1">IFERROR(IF(0=LEN(ReferenceData!$V$207),"",ReferenceData!$V$207),"")</f>
        <v>5.9458772709999996</v>
      </c>
      <c r="W207">
        <f ca="1">IFERROR(IF(0=LEN(ReferenceData!$W$207),"",ReferenceData!$W$207),"")</f>
        <v>5.7465618860000003</v>
      </c>
      <c r="X207">
        <f ca="1">IFERROR(IF(0=LEN(ReferenceData!$X$207),"",ReferenceData!$X$207),"")</f>
        <v>5.5887270119999997</v>
      </c>
      <c r="Y207">
        <f ca="1">IFERROR(IF(0=LEN(ReferenceData!$Y$207),"",ReferenceData!$Y$207),"")</f>
        <v>5.3435114500000003</v>
      </c>
      <c r="Z207">
        <f ca="1">IFERROR(IF(0=LEN(ReferenceData!$Z$207),"",ReferenceData!$Z$207),"")</f>
        <v>5.234959259</v>
      </c>
      <c r="AA207">
        <f ca="1">IFERROR(IF(0=LEN(ReferenceData!$AA$207),"",ReferenceData!$AA$207),"")</f>
        <v>5.304229812</v>
      </c>
      <c r="AB207">
        <f ca="1">IFERROR(IF(0=LEN(ReferenceData!$AB$207),"",ReferenceData!$AB$207),"")</f>
        <v>5.4688416850000001</v>
      </c>
      <c r="AC207">
        <f ca="1">IFERROR(IF(0=LEN(ReferenceData!$AC$207),"",ReferenceData!$AC$207),"")</f>
        <v>5.7723275110000003</v>
      </c>
      <c r="AD207">
        <f ca="1">IFERROR(IF(0=LEN(ReferenceData!$AD$207),"",ReferenceData!$AD$207),"")</f>
        <v>5.5416815320000001</v>
      </c>
      <c r="AE207">
        <f ca="1">IFERROR(IF(0=LEN(ReferenceData!$AE$207),"",ReferenceData!$AE$207),"")</f>
        <v>6.0743912230000001</v>
      </c>
      <c r="AF207">
        <f ca="1">IFERROR(IF(0=LEN(ReferenceData!$AF$207),"",ReferenceData!$AF$207),"")</f>
        <v>5.9501965920000002</v>
      </c>
      <c r="AG207">
        <f ca="1">IFERROR(IF(0=LEN(ReferenceData!$AG$207),"",ReferenceData!$AG$207),"")</f>
        <v>5.9145388219999999</v>
      </c>
      <c r="AH207">
        <f ca="1">IFERROR(IF(0=LEN(ReferenceData!$AH$207),"",ReferenceData!$AH$207),"")</f>
        <v>5.6690233049999996</v>
      </c>
      <c r="AI207">
        <f ca="1">IFERROR(IF(0=LEN(ReferenceData!$AI$207),"",ReferenceData!$AI$207),"")</f>
        <v>5.8680037949999999</v>
      </c>
      <c r="AJ207">
        <f ca="1">IFERROR(IF(0=LEN(ReferenceData!$AJ$207),"",ReferenceData!$AJ$207),"")</f>
        <v>5.8592692829999997</v>
      </c>
      <c r="AK207">
        <f ca="1">IFERROR(IF(0=LEN(ReferenceData!$AK$207),"",ReferenceData!$AK$207),"")</f>
        <v>5.9419686240000003</v>
      </c>
      <c r="AL207">
        <f ca="1">IFERROR(IF(0=LEN(ReferenceData!$AL$207),"",ReferenceData!$AL$207),"")</f>
        <v>5.3748587219999999</v>
      </c>
      <c r="AM207">
        <f ca="1">IFERROR(IF(0=LEN(ReferenceData!$AM$207),"",ReferenceData!$AM$207),"")</f>
        <v>5.7619816909999999</v>
      </c>
      <c r="AN207">
        <f ca="1">IFERROR(IF(0=LEN(ReferenceData!$AN$207),"",ReferenceData!$AN$207),"")</f>
        <v>5.6148306210000003</v>
      </c>
      <c r="AO207">
        <f ca="1">IFERROR(IF(0=LEN(ReferenceData!$AO$207),"",ReferenceData!$AO$207),"")</f>
        <v>5.6073521580000003</v>
      </c>
      <c r="AP207">
        <f ca="1">IFERROR(IF(0=LEN(ReferenceData!$AP$207),"",ReferenceData!$AP$207),"")</f>
        <v>5.3884551390000004</v>
      </c>
      <c r="AQ207">
        <f ca="1">IFERROR(IF(0=LEN(ReferenceData!$AQ$207),"",ReferenceData!$AQ$207),"")</f>
        <v>5.742547053</v>
      </c>
      <c r="AR207">
        <f ca="1">IFERROR(IF(0=LEN(ReferenceData!$AR$207),"",ReferenceData!$AR$207),"")</f>
        <v>5.4250486699999998</v>
      </c>
      <c r="AS207">
        <f ca="1">IFERROR(IF(0=LEN(ReferenceData!$AS$207),"",ReferenceData!$AS$207),"")</f>
        <v>5.6608884069999998</v>
      </c>
      <c r="AT207">
        <f ca="1">IFERROR(IF(0=LEN(ReferenceData!$AT$207),"",ReferenceData!$AT$207),"")</f>
        <v>5.5685967659999998</v>
      </c>
      <c r="AU207">
        <f ca="1">IFERROR(IF(0=LEN(ReferenceData!$AU$207),"",ReferenceData!$AU$207),"")</f>
        <v>5.5693230729999996</v>
      </c>
      <c r="AV207">
        <f ca="1">IFERROR(IF(0=LEN(ReferenceData!$AV$207),"",ReferenceData!$AV$207),"")</f>
        <v>6.2308478039999997</v>
      </c>
      <c r="AW207">
        <f ca="1">IFERROR(IF(0=LEN(ReferenceData!$AW$207),"",ReferenceData!$AW$207),"")</f>
        <v>5.6386958849999997</v>
      </c>
      <c r="AX207">
        <f ca="1">IFERROR(IF(0=LEN(ReferenceData!$AX$207),"",ReferenceData!$AX$207),"")</f>
        <v>5.8319513540000001</v>
      </c>
      <c r="AY207">
        <f ca="1">IFERROR(IF(0=LEN(ReferenceData!$AY$207),"",ReferenceData!$AY$207),"")</f>
        <v>5.9311314130000001</v>
      </c>
      <c r="AZ207">
        <f ca="1">IFERROR(IF(0=LEN(ReferenceData!$AZ$207),"",ReferenceData!$AZ$207),"")</f>
        <v>5.9652619590000002</v>
      </c>
      <c r="BA207">
        <f ca="1">IFERROR(IF(0=LEN(ReferenceData!$BA$207),"",ReferenceData!$BA$207),"")</f>
        <v>6.1176814129999997</v>
      </c>
      <c r="BB207">
        <f ca="1">IFERROR(IF(0=LEN(ReferenceData!$BB$207),"",ReferenceData!$BB$207),"")</f>
        <v>6.2221562219999997</v>
      </c>
      <c r="BC207">
        <f ca="1">IFERROR(IF(0=LEN(ReferenceData!$BC$207),"",ReferenceData!$BC$207),"")</f>
        <v>6.1619190399999999</v>
      </c>
      <c r="BD207">
        <f ca="1">IFERROR(IF(0=LEN(ReferenceData!$BD$207),"",ReferenceData!$BD$207),"")</f>
        <v>6.6483338730000003</v>
      </c>
      <c r="BE207">
        <f ca="1">IFERROR(IF(0=LEN(ReferenceData!$BE$207),"",ReferenceData!$BE$207),"")</f>
        <v>7.2257383969999998</v>
      </c>
      <c r="BF207">
        <f ca="1">IFERROR(IF(0=LEN(ReferenceData!$BF$207),"",ReferenceData!$BF$207),"")</f>
        <v>6.9060773480000002</v>
      </c>
      <c r="BG207">
        <f ca="1">IFERROR(IF(0=LEN(ReferenceData!$BG$207),"",ReferenceData!$BG$207),"")</f>
        <v>6.2305295950000001</v>
      </c>
      <c r="BH207">
        <f ca="1">IFERROR(IF(0=LEN(ReferenceData!$BH$207),"",ReferenceData!$BH$207),"")</f>
        <v>6.5104166670000003</v>
      </c>
      <c r="BI207">
        <f ca="1">IFERROR(IF(0=LEN(ReferenceData!$BI$207),"",ReferenceData!$BI$207),"")</f>
        <v>6.2955170740000002</v>
      </c>
      <c r="BJ207">
        <f ca="1">IFERROR(IF(0=LEN(ReferenceData!$BJ$207),"",ReferenceData!$BJ$207),"")</f>
        <v>5.5146016439999999</v>
      </c>
      <c r="BK207">
        <f ca="1">IFERROR(IF(0=LEN(ReferenceData!$BK$207),"",ReferenceData!$BK$207),"")</f>
        <v>5.6262655480000001</v>
      </c>
      <c r="BL207">
        <f ca="1">IFERROR(IF(0=LEN(ReferenceData!$BL$207),"",ReferenceData!$BL$207),"")</f>
        <v>5.4296028879999998</v>
      </c>
      <c r="BM207">
        <f ca="1">IFERROR(IF(0=LEN(ReferenceData!$BM$207),"",ReferenceData!$BM$207),"")</f>
        <v>5.1976776329999996</v>
      </c>
      <c r="BN207">
        <f ca="1">IFERROR(IF(0=LEN(ReferenceData!$BN$207),"",ReferenceData!$BN$207),"")</f>
        <v>5.4746651140000004</v>
      </c>
      <c r="BO207">
        <f ca="1">IFERROR(IF(0=LEN(ReferenceData!$BO$207),"",ReferenceData!$BO$207),"")</f>
        <v>5.2357535439999996</v>
      </c>
      <c r="BP207">
        <f ca="1">IFERROR(IF(0=LEN(ReferenceData!$BP$207),"",ReferenceData!$BP$207),"")</f>
        <v>5.2168900420000002</v>
      </c>
      <c r="BQ207">
        <f ca="1">IFERROR(IF(0=LEN(ReferenceData!$BQ$207),"",ReferenceData!$BQ$207),"")</f>
        <v>5.307139716</v>
      </c>
      <c r="BR207">
        <f ca="1">IFERROR(IF(0=LEN(ReferenceData!$BR$207),"",ReferenceData!$BR$207),"")</f>
        <v>5.312024353</v>
      </c>
      <c r="BS207">
        <f ca="1">IFERROR(IF(0=LEN(ReferenceData!$BS$207),"",ReferenceData!$BS$207),"")</f>
        <v>5.3176900810000003</v>
      </c>
      <c r="BT207">
        <f ca="1">IFERROR(IF(0=LEN(ReferenceData!$BT$207),"",ReferenceData!$BT$207),"")</f>
        <v>5.4116917349999998</v>
      </c>
      <c r="BU207">
        <f ca="1">IFERROR(IF(0=LEN(ReferenceData!$BU$207),"",ReferenceData!$BU$207),"")</f>
        <v>4.796197609</v>
      </c>
      <c r="BV207">
        <f ca="1">IFERROR(IF(0=LEN(ReferenceData!$BV$207),"",ReferenceData!$BV$207),"")</f>
        <v>4.6697517880000001</v>
      </c>
      <c r="BW207">
        <f ca="1">IFERROR(IF(0=LEN(ReferenceData!$BW$207),"",ReferenceData!$BW$207),"")</f>
        <v>4.9209398550000003</v>
      </c>
      <c r="BX207">
        <f ca="1">IFERROR(IF(0=LEN(ReferenceData!$BX$207),"",ReferenceData!$BX$207),"")</f>
        <v>4.3618491779999999</v>
      </c>
      <c r="BY207">
        <f ca="1">IFERROR(IF(0=LEN(ReferenceData!$BY$207),"",ReferenceData!$BY$207),"")</f>
        <v>4.1968375939999998</v>
      </c>
      <c r="BZ207">
        <f ca="1">IFERROR(IF(0=LEN(ReferenceData!$BZ$207),"",ReferenceData!$BZ$207),"")</f>
        <v>4.3193916349999997</v>
      </c>
      <c r="CA207">
        <f ca="1">IFERROR(IF(0=LEN(ReferenceData!$CA$207),"",ReferenceData!$CA$207),"")</f>
        <v>4.403225806</v>
      </c>
      <c r="CB207">
        <f ca="1">IFERROR(IF(0=LEN(ReferenceData!$CB$207),"",ReferenceData!$CB$207),"")</f>
        <v>4.2325581400000001</v>
      </c>
      <c r="CC207">
        <f ca="1">IFERROR(IF(0=LEN(ReferenceData!$CC$207),"",ReferenceData!$CC$207),"")</f>
        <v>4.3862467870000001</v>
      </c>
      <c r="CD207">
        <f ca="1">IFERROR(IF(0=LEN(ReferenceData!$CD$207),"",ReferenceData!$CD$207),"")</f>
        <v>4.538368266</v>
      </c>
      <c r="CE207">
        <f ca="1">IFERROR(IF(0=LEN(ReferenceData!$CE$207),"",ReferenceData!$CE$207),"")</f>
        <v>4.3205804749999999</v>
      </c>
      <c r="CF207">
        <f ca="1">IFERROR(IF(0=LEN(ReferenceData!$CF$207),"",ReferenceData!$CF$207),"")</f>
        <v>4.7412233080000004</v>
      </c>
      <c r="CG207">
        <f ca="1">IFERROR(IF(0=LEN(ReferenceData!$CG$207),"",ReferenceData!$CG$207),"")</f>
        <v>3.7413947919999999</v>
      </c>
      <c r="CH207">
        <f ca="1">IFERROR(IF(0=LEN(ReferenceData!$CH$207),"",ReferenceData!$CH$207),"")</f>
        <v>3.7274489339999999</v>
      </c>
      <c r="CI207">
        <f ca="1">IFERROR(IF(0=LEN(ReferenceData!$CI$207),"",ReferenceData!$CI$207),"")</f>
        <v>3.9295818919999999</v>
      </c>
      <c r="CJ207">
        <f ca="1">IFERROR(IF(0=LEN(ReferenceData!$CJ$207),"",ReferenceData!$CJ$207),"")</f>
        <v>4.2937149970000004</v>
      </c>
      <c r="CK207">
        <f ca="1">IFERROR(IF(0=LEN(ReferenceData!$CK$207),"",ReferenceData!$CK$207),"")</f>
        <v>4.3984063750000004</v>
      </c>
    </row>
    <row r="208" spans="1:89">
      <c r="A208" t="str">
        <f>IFERROR(IF(0=LEN(ReferenceData!$A$208),"",ReferenceData!$A$208),"")</f>
        <v xml:space="preserve">    公寓物业权益信托</v>
      </c>
      <c r="B208" t="str">
        <f>IFERROR(IF(0=LEN(ReferenceData!$B$208),"",ReferenceData!$B$208),"")</f>
        <v>EQR US Equity</v>
      </c>
      <c r="C208" t="str">
        <f>IFERROR(IF(0=LEN(ReferenceData!$C$208),"",ReferenceData!$C$208),"")</f>
        <v>RR890</v>
      </c>
      <c r="D208" t="str">
        <f>IFERROR(IF(0=LEN(ReferenceData!$D$208),"",ReferenceData!$D$208),"")</f>
        <v>FFO_YIELD</v>
      </c>
      <c r="E208" t="str">
        <f>IFERROR(IF(0=LEN(ReferenceData!$E$208),"",ReferenceData!$E$208),"")</f>
        <v>动态</v>
      </c>
      <c r="F208">
        <f ca="1">IFERROR(IF(0=LEN(ReferenceData!$F$208),"",ReferenceData!$F$208),"")</f>
        <v>5.3225535739999996</v>
      </c>
      <c r="G208">
        <f ca="1">IFERROR(IF(0=LEN(ReferenceData!$G$208),"",ReferenceData!$G$208),"")</f>
        <v>5.6197759200000004</v>
      </c>
      <c r="H208">
        <f ca="1">IFERROR(IF(0=LEN(ReferenceData!$H$208),"",ReferenceData!$H$208),"")</f>
        <v>5.1290374940000003</v>
      </c>
      <c r="I208">
        <f ca="1">IFERROR(IF(0=LEN(ReferenceData!$I$208),"",ReferenceData!$I$208),"")</f>
        <v>4.9553081389999996</v>
      </c>
      <c r="J208">
        <f ca="1">IFERROR(IF(0=LEN(ReferenceData!$J$208),"",ReferenceData!$J$208),"")</f>
        <v>4.714157438</v>
      </c>
      <c r="K208">
        <f ca="1">IFERROR(IF(0=LEN(ReferenceData!$K$208),"",ReferenceData!$K$208),"")</f>
        <v>4.6833184660000002</v>
      </c>
      <c r="L208">
        <f ca="1">IFERROR(IF(0=LEN(ReferenceData!$L$208),"",ReferenceData!$L$208),"")</f>
        <v>4.7777946309999999</v>
      </c>
      <c r="M208">
        <f ca="1">IFERROR(IF(0=LEN(ReferenceData!$M$208),"",ReferenceData!$M$208),"")</f>
        <v>4.646314222</v>
      </c>
      <c r="N208">
        <f ca="1">IFERROR(IF(0=LEN(ReferenceData!$N$208),"",ReferenceData!$N$208),"")</f>
        <v>4.5841904199999997</v>
      </c>
      <c r="O208">
        <f ca="1">IFERROR(IF(0=LEN(ReferenceData!$O$208),"",ReferenceData!$O$208),"")</f>
        <v>4.7394804800000001</v>
      </c>
      <c r="P208">
        <f ca="1">IFERROR(IF(0=LEN(ReferenceData!$P$208),"",ReferenceData!$P$208),"")</f>
        <v>5.0084498389999998</v>
      </c>
      <c r="Q208">
        <f ca="1">IFERROR(IF(0=LEN(ReferenceData!$Q$208),"",ReferenceData!$Q$208),"")</f>
        <v>5.0480024779999999</v>
      </c>
      <c r="R208">
        <f ca="1">IFERROR(IF(0=LEN(ReferenceData!$R$208),"",ReferenceData!$R$208),"")</f>
        <v>5.2394728380000002</v>
      </c>
      <c r="S208">
        <f ca="1">IFERROR(IF(0=LEN(ReferenceData!$S$208),"",ReferenceData!$S$208),"")</f>
        <v>4.7090534330000002</v>
      </c>
      <c r="T208">
        <f ca="1">IFERROR(IF(0=LEN(ReferenceData!$T$208),"",ReferenceData!$T$208),"")</f>
        <v>4.887279908</v>
      </c>
      <c r="U208">
        <f ca="1">IFERROR(IF(0=LEN(ReferenceData!$U$208),"",ReferenceData!$U$208),"")</f>
        <v>4.614667495</v>
      </c>
      <c r="V208">
        <f ca="1">IFERROR(IF(0=LEN(ReferenceData!$V$208),"",ReferenceData!$V$208),"")</f>
        <v>5.1037210460000004</v>
      </c>
      <c r="W208">
        <f ca="1">IFERROR(IF(0=LEN(ReferenceData!$W$208),"",ReferenceData!$W$208),"")</f>
        <v>4.9599076919999998</v>
      </c>
      <c r="X208">
        <f ca="1">IFERROR(IF(0=LEN(ReferenceData!$X$208),"",ReferenceData!$X$208),"")</f>
        <v>4.7609870980000002</v>
      </c>
      <c r="Y208">
        <f ca="1">IFERROR(IF(0=LEN(ReferenceData!$Y$208),"",ReferenceData!$Y$208),"")</f>
        <v>4.877360876</v>
      </c>
      <c r="Z208">
        <f ca="1">IFERROR(IF(0=LEN(ReferenceData!$Z$208),"",ReferenceData!$Z$208),"")</f>
        <v>4.6535431679999997</v>
      </c>
      <c r="AA208">
        <f ca="1">IFERROR(IF(0=LEN(ReferenceData!$AA$208),"",ReferenceData!$AA$208),"")</f>
        <v>4.5934146340000002</v>
      </c>
      <c r="AB208">
        <f ca="1">IFERROR(IF(0=LEN(ReferenceData!$AB$208),"",ReferenceData!$AB$208),"")</f>
        <v>4.567621731</v>
      </c>
      <c r="AC208">
        <f ca="1">IFERROR(IF(0=LEN(ReferenceData!$AC$208),"",ReferenceData!$AC$208),"")</f>
        <v>4.64411782</v>
      </c>
      <c r="AD208">
        <f ca="1">IFERROR(IF(0=LEN(ReferenceData!$AD$208),"",ReferenceData!$AD$208),"")</f>
        <v>4.2133160070000004</v>
      </c>
      <c r="AE208">
        <f ca="1">IFERROR(IF(0=LEN(ReferenceData!$AE$208),"",ReferenceData!$AE$208),"")</f>
        <v>4.6734474429999997</v>
      </c>
      <c r="AF208">
        <f ca="1">IFERROR(IF(0=LEN(ReferenceData!$AF$208),"",ReferenceData!$AF$208),"")</f>
        <v>4.5158269559999997</v>
      </c>
      <c r="AG208">
        <f ca="1">IFERROR(IF(0=LEN(ReferenceData!$AG$208),"",ReferenceData!$AG$208),"")</f>
        <v>4.2667618579999997</v>
      </c>
      <c r="AH208">
        <f ca="1">IFERROR(IF(0=LEN(ReferenceData!$AH$208),"",ReferenceData!$AH$208),"")</f>
        <v>4.2952994240000004</v>
      </c>
      <c r="AI208">
        <f ca="1">IFERROR(IF(0=LEN(ReferenceData!$AI$208),"",ReferenceData!$AI$208),"")</f>
        <v>4.4341800310000004</v>
      </c>
      <c r="AJ208">
        <f ca="1">IFERROR(IF(0=LEN(ReferenceData!$AJ$208),"",ReferenceData!$AJ$208),"")</f>
        <v>4.5640415340000002</v>
      </c>
      <c r="AK208">
        <f ca="1">IFERROR(IF(0=LEN(ReferenceData!$AK$208),"",ReferenceData!$AK$208),"")</f>
        <v>4.7260449119999999</v>
      </c>
      <c r="AL208">
        <f ca="1">IFERROR(IF(0=LEN(ReferenceData!$AL$208),"",ReferenceData!$AL$208),"")</f>
        <v>4.5011455690000002</v>
      </c>
      <c r="AM208">
        <f ca="1">IFERROR(IF(0=LEN(ReferenceData!$AM$208),"",ReferenceData!$AM$208),"")</f>
        <v>4.7987843809999999</v>
      </c>
      <c r="AN208">
        <f ca="1">IFERROR(IF(0=LEN(ReferenceData!$AN$208),"",ReferenceData!$AN$208),"")</f>
        <v>4.3864370289999997</v>
      </c>
      <c r="AO208">
        <f ca="1">IFERROR(IF(0=LEN(ReferenceData!$AO$208),"",ReferenceData!$AO$208),"")</f>
        <v>4.4137557540000003</v>
      </c>
      <c r="AP208">
        <f ca="1">IFERROR(IF(0=LEN(ReferenceData!$AP$208),"",ReferenceData!$AP$208),"")</f>
        <v>4.1870023119999997</v>
      </c>
      <c r="AQ208">
        <f ca="1">IFERROR(IF(0=LEN(ReferenceData!$AQ$208),"",ReferenceData!$AQ$208),"")</f>
        <v>4.1282617159999999</v>
      </c>
      <c r="AR208">
        <f ca="1">IFERROR(IF(0=LEN(ReferenceData!$AR$208),"",ReferenceData!$AR$208),"")</f>
        <v>4.0974101279999999</v>
      </c>
      <c r="AS208">
        <f ca="1">IFERROR(IF(0=LEN(ReferenceData!$AS$208),"",ReferenceData!$AS$208),"")</f>
        <v>4.4265033410000001</v>
      </c>
      <c r="AT208">
        <f ca="1">IFERROR(IF(0=LEN(ReferenceData!$AT$208),"",ReferenceData!$AT$208),"")</f>
        <v>4.2066629019999997</v>
      </c>
      <c r="AU208">
        <f ca="1">IFERROR(IF(0=LEN(ReferenceData!$AU$208),"",ReferenceData!$AU$208),"")</f>
        <v>4.2840713050000003</v>
      </c>
      <c r="AV208">
        <f ca="1">IFERROR(IF(0=LEN(ReferenceData!$AV$208),"",ReferenceData!$AV$208),"")</f>
        <v>4.8392335170000003</v>
      </c>
      <c r="AW208">
        <f ca="1">IFERROR(IF(0=LEN(ReferenceData!$AW$208),"",ReferenceData!$AW$208),"")</f>
        <v>4.3327817059999996</v>
      </c>
      <c r="AX208">
        <f ca="1">IFERROR(IF(0=LEN(ReferenceData!$AX$208),"",ReferenceData!$AX$208),"")</f>
        <v>4.4547563810000002</v>
      </c>
      <c r="AY208">
        <f ca="1">IFERROR(IF(0=LEN(ReferenceData!$AY$208),"",ReferenceData!$AY$208),"")</f>
        <v>4.5714285710000002</v>
      </c>
      <c r="AZ208">
        <f ca="1">IFERROR(IF(0=LEN(ReferenceData!$AZ$208),"",ReferenceData!$AZ$208),"")</f>
        <v>4.5954692560000003</v>
      </c>
      <c r="BA208">
        <f ca="1">IFERROR(IF(0=LEN(ReferenceData!$BA$208),"",ReferenceData!$BA$208),"")</f>
        <v>4.777927322</v>
      </c>
      <c r="BB208">
        <f ca="1">IFERROR(IF(0=LEN(ReferenceData!$BB$208),"",ReferenceData!$BB$208),"")</f>
        <v>4.8973961030000002</v>
      </c>
      <c r="BC208">
        <f ca="1">IFERROR(IF(0=LEN(ReferenceData!$BC$208),"",ReferenceData!$BC$208),"")</f>
        <v>4.0362579099999998</v>
      </c>
      <c r="BD208">
        <f ca="1">IFERROR(IF(0=LEN(ReferenceData!$BD$208),"",ReferenceData!$BD$208),"")</f>
        <v>4.2614662330000002</v>
      </c>
      <c r="BE208">
        <f ca="1">IFERROR(IF(0=LEN(ReferenceData!$BE$208),"",ReferenceData!$BE$208),"")</f>
        <v>4.549836129</v>
      </c>
      <c r="BF208">
        <f ca="1">IFERROR(IF(0=LEN(ReferenceData!$BF$208),"",ReferenceData!$BF$208),"")</f>
        <v>5.1222351570000004</v>
      </c>
      <c r="BG208">
        <f ca="1">IFERROR(IF(0=LEN(ReferenceData!$BG$208),"",ReferenceData!$BG$208),"")</f>
        <v>5.0420168070000004</v>
      </c>
      <c r="BH208">
        <f ca="1">IFERROR(IF(0=LEN(ReferenceData!$BH$208),"",ReferenceData!$BH$208),"")</f>
        <v>4.9281314170000003</v>
      </c>
      <c r="BI208">
        <f ca="1">IFERROR(IF(0=LEN(ReferenceData!$BI$208),"",ReferenceData!$BI$208),"")</f>
        <v>5.4923877430000001</v>
      </c>
      <c r="BJ208">
        <f ca="1">IFERROR(IF(0=LEN(ReferenceData!$BJ$208),"",ReferenceData!$BJ$208),"")</f>
        <v>5.0892857139999998</v>
      </c>
      <c r="BK208">
        <f ca="1">IFERROR(IF(0=LEN(ReferenceData!$BK$208),"",ReferenceData!$BK$208),"")</f>
        <v>4.9087151220000003</v>
      </c>
      <c r="BL208">
        <f ca="1">IFERROR(IF(0=LEN(ReferenceData!$BL$208),"",ReferenceData!$BL$208),"")</f>
        <v>4.8806366050000003</v>
      </c>
      <c r="BM208">
        <f ca="1">IFERROR(IF(0=LEN(ReferenceData!$BM$208),"",ReferenceData!$BM$208),"")</f>
        <v>4.7537030659999999</v>
      </c>
      <c r="BN208">
        <f ca="1">IFERROR(IF(0=LEN(ReferenceData!$BN$208),"",ReferenceData!$BN$208),"")</f>
        <v>5.0127134040000003</v>
      </c>
      <c r="BO208">
        <f ca="1">IFERROR(IF(0=LEN(ReferenceData!$BO$208),"",ReferenceData!$BO$208),"")</f>
        <v>5.6867732560000004</v>
      </c>
      <c r="BP208">
        <f ca="1">IFERROR(IF(0=LEN(ReferenceData!$BP$208),"",ReferenceData!$BP$208),"")</f>
        <v>5.6508395020000002</v>
      </c>
      <c r="BQ208">
        <f ca="1">IFERROR(IF(0=LEN(ReferenceData!$BQ$208),"",ReferenceData!$BQ$208),"")</f>
        <v>5.5232045169999999</v>
      </c>
      <c r="BR208">
        <f ca="1">IFERROR(IF(0=LEN(ReferenceData!$BR$208),"",ReferenceData!$BR$208),"")</f>
        <v>5.0981805080000004</v>
      </c>
      <c r="BS208">
        <f ca="1">IFERROR(IF(0=LEN(ReferenceData!$BS$208),"",ReferenceData!$BS$208),"")</f>
        <v>4.9294547990000002</v>
      </c>
      <c r="BT208">
        <f ca="1">IFERROR(IF(0=LEN(ReferenceData!$BT$208),"",ReferenceData!$BT$208),"")</f>
        <v>4.9191726060000001</v>
      </c>
      <c r="BU208">
        <f ca="1">IFERROR(IF(0=LEN(ReferenceData!$BU$208),"",ReferenceData!$BU$208),"")</f>
        <v>4.2052980130000002</v>
      </c>
      <c r="BV208">
        <f ca="1">IFERROR(IF(0=LEN(ReferenceData!$BV$208),"",ReferenceData!$BV$208),"")</f>
        <v>4.0120044229999996</v>
      </c>
      <c r="BW208">
        <f ca="1">IFERROR(IF(0=LEN(ReferenceData!$BW$208),"",ReferenceData!$BW$208),"")</f>
        <v>4.073123797</v>
      </c>
      <c r="BX208">
        <f ca="1">IFERROR(IF(0=LEN(ReferenceData!$BX$208),"",ReferenceData!$BX$208),"")</f>
        <v>4.0589198040000003</v>
      </c>
      <c r="BY208">
        <f ca="1">IFERROR(IF(0=LEN(ReferenceData!$BY$208),"",ReferenceData!$BY$208),"")</f>
        <v>4.0364583329999997</v>
      </c>
      <c r="BZ208">
        <f ca="1">IFERROR(IF(0=LEN(ReferenceData!$BZ$208),"",ReferenceData!$BZ$208),"")</f>
        <v>3.96039604</v>
      </c>
      <c r="CA208">
        <f ca="1">IFERROR(IF(0=LEN(ReferenceData!$CA$208),"",ReferenceData!$CA$208),"")</f>
        <v>4.3065565130000003</v>
      </c>
      <c r="CB208">
        <f ca="1">IFERROR(IF(0=LEN(ReferenceData!$CB$208),"",ReferenceData!$CB$208),"")</f>
        <v>4.1141897570000001</v>
      </c>
      <c r="CC208">
        <f ca="1">IFERROR(IF(0=LEN(ReferenceData!$CC$208),"",ReferenceData!$CC$208),"")</f>
        <v>4.2959845699999999</v>
      </c>
      <c r="CD208">
        <f ca="1">IFERROR(IF(0=LEN(ReferenceData!$CD$208),"",ReferenceData!$CD$208),"")</f>
        <v>4.0949447360000004</v>
      </c>
      <c r="CE208">
        <f ca="1">IFERROR(IF(0=LEN(ReferenceData!$CE$208),"",ReferenceData!$CE$208),"")</f>
        <v>3.8513974100000001</v>
      </c>
      <c r="CF208">
        <f ca="1">IFERROR(IF(0=LEN(ReferenceData!$CF$208),"",ReferenceData!$CF$208),"")</f>
        <v>4.3570464619999996</v>
      </c>
      <c r="CG208">
        <f ca="1">IFERROR(IF(0=LEN(ReferenceData!$CG$208),"",ReferenceData!$CG$208),"")</f>
        <v>3.5632559659999998</v>
      </c>
      <c r="CH208">
        <f ca="1">IFERROR(IF(0=LEN(ReferenceData!$CH$208),"",ReferenceData!$CH$208),"")</f>
        <v>3.5263668720000001</v>
      </c>
      <c r="CI208">
        <f ca="1">IFERROR(IF(0=LEN(ReferenceData!$CI$208),"",ReferenceData!$CI$208),"")</f>
        <v>3.6333333329999999</v>
      </c>
      <c r="CJ208">
        <f ca="1">IFERROR(IF(0=LEN(ReferenceData!$CJ$208),"",ReferenceData!$CJ$208),"")</f>
        <v>3.5257965389999999</v>
      </c>
      <c r="CK208">
        <f ca="1">IFERROR(IF(0=LEN(ReferenceData!$CK$208),"",ReferenceData!$CK$208),"")</f>
        <v>3.649146301</v>
      </c>
    </row>
    <row r="209" spans="1:89">
      <c r="A209" t="str">
        <f>IFERROR(IF(0=LEN(ReferenceData!$A$209),"",ReferenceData!$A$209),"")</f>
        <v xml:space="preserve">    埃塞克斯房地产信托公司</v>
      </c>
      <c r="B209" t="str">
        <f>IFERROR(IF(0=LEN(ReferenceData!$B$209),"",ReferenceData!$B$209),"")</f>
        <v>ESS US Equity</v>
      </c>
      <c r="C209" t="str">
        <f>IFERROR(IF(0=LEN(ReferenceData!$C$209),"",ReferenceData!$C$209),"")</f>
        <v>RR890</v>
      </c>
      <c r="D209" t="str">
        <f>IFERROR(IF(0=LEN(ReferenceData!$D$209),"",ReferenceData!$D$209),"")</f>
        <v>FFO_YIELD</v>
      </c>
      <c r="E209" t="str">
        <f>IFERROR(IF(0=LEN(ReferenceData!$E$209),"",ReferenceData!$E$209),"")</f>
        <v>动态</v>
      </c>
      <c r="F209">
        <f ca="1">IFERROR(IF(0=LEN(ReferenceData!$F$209),"",ReferenceData!$F$209),"")</f>
        <v>5.0023427209999998</v>
      </c>
      <c r="G209">
        <f ca="1">IFERROR(IF(0=LEN(ReferenceData!$G$209),"",ReferenceData!$G$209),"")</f>
        <v>5.3201434120000002</v>
      </c>
      <c r="H209">
        <f ca="1">IFERROR(IF(0=LEN(ReferenceData!$H$209),"",ReferenceData!$H$209),"")</f>
        <v>5.1112013909999998</v>
      </c>
      <c r="I209">
        <f ca="1">IFERROR(IF(0=LEN(ReferenceData!$I$209),"",ReferenceData!$I$209),"")</f>
        <v>4.9335364789999998</v>
      </c>
      <c r="J209">
        <f ca="1">IFERROR(IF(0=LEN(ReferenceData!$J$209),"",ReferenceData!$J$209),"")</f>
        <v>4.7564990490000003</v>
      </c>
      <c r="K209">
        <f ca="1">IFERROR(IF(0=LEN(ReferenceData!$K$209),"",ReferenceData!$K$209),"")</f>
        <v>4.4766516789999997</v>
      </c>
      <c r="L209">
        <f ca="1">IFERROR(IF(0=LEN(ReferenceData!$L$209),"",ReferenceData!$L$209),"")</f>
        <v>4.6246809430000004</v>
      </c>
      <c r="M209">
        <f ca="1">IFERROR(IF(0=LEN(ReferenceData!$M$209),"",ReferenceData!$M$209),"")</f>
        <v>4.3548050529999998</v>
      </c>
      <c r="N209">
        <f ca="1">IFERROR(IF(0=LEN(ReferenceData!$N$209),"",ReferenceData!$N$209),"")</f>
        <v>4.4258597630000001</v>
      </c>
      <c r="O209">
        <f ca="1">IFERROR(IF(0=LEN(ReferenceData!$O$209),"",ReferenceData!$O$209),"")</f>
        <v>4.5020698100000001</v>
      </c>
      <c r="P209">
        <f ca="1">IFERROR(IF(0=LEN(ReferenceData!$P$209),"",ReferenceData!$P$209),"")</f>
        <v>4.4466055579999999</v>
      </c>
      <c r="Q209">
        <f ca="1">IFERROR(IF(0=LEN(ReferenceData!$Q$209),"",ReferenceData!$Q$209),"")</f>
        <v>4.6730555899999997</v>
      </c>
      <c r="R209">
        <f ca="1">IFERROR(IF(0=LEN(ReferenceData!$R$209),"",ReferenceData!$R$209),"")</f>
        <v>4.9342283939999998</v>
      </c>
      <c r="S209">
        <f ca="1">IFERROR(IF(0=LEN(ReferenceData!$S$209),"",ReferenceData!$S$209),"")</f>
        <v>4.7355002129999999</v>
      </c>
      <c r="T209">
        <f ca="1">IFERROR(IF(0=LEN(ReferenceData!$T$209),"",ReferenceData!$T$209),"")</f>
        <v>4.9550686580000001</v>
      </c>
      <c r="U209">
        <f ca="1">IFERROR(IF(0=LEN(ReferenceData!$U$209),"",ReferenceData!$U$209),"")</f>
        <v>4.7803092469999999</v>
      </c>
      <c r="V209">
        <f ca="1">IFERROR(IF(0=LEN(ReferenceData!$V$209),"",ReferenceData!$V$209),"")</f>
        <v>4.9987898299999998</v>
      </c>
      <c r="W209">
        <f ca="1">IFERROR(IF(0=LEN(ReferenceData!$W$209),"",ReferenceData!$W$209),"")</f>
        <v>5.0415185200000003</v>
      </c>
      <c r="X209">
        <f ca="1">IFERROR(IF(0=LEN(ReferenceData!$X$209),"",ReferenceData!$X$209),"")</f>
        <v>4.8466039519999997</v>
      </c>
      <c r="Y209">
        <f ca="1">IFERROR(IF(0=LEN(ReferenceData!$Y$209),"",ReferenceData!$Y$209),"")</f>
        <v>4.6296217530000003</v>
      </c>
      <c r="Z209">
        <f ca="1">IFERROR(IF(0=LEN(ReferenceData!$Z$209),"",ReferenceData!$Z$209),"")</f>
        <v>4.4954126050000003</v>
      </c>
      <c r="AA209">
        <f ca="1">IFERROR(IF(0=LEN(ReferenceData!$AA$209),"",ReferenceData!$AA$209),"")</f>
        <v>4.6095273800000003</v>
      </c>
      <c r="AB209">
        <f ca="1">IFERROR(IF(0=LEN(ReferenceData!$AB$209),"",ReferenceData!$AB$209),"")</f>
        <v>4.4367068610000002</v>
      </c>
      <c r="AC209">
        <f ca="1">IFERROR(IF(0=LEN(ReferenceData!$AC$209),"",ReferenceData!$AC$209),"")</f>
        <v>4.5731589929999998</v>
      </c>
      <c r="AD209">
        <f ca="1">IFERROR(IF(0=LEN(ReferenceData!$AD$209),"",ReferenceData!$AD$209),"")</f>
        <v>4.3109249119999999</v>
      </c>
      <c r="AE209">
        <f ca="1">IFERROR(IF(0=LEN(ReferenceData!$AE$209),"",ReferenceData!$AE$209),"")</f>
        <v>4.6404477259999997</v>
      </c>
      <c r="AF209">
        <f ca="1">IFERROR(IF(0=LEN(ReferenceData!$AF$209),"",ReferenceData!$AF$209),"")</f>
        <v>4.5570498800000001</v>
      </c>
      <c r="AG209">
        <f ca="1">IFERROR(IF(0=LEN(ReferenceData!$AG$209),"",ReferenceData!$AG$209),"")</f>
        <v>4.0564425039999996</v>
      </c>
      <c r="AH209">
        <f ca="1">IFERROR(IF(0=LEN(ReferenceData!$AH$209),"",ReferenceData!$AH$209),"")</f>
        <v>4.1055383680000004</v>
      </c>
      <c r="AI209">
        <f ca="1">IFERROR(IF(0=LEN(ReferenceData!$AI$209),"",ReferenceData!$AI$209),"")</f>
        <v>4.2982997640000002</v>
      </c>
      <c r="AJ209">
        <f ca="1">IFERROR(IF(0=LEN(ReferenceData!$AJ$209),"",ReferenceData!$AJ$209),"")</f>
        <v>4.2409685789999996</v>
      </c>
      <c r="AK209">
        <f ca="1">IFERROR(IF(0=LEN(ReferenceData!$AK$209),"",ReferenceData!$AK$209),"")</f>
        <v>4.2055605260000002</v>
      </c>
      <c r="AL209">
        <f ca="1">IFERROR(IF(0=LEN(ReferenceData!$AL$209),"",ReferenceData!$AL$209),"")</f>
        <v>4.0131492599999996</v>
      </c>
      <c r="AM209">
        <f ca="1">IFERROR(IF(0=LEN(ReferenceData!$AM$209),"",ReferenceData!$AM$209),"")</f>
        <v>4.2475171759999997</v>
      </c>
      <c r="AN209">
        <f ca="1">IFERROR(IF(0=LEN(ReferenceData!$AN$209),"",ReferenceData!$AN$209),"")</f>
        <v>3.7556603179999999</v>
      </c>
      <c r="AO209">
        <f ca="1">IFERROR(IF(0=LEN(ReferenceData!$AO$209),"",ReferenceData!$AO$209),"")</f>
        <v>3.766997522</v>
      </c>
      <c r="AP209">
        <f ca="1">IFERROR(IF(0=LEN(ReferenceData!$AP$209),"",ReferenceData!$AP$209),"")</f>
        <v>3.6367337970000002</v>
      </c>
      <c r="AQ209">
        <f ca="1">IFERROR(IF(0=LEN(ReferenceData!$AQ$209),"",ReferenceData!$AQ$209),"")</f>
        <v>3.4936164189999999</v>
      </c>
      <c r="AR209">
        <f ca="1">IFERROR(IF(0=LEN(ReferenceData!$AR$209),"",ReferenceData!$AR$209),"")</f>
        <v>3.4376690999999999</v>
      </c>
      <c r="AS209">
        <f ca="1">IFERROR(IF(0=LEN(ReferenceData!$AS$209),"",ReferenceData!$AS$209),"")</f>
        <v>3.7613025169999998</v>
      </c>
      <c r="AT209">
        <f ca="1">IFERROR(IF(0=LEN(ReferenceData!$AT$209),"",ReferenceData!$AT$209),"")</f>
        <v>3.593199941</v>
      </c>
      <c r="AU209">
        <f ca="1">IFERROR(IF(0=LEN(ReferenceData!$AU$209),"",ReferenceData!$AU$209),"")</f>
        <v>3.604775971</v>
      </c>
      <c r="AV209">
        <f ca="1">IFERROR(IF(0=LEN(ReferenceData!$AV$209),"",ReferenceData!$AV$209),"")</f>
        <v>4.0688089510000003</v>
      </c>
      <c r="AW209">
        <f ca="1">IFERROR(IF(0=LEN(ReferenceData!$AW$209),"",ReferenceData!$AW$209),"")</f>
        <v>3.671199793</v>
      </c>
      <c r="AX209">
        <f ca="1">IFERROR(IF(0=LEN(ReferenceData!$AX$209),"",ReferenceData!$AX$209),"")</f>
        <v>3.7463396109999998</v>
      </c>
      <c r="AY209">
        <f ca="1">IFERROR(IF(0=LEN(ReferenceData!$AY$209),"",ReferenceData!$AY$209),"")</f>
        <v>3.8407527990000001</v>
      </c>
      <c r="AZ209">
        <f ca="1">IFERROR(IF(0=LEN(ReferenceData!$AZ$209),"",ReferenceData!$AZ$209),"")</f>
        <v>4.0315732759999996</v>
      </c>
      <c r="BA209">
        <f ca="1">IFERROR(IF(0=LEN(ReferenceData!$BA$209),"",ReferenceData!$BA$209),"")</f>
        <v>4.2107439690000001</v>
      </c>
      <c r="BB209">
        <f ca="1">IFERROR(IF(0=LEN(ReferenceData!$BB$209),"",ReferenceData!$BB$209),"")</f>
        <v>4.2902293440000001</v>
      </c>
      <c r="BC209">
        <f ca="1">IFERROR(IF(0=LEN(ReferenceData!$BC$209),"",ReferenceData!$BC$209),"")</f>
        <v>4.5354469359999996</v>
      </c>
      <c r="BD209">
        <f ca="1">IFERROR(IF(0=LEN(ReferenceData!$BD$209),"",ReferenceData!$BD$209),"")</f>
        <v>4.7897550039999999</v>
      </c>
      <c r="BE209">
        <f ca="1">IFERROR(IF(0=LEN(ReferenceData!$BE$209),"",ReferenceData!$BE$209),"")</f>
        <v>5.2857187650000004</v>
      </c>
      <c r="BF209">
        <f ca="1">IFERROR(IF(0=LEN(ReferenceData!$BF$209),"",ReferenceData!$BF$209),"")</f>
        <v>4.944626177</v>
      </c>
      <c r="BG209">
        <f ca="1">IFERROR(IF(0=LEN(ReferenceData!$BG$209),"",ReferenceData!$BG$209),"")</f>
        <v>4.6623832299999997</v>
      </c>
      <c r="BH209">
        <f ca="1">IFERROR(IF(0=LEN(ReferenceData!$BH$209),"",ReferenceData!$BH$209),"")</f>
        <v>5.0822186870000001</v>
      </c>
      <c r="BI209">
        <f ca="1">IFERROR(IF(0=LEN(ReferenceData!$BI$209),"",ReferenceData!$BI$209),"")</f>
        <v>5.0713879000000004</v>
      </c>
      <c r="BJ209">
        <f ca="1">IFERROR(IF(0=LEN(ReferenceData!$BJ$209),"",ReferenceData!$BJ$209),"")</f>
        <v>4.506048732</v>
      </c>
      <c r="BK209">
        <f ca="1">IFERROR(IF(0=LEN(ReferenceData!$BK$209),"",ReferenceData!$BK$209),"")</f>
        <v>4.5732481749999998</v>
      </c>
      <c r="BL209">
        <f ca="1">IFERROR(IF(0=LEN(ReferenceData!$BL$209),"",ReferenceData!$BL$209),"")</f>
        <v>4.4872470409999998</v>
      </c>
      <c r="BM209">
        <f ca="1">IFERROR(IF(0=LEN(ReferenceData!$BM$209),"",ReferenceData!$BM$209),"")</f>
        <v>4.4898185289999999</v>
      </c>
      <c r="BN209">
        <f ca="1">IFERROR(IF(0=LEN(ReferenceData!$BN$209),"",ReferenceData!$BN$209),"")</f>
        <v>4.6827334309999999</v>
      </c>
      <c r="BO209">
        <f ca="1">IFERROR(IF(0=LEN(ReferenceData!$BO$209),"",ReferenceData!$BO$209),"")</f>
        <v>4.504503658</v>
      </c>
      <c r="BP209">
        <f ca="1">IFERROR(IF(0=LEN(ReferenceData!$BP$209),"",ReferenceData!$BP$209),"")</f>
        <v>4.3641956039999998</v>
      </c>
      <c r="BQ209">
        <f ca="1">IFERROR(IF(0=LEN(ReferenceData!$BQ$209),"",ReferenceData!$BQ$209),"")</f>
        <v>4.5763791339999997</v>
      </c>
      <c r="BR209">
        <f ca="1">IFERROR(IF(0=LEN(ReferenceData!$BR$209),"",ReferenceData!$BR$209),"")</f>
        <v>4.6590291119999998</v>
      </c>
      <c r="BS209">
        <f ca="1">IFERROR(IF(0=LEN(ReferenceData!$BS$209),"",ReferenceData!$BS$209),"")</f>
        <v>4.3636466670000003</v>
      </c>
      <c r="BT209">
        <f ca="1">IFERROR(IF(0=LEN(ReferenceData!$BT$209),"",ReferenceData!$BT$209),"")</f>
        <v>4.4154546679999997</v>
      </c>
      <c r="BU209">
        <f ca="1">IFERROR(IF(0=LEN(ReferenceData!$BU$209),"",ReferenceData!$BU$209),"")</f>
        <v>4.1478319519999998</v>
      </c>
      <c r="BV209">
        <f ca="1">IFERROR(IF(0=LEN(ReferenceData!$BV$209),"",ReferenceData!$BV$209),"")</f>
        <v>4.0060212249999996</v>
      </c>
      <c r="BW209">
        <f ca="1">IFERROR(IF(0=LEN(ReferenceData!$BW$209),"",ReferenceData!$BW$209),"")</f>
        <v>4.095552885</v>
      </c>
      <c r="BX209">
        <f ca="1">IFERROR(IF(0=LEN(ReferenceData!$BX$209),"",ReferenceData!$BX$209),"")</f>
        <v>3.9412920379999998</v>
      </c>
      <c r="BY209">
        <f ca="1">IFERROR(IF(0=LEN(ReferenceData!$BY$209),"",ReferenceData!$BY$209),"")</f>
        <v>3.7539203649999999</v>
      </c>
      <c r="BZ209">
        <f ca="1">IFERROR(IF(0=LEN(ReferenceData!$BZ$209),"",ReferenceData!$BZ$209),"")</f>
        <v>3.913977955</v>
      </c>
      <c r="CA209">
        <f ca="1">IFERROR(IF(0=LEN(ReferenceData!$CA$209),"",ReferenceData!$CA$209),"")</f>
        <v>4.1003414530000004</v>
      </c>
      <c r="CB209">
        <f ca="1">IFERROR(IF(0=LEN(ReferenceData!$CB$209),"",ReferenceData!$CB$209),"")</f>
        <v>3.9861583330000001</v>
      </c>
      <c r="CC209">
        <f ca="1">IFERROR(IF(0=LEN(ReferenceData!$CC$209),"",ReferenceData!$CC$209),"")</f>
        <v>4.0851668920000002</v>
      </c>
      <c r="CD209">
        <f ca="1">IFERROR(IF(0=LEN(ReferenceData!$CD$209),"",ReferenceData!$CD$209),"")</f>
        <v>4.1374851340000003</v>
      </c>
      <c r="CE209">
        <f ca="1">IFERROR(IF(0=LEN(ReferenceData!$CE$209),"",ReferenceData!$CE$209),"")</f>
        <v>3.8502724850000001</v>
      </c>
      <c r="CF209">
        <f ca="1">IFERROR(IF(0=LEN(ReferenceData!$CF$209),"",ReferenceData!$CF$209),"")</f>
        <v>4.579014495</v>
      </c>
      <c r="CG209">
        <f ca="1">IFERROR(IF(0=LEN(ReferenceData!$CG$209),"",ReferenceData!$CG$209),"")</f>
        <v>3.7030066179999999</v>
      </c>
      <c r="CH209">
        <f ca="1">IFERROR(IF(0=LEN(ReferenceData!$CH$209),"",ReferenceData!$CH$209),"")</f>
        <v>3.7871658589999999</v>
      </c>
      <c r="CI209">
        <f ca="1">IFERROR(IF(0=LEN(ReferenceData!$CI$209),"",ReferenceData!$CI$209),"")</f>
        <v>3.9290901030000001</v>
      </c>
      <c r="CJ209">
        <f ca="1">IFERROR(IF(0=LEN(ReferenceData!$CJ$209),"",ReferenceData!$CJ$209),"")</f>
        <v>3.8793968460000001</v>
      </c>
      <c r="CK209">
        <f ca="1">IFERROR(IF(0=LEN(ReferenceData!$CK$209),"",ReferenceData!$CK$209),"")</f>
        <v>3.9403882490000002</v>
      </c>
    </row>
    <row r="210" spans="1:89">
      <c r="A210" t="str">
        <f>IFERROR(IF(0=LEN(ReferenceData!$A$210),"",ReferenceData!$A$210),"")</f>
        <v xml:space="preserve">    Mid-America Apartment Communities股份有限公司</v>
      </c>
      <c r="B210" t="str">
        <f>IFERROR(IF(0=LEN(ReferenceData!$B$210),"",ReferenceData!$B$210),"")</f>
        <v>MAA US Equity</v>
      </c>
      <c r="C210" t="str">
        <f>IFERROR(IF(0=LEN(ReferenceData!$C$210),"",ReferenceData!$C$210),"")</f>
        <v>RR890</v>
      </c>
      <c r="D210" t="str">
        <f>IFERROR(IF(0=LEN(ReferenceData!$D$210),"",ReferenceData!$D$210),"")</f>
        <v>FFO_YIELD</v>
      </c>
      <c r="E210" t="str">
        <f>IFERROR(IF(0=LEN(ReferenceData!$E$210),"",ReferenceData!$E$210),"")</f>
        <v>动态</v>
      </c>
      <c r="F210">
        <f ca="1">IFERROR(IF(0=LEN(ReferenceData!$F$210),"",ReferenceData!$F$210),"")</f>
        <v>6.6487575550000004</v>
      </c>
      <c r="G210">
        <f ca="1">IFERROR(IF(0=LEN(ReferenceData!$G$210),"",ReferenceData!$G$210),"")</f>
        <v>6.9214635280000003</v>
      </c>
      <c r="H210">
        <f ca="1">IFERROR(IF(0=LEN(ReferenceData!$H$210),"",ReferenceData!$H$210),"")</f>
        <v>6.2283737019999998</v>
      </c>
      <c r="I210">
        <f ca="1">IFERROR(IF(0=LEN(ReferenceData!$I$210),"",ReferenceData!$I$210),"")</f>
        <v>5.906921241</v>
      </c>
      <c r="J210">
        <f ca="1">IFERROR(IF(0=LEN(ReferenceData!$J$210),"",ReferenceData!$J$210),"")</f>
        <v>5.4373291679999998</v>
      </c>
      <c r="K210">
        <f ca="1">IFERROR(IF(0=LEN(ReferenceData!$K$210),"",ReferenceData!$K$210),"")</f>
        <v>5.4421104050000002</v>
      </c>
      <c r="L210">
        <f ca="1">IFERROR(IF(0=LEN(ReferenceData!$L$210),"",ReferenceData!$L$210),"")</f>
        <v>5.2114520960000004</v>
      </c>
      <c r="M210">
        <f ca="1">IFERROR(IF(0=LEN(ReferenceData!$M$210),"",ReferenceData!$M$210),"")</f>
        <v>5.2038324249999999</v>
      </c>
      <c r="N210">
        <f ca="1">IFERROR(IF(0=LEN(ReferenceData!$N$210),"",ReferenceData!$N$210),"")</f>
        <v>5.3511059599999999</v>
      </c>
      <c r="O210">
        <f ca="1">IFERROR(IF(0=LEN(ReferenceData!$O$210),"",ReferenceData!$O$210),"")</f>
        <v>5.2571645470000004</v>
      </c>
      <c r="P210">
        <f ca="1">IFERROR(IF(0=LEN(ReferenceData!$P$210),"",ReferenceData!$P$210),"")</f>
        <v>5.4934275059999997</v>
      </c>
      <c r="Q210">
        <f ca="1">IFERROR(IF(0=LEN(ReferenceData!$Q$210),"",ReferenceData!$Q$210),"")</f>
        <v>5.6445922790000003</v>
      </c>
      <c r="R210">
        <f ca="1">IFERROR(IF(0=LEN(ReferenceData!$R$210),"",ReferenceData!$R$210),"")</f>
        <v>5.5042264599999999</v>
      </c>
      <c r="S210">
        <f ca="1">IFERROR(IF(0=LEN(ReferenceData!$S$210),"",ReferenceData!$S$210),"")</f>
        <v>5.4901197310000001</v>
      </c>
      <c r="T210">
        <f ca="1">IFERROR(IF(0=LEN(ReferenceData!$T$210),"",ReferenceData!$T$210),"")</f>
        <v>5.939968404</v>
      </c>
      <c r="U210">
        <f ca="1">IFERROR(IF(0=LEN(ReferenceData!$U$210),"",ReferenceData!$U$210),"")</f>
        <v>5.7598039219999997</v>
      </c>
      <c r="V210">
        <f ca="1">IFERROR(IF(0=LEN(ReferenceData!$V$210),"",ReferenceData!$V$210),"")</f>
        <v>6.5521270329999997</v>
      </c>
      <c r="W210">
        <f ca="1">IFERROR(IF(0=LEN(ReferenceData!$W$210),"",ReferenceData!$W$210),"")</f>
        <v>6.4730070079999997</v>
      </c>
      <c r="X210">
        <f ca="1">IFERROR(IF(0=LEN(ReferenceData!$X$210),"",ReferenceData!$X$210),"")</f>
        <v>6.3876093200000001</v>
      </c>
      <c r="Y210">
        <f ca="1">IFERROR(IF(0=LEN(ReferenceData!$Y$210),"",ReferenceData!$Y$210),"")</f>
        <v>6.3590669220000002</v>
      </c>
      <c r="Z210">
        <f ca="1">IFERROR(IF(0=LEN(ReferenceData!$Z$210),"",ReferenceData!$Z$210),"")</f>
        <v>5.637508961</v>
      </c>
      <c r="AA210">
        <f ca="1">IFERROR(IF(0=LEN(ReferenceData!$AA$210),"",ReferenceData!$AA$210),"")</f>
        <v>5.617375</v>
      </c>
      <c r="AB210">
        <f ca="1">IFERROR(IF(0=LEN(ReferenceData!$AB$210),"",ReferenceData!$AB$210),"")</f>
        <v>5.6825206330000002</v>
      </c>
      <c r="AC210">
        <f ca="1">IFERROR(IF(0=LEN(ReferenceData!$AC$210),"",ReferenceData!$AC$210),"")</f>
        <v>6.1147508100000003</v>
      </c>
      <c r="AD210">
        <f ca="1">IFERROR(IF(0=LEN(ReferenceData!$AD$210),"",ReferenceData!$AD$210),"")</f>
        <v>5.7258859209999997</v>
      </c>
      <c r="AE210">
        <f ca="1">IFERROR(IF(0=LEN(ReferenceData!$AE$210),"",ReferenceData!$AE$210),"")</f>
        <v>6.3291394260000002</v>
      </c>
      <c r="AF210">
        <f ca="1">IFERROR(IF(0=LEN(ReferenceData!$AF$210),"",ReferenceData!$AF$210),"")</f>
        <v>6.0673928799999999</v>
      </c>
      <c r="AG210">
        <f ca="1">IFERROR(IF(0=LEN(ReferenceData!$AG$210),"",ReferenceData!$AG$210),"")</f>
        <v>6.2685034689999997</v>
      </c>
      <c r="AH210">
        <f ca="1">IFERROR(IF(0=LEN(ReferenceData!$AH$210),"",ReferenceData!$AH$210),"")</f>
        <v>6.2654855469999999</v>
      </c>
      <c r="AI210">
        <f ca="1">IFERROR(IF(0=LEN(ReferenceData!$AI$210),"",ReferenceData!$AI$210),"")</f>
        <v>6.5133395939999996</v>
      </c>
      <c r="AJ210">
        <f ca="1">IFERROR(IF(0=LEN(ReferenceData!$AJ$210),"",ReferenceData!$AJ$210),"")</f>
        <v>6.7774691579999997</v>
      </c>
      <c r="AK210">
        <f ca="1">IFERROR(IF(0=LEN(ReferenceData!$AK$210),"",ReferenceData!$AK$210),"")</f>
        <v>6.8908779740000003</v>
      </c>
      <c r="AL210">
        <f ca="1">IFERROR(IF(0=LEN(ReferenceData!$AL$210),"",ReferenceData!$AL$210),"")</f>
        <v>6.7407779440000004</v>
      </c>
      <c r="AM210">
        <f ca="1">IFERROR(IF(0=LEN(ReferenceData!$AM$210),"",ReferenceData!$AM$210),"")</f>
        <v>7.4379082539999999</v>
      </c>
      <c r="AN210">
        <f ca="1">IFERROR(IF(0=LEN(ReferenceData!$AN$210),"",ReferenceData!$AN$210),"")</f>
        <v>6.8071737140000002</v>
      </c>
      <c r="AO210">
        <f ca="1">IFERROR(IF(0=LEN(ReferenceData!$AO$210),"",ReferenceData!$AO$210),"")</f>
        <v>6.9695751240000003</v>
      </c>
      <c r="AP210">
        <f ca="1">IFERROR(IF(0=LEN(ReferenceData!$AP$210),"",ReferenceData!$AP$210),"")</f>
        <v>6.7296492819999996</v>
      </c>
      <c r="AQ210">
        <f ca="1">IFERROR(IF(0=LEN(ReferenceData!$AQ$210),"",ReferenceData!$AQ$210),"")</f>
        <v>7.0235959709999998</v>
      </c>
      <c r="AR210">
        <f ca="1">IFERROR(IF(0=LEN(ReferenceData!$AR$210),"",ReferenceData!$AR$210),"")</f>
        <v>6.4170448809999998</v>
      </c>
      <c r="AS210">
        <f ca="1">IFERROR(IF(0=LEN(ReferenceData!$AS$210),"",ReferenceData!$AS$210),"")</f>
        <v>6.8157471879999996</v>
      </c>
      <c r="AT210">
        <f ca="1">IFERROR(IF(0=LEN(ReferenceData!$AT$210),"",ReferenceData!$AT$210),"")</f>
        <v>6.3670920449999997</v>
      </c>
      <c r="AU210">
        <f ca="1">IFERROR(IF(0=LEN(ReferenceData!$AU$210),"",ReferenceData!$AU$210),"")</f>
        <v>6.6374186240000004</v>
      </c>
      <c r="AV210">
        <f ca="1">IFERROR(IF(0=LEN(ReferenceData!$AV$210),"",ReferenceData!$AV$210),"")</f>
        <v>7.1439451639999998</v>
      </c>
      <c r="AW210">
        <f ca="1">IFERROR(IF(0=LEN(ReferenceData!$AW$210),"",ReferenceData!$AW$210),"")</f>
        <v>6.2361725659999996</v>
      </c>
      <c r="AX210">
        <f ca="1">IFERROR(IF(0=LEN(ReferenceData!$AX$210),"",ReferenceData!$AX$210),"")</f>
        <v>6.4502288329999997</v>
      </c>
      <c r="AY210">
        <f ca="1">IFERROR(IF(0=LEN(ReferenceData!$AY$210),"",ReferenceData!$AY$210),"")</f>
        <v>6.1738535250000002</v>
      </c>
      <c r="AZ210">
        <f ca="1">IFERROR(IF(0=LEN(ReferenceData!$AZ$210),"",ReferenceData!$AZ$210),"")</f>
        <v>6.1506565310000001</v>
      </c>
      <c r="BA210">
        <f ca="1">IFERROR(IF(0=LEN(ReferenceData!$BA$210),"",ReferenceData!$BA$210),"")</f>
        <v>6.389088299</v>
      </c>
      <c r="BB210">
        <f ca="1">IFERROR(IF(0=LEN(ReferenceData!$BB$210),"",ReferenceData!$BB$210),"")</f>
        <v>6.5182364140000004</v>
      </c>
      <c r="BC210">
        <f ca="1">IFERROR(IF(0=LEN(ReferenceData!$BC$210),"",ReferenceData!$BC$210),"")</f>
        <v>6.6085156710000001</v>
      </c>
      <c r="BD210">
        <f ca="1">IFERROR(IF(0=LEN(ReferenceData!$BD$210),"",ReferenceData!$BD$210),"")</f>
        <v>6.9259374029999998</v>
      </c>
      <c r="BE210">
        <f ca="1">IFERROR(IF(0=LEN(ReferenceData!$BE$210),"",ReferenceData!$BE$210),"")</f>
        <v>7.3592360880000003</v>
      </c>
      <c r="BF210">
        <f ca="1">IFERROR(IF(0=LEN(ReferenceData!$BF$210),"",ReferenceData!$BF$210),"")</f>
        <v>7.8577058429999997</v>
      </c>
      <c r="BG210">
        <f ca="1">IFERROR(IF(0=LEN(ReferenceData!$BG$210),"",ReferenceData!$BG$210),"")</f>
        <v>7.1287379519999998</v>
      </c>
      <c r="BH210">
        <f ca="1">IFERROR(IF(0=LEN(ReferenceData!$BH$210),"",ReferenceData!$BH$210),"")</f>
        <v>7.5735711999999999</v>
      </c>
      <c r="BI210">
        <f ca="1">IFERROR(IF(0=LEN(ReferenceData!$BI$210),"",ReferenceData!$BI$210),"")</f>
        <v>7.6443107360000004</v>
      </c>
      <c r="BJ210">
        <f ca="1">IFERROR(IF(0=LEN(ReferenceData!$BJ$210),"",ReferenceData!$BJ$210),"")</f>
        <v>6.9777675800000001</v>
      </c>
      <c r="BK210">
        <f ca="1">IFERROR(IF(0=LEN(ReferenceData!$BK$210),"",ReferenceData!$BK$210),"")</f>
        <v>6.9551158329999998</v>
      </c>
      <c r="BL210">
        <f ca="1">IFERROR(IF(0=LEN(ReferenceData!$BL$210),"",ReferenceData!$BL$210),"")</f>
        <v>6.9199382079999996</v>
      </c>
      <c r="BM210">
        <f ca="1">IFERROR(IF(0=LEN(ReferenceData!$BM$210),"",ReferenceData!$BM$210),"")</f>
        <v>6.8434191760000003</v>
      </c>
      <c r="BN210">
        <f ca="1">IFERROR(IF(0=LEN(ReferenceData!$BN$210),"",ReferenceData!$BN$210),"")</f>
        <v>6.8107182159999997</v>
      </c>
      <c r="BO210">
        <f ca="1">IFERROR(IF(0=LEN(ReferenceData!$BO$210),"",ReferenceData!$BO$210),"")</f>
        <v>6.5862355990000001</v>
      </c>
      <c r="BP210">
        <f ca="1">IFERROR(IF(0=LEN(ReferenceData!$BP$210),"",ReferenceData!$BP$210),"")</f>
        <v>6.9963010560000001</v>
      </c>
      <c r="BQ210">
        <f ca="1">IFERROR(IF(0=LEN(ReferenceData!$BQ$210),"",ReferenceData!$BQ$210),"")</f>
        <v>7.0632926640000004</v>
      </c>
      <c r="BR210">
        <f ca="1">IFERROR(IF(0=LEN(ReferenceData!$BR$210),"",ReferenceData!$BR$210),"")</f>
        <v>7.1084724010000002</v>
      </c>
      <c r="BS210">
        <f ca="1">IFERROR(IF(0=LEN(ReferenceData!$BS$210),"",ReferenceData!$BS$210),"")</f>
        <v>6.8459279860000004</v>
      </c>
      <c r="BT210">
        <f ca="1">IFERROR(IF(0=LEN(ReferenceData!$BT$210),"",ReferenceData!$BT$210),"")</f>
        <v>6.7830347570000002</v>
      </c>
      <c r="BU210">
        <f ca="1">IFERROR(IF(0=LEN(ReferenceData!$BU$210),"",ReferenceData!$BU$210),"")</f>
        <v>6.3529411759999999</v>
      </c>
      <c r="BV210">
        <f ca="1">IFERROR(IF(0=LEN(ReferenceData!$BV$210),"",ReferenceData!$BV$210),"")</f>
        <v>6.2400693340000002</v>
      </c>
      <c r="BW210">
        <f ca="1">IFERROR(IF(0=LEN(ReferenceData!$BW$210),"",ReferenceData!$BW$210),"")</f>
        <v>6.3305978899999999</v>
      </c>
      <c r="BX210">
        <f ca="1">IFERROR(IF(0=LEN(ReferenceData!$BX$210),"",ReferenceData!$BX$210),"")</f>
        <v>6.113666716</v>
      </c>
      <c r="BY210">
        <f ca="1">IFERROR(IF(0=LEN(ReferenceData!$BY$210),"",ReferenceData!$BY$210),"")</f>
        <v>6.0525929190000003</v>
      </c>
      <c r="BZ210">
        <f ca="1">IFERROR(IF(0=LEN(ReferenceData!$BZ$210),"",ReferenceData!$BZ$210),"")</f>
        <v>6.1465015660000004</v>
      </c>
      <c r="CA210">
        <f ca="1">IFERROR(IF(0=LEN(ReferenceData!$CA$210),"",ReferenceData!$CA$210),"")</f>
        <v>6.3812730479999997</v>
      </c>
      <c r="CB210">
        <f ca="1">IFERROR(IF(0=LEN(ReferenceData!$CB$210),"",ReferenceData!$CB$210),"")</f>
        <v>6.2265331660000003</v>
      </c>
      <c r="CC210">
        <f ca="1">IFERROR(IF(0=LEN(ReferenceData!$CC$210),"",ReferenceData!$CC$210),"")</f>
        <v>6.3629096719999998</v>
      </c>
      <c r="CD210">
        <f ca="1">IFERROR(IF(0=LEN(ReferenceData!$CD$210),"",ReferenceData!$CD$210),"")</f>
        <v>6.7341242149999996</v>
      </c>
      <c r="CE210">
        <f ca="1">IFERROR(IF(0=LEN(ReferenceData!$CE$210),"",ReferenceData!$CE$210),"")</f>
        <v>6.1858974360000003</v>
      </c>
      <c r="CF210">
        <f ca="1">IFERROR(IF(0=LEN(ReferenceData!$CF$210),"",ReferenceData!$CF$210),"")</f>
        <v>6.4098306210000002</v>
      </c>
      <c r="CG210">
        <f ca="1">IFERROR(IF(0=LEN(ReferenceData!$CG$210),"",ReferenceData!$CG$210),"")</f>
        <v>5.1762730829999999</v>
      </c>
      <c r="CH210">
        <f ca="1">IFERROR(IF(0=LEN(ReferenceData!$CH$210),"",ReferenceData!$CH$210),"")</f>
        <v>5.2267269389999997</v>
      </c>
      <c r="CI210">
        <f ca="1">IFERROR(IF(0=LEN(ReferenceData!$CI$210),"",ReferenceData!$CI$210),"")</f>
        <v>5.4839187789999997</v>
      </c>
      <c r="CJ210">
        <f ca="1">IFERROR(IF(0=LEN(ReferenceData!$CJ$210),"",ReferenceData!$CJ$210),"")</f>
        <v>5.2078774619999999</v>
      </c>
      <c r="CK210">
        <f ca="1">IFERROR(IF(0=LEN(ReferenceData!$CK$210),"",ReferenceData!$CK$210),"")</f>
        <v>5.3403141359999999</v>
      </c>
    </row>
    <row r="211" spans="1:89">
      <c r="A211" t="str">
        <f>IFERROR(IF(0=LEN(ReferenceData!$A$211),"",ReferenceData!$A$211),"")</f>
        <v xml:space="preserve">    UDR 公司</v>
      </c>
      <c r="B211" t="str">
        <f>IFERROR(IF(0=LEN(ReferenceData!$B$211),"",ReferenceData!$B$211),"")</f>
        <v>UDR US Equity</v>
      </c>
      <c r="C211" t="str">
        <f>IFERROR(IF(0=LEN(ReferenceData!$C$211),"",ReferenceData!$C$211),"")</f>
        <v>RR890</v>
      </c>
      <c r="D211" t="str">
        <f>IFERROR(IF(0=LEN(ReferenceData!$D$211),"",ReferenceData!$D$211),"")</f>
        <v>FFO_YIELD</v>
      </c>
      <c r="E211" t="str">
        <f>IFERROR(IF(0=LEN(ReferenceData!$E$211),"",ReferenceData!$E$211),"")</f>
        <v>动态</v>
      </c>
      <c r="F211">
        <f ca="1">IFERROR(IF(0=LEN(ReferenceData!$F$211),"",ReferenceData!$F$211),"")</f>
        <v>5.2527534820000001</v>
      </c>
      <c r="G211">
        <f ca="1">IFERROR(IF(0=LEN(ReferenceData!$G$211),"",ReferenceData!$G$211),"")</f>
        <v>5.5324211779999999</v>
      </c>
      <c r="H211">
        <f ca="1">IFERROR(IF(0=LEN(ReferenceData!$H$211),"",ReferenceData!$H$211),"")</f>
        <v>5.0917054479999999</v>
      </c>
      <c r="I211">
        <f ca="1">IFERROR(IF(0=LEN(ReferenceData!$I$211),"",ReferenceData!$I$211),"")</f>
        <v>4.8286604359999998</v>
      </c>
      <c r="J211">
        <f ca="1">IFERROR(IF(0=LEN(ReferenceData!$J$211),"",ReferenceData!$J$211),"")</f>
        <v>4.7292143400000004</v>
      </c>
      <c r="K211">
        <f ca="1">IFERROR(IF(0=LEN(ReferenceData!$K$211),"",ReferenceData!$K$211),"")</f>
        <v>4.795050271</v>
      </c>
      <c r="L211">
        <f ca="1">IFERROR(IF(0=LEN(ReferenceData!$L$211),"",ReferenceData!$L$211),"")</f>
        <v>4.8908756249999996</v>
      </c>
      <c r="M211">
        <f ca="1">IFERROR(IF(0=LEN(ReferenceData!$M$211),"",ReferenceData!$M$211),"")</f>
        <v>4.7100309119999997</v>
      </c>
      <c r="N211">
        <f ca="1">IFERROR(IF(0=LEN(ReferenceData!$N$211),"",ReferenceData!$N$211),"")</f>
        <v>4.6774980810000004</v>
      </c>
      <c r="O211">
        <f ca="1">IFERROR(IF(0=LEN(ReferenceData!$O$211),"",ReferenceData!$O$211),"")</f>
        <v>4.6919014629999998</v>
      </c>
      <c r="P211">
        <f ca="1">IFERROR(IF(0=LEN(ReferenceData!$P$211),"",ReferenceData!$P$211),"")</f>
        <v>4.70974877</v>
      </c>
      <c r="Q211">
        <f ca="1">IFERROR(IF(0=LEN(ReferenceData!$Q$211),"",ReferenceData!$Q$211),"")</f>
        <v>4.8699357259999996</v>
      </c>
      <c r="R211">
        <f ca="1">IFERROR(IF(0=LEN(ReferenceData!$R$211),"",ReferenceData!$R$211),"")</f>
        <v>5.0149862110000001</v>
      </c>
      <c r="S211">
        <f ca="1">IFERROR(IF(0=LEN(ReferenceData!$S$211),"",ReferenceData!$S$211),"")</f>
        <v>4.9272164380000003</v>
      </c>
      <c r="T211">
        <f ca="1">IFERROR(IF(0=LEN(ReferenceData!$T$211),"",ReferenceData!$T$211),"")</f>
        <v>5.1457339060000002</v>
      </c>
      <c r="U211">
        <f ca="1">IFERROR(IF(0=LEN(ReferenceData!$U$211),"",ReferenceData!$U$211),"")</f>
        <v>4.9299177629999997</v>
      </c>
      <c r="V211">
        <f ca="1">IFERROR(IF(0=LEN(ReferenceData!$V$211),"",ReferenceData!$V$211),"")</f>
        <v>5.1070329020000003</v>
      </c>
      <c r="W211">
        <f ca="1">IFERROR(IF(0=LEN(ReferenceData!$W$211),"",ReferenceData!$W$211),"")</f>
        <v>4.9712153270000004</v>
      </c>
      <c r="X211">
        <f ca="1">IFERROR(IF(0=LEN(ReferenceData!$X$211),"",ReferenceData!$X$211),"")</f>
        <v>4.8303250899999997</v>
      </c>
      <c r="Y211">
        <f ca="1">IFERROR(IF(0=LEN(ReferenceData!$Y$211),"",ReferenceData!$Y$211),"")</f>
        <v>4.698728579</v>
      </c>
      <c r="Z211">
        <f ca="1">IFERROR(IF(0=LEN(ReferenceData!$Z$211),"",ReferenceData!$Z$211),"")</f>
        <v>4.5662100460000001</v>
      </c>
      <c r="AA211">
        <f ca="1">IFERROR(IF(0=LEN(ReferenceData!$AA$211),"",ReferenceData!$AA$211),"")</f>
        <v>4.604550379</v>
      </c>
      <c r="AB211">
        <f ca="1">IFERROR(IF(0=LEN(ReferenceData!$AB$211),"",ReferenceData!$AB$211),"")</f>
        <v>4.6276380789999996</v>
      </c>
      <c r="AC211">
        <f ca="1">IFERROR(IF(0=LEN(ReferenceData!$AC$211),"",ReferenceData!$AC$211),"")</f>
        <v>4.7747365410000002</v>
      </c>
      <c r="AD211">
        <f ca="1">IFERROR(IF(0=LEN(ReferenceData!$AD$211),"",ReferenceData!$AD$211),"")</f>
        <v>4.3273760709999998</v>
      </c>
      <c r="AE211">
        <f ca="1">IFERROR(IF(0=LEN(ReferenceData!$AE$211),"",ReferenceData!$AE$211),"")</f>
        <v>4.856795805</v>
      </c>
      <c r="AF211">
        <f ca="1">IFERROR(IF(0=LEN(ReferenceData!$AF$211),"",ReferenceData!$AF$211),"")</f>
        <v>4.6848496769999999</v>
      </c>
      <c r="AG211">
        <f ca="1">IFERROR(IF(0=LEN(ReferenceData!$AG$211),"",ReferenceData!$AG$211),"")</f>
        <v>4.4379504919999997</v>
      </c>
      <c r="AH211">
        <f ca="1">IFERROR(IF(0=LEN(ReferenceData!$AH$211),"",ReferenceData!$AH$211),"")</f>
        <v>4.4902140340000001</v>
      </c>
      <c r="AI211">
        <f ca="1">IFERROR(IF(0=LEN(ReferenceData!$AI$211),"",ReferenceData!$AI$211),"")</f>
        <v>4.8094544399999997</v>
      </c>
      <c r="AJ211">
        <f ca="1">IFERROR(IF(0=LEN(ReferenceData!$AJ$211),"",ReferenceData!$AJ$211),"")</f>
        <v>4.8066647329999999</v>
      </c>
      <c r="AK211" t="str">
        <f ca="1">IFERROR(IF(0=LEN(ReferenceData!$AK$211),"",ReferenceData!$AK$211),"")</f>
        <v/>
      </c>
      <c r="AL211" t="str">
        <f ca="1">IFERROR(IF(0=LEN(ReferenceData!$AL$211),"",ReferenceData!$AL$211),"")</f>
        <v/>
      </c>
      <c r="AM211" t="str">
        <f ca="1">IFERROR(IF(0=LEN(ReferenceData!$AM$211),"",ReferenceData!$AM$211),"")</f>
        <v/>
      </c>
      <c r="AN211" t="str">
        <f ca="1">IFERROR(IF(0=LEN(ReferenceData!$AN$211),"",ReferenceData!$AN$211),"")</f>
        <v/>
      </c>
      <c r="AO211" t="str">
        <f ca="1">IFERROR(IF(0=LEN(ReferenceData!$AO$211),"",ReferenceData!$AO$211),"")</f>
        <v/>
      </c>
      <c r="AP211" t="str">
        <f ca="1">IFERROR(IF(0=LEN(ReferenceData!$AP$211),"",ReferenceData!$AP$211),"")</f>
        <v/>
      </c>
      <c r="AQ211" t="str">
        <f ca="1">IFERROR(IF(0=LEN(ReferenceData!$AQ$211),"",ReferenceData!$AQ$211),"")</f>
        <v/>
      </c>
      <c r="AR211" t="str">
        <f ca="1">IFERROR(IF(0=LEN(ReferenceData!$AR$211),"",ReferenceData!$AR$211),"")</f>
        <v/>
      </c>
      <c r="AS211" t="str">
        <f ca="1">IFERROR(IF(0=LEN(ReferenceData!$AS$211),"",ReferenceData!$AS$211),"")</f>
        <v/>
      </c>
      <c r="AT211" t="str">
        <f ca="1">IFERROR(IF(0=LEN(ReferenceData!$AT$211),"",ReferenceData!$AT$211),"")</f>
        <v/>
      </c>
      <c r="AU211" t="str">
        <f ca="1">IFERROR(IF(0=LEN(ReferenceData!$AU$211),"",ReferenceData!$AU$211),"")</f>
        <v/>
      </c>
      <c r="AV211" t="str">
        <f ca="1">IFERROR(IF(0=LEN(ReferenceData!$AV$211),"",ReferenceData!$AV$211),"")</f>
        <v/>
      </c>
      <c r="AW211" t="str">
        <f ca="1">IFERROR(IF(0=LEN(ReferenceData!$AW$211),"",ReferenceData!$AW$211),"")</f>
        <v/>
      </c>
      <c r="AX211" t="str">
        <f ca="1">IFERROR(IF(0=LEN(ReferenceData!$AX$211),"",ReferenceData!$AX$211),"")</f>
        <v/>
      </c>
      <c r="AY211" t="str">
        <f ca="1">IFERROR(IF(0=LEN(ReferenceData!$AY$211),"",ReferenceData!$AY$211),"")</f>
        <v/>
      </c>
      <c r="AZ211" t="str">
        <f ca="1">IFERROR(IF(0=LEN(ReferenceData!$AZ$211),"",ReferenceData!$AZ$211),"")</f>
        <v/>
      </c>
      <c r="BA211" t="str">
        <f ca="1">IFERROR(IF(0=LEN(ReferenceData!$BA$211),"",ReferenceData!$BA$211),"")</f>
        <v/>
      </c>
      <c r="BB211" t="str">
        <f ca="1">IFERROR(IF(0=LEN(ReferenceData!$BB$211),"",ReferenceData!$BB$211),"")</f>
        <v/>
      </c>
      <c r="BC211" t="str">
        <f ca="1">IFERROR(IF(0=LEN(ReferenceData!$BC$211),"",ReferenceData!$BC$211),"")</f>
        <v/>
      </c>
      <c r="BD211" t="str">
        <f ca="1">IFERROR(IF(0=LEN(ReferenceData!$BD$211),"",ReferenceData!$BD$211),"")</f>
        <v/>
      </c>
      <c r="BE211">
        <f ca="1">IFERROR(IF(0=LEN(ReferenceData!$BE$211),"",ReferenceData!$BE$211),"")</f>
        <v>5.9829059830000002</v>
      </c>
      <c r="BF211">
        <f ca="1">IFERROR(IF(0=LEN(ReferenceData!$BF$211),"",ReferenceData!$BF$211),"")</f>
        <v>6.0163300389999996</v>
      </c>
      <c r="BG211">
        <f ca="1">IFERROR(IF(0=LEN(ReferenceData!$BG$211),"",ReferenceData!$BG$211),"")</f>
        <v>5.6428859329999996</v>
      </c>
      <c r="BH211">
        <f ca="1">IFERROR(IF(0=LEN(ReferenceData!$BH$211),"",ReferenceData!$BH$211),"")</f>
        <v>5.9071729959999999</v>
      </c>
      <c r="BI211">
        <f ca="1">IFERROR(IF(0=LEN(ReferenceData!$BI$211),"",ReferenceData!$BI$211),"")</f>
        <v>6.0203629919999999</v>
      </c>
      <c r="BJ211">
        <f ca="1">IFERROR(IF(0=LEN(ReferenceData!$BJ$211),"",ReferenceData!$BJ$211),"")</f>
        <v>5.4313099039999999</v>
      </c>
      <c r="BK211">
        <f ca="1">IFERROR(IF(0=LEN(ReferenceData!$BK$211),"",ReferenceData!$BK$211),"")</f>
        <v>5.335425657</v>
      </c>
      <c r="BL211">
        <f ca="1">IFERROR(IF(0=LEN(ReferenceData!$BL$211),"",ReferenceData!$BL$211),"")</f>
        <v>5.4164956909999997</v>
      </c>
      <c r="BM211">
        <f ca="1">IFERROR(IF(0=LEN(ReferenceData!$BM$211),"",ReferenceData!$BM$211),"")</f>
        <v>5.370219691</v>
      </c>
      <c r="BN211">
        <f ca="1">IFERROR(IF(0=LEN(ReferenceData!$BN$211),"",ReferenceData!$BN$211),"")</f>
        <v>5.4568003310000002</v>
      </c>
      <c r="BO211">
        <f ca="1">IFERROR(IF(0=LEN(ReferenceData!$BO$211),"",ReferenceData!$BO$211),"")</f>
        <v>5.5741827329999998</v>
      </c>
      <c r="BP211">
        <f ca="1">IFERROR(IF(0=LEN(ReferenceData!$BP$211),"",ReferenceData!$BP$211),"")</f>
        <v>5.5671829219999998</v>
      </c>
      <c r="BQ211">
        <f ca="1">IFERROR(IF(0=LEN(ReferenceData!$BQ$211),"",ReferenceData!$BQ$211),"")</f>
        <v>5.5929352400000001</v>
      </c>
      <c r="BR211">
        <f ca="1">IFERROR(IF(0=LEN(ReferenceData!$BR$211),"",ReferenceData!$BR$211),"")</f>
        <v>5.953933073</v>
      </c>
      <c r="BS211">
        <f ca="1">IFERROR(IF(0=LEN(ReferenceData!$BS$211),"",ReferenceData!$BS$211),"")</f>
        <v>5.6448290070000002</v>
      </c>
      <c r="BT211">
        <f ca="1">IFERROR(IF(0=LEN(ReferenceData!$BT$211),"",ReferenceData!$BT$211),"")</f>
        <v>5.5197421430000002</v>
      </c>
      <c r="BU211">
        <f ca="1">IFERROR(IF(0=LEN(ReferenceData!$BU$211),"",ReferenceData!$BU$211),"")</f>
        <v>5.386138614</v>
      </c>
      <c r="BV211">
        <f ca="1">IFERROR(IF(0=LEN(ReferenceData!$BV$211),"",ReferenceData!$BV$211),"")</f>
        <v>5.1108605789999997</v>
      </c>
      <c r="BW211">
        <f ca="1">IFERROR(IF(0=LEN(ReferenceData!$BW$211),"",ReferenceData!$BW$211),"")</f>
        <v>5.263157895</v>
      </c>
      <c r="BX211">
        <f ca="1">IFERROR(IF(0=LEN(ReferenceData!$BX$211),"",ReferenceData!$BX$211),"")</f>
        <v>5.2123552120000003</v>
      </c>
      <c r="BY211">
        <f ca="1">IFERROR(IF(0=LEN(ReferenceData!$BY$211),"",ReferenceData!$BY$211),"")</f>
        <v>5.1272312949999996</v>
      </c>
      <c r="BZ211">
        <f ca="1">IFERROR(IF(0=LEN(ReferenceData!$BZ$211),"",ReferenceData!$BZ$211),"")</f>
        <v>5.0542867840000003</v>
      </c>
      <c r="CA211">
        <f ca="1">IFERROR(IF(0=LEN(ReferenceData!$CA$211),"",ReferenceData!$CA$211),"")</f>
        <v>5.1558752999999999</v>
      </c>
      <c r="CB211">
        <f ca="1">IFERROR(IF(0=LEN(ReferenceData!$CB$211),"",ReferenceData!$CB$211),"")</f>
        <v>4.9577248269999998</v>
      </c>
      <c r="CC211">
        <f ca="1">IFERROR(IF(0=LEN(ReferenceData!$CC$211),"",ReferenceData!$CC$211),"")</f>
        <v>5.1394422310000003</v>
      </c>
      <c r="CD211">
        <f ca="1">IFERROR(IF(0=LEN(ReferenceData!$CD$211),"",ReferenceData!$CD$211),"")</f>
        <v>5.1914893620000004</v>
      </c>
      <c r="CE211">
        <f ca="1">IFERROR(IF(0=LEN(ReferenceData!$CE$211),"",ReferenceData!$CE$211),"")</f>
        <v>4.8937023670000004</v>
      </c>
      <c r="CF211">
        <f ca="1">IFERROR(IF(0=LEN(ReferenceData!$CF$211),"",ReferenceData!$CF$211),"")</f>
        <v>5.5103884369999996</v>
      </c>
      <c r="CG211">
        <f ca="1">IFERROR(IF(0=LEN(ReferenceData!$CG$211),"",ReferenceData!$CG$211),"")</f>
        <v>4.3803818789999998</v>
      </c>
      <c r="CH211">
        <f ca="1">IFERROR(IF(0=LEN(ReferenceData!$CH$211),"",ReferenceData!$CH$211),"")</f>
        <v>4.4469783349999998</v>
      </c>
      <c r="CI211">
        <f ca="1">IFERROR(IF(0=LEN(ReferenceData!$CI$211),"",ReferenceData!$CI$211),"")</f>
        <v>4.7657841139999997</v>
      </c>
      <c r="CJ211">
        <f ca="1">IFERROR(IF(0=LEN(ReferenceData!$CJ$211),"",ReferenceData!$CJ$211),"")</f>
        <v>4.2977743669999997</v>
      </c>
      <c r="CK211">
        <f ca="1">IFERROR(IF(0=LEN(ReferenceData!$CK$211),"",ReferenceData!$CK$211),"")</f>
        <v>4.3259945929999999</v>
      </c>
    </row>
    <row r="212" spans="1:89">
      <c r="A212" t="str">
        <f>IFERROR(IF(0=LEN(ReferenceData!$A$212),"",ReferenceData!$A$212),"")</f>
        <v>企业价值</v>
      </c>
      <c r="B212" t="str">
        <f>IFERROR(IF(0=LEN(ReferenceData!$B$212),"",ReferenceData!$B$212),"")</f>
        <v/>
      </c>
      <c r="C212" t="str">
        <f>IFERROR(IF(0=LEN(ReferenceData!$C$212),"",ReferenceData!$C$212),"")</f>
        <v/>
      </c>
      <c r="D212" t="str">
        <f>IFERROR(IF(0=LEN(ReferenceData!$D$212),"",ReferenceData!$D$212),"")</f>
        <v/>
      </c>
      <c r="E212" t="str">
        <f>IFERROR(IF(0=LEN(ReferenceData!$E$212),"",ReferenceData!$E$212),"")</f>
        <v>Sum</v>
      </c>
      <c r="F212">
        <f ca="1">IFERROR(IF(0=LEN(ReferenceData!$F$212),"",ReferenceData!$F$212),"")</f>
        <v>133834.16959400001</v>
      </c>
      <c r="G212">
        <f ca="1">IFERROR(IF(0=LEN(ReferenceData!$G$212),"",ReferenceData!$G$212),"")</f>
        <v>129400.712959</v>
      </c>
      <c r="H212">
        <f ca="1">IFERROR(IF(0=LEN(ReferenceData!$H$212),"",ReferenceData!$H$212),"")</f>
        <v>137161.60454999999</v>
      </c>
      <c r="I212">
        <f ca="1">IFERROR(IF(0=LEN(ReferenceData!$I$212),"",ReferenceData!$I$212),"")</f>
        <v>141648.40005000003</v>
      </c>
      <c r="J212">
        <f ca="1">IFERROR(IF(0=LEN(ReferenceData!$J$212),"",ReferenceData!$J$212),"")</f>
        <v>143963.86187999998</v>
      </c>
      <c r="K212">
        <f ca="1">IFERROR(IF(0=LEN(ReferenceData!$K$212),"",ReferenceData!$K$212),"")</f>
        <v>144971.07994</v>
      </c>
      <c r="L212">
        <f ca="1">IFERROR(IF(0=LEN(ReferenceData!$L$212),"",ReferenceData!$L$212),"")</f>
        <v>143792.40006999997</v>
      </c>
      <c r="M212">
        <f ca="1">IFERROR(IF(0=LEN(ReferenceData!$M$212),"",ReferenceData!$M$212),"")</f>
        <v>146411.36068999997</v>
      </c>
      <c r="N212">
        <f ca="1">IFERROR(IF(0=LEN(ReferenceData!$N$212),"",ReferenceData!$N$212),"")</f>
        <v>146835.43515999999</v>
      </c>
      <c r="O212">
        <f ca="1">IFERROR(IF(0=LEN(ReferenceData!$O$212),"",ReferenceData!$O$212),"")</f>
        <v>144919.08635999999</v>
      </c>
      <c r="P212">
        <f ca="1">IFERROR(IF(0=LEN(ReferenceData!$P$212),"",ReferenceData!$P$212),"")</f>
        <v>143587.99609500001</v>
      </c>
      <c r="Q212">
        <f ca="1">IFERROR(IF(0=LEN(ReferenceData!$Q$212),"",ReferenceData!$Q$212),"")</f>
        <v>141641.39808000001</v>
      </c>
      <c r="R212">
        <f ca="1">IFERROR(IF(0=LEN(ReferenceData!$R$212),"",ReferenceData!$R$212),"")</f>
        <v>138890.33482300001</v>
      </c>
      <c r="S212">
        <f ca="1">IFERROR(IF(0=LEN(ReferenceData!$S$212),"",ReferenceData!$S$212),"")</f>
        <v>140143.71797500001</v>
      </c>
      <c r="T212">
        <f ca="1">IFERROR(IF(0=LEN(ReferenceData!$T$212),"",ReferenceData!$T$212),"")</f>
        <v>135181.639796</v>
      </c>
      <c r="U212">
        <f ca="1">IFERROR(IF(0=LEN(ReferenceData!$U$212),"",ReferenceData!$U$212),"")</f>
        <v>138659.804875</v>
      </c>
      <c r="V212">
        <f ca="1">IFERROR(IF(0=LEN(ReferenceData!$V$212),"",ReferenceData!$V$212),"")</f>
        <v>126210.318212</v>
      </c>
      <c r="W212">
        <f ca="1">IFERROR(IF(0=LEN(ReferenceData!$W$212),"",ReferenceData!$W$212),"")</f>
        <v>128558.71281199998</v>
      </c>
      <c r="X212">
        <f ca="1">IFERROR(IF(0=LEN(ReferenceData!$X$212),"",ReferenceData!$X$212),"")</f>
        <v>131871.03201300002</v>
      </c>
      <c r="Y212">
        <f ca="1">IFERROR(IF(0=LEN(ReferenceData!$Y$212),"",ReferenceData!$Y$212),"")</f>
        <v>132458.78075000001</v>
      </c>
      <c r="Z212">
        <f ca="1">IFERROR(IF(0=LEN(ReferenceData!$Z$212),"",ReferenceData!$Z$212),"")</f>
        <v>137081.37339999998</v>
      </c>
      <c r="AA212">
        <f ca="1">IFERROR(IF(0=LEN(ReferenceData!$AA$212),"",ReferenceData!$AA$212),"")</f>
        <v>135793.52794</v>
      </c>
      <c r="AB212">
        <f ca="1">IFERROR(IF(0=LEN(ReferenceData!$AB$212),"",ReferenceData!$AB$212),"")</f>
        <v>134962.83921000001</v>
      </c>
      <c r="AC212">
        <f ca="1">IFERROR(IF(0=LEN(ReferenceData!$AC$212),"",ReferenceData!$AC$212),"")</f>
        <v>131911.51978999999</v>
      </c>
      <c r="AD212">
        <f ca="1">IFERROR(IF(0=LEN(ReferenceData!$AD$212),"",ReferenceData!$AD$212),"")</f>
        <v>139393.51364999998</v>
      </c>
      <c r="AE212">
        <f ca="1">IFERROR(IF(0=LEN(ReferenceData!$AE$212),"",ReferenceData!$AE$212),"")</f>
        <v>132870.64013300001</v>
      </c>
      <c r="AF212">
        <f ca="1">IFERROR(IF(0=LEN(ReferenceData!$AF$212),"",ReferenceData!$AF$212),"")</f>
        <v>135298.02801800001</v>
      </c>
      <c r="AG212">
        <f ca="1">IFERROR(IF(0=LEN(ReferenceData!$AG$212),"",ReferenceData!$AG$212),"")</f>
        <v>141006.710705</v>
      </c>
      <c r="AH212">
        <f ca="1">IFERROR(IF(0=LEN(ReferenceData!$AH$212),"",ReferenceData!$AH$212),"")</f>
        <v>138326.01444300002</v>
      </c>
      <c r="AI212">
        <f ca="1">IFERROR(IF(0=LEN(ReferenceData!$AI$212),"",ReferenceData!$AI$212),"")</f>
        <v>133978.55911900001</v>
      </c>
      <c r="AJ212">
        <f ca="1">IFERROR(IF(0=LEN(ReferenceData!$AJ$212),"",ReferenceData!$AJ$212),"")</f>
        <v>132655.13262799999</v>
      </c>
      <c r="AK212">
        <f ca="1">IFERROR(IF(0=LEN(ReferenceData!$AK$212),"",ReferenceData!$AK$212),"")</f>
        <v>128644.35026000001</v>
      </c>
      <c r="AL212">
        <f ca="1">IFERROR(IF(0=LEN(ReferenceData!$AL$212),"",ReferenceData!$AL$212),"")</f>
        <v>133063.051768</v>
      </c>
      <c r="AM212">
        <f ca="1">IFERROR(IF(0=LEN(ReferenceData!$AM$212),"",ReferenceData!$AM$212),"")</f>
        <v>126912.45511600001</v>
      </c>
      <c r="AN212">
        <f ca="1">IFERROR(IF(0=LEN(ReferenceData!$AN$212),"",ReferenceData!$AN$212),"")</f>
        <v>130480.456871</v>
      </c>
      <c r="AO212">
        <f ca="1">IFERROR(IF(0=LEN(ReferenceData!$AO$212),"",ReferenceData!$AO$212),"")</f>
        <v>130034.302105</v>
      </c>
      <c r="AP212">
        <f ca="1">IFERROR(IF(0=LEN(ReferenceData!$AP$212),"",ReferenceData!$AP$212),"")</f>
        <v>134449.290095</v>
      </c>
      <c r="AQ212">
        <f ca="1">IFERROR(IF(0=LEN(ReferenceData!$AQ$212),"",ReferenceData!$AQ$212),"")</f>
        <v>130477.999096</v>
      </c>
      <c r="AR212">
        <f ca="1">IFERROR(IF(0=LEN(ReferenceData!$AR$212),"",ReferenceData!$AR$212),"")</f>
        <v>132881.43763100001</v>
      </c>
      <c r="AS212">
        <f ca="1">IFERROR(IF(0=LEN(ReferenceData!$AS$212),"",ReferenceData!$AS$212),"")</f>
        <v>126278.14554999999</v>
      </c>
      <c r="AT212">
        <f ca="1">IFERROR(IF(0=LEN(ReferenceData!$AT$212),"",ReferenceData!$AT$212),"")</f>
        <v>125074.07541200001</v>
      </c>
      <c r="AU212">
        <f ca="1">IFERROR(IF(0=LEN(ReferenceData!$AU$212),"",ReferenceData!$AU$212),"")</f>
        <v>123822.55795</v>
      </c>
      <c r="AV212">
        <f ca="1">IFERROR(IF(0=LEN(ReferenceData!$AV$212),"",ReferenceData!$AV$212),"")</f>
        <v>114621.915825</v>
      </c>
      <c r="AW212">
        <f ca="1">IFERROR(IF(0=LEN(ReferenceData!$AW$212),"",ReferenceData!$AW$212),"")</f>
        <v>120995.90717000002</v>
      </c>
      <c r="AX212">
        <f ca="1">IFERROR(IF(0=LEN(ReferenceData!$AX$212),"",ReferenceData!$AX$212),"")</f>
        <v>118152.92353099999</v>
      </c>
      <c r="AY212">
        <f ca="1">IFERROR(IF(0=LEN(ReferenceData!$AY$212),"",ReferenceData!$AY$212),"")</f>
        <v>116192.42855299999</v>
      </c>
      <c r="AZ212">
        <f ca="1">IFERROR(IF(0=LEN(ReferenceData!$AZ$212),"",ReferenceData!$AZ$212),"")</f>
        <v>113940.65339200001</v>
      </c>
      <c r="BA212">
        <f ca="1">IFERROR(IF(0=LEN(ReferenceData!$BA$212),"",ReferenceData!$BA$212),"")</f>
        <v>111973.77893299999</v>
      </c>
      <c r="BB212">
        <f ca="1">IFERROR(IF(0=LEN(ReferenceData!$BB$212),"",ReferenceData!$BB$212),"")</f>
        <v>105338.71165500002</v>
      </c>
      <c r="BC212">
        <f ca="1">IFERROR(IF(0=LEN(ReferenceData!$BC$212),"",ReferenceData!$BC$212),"")</f>
        <v>102804.43461400001</v>
      </c>
      <c r="BD212">
        <f ca="1">IFERROR(IF(0=LEN(ReferenceData!$BD$212),"",ReferenceData!$BD$212),"")</f>
        <v>98967.655418999988</v>
      </c>
      <c r="BE212">
        <f ca="1">IFERROR(IF(0=LEN(ReferenceData!$BE$212),"",ReferenceData!$BE$212),"")</f>
        <v>95078.56079600002</v>
      </c>
      <c r="BF212">
        <f ca="1">IFERROR(IF(0=LEN(ReferenceData!$BF$212),"",ReferenceData!$BF$212),"")</f>
        <v>93665.04623800001</v>
      </c>
      <c r="BG212">
        <f ca="1">IFERROR(IF(0=LEN(ReferenceData!$BG$212),"",ReferenceData!$BG$212),"")</f>
        <v>97026.148390000017</v>
      </c>
      <c r="BH212">
        <f ca="1">IFERROR(IF(0=LEN(ReferenceData!$BH$212),"",ReferenceData!$BH$212),"")</f>
        <v>94378.912377000001</v>
      </c>
      <c r="BI212">
        <f ca="1">IFERROR(IF(0=LEN(ReferenceData!$BI$212),"",ReferenceData!$BI$212),"")</f>
        <v>93335.904181000005</v>
      </c>
      <c r="BJ212">
        <f ca="1">IFERROR(IF(0=LEN(ReferenceData!$BJ$212),"",ReferenceData!$BJ$212),"")</f>
        <v>98973.087658000004</v>
      </c>
      <c r="BK212">
        <f ca="1">IFERROR(IF(0=LEN(ReferenceData!$BK$212),"",ReferenceData!$BK$212),"")</f>
        <v>99669.750432999994</v>
      </c>
      <c r="BL212">
        <f ca="1">IFERROR(IF(0=LEN(ReferenceData!$BL$212),"",ReferenceData!$BL$212),"")</f>
        <v>98643.350584999993</v>
      </c>
      <c r="BM212">
        <f ca="1">IFERROR(IF(0=LEN(ReferenceData!$BM$212),"",ReferenceData!$BM$212),"")</f>
        <v>99650.144307999988</v>
      </c>
      <c r="BN212">
        <f ca="1">IFERROR(IF(0=LEN(ReferenceData!$BN$212),"",ReferenceData!$BN$212),"")</f>
        <v>96960.486462000001</v>
      </c>
      <c r="BO212">
        <f ca="1">IFERROR(IF(0=LEN(ReferenceData!$BO$212),"",ReferenceData!$BO$212),"")</f>
        <v>84108.112858999986</v>
      </c>
      <c r="BP212">
        <f ca="1">IFERROR(IF(0=LEN(ReferenceData!$BP$212),"",ReferenceData!$BP$212),"")</f>
        <v>84195.021735000002</v>
      </c>
      <c r="BQ212">
        <f ca="1">IFERROR(IF(0=LEN(ReferenceData!$BQ$212),"",ReferenceData!$BQ$212),"")</f>
        <v>84824.909289000017</v>
      </c>
      <c r="BR212">
        <f ca="1">IFERROR(IF(0=LEN(ReferenceData!$BR$212),"",ReferenceData!$BR$212),"")</f>
        <v>86102.716244999989</v>
      </c>
      <c r="BS212">
        <f ca="1">IFERROR(IF(0=LEN(ReferenceData!$BS$212),"",ReferenceData!$BS$212),"")</f>
        <v>84469.078301000001</v>
      </c>
      <c r="BT212">
        <f ca="1">IFERROR(IF(0=LEN(ReferenceData!$BT$212),"",ReferenceData!$BT$212),"")</f>
        <v>84349.180453000008</v>
      </c>
      <c r="BU212">
        <f ca="1">IFERROR(IF(0=LEN(ReferenceData!$BU$212),"",ReferenceData!$BU$212),"")</f>
        <v>87005.310736999993</v>
      </c>
      <c r="BV212">
        <f ca="1">IFERROR(IF(0=LEN(ReferenceData!$BV$212),"",ReferenceData!$BV$212),"")</f>
        <v>88523.523222999997</v>
      </c>
      <c r="BW212">
        <f ca="1">IFERROR(IF(0=LEN(ReferenceData!$BW$212),"",ReferenceData!$BW$212),"")</f>
        <v>86940.160571999993</v>
      </c>
      <c r="BX212">
        <f ca="1">IFERROR(IF(0=LEN(ReferenceData!$BX$212),"",ReferenceData!$BX$212),"")</f>
        <v>86687.820394000009</v>
      </c>
      <c r="BY212">
        <f ca="1">IFERROR(IF(0=LEN(ReferenceData!$BY$212),"",ReferenceData!$BY$212),"")</f>
        <v>86561.922856999998</v>
      </c>
      <c r="BZ212">
        <f ca="1">IFERROR(IF(0=LEN(ReferenceData!$BZ$212),"",ReferenceData!$BZ$212),"")</f>
        <v>85981.325142999995</v>
      </c>
      <c r="CA212">
        <f ca="1">IFERROR(IF(0=LEN(ReferenceData!$CA$212),"",ReferenceData!$CA$212),"")</f>
        <v>81749.862200000003</v>
      </c>
      <c r="CB212">
        <f ca="1">IFERROR(IF(0=LEN(ReferenceData!$CB$212),"",ReferenceData!$CB$212),"")</f>
        <v>83169.216729000007</v>
      </c>
      <c r="CC212">
        <f ca="1">IFERROR(IF(0=LEN(ReferenceData!$CC$212),"",ReferenceData!$CC$212),"")</f>
        <v>80623.926942000006</v>
      </c>
      <c r="CD212">
        <f ca="1">IFERROR(IF(0=LEN(ReferenceData!$CD$212),"",ReferenceData!$CD$212),"")</f>
        <v>76900.063213999994</v>
      </c>
      <c r="CE212">
        <f ca="1">IFERROR(IF(0=LEN(ReferenceData!$CE$212),"",ReferenceData!$CE$212),"")</f>
        <v>80054.029131999996</v>
      </c>
      <c r="CF212">
        <f ca="1">IFERROR(IF(0=LEN(ReferenceData!$CF$212),"",ReferenceData!$CF$212),"")</f>
        <v>73830.851437000005</v>
      </c>
      <c r="CG212">
        <f ca="1">IFERROR(IF(0=LEN(ReferenceData!$CG$212),"",ReferenceData!$CG$212),"")</f>
        <v>83324.730712999997</v>
      </c>
      <c r="CH212">
        <f ca="1">IFERROR(IF(0=LEN(ReferenceData!$CH$212),"",ReferenceData!$CH$212),"")</f>
        <v>81822.528203000009</v>
      </c>
      <c r="CI212">
        <f ca="1">IFERROR(IF(0=LEN(ReferenceData!$CI$212),"",ReferenceData!$CI$212),"")</f>
        <v>78908.534875999991</v>
      </c>
      <c r="CJ212">
        <f ca="1">IFERROR(IF(0=LEN(ReferenceData!$CJ$212),"",ReferenceData!$CJ$212),"")</f>
        <v>80577.235364000007</v>
      </c>
      <c r="CK212">
        <f ca="1">IFERROR(IF(0=LEN(ReferenceData!$CK$212),"",ReferenceData!$CK$212),"")</f>
        <v>78680.266522000005</v>
      </c>
    </row>
    <row r="213" spans="1:89">
      <c r="A213" t="str">
        <f>IFERROR(IF(0=LEN(ReferenceData!$A$213),"",ReferenceData!$A$213),"")</f>
        <v xml:space="preserve">    公寓投资与管理</v>
      </c>
      <c r="B213" t="str">
        <f>IFERROR(IF(0=LEN(ReferenceData!$B$213),"",ReferenceData!$B$213),"")</f>
        <v>AIV US Equity</v>
      </c>
      <c r="C213" t="str">
        <f>IFERROR(IF(0=LEN(ReferenceData!$C$213),"",ReferenceData!$C$213),"")</f>
        <v>F0826</v>
      </c>
      <c r="D213" t="str">
        <f>IFERROR(IF(0=LEN(ReferenceData!$D$213),"",ReferenceData!$D$213),"")</f>
        <v>INDUSTRY_STANDARDIZED_EV</v>
      </c>
      <c r="E213" t="str">
        <f>IFERROR(IF(0=LEN(ReferenceData!$E$213),"",ReferenceData!$E$213),"")</f>
        <v>动态</v>
      </c>
      <c r="F213">
        <f ca="1">IFERROR(IF(0=LEN(ReferenceData!$F$213),"",ReferenceData!$F$213),"")</f>
        <v>10622.873170000001</v>
      </c>
      <c r="G213">
        <f ca="1">IFERROR(IF(0=LEN(ReferenceData!$G$213),"",ReferenceData!$G$213),"")</f>
        <v>10395.63235</v>
      </c>
      <c r="H213">
        <f ca="1">IFERROR(IF(0=LEN(ReferenceData!$H$213),"",ReferenceData!$H$213),"")</f>
        <v>10906.43154</v>
      </c>
      <c r="I213">
        <f ca="1">IFERROR(IF(0=LEN(ReferenceData!$I$213),"",ReferenceData!$I$213),"")</f>
        <v>11213.785320000001</v>
      </c>
      <c r="J213">
        <f ca="1">IFERROR(IF(0=LEN(ReferenceData!$J$213),"",ReferenceData!$J$213),"")</f>
        <v>11404.247859999999</v>
      </c>
      <c r="K213">
        <f ca="1">IFERROR(IF(0=LEN(ReferenceData!$K$213),"",ReferenceData!$K$213),"")</f>
        <v>11386.14013</v>
      </c>
      <c r="L213">
        <f ca="1">IFERROR(IF(0=LEN(ReferenceData!$L$213),"",ReferenceData!$L$213),"")</f>
        <v>11366.4148</v>
      </c>
      <c r="M213">
        <f ca="1">IFERROR(IF(0=LEN(ReferenceData!$M$213),"",ReferenceData!$M$213),"")</f>
        <v>11777.35</v>
      </c>
      <c r="N213">
        <f ca="1">IFERROR(IF(0=LEN(ReferenceData!$N$213),"",ReferenceData!$N$213),"")</f>
        <v>11813.4949</v>
      </c>
      <c r="O213">
        <f ca="1">IFERROR(IF(0=LEN(ReferenceData!$O$213),"",ReferenceData!$O$213),"")</f>
        <v>11389.3629</v>
      </c>
      <c r="P213">
        <f ca="1">IFERROR(IF(0=LEN(ReferenceData!$P$213),"",ReferenceData!$P$213),"")</f>
        <v>11315.18571</v>
      </c>
      <c r="Q213">
        <f ca="1">IFERROR(IF(0=LEN(ReferenceData!$Q$213),"",ReferenceData!$Q$213),"")</f>
        <v>11449.940909999999</v>
      </c>
      <c r="R213">
        <f ca="1">IFERROR(IF(0=LEN(ReferenceData!$R$213),"",ReferenceData!$R$213),"")</f>
        <v>11550.341039999999</v>
      </c>
      <c r="S213">
        <f ca="1">IFERROR(IF(0=LEN(ReferenceData!$S$213),"",ReferenceData!$S$213),"")</f>
        <v>11908.03133</v>
      </c>
      <c r="T213">
        <f ca="1">IFERROR(IF(0=LEN(ReferenceData!$T$213),"",ReferenceData!$T$213),"")</f>
        <v>11497.35853</v>
      </c>
      <c r="U213">
        <f ca="1">IFERROR(IF(0=LEN(ReferenceData!$U$213),"",ReferenceData!$U$213),"")</f>
        <v>11724.35887</v>
      </c>
      <c r="V213">
        <f ca="1">IFERROR(IF(0=LEN(ReferenceData!$V$213),"",ReferenceData!$V$213),"")</f>
        <v>11352.40762</v>
      </c>
      <c r="W213">
        <f ca="1">IFERROR(IF(0=LEN(ReferenceData!$W$213),"",ReferenceData!$W$213),"")</f>
        <v>11676.52384</v>
      </c>
      <c r="X213">
        <f ca="1">IFERROR(IF(0=LEN(ReferenceData!$X$213),"",ReferenceData!$X$213),"")</f>
        <v>11966.64703</v>
      </c>
      <c r="Y213">
        <f ca="1">IFERROR(IF(0=LEN(ReferenceData!$Y$213),"",ReferenceData!$Y$213),"")</f>
        <v>12120.99891</v>
      </c>
      <c r="Z213">
        <f ca="1">IFERROR(IF(0=LEN(ReferenceData!$Z$213),"",ReferenceData!$Z$213),"")</f>
        <v>12257.04437</v>
      </c>
      <c r="AA213">
        <f ca="1">IFERROR(IF(0=LEN(ReferenceData!$AA$213),"",ReferenceData!$AA$213),"")</f>
        <v>11944.978709999999</v>
      </c>
      <c r="AB213">
        <f ca="1">IFERROR(IF(0=LEN(ReferenceData!$AB$213),"",ReferenceData!$AB$213),"")</f>
        <v>11304.019480000001</v>
      </c>
      <c r="AC213">
        <f ca="1">IFERROR(IF(0=LEN(ReferenceData!$AC$213),"",ReferenceData!$AC$213),"")</f>
        <v>10878.091</v>
      </c>
      <c r="AD213">
        <f ca="1">IFERROR(IF(0=LEN(ReferenceData!$AD$213),"",ReferenceData!$AD$213),"")</f>
        <v>11167.3004</v>
      </c>
      <c r="AE213">
        <f ca="1">IFERROR(IF(0=LEN(ReferenceData!$AE$213),"",ReferenceData!$AE$213),"")</f>
        <v>10268.46399</v>
      </c>
      <c r="AF213">
        <f ca="1">IFERROR(IF(0=LEN(ReferenceData!$AF$213),"",ReferenceData!$AF$213),"")</f>
        <v>10679.274289999999</v>
      </c>
      <c r="AG213">
        <f ca="1">IFERROR(IF(0=LEN(ReferenceData!$AG$213),"",ReferenceData!$AG$213),"")</f>
        <v>10823.83764</v>
      </c>
      <c r="AH213">
        <f ca="1">IFERROR(IF(0=LEN(ReferenceData!$AH$213),"",ReferenceData!$AH$213),"")</f>
        <v>10559.485280000001</v>
      </c>
      <c r="AI213">
        <f ca="1">IFERROR(IF(0=LEN(ReferenceData!$AI$213),"",ReferenceData!$AI$213),"")</f>
        <v>10731.047909999999</v>
      </c>
      <c r="AJ213">
        <f ca="1">IFERROR(IF(0=LEN(ReferenceData!$AJ$213),"",ReferenceData!$AJ$213),"")</f>
        <v>10375.459720000001</v>
      </c>
      <c r="AK213">
        <f ca="1">IFERROR(IF(0=LEN(ReferenceData!$AK$213),"",ReferenceData!$AK$213),"")</f>
        <v>10161.24475</v>
      </c>
      <c r="AL213">
        <f ca="1">IFERROR(IF(0=LEN(ReferenceData!$AL$213),"",ReferenceData!$AL$213),"")</f>
        <v>10661.126099999999</v>
      </c>
      <c r="AM213">
        <f ca="1">IFERROR(IF(0=LEN(ReferenceData!$AM$213),"",ReferenceData!$AM$213),"")</f>
        <v>10308.63464</v>
      </c>
      <c r="AN213">
        <f ca="1">IFERROR(IF(0=LEN(ReferenceData!$AN$213),"",ReferenceData!$AN$213),"")</f>
        <v>10420.653550000001</v>
      </c>
      <c r="AO213">
        <f ca="1">IFERROR(IF(0=LEN(ReferenceData!$AO$213),"",ReferenceData!$AO$213),"")</f>
        <v>10387.84727</v>
      </c>
      <c r="AP213">
        <f ca="1">IFERROR(IF(0=LEN(ReferenceData!$AP$213),"",ReferenceData!$AP$213),"")</f>
        <v>10655.02507</v>
      </c>
      <c r="AQ213">
        <f ca="1">IFERROR(IF(0=LEN(ReferenceData!$AQ$213),"",ReferenceData!$AQ$213),"")</f>
        <v>10771.474200000001</v>
      </c>
      <c r="AR213">
        <f ca="1">IFERROR(IF(0=LEN(ReferenceData!$AR$213),"",ReferenceData!$AR$213),"")</f>
        <v>11103.23581</v>
      </c>
      <c r="AS213">
        <f ca="1">IFERROR(IF(0=LEN(ReferenceData!$AS$213),"",ReferenceData!$AS$213),"")</f>
        <v>10310.40222</v>
      </c>
      <c r="AT213">
        <f ca="1">IFERROR(IF(0=LEN(ReferenceData!$AT$213),"",ReferenceData!$AT$213),"")</f>
        <v>10169.408460000001</v>
      </c>
      <c r="AU213">
        <f ca="1">IFERROR(IF(0=LEN(ReferenceData!$AU$213),"",ReferenceData!$AU$213),"")</f>
        <v>9944.7679420000004</v>
      </c>
      <c r="AV213">
        <f ca="1">IFERROR(IF(0=LEN(ReferenceData!$AV$213),"",ReferenceData!$AV$213),"")</f>
        <v>9333.3933699999998</v>
      </c>
      <c r="AW213">
        <f ca="1">IFERROR(IF(0=LEN(ReferenceData!$AW$213),"",ReferenceData!$AW$213),"")</f>
        <v>9944.7700550000009</v>
      </c>
      <c r="AX213">
        <f ca="1">IFERROR(IF(0=LEN(ReferenceData!$AX$213),"",ReferenceData!$AX$213),"")</f>
        <v>9927.8872159999992</v>
      </c>
      <c r="AY213">
        <f ca="1">IFERROR(IF(0=LEN(ReferenceData!$AY$213),"",ReferenceData!$AY$213),"")</f>
        <v>9634.1832969999996</v>
      </c>
      <c r="AZ213">
        <f ca="1">IFERROR(IF(0=LEN(ReferenceData!$AZ$213),"",ReferenceData!$AZ$213),"")</f>
        <v>9562.9078649999992</v>
      </c>
      <c r="BA213">
        <f ca="1">IFERROR(IF(0=LEN(ReferenceData!$BA$213),"",ReferenceData!$BA$213),"")</f>
        <v>9462.8459820000007</v>
      </c>
      <c r="BB213">
        <f ca="1">IFERROR(IF(0=LEN(ReferenceData!$BB$213),"",ReferenceData!$BB$213),"")</f>
        <v>9368.9602350000005</v>
      </c>
      <c r="BC213">
        <f ca="1">IFERROR(IF(0=LEN(ReferenceData!$BC$213),"",ReferenceData!$BC$213),"")</f>
        <v>9265.0087050000002</v>
      </c>
      <c r="BD213">
        <f ca="1">IFERROR(IF(0=LEN(ReferenceData!$BD$213),"",ReferenceData!$BD$213),"")</f>
        <v>8964.1843069999995</v>
      </c>
      <c r="BE213">
        <f ca="1">IFERROR(IF(0=LEN(ReferenceData!$BE$213),"",ReferenceData!$BE$213),"")</f>
        <v>8647.2812350000004</v>
      </c>
      <c r="BF213">
        <f ca="1">IFERROR(IF(0=LEN(ReferenceData!$BF$213),"",ReferenceData!$BF$213),"")</f>
        <v>8714.4012930000008</v>
      </c>
      <c r="BG213">
        <f ca="1">IFERROR(IF(0=LEN(ReferenceData!$BG$213),"",ReferenceData!$BG$213),"")</f>
        <v>9155.7082599999994</v>
      </c>
      <c r="BH213">
        <f ca="1">IFERROR(IF(0=LEN(ReferenceData!$BH$213),"",ReferenceData!$BH$213),"")</f>
        <v>9149.5542650000007</v>
      </c>
      <c r="BI213">
        <f ca="1">IFERROR(IF(0=LEN(ReferenceData!$BI$213),"",ReferenceData!$BI$213),"")</f>
        <v>9234.2944650000009</v>
      </c>
      <c r="BJ213">
        <f ca="1">IFERROR(IF(0=LEN(ReferenceData!$BJ$213),"",ReferenceData!$BJ$213),"")</f>
        <v>9516.4176100000004</v>
      </c>
      <c r="BK213">
        <f ca="1">IFERROR(IF(0=LEN(ReferenceData!$BK$213),"",ReferenceData!$BK$213),"")</f>
        <v>9617.9106850000007</v>
      </c>
      <c r="BL213">
        <f ca="1">IFERROR(IF(0=LEN(ReferenceData!$BL$213),"",ReferenceData!$BL$213),"")</f>
        <v>9666.6611219999995</v>
      </c>
      <c r="BM213">
        <f ca="1">IFERROR(IF(0=LEN(ReferenceData!$BM$213),"",ReferenceData!$BM$213),"")</f>
        <v>9797.403429</v>
      </c>
      <c r="BN213">
        <f ca="1">IFERROR(IF(0=LEN(ReferenceData!$BN$213),"",ReferenceData!$BN$213),"")</f>
        <v>9728.1869139999999</v>
      </c>
      <c r="BO213">
        <f ca="1">IFERROR(IF(0=LEN(ReferenceData!$BO$213),"",ReferenceData!$BO$213),"")</f>
        <v>9579.1723829999992</v>
      </c>
      <c r="BP213">
        <f ca="1">IFERROR(IF(0=LEN(ReferenceData!$BP$213),"",ReferenceData!$BP$213),"")</f>
        <v>9211.6904520000007</v>
      </c>
      <c r="BQ213">
        <f ca="1">IFERROR(IF(0=LEN(ReferenceData!$BQ$213),"",ReferenceData!$BQ$213),"")</f>
        <v>9177.9094729999997</v>
      </c>
      <c r="BR213">
        <f ca="1">IFERROR(IF(0=LEN(ReferenceData!$BR$213),"",ReferenceData!$BR$213),"")</f>
        <v>9026.8138579999995</v>
      </c>
      <c r="BS213">
        <f ca="1">IFERROR(IF(0=LEN(ReferenceData!$BS$213),"",ReferenceData!$BS$213),"")</f>
        <v>9275.5592649999999</v>
      </c>
      <c r="BT213">
        <f ca="1">IFERROR(IF(0=LEN(ReferenceData!$BT$213),"",ReferenceData!$BT$213),"")</f>
        <v>9168.0690780000004</v>
      </c>
      <c r="BU213">
        <f ca="1">IFERROR(IF(0=LEN(ReferenceData!$BU$213),"",ReferenceData!$BU$213),"")</f>
        <v>9564.9926469999991</v>
      </c>
      <c r="BV213">
        <f ca="1">IFERROR(IF(0=LEN(ReferenceData!$BV$213),"",ReferenceData!$BV$213),"")</f>
        <v>9596.0329490000004</v>
      </c>
      <c r="BW213">
        <f ca="1">IFERROR(IF(0=LEN(ReferenceData!$BW$213),"",ReferenceData!$BW$213),"")</f>
        <v>9536.2191249999996</v>
      </c>
      <c r="BX213">
        <f ca="1">IFERROR(IF(0=LEN(ReferenceData!$BX$213),"",ReferenceData!$BX$213),"")</f>
        <v>9871.4284719999996</v>
      </c>
      <c r="BY213">
        <f ca="1">IFERROR(IF(0=LEN(ReferenceData!$BY$213),"",ReferenceData!$BY$213),"")</f>
        <v>9578.3653369999993</v>
      </c>
      <c r="BZ213">
        <f ca="1">IFERROR(IF(0=LEN(ReferenceData!$BZ$213),"",ReferenceData!$BZ$213),"")</f>
        <v>9482.7192790000008</v>
      </c>
      <c r="CA213">
        <f ca="1">IFERROR(IF(0=LEN(ReferenceData!$CA$213),"",ReferenceData!$CA$213),"")</f>
        <v>9123.8333939999993</v>
      </c>
      <c r="CB213">
        <f ca="1">IFERROR(IF(0=LEN(ReferenceData!$CB$213),"",ReferenceData!$CB$213),"")</f>
        <v>9081.9824840000001</v>
      </c>
      <c r="CC213">
        <f ca="1">IFERROR(IF(0=LEN(ReferenceData!$CC$213),"",ReferenceData!$CC$213),"")</f>
        <v>8868.6623089999994</v>
      </c>
      <c r="CD213">
        <f ca="1">IFERROR(IF(0=LEN(ReferenceData!$CD$213),"",ReferenceData!$CD$213),"")</f>
        <v>8821.0853850000003</v>
      </c>
      <c r="CE213">
        <f ca="1">IFERROR(IF(0=LEN(ReferenceData!$CE$213),"",ReferenceData!$CE$213),"")</f>
        <v>9194.4905529999996</v>
      </c>
      <c r="CF213">
        <f ca="1">IFERROR(IF(0=LEN(ReferenceData!$CF$213),"",ReferenceData!$CF$213),"")</f>
        <v>8862.5047300000006</v>
      </c>
      <c r="CG213">
        <f ca="1">IFERROR(IF(0=LEN(ReferenceData!$CG$213),"",ReferenceData!$CG$213),"")</f>
        <v>9392.8075590000008</v>
      </c>
      <c r="CH213">
        <f ca="1">IFERROR(IF(0=LEN(ReferenceData!$CH$213),"",ReferenceData!$CH$213),"")</f>
        <v>9451.8123190000006</v>
      </c>
      <c r="CI213">
        <f ca="1">IFERROR(IF(0=LEN(ReferenceData!$CI$213),"",ReferenceData!$CI$213),"")</f>
        <v>9225.5048960000004</v>
      </c>
      <c r="CJ213">
        <f ca="1">IFERROR(IF(0=LEN(ReferenceData!$CJ$213),"",ReferenceData!$CJ$213),"")</f>
        <v>9575.5994910000009</v>
      </c>
      <c r="CK213">
        <f ca="1">IFERROR(IF(0=LEN(ReferenceData!$CK$213),"",ReferenceData!$CK$213),"")</f>
        <v>9605.0278109999999</v>
      </c>
    </row>
    <row r="214" spans="1:89">
      <c r="A214" t="str">
        <f>IFERROR(IF(0=LEN(ReferenceData!$A$214),"",ReferenceData!$A$214),"")</f>
        <v xml:space="preserve">    AvalonBay社区股份有限公司</v>
      </c>
      <c r="B214" t="str">
        <f>IFERROR(IF(0=LEN(ReferenceData!$B$214),"",ReferenceData!$B$214),"")</f>
        <v>AVB US Equity</v>
      </c>
      <c r="C214" t="str">
        <f>IFERROR(IF(0=LEN(ReferenceData!$C$214),"",ReferenceData!$C$214),"")</f>
        <v>F0826</v>
      </c>
      <c r="D214" t="str">
        <f>IFERROR(IF(0=LEN(ReferenceData!$D$214),"",ReferenceData!$D$214),"")</f>
        <v>INDUSTRY_STANDARDIZED_EV</v>
      </c>
      <c r="E214" t="str">
        <f>IFERROR(IF(0=LEN(ReferenceData!$E$214),"",ReferenceData!$E$214),"")</f>
        <v>动态</v>
      </c>
      <c r="F214">
        <f ca="1">IFERROR(IF(0=LEN(ReferenceData!$F$214),"",ReferenceData!$F$214),"")</f>
        <v>29652.465270000001</v>
      </c>
      <c r="G214">
        <f ca="1">IFERROR(IF(0=LEN(ReferenceData!$G$214),"",ReferenceData!$G$214),"")</f>
        <v>28890.13668</v>
      </c>
      <c r="H214">
        <f ca="1">IFERROR(IF(0=LEN(ReferenceData!$H$214),"",ReferenceData!$H$214),"")</f>
        <v>30874.756369999999</v>
      </c>
      <c r="I214">
        <f ca="1">IFERROR(IF(0=LEN(ReferenceData!$I$214),"",ReferenceData!$I$214),"")</f>
        <v>31980.900249999999</v>
      </c>
      <c r="J214">
        <f ca="1">IFERROR(IF(0=LEN(ReferenceData!$J$214),"",ReferenceData!$J$214),"")</f>
        <v>32211.997719999999</v>
      </c>
      <c r="K214">
        <f ca="1">IFERROR(IF(0=LEN(ReferenceData!$K$214),"",ReferenceData!$K$214),"")</f>
        <v>32211.144199999999</v>
      </c>
      <c r="L214">
        <f ca="1">IFERROR(IF(0=LEN(ReferenceData!$L$214),"",ReferenceData!$L$214),"")</f>
        <v>31809.300380000001</v>
      </c>
      <c r="M214">
        <f ca="1">IFERROR(IF(0=LEN(ReferenceData!$M$214),"",ReferenceData!$M$214),"")</f>
        <v>32942.641409999997</v>
      </c>
      <c r="N214">
        <f ca="1">IFERROR(IF(0=LEN(ReferenceData!$N$214),"",ReferenceData!$N$214),"")</f>
        <v>33523.475769999997</v>
      </c>
      <c r="O214">
        <f ca="1">IFERROR(IF(0=LEN(ReferenceData!$O$214),"",ReferenceData!$O$214),"")</f>
        <v>33498.672919999997</v>
      </c>
      <c r="P214">
        <f ca="1">IFERROR(IF(0=LEN(ReferenceData!$P$214),"",ReferenceData!$P$214),"")</f>
        <v>33293.592669999998</v>
      </c>
      <c r="Q214">
        <f ca="1">IFERROR(IF(0=LEN(ReferenceData!$Q$214),"",ReferenceData!$Q$214),"")</f>
        <v>33042.631229999999</v>
      </c>
      <c r="R214">
        <f ca="1">IFERROR(IF(0=LEN(ReferenceData!$R$214),"",ReferenceData!$R$214),"")</f>
        <v>32157.297429999999</v>
      </c>
      <c r="S214">
        <f ca="1">IFERROR(IF(0=LEN(ReferenceData!$S$214),"",ReferenceData!$S$214),"")</f>
        <v>32109.623360000001</v>
      </c>
      <c r="T214">
        <f ca="1">IFERROR(IF(0=LEN(ReferenceData!$T$214),"",ReferenceData!$T$214),"")</f>
        <v>30670.80343</v>
      </c>
      <c r="U214">
        <f ca="1">IFERROR(IF(0=LEN(ReferenceData!$U$214),"",ReferenceData!$U$214),"")</f>
        <v>31198.16361</v>
      </c>
      <c r="V214">
        <f ca="1">IFERROR(IF(0=LEN(ReferenceData!$V$214),"",ReferenceData!$V$214),"")</f>
        <v>29385.422999999999</v>
      </c>
      <c r="W214">
        <f ca="1">IFERROR(IF(0=LEN(ReferenceData!$W$214),"",ReferenceData!$W$214),"")</f>
        <v>30302.072830000001</v>
      </c>
      <c r="X214">
        <f ca="1">IFERROR(IF(0=LEN(ReferenceData!$X$214),"",ReferenceData!$X$214),"")</f>
        <v>31216.63104</v>
      </c>
      <c r="Y214">
        <f ca="1">IFERROR(IF(0=LEN(ReferenceData!$Y$214),"",ReferenceData!$Y$214),"")</f>
        <v>30725.230459999999</v>
      </c>
      <c r="Z214">
        <f ca="1">IFERROR(IF(0=LEN(ReferenceData!$Z$214),"",ReferenceData!$Z$214),"")</f>
        <v>32158.287469999999</v>
      </c>
      <c r="AA214">
        <f ca="1">IFERROR(IF(0=LEN(ReferenceData!$AA$214),"",ReferenceData!$AA$214),"")</f>
        <v>31436.773150000001</v>
      </c>
      <c r="AB214">
        <f ca="1">IFERROR(IF(0=LEN(ReferenceData!$AB$214),"",ReferenceData!$AB$214),"")</f>
        <v>31115.58844</v>
      </c>
      <c r="AC214">
        <f ca="1">IFERROR(IF(0=LEN(ReferenceData!$AC$214),"",ReferenceData!$AC$214),"")</f>
        <v>30691.719590000001</v>
      </c>
      <c r="AD214">
        <f ca="1">IFERROR(IF(0=LEN(ReferenceData!$AD$214),"",ReferenceData!$AD$214),"")</f>
        <v>32500.767779999998</v>
      </c>
      <c r="AE214">
        <f ca="1">IFERROR(IF(0=LEN(ReferenceData!$AE$214),"",ReferenceData!$AE$214),"")</f>
        <v>29607.221150000001</v>
      </c>
      <c r="AF214">
        <f ca="1">IFERROR(IF(0=LEN(ReferenceData!$AF$214),"",ReferenceData!$AF$214),"")</f>
        <v>29565.16273</v>
      </c>
      <c r="AG214">
        <f ca="1">IFERROR(IF(0=LEN(ReferenceData!$AG$214),"",ReferenceData!$AG$214),"")</f>
        <v>31295.385310000001</v>
      </c>
      <c r="AH214">
        <f ca="1">IFERROR(IF(0=LEN(ReferenceData!$AH$214),"",ReferenceData!$AH$214),"")</f>
        <v>30865.23112</v>
      </c>
      <c r="AI214">
        <f ca="1">IFERROR(IF(0=LEN(ReferenceData!$AI$214),"",ReferenceData!$AI$214),"")</f>
        <v>29217.563310000001</v>
      </c>
      <c r="AJ214">
        <f ca="1">IFERROR(IF(0=LEN(ReferenceData!$AJ$214),"",ReferenceData!$AJ$214),"")</f>
        <v>29216.234209999999</v>
      </c>
      <c r="AK214">
        <f ca="1">IFERROR(IF(0=LEN(ReferenceData!$AK$214),"",ReferenceData!$AK$214),"")</f>
        <v>28317.449619999999</v>
      </c>
      <c r="AL214">
        <f ca="1">IFERROR(IF(0=LEN(ReferenceData!$AL$214),"",ReferenceData!$AL$214),"")</f>
        <v>29162.022710000001</v>
      </c>
      <c r="AM214">
        <f ca="1">IFERROR(IF(0=LEN(ReferenceData!$AM$214),"",ReferenceData!$AM$214),"")</f>
        <v>27513.53945</v>
      </c>
      <c r="AN214">
        <f ca="1">IFERROR(IF(0=LEN(ReferenceData!$AN$214),"",ReferenceData!$AN$214),"")</f>
        <v>28319.50548</v>
      </c>
      <c r="AO214">
        <f ca="1">IFERROR(IF(0=LEN(ReferenceData!$AO$214),"",ReferenceData!$AO$214),"")</f>
        <v>28037.33252</v>
      </c>
      <c r="AP214">
        <f ca="1">IFERROR(IF(0=LEN(ReferenceData!$AP$214),"",ReferenceData!$AP$214),"")</f>
        <v>29319.876319999999</v>
      </c>
      <c r="AQ214">
        <f ca="1">IFERROR(IF(0=LEN(ReferenceData!$AQ$214),"",ReferenceData!$AQ$214),"")</f>
        <v>28182.002380000002</v>
      </c>
      <c r="AR214">
        <f ca="1">IFERROR(IF(0=LEN(ReferenceData!$AR$214),"",ReferenceData!$AR$214),"")</f>
        <v>28788.833859999999</v>
      </c>
      <c r="AS214">
        <f ca="1">IFERROR(IF(0=LEN(ReferenceData!$AS$214),"",ReferenceData!$AS$214),"")</f>
        <v>27521.484810000002</v>
      </c>
      <c r="AT214">
        <f ca="1">IFERROR(IF(0=LEN(ReferenceData!$AT$214),"",ReferenceData!$AT$214),"")</f>
        <v>26952.487450000001</v>
      </c>
      <c r="AU214">
        <f ca="1">IFERROR(IF(0=LEN(ReferenceData!$AU$214),"",ReferenceData!$AU$214),"")</f>
        <v>26969.743709999999</v>
      </c>
      <c r="AV214">
        <f ca="1">IFERROR(IF(0=LEN(ReferenceData!$AV$214),"",ReferenceData!$AV$214),"")</f>
        <v>24942.672569999999</v>
      </c>
      <c r="AW214">
        <f ca="1">IFERROR(IF(0=LEN(ReferenceData!$AW$214),"",ReferenceData!$AW$214),"")</f>
        <v>25964.878359999999</v>
      </c>
      <c r="AX214">
        <f ca="1">IFERROR(IF(0=LEN(ReferenceData!$AX$214),"",ReferenceData!$AX$214),"")</f>
        <v>24941.512220000001</v>
      </c>
      <c r="AY214">
        <f ca="1">IFERROR(IF(0=LEN(ReferenceData!$AY$214),"",ReferenceData!$AY$214),"")</f>
        <v>24178.070080000001</v>
      </c>
      <c r="AZ214">
        <f ca="1">IFERROR(IF(0=LEN(ReferenceData!$AZ$214),"",ReferenceData!$AZ$214),"")</f>
        <v>24293.44425</v>
      </c>
      <c r="BA214">
        <f ca="1">IFERROR(IF(0=LEN(ReferenceData!$BA$214),"",ReferenceData!$BA$214),"")</f>
        <v>23602.415209999999</v>
      </c>
      <c r="BB214">
        <f ca="1">IFERROR(IF(0=LEN(ReferenceData!$BB$214),"",ReferenceData!$BB$214),"")</f>
        <v>22904.685399999998</v>
      </c>
      <c r="BC214">
        <f ca="1">IFERROR(IF(0=LEN(ReferenceData!$BC$214),"",ReferenceData!$BC$214),"")</f>
        <v>22460.95794</v>
      </c>
      <c r="BD214">
        <f ca="1">IFERROR(IF(0=LEN(ReferenceData!$BD$214),"",ReferenceData!$BD$214),"")</f>
        <v>21753.027249999999</v>
      </c>
      <c r="BE214">
        <f ca="1">IFERROR(IF(0=LEN(ReferenceData!$BE$214),"",ReferenceData!$BE$214),"")</f>
        <v>21070.980680000001</v>
      </c>
      <c r="BF214">
        <f ca="1">IFERROR(IF(0=LEN(ReferenceData!$BF$214),"",ReferenceData!$BF$214),"")</f>
        <v>21225.337479999998</v>
      </c>
      <c r="BG214">
        <f ca="1">IFERROR(IF(0=LEN(ReferenceData!$BG$214),"",ReferenceData!$BG$214),"")</f>
        <v>22064.000650000002</v>
      </c>
      <c r="BH214">
        <f ca="1">IFERROR(IF(0=LEN(ReferenceData!$BH$214),"",ReferenceData!$BH$214),"")</f>
        <v>22327.99785</v>
      </c>
      <c r="BI214">
        <f ca="1">IFERROR(IF(0=LEN(ReferenceData!$BI$214),"",ReferenceData!$BI$214),"")</f>
        <v>21663.966700000001</v>
      </c>
      <c r="BJ214">
        <f ca="1">IFERROR(IF(0=LEN(ReferenceData!$BJ$214),"",ReferenceData!$BJ$214),"")</f>
        <v>23141.319780000002</v>
      </c>
      <c r="BK214">
        <f ca="1">IFERROR(IF(0=LEN(ReferenceData!$BK$214),"",ReferenceData!$BK$214),"")</f>
        <v>23085.68317</v>
      </c>
      <c r="BL214">
        <f ca="1">IFERROR(IF(0=LEN(ReferenceData!$BL$214),"",ReferenceData!$BL$214),"")</f>
        <v>22525.971399999999</v>
      </c>
      <c r="BM214">
        <f ca="1">IFERROR(IF(0=LEN(ReferenceData!$BM$214),"",ReferenceData!$BM$214),"")</f>
        <v>22570.34778</v>
      </c>
      <c r="BN214">
        <f ca="1">IFERROR(IF(0=LEN(ReferenceData!$BN$214),"",ReferenceData!$BN$214),"")</f>
        <v>21740.122189999998</v>
      </c>
      <c r="BO214">
        <f ca="1">IFERROR(IF(0=LEN(ReferenceData!$BO$214),"",ReferenceData!$BO$214),"")</f>
        <v>15413.267459999999</v>
      </c>
      <c r="BP214">
        <f ca="1">IFERROR(IF(0=LEN(ReferenceData!$BP$214),"",ReferenceData!$BP$214),"")</f>
        <v>15977.80955</v>
      </c>
      <c r="BQ214">
        <f ca="1">IFERROR(IF(0=LEN(ReferenceData!$BQ$214),"",ReferenceData!$BQ$214),"")</f>
        <v>16641.273850000001</v>
      </c>
      <c r="BR214">
        <f ca="1">IFERROR(IF(0=LEN(ReferenceData!$BR$214),"",ReferenceData!$BR$214),"")</f>
        <v>18231.38134</v>
      </c>
      <c r="BS214">
        <f ca="1">IFERROR(IF(0=LEN(ReferenceData!$BS$214),"",ReferenceData!$BS$214),"")</f>
        <v>16293.96643</v>
      </c>
      <c r="BT214">
        <f ca="1">IFERROR(IF(0=LEN(ReferenceData!$BT$214),"",ReferenceData!$BT$214),"")</f>
        <v>16335.640820000001</v>
      </c>
      <c r="BU214">
        <f ca="1">IFERROR(IF(0=LEN(ReferenceData!$BU$214),"",ReferenceData!$BU$214),"")</f>
        <v>16999.91993</v>
      </c>
      <c r="BV214">
        <f ca="1">IFERROR(IF(0=LEN(ReferenceData!$BV$214),"",ReferenceData!$BV$214),"")</f>
        <v>17310.656770000001</v>
      </c>
      <c r="BW214">
        <f ca="1">IFERROR(IF(0=LEN(ReferenceData!$BW$214),"",ReferenceData!$BW$214),"")</f>
        <v>16775.688829999999</v>
      </c>
      <c r="BX214">
        <f ca="1">IFERROR(IF(0=LEN(ReferenceData!$BX$214),"",ReferenceData!$BX$214),"")</f>
        <v>16473.14055</v>
      </c>
      <c r="BY214">
        <f ca="1">IFERROR(IF(0=LEN(ReferenceData!$BY$214),"",ReferenceData!$BY$214),"")</f>
        <v>16991.057779999999</v>
      </c>
      <c r="BZ214">
        <f ca="1">IFERROR(IF(0=LEN(ReferenceData!$BZ$214),"",ReferenceData!$BZ$214),"")</f>
        <v>16605.43217</v>
      </c>
      <c r="CA214">
        <f ca="1">IFERROR(IF(0=LEN(ReferenceData!$CA$214),"",ReferenceData!$CA$214),"")</f>
        <v>15376.216420000001</v>
      </c>
      <c r="CB214">
        <f ca="1">IFERROR(IF(0=LEN(ReferenceData!$CB$214),"",ReferenceData!$CB$214),"")</f>
        <v>15962.62752</v>
      </c>
      <c r="CC214">
        <f ca="1">IFERROR(IF(0=LEN(ReferenceData!$CC$214),"",ReferenceData!$CC$214),"")</f>
        <v>15448.194390000001</v>
      </c>
      <c r="CD214">
        <f ca="1">IFERROR(IF(0=LEN(ReferenceData!$CD$214),"",ReferenceData!$CD$214),"")</f>
        <v>14980.96524</v>
      </c>
      <c r="CE214">
        <f ca="1">IFERROR(IF(0=LEN(ReferenceData!$CE$214),"",ReferenceData!$CE$214),"")</f>
        <v>15682.585080000001</v>
      </c>
      <c r="CF214">
        <f ca="1">IFERROR(IF(0=LEN(ReferenceData!$CF$214),"",ReferenceData!$CF$214),"")</f>
        <v>13835.442999999999</v>
      </c>
      <c r="CG214">
        <f ca="1">IFERROR(IF(0=LEN(ReferenceData!$CG$214),"",ReferenceData!$CG$214),"")</f>
        <v>16532.802</v>
      </c>
      <c r="CH214">
        <f ca="1">IFERROR(IF(0=LEN(ReferenceData!$CH$214),"",ReferenceData!$CH$214),"")</f>
        <v>15424.29744</v>
      </c>
      <c r="CI214">
        <f ca="1">IFERROR(IF(0=LEN(ReferenceData!$CI$214),"",ReferenceData!$CI$214),"")</f>
        <v>14918.6903</v>
      </c>
      <c r="CJ214">
        <f ca="1">IFERROR(IF(0=LEN(ReferenceData!$CJ$214),"",ReferenceData!$CJ$214),"")</f>
        <v>15604.636930000001</v>
      </c>
      <c r="CK214">
        <f ca="1">IFERROR(IF(0=LEN(ReferenceData!$CK$214),"",ReferenceData!$CK$214),"")</f>
        <v>14957.985350000001</v>
      </c>
    </row>
    <row r="215" spans="1:89">
      <c r="A215" t="str">
        <f>IFERROR(IF(0=LEN(ReferenceData!$A$215),"",ReferenceData!$A$215),"")</f>
        <v xml:space="preserve">    Camden 房地产信托公司</v>
      </c>
      <c r="B215" t="str">
        <f>IFERROR(IF(0=LEN(ReferenceData!$B$215),"",ReferenceData!$B$215),"")</f>
        <v>CPT US Equity</v>
      </c>
      <c r="C215" t="str">
        <f>IFERROR(IF(0=LEN(ReferenceData!$C$215),"",ReferenceData!$C$215),"")</f>
        <v>F0826</v>
      </c>
      <c r="D215" t="str">
        <f>IFERROR(IF(0=LEN(ReferenceData!$D$215),"",ReferenceData!$D$215),"")</f>
        <v>INDUSTRY_STANDARDIZED_EV</v>
      </c>
      <c r="E215" t="str">
        <f>IFERROR(IF(0=LEN(ReferenceData!$E$215),"",ReferenceData!$E$215),"")</f>
        <v>动态</v>
      </c>
      <c r="F215">
        <f ca="1">IFERROR(IF(0=LEN(ReferenceData!$F$215),"",ReferenceData!$F$215),"")</f>
        <v>9940.0273340000003</v>
      </c>
      <c r="G215">
        <f ca="1">IFERROR(IF(0=LEN(ReferenceData!$G$215),"",ReferenceData!$G$215),"")</f>
        <v>9617.4249490000002</v>
      </c>
      <c r="H215">
        <f ca="1">IFERROR(IF(0=LEN(ReferenceData!$H$215),"",ReferenceData!$H$215),"")</f>
        <v>10261.521419999999</v>
      </c>
      <c r="I215">
        <f ca="1">IFERROR(IF(0=LEN(ReferenceData!$I$215),"",ReferenceData!$I$215),"")</f>
        <v>10781.5967</v>
      </c>
      <c r="J215">
        <f ca="1">IFERROR(IF(0=LEN(ReferenceData!$J$215),"",ReferenceData!$J$215),"")</f>
        <v>10726.29429</v>
      </c>
      <c r="K215">
        <f ca="1">IFERROR(IF(0=LEN(ReferenceData!$K$215),"",ReferenceData!$K$215),"")</f>
        <v>10722.51197</v>
      </c>
      <c r="L215">
        <f ca="1">IFERROR(IF(0=LEN(ReferenceData!$L$215),"",ReferenceData!$L$215),"")</f>
        <v>10741.46775</v>
      </c>
      <c r="M215">
        <f ca="1">IFERROR(IF(0=LEN(ReferenceData!$M$215),"",ReferenceData!$M$215),"")</f>
        <v>10380.58923</v>
      </c>
      <c r="N215">
        <f ca="1">IFERROR(IF(0=LEN(ReferenceData!$N$215),"",ReferenceData!$N$215),"")</f>
        <v>10400.290429999999</v>
      </c>
      <c r="O215">
        <f ca="1">IFERROR(IF(0=LEN(ReferenceData!$O$215),"",ReferenceData!$O$215),"")</f>
        <v>10022.7876</v>
      </c>
      <c r="P215">
        <f ca="1">IFERROR(IF(0=LEN(ReferenceData!$P$215),"",ReferenceData!$P$215),"")</f>
        <v>9905.8115049999997</v>
      </c>
      <c r="Q215">
        <f ca="1">IFERROR(IF(0=LEN(ReferenceData!$Q$215),"",ReferenceData!$Q$215),"")</f>
        <v>9817.1362200000003</v>
      </c>
      <c r="R215">
        <f ca="1">IFERROR(IF(0=LEN(ReferenceData!$R$215),"",ReferenceData!$R$215),"")</f>
        <v>9649.7473429999991</v>
      </c>
      <c r="S215">
        <f ca="1">IFERROR(IF(0=LEN(ReferenceData!$S$215),"",ReferenceData!$S$215),"")</f>
        <v>9894.9457849999999</v>
      </c>
      <c r="T215">
        <f ca="1">IFERROR(IF(0=LEN(ReferenceData!$T$215),"",ReferenceData!$T$215),"")</f>
        <v>9796.5331459999998</v>
      </c>
      <c r="U215">
        <f ca="1">IFERROR(IF(0=LEN(ReferenceData!$U$215),"",ReferenceData!$U$215),"")</f>
        <v>9840.2739750000001</v>
      </c>
      <c r="V215">
        <f ca="1">IFERROR(IF(0=LEN(ReferenceData!$V$215),"",ReferenceData!$V$215),"")</f>
        <v>9296.611132</v>
      </c>
      <c r="W215">
        <f ca="1">IFERROR(IF(0=LEN(ReferenceData!$W$215),"",ReferenceData!$W$215),"")</f>
        <v>9535.4360519999991</v>
      </c>
      <c r="X215">
        <f ca="1">IFERROR(IF(0=LEN(ReferenceData!$X$215),"",ReferenceData!$X$215),"")</f>
        <v>9730.9846130000005</v>
      </c>
      <c r="Y215">
        <f ca="1">IFERROR(IF(0=LEN(ReferenceData!$Y$215),"",ReferenceData!$Y$215),"")</f>
        <v>10054.98007</v>
      </c>
      <c r="Z215">
        <f ca="1">IFERROR(IF(0=LEN(ReferenceData!$Z$215),"",ReferenceData!$Z$215),"")</f>
        <v>10217.50822</v>
      </c>
      <c r="AA215">
        <f ca="1">IFERROR(IF(0=LEN(ReferenceData!$AA$215),"",ReferenceData!$AA$215),"")</f>
        <v>10076.415779999999</v>
      </c>
      <c r="AB215">
        <f ca="1">IFERROR(IF(0=LEN(ReferenceData!$AB$215),"",ReferenceData!$AB$215),"")</f>
        <v>10574.5317</v>
      </c>
      <c r="AC215">
        <f ca="1">IFERROR(IF(0=LEN(ReferenceData!$AC$215),"",ReferenceData!$AC$215),"")</f>
        <v>10176.303879999999</v>
      </c>
      <c r="AD215">
        <f ca="1">IFERROR(IF(0=LEN(ReferenceData!$AD$215),"",ReferenceData!$AD$215),"")</f>
        <v>10469.04227</v>
      </c>
      <c r="AE215">
        <f ca="1">IFERROR(IF(0=LEN(ReferenceData!$AE$215),"",ReferenceData!$AE$215),"")</f>
        <v>9429.0223330000008</v>
      </c>
      <c r="AF215">
        <f ca="1">IFERROR(IF(0=LEN(ReferenceData!$AF$215),"",ReferenceData!$AF$215),"")</f>
        <v>9562.5193579999996</v>
      </c>
      <c r="AG215">
        <f ca="1">IFERROR(IF(0=LEN(ReferenceData!$AG$215),"",ReferenceData!$AG$215),"")</f>
        <v>9603.347205</v>
      </c>
      <c r="AH215">
        <f ca="1">IFERROR(IF(0=LEN(ReferenceData!$AH$215),"",ReferenceData!$AH$215),"")</f>
        <v>9726.1588530000008</v>
      </c>
      <c r="AI215">
        <f ca="1">IFERROR(IF(0=LEN(ReferenceData!$AI$215),"",ReferenceData!$AI$215),"")</f>
        <v>9496.2803189999995</v>
      </c>
      <c r="AJ215">
        <f ca="1">IFERROR(IF(0=LEN(ReferenceData!$AJ$215),"",ReferenceData!$AJ$215),"")</f>
        <v>9505.4605179999999</v>
      </c>
      <c r="AK215">
        <f ca="1">IFERROR(IF(0=LEN(ReferenceData!$AK$215),"",ReferenceData!$AK$215),"")</f>
        <v>9293.0222529999992</v>
      </c>
      <c r="AL215">
        <f ca="1">IFERROR(IF(0=LEN(ReferenceData!$AL$215),"",ReferenceData!$AL$215),"")</f>
        <v>9967.5245479999994</v>
      </c>
      <c r="AM215">
        <f ca="1">IFERROR(IF(0=LEN(ReferenceData!$AM$215),"",ReferenceData!$AM$215),"")</f>
        <v>9491.8524319999997</v>
      </c>
      <c r="AN215">
        <f ca="1">IFERROR(IF(0=LEN(ReferenceData!$AN$215),"",ReferenceData!$AN$215),"")</f>
        <v>9464.3445570000003</v>
      </c>
      <c r="AO215">
        <f ca="1">IFERROR(IF(0=LEN(ReferenceData!$AO$215),"",ReferenceData!$AO$215),"")</f>
        <v>9703.1486409999998</v>
      </c>
      <c r="AP215">
        <f ca="1">IFERROR(IF(0=LEN(ReferenceData!$AP$215),"",ReferenceData!$AP$215),"")</f>
        <v>9983.1423639999994</v>
      </c>
      <c r="AQ215">
        <f ca="1">IFERROR(IF(0=LEN(ReferenceData!$AQ$215),"",ReferenceData!$AQ$215),"")</f>
        <v>9099.8127820000009</v>
      </c>
      <c r="AR215">
        <f ca="1">IFERROR(IF(0=LEN(ReferenceData!$AR$215),"",ReferenceData!$AR$215),"")</f>
        <v>9452.6536350000006</v>
      </c>
      <c r="AS215">
        <f ca="1">IFERROR(IF(0=LEN(ReferenceData!$AS$215),"",ReferenceData!$AS$215),"")</f>
        <v>9169.2252320000007</v>
      </c>
      <c r="AT215">
        <f ca="1">IFERROR(IF(0=LEN(ReferenceData!$AT$215),"",ReferenceData!$AT$215),"")</f>
        <v>9621.1533180000006</v>
      </c>
      <c r="AU215">
        <f ca="1">IFERROR(IF(0=LEN(ReferenceData!$AU$215),"",ReferenceData!$AU$215),"")</f>
        <v>9620.2703629999996</v>
      </c>
      <c r="AV215">
        <f ca="1">IFERROR(IF(0=LEN(ReferenceData!$AV$215),"",ReferenceData!$AV$215),"")</f>
        <v>8850.0480150000003</v>
      </c>
      <c r="AW215">
        <f ca="1">IFERROR(IF(0=LEN(ReferenceData!$AW$215),"",ReferenceData!$AW$215),"")</f>
        <v>9408.3720869999997</v>
      </c>
      <c r="AX215">
        <f ca="1">IFERROR(IF(0=LEN(ReferenceData!$AX$215),"",ReferenceData!$AX$215),"")</f>
        <v>9185.3062659999996</v>
      </c>
      <c r="AY215">
        <f ca="1">IFERROR(IF(0=LEN(ReferenceData!$AY$215),"",ReferenceData!$AY$215),"")</f>
        <v>9079.4734840000001</v>
      </c>
      <c r="AZ215">
        <f ca="1">IFERROR(IF(0=LEN(ReferenceData!$AZ$215),"",ReferenceData!$AZ$215),"")</f>
        <v>8888.5302350000002</v>
      </c>
      <c r="BA215">
        <f ca="1">IFERROR(IF(0=LEN(ReferenceData!$BA$215),"",ReferenceData!$BA$215),"")</f>
        <v>8946.1862270000001</v>
      </c>
      <c r="BB215">
        <f ca="1">IFERROR(IF(0=LEN(ReferenceData!$BB$215),"",ReferenceData!$BB$215),"")</f>
        <v>8842.0632010000008</v>
      </c>
      <c r="BC215">
        <f ca="1">IFERROR(IF(0=LEN(ReferenceData!$BC$215),"",ReferenceData!$BC$215),"")</f>
        <v>8512.0655060000008</v>
      </c>
      <c r="BD215">
        <f ca="1">IFERROR(IF(0=LEN(ReferenceData!$BD$215),"",ReferenceData!$BD$215),"")</f>
        <v>8085.9391859999996</v>
      </c>
      <c r="BE215">
        <f ca="1">IFERROR(IF(0=LEN(ReferenceData!$BE$215),"",ReferenceData!$BE$215),"")</f>
        <v>7654.573609</v>
      </c>
      <c r="BF215">
        <f ca="1">IFERROR(IF(0=LEN(ReferenceData!$BF$215),"",ReferenceData!$BF$215),"")</f>
        <v>7888.8112590000001</v>
      </c>
      <c r="BG215">
        <f ca="1">IFERROR(IF(0=LEN(ReferenceData!$BG$215),"",ReferenceData!$BG$215),"")</f>
        <v>8433.4313220000004</v>
      </c>
      <c r="BH215">
        <f ca="1">IFERROR(IF(0=LEN(ReferenceData!$BH$215),"",ReferenceData!$BH$215),"")</f>
        <v>8192.868031</v>
      </c>
      <c r="BI215">
        <f ca="1">IFERROR(IF(0=LEN(ReferenceData!$BI$215),"",ReferenceData!$BI$215),"")</f>
        <v>8078.9182460000002</v>
      </c>
      <c r="BJ215">
        <f ca="1">IFERROR(IF(0=LEN(ReferenceData!$BJ$215),"",ReferenceData!$BJ$215),"")</f>
        <v>8841.5736049999996</v>
      </c>
      <c r="BK215">
        <f ca="1">IFERROR(IF(0=LEN(ReferenceData!$BK$215),"",ReferenceData!$BK$215),"")</f>
        <v>8690.3259780000008</v>
      </c>
      <c r="BL215">
        <f ca="1">IFERROR(IF(0=LEN(ReferenceData!$BL$215),"",ReferenceData!$BL$215),"")</f>
        <v>8638.9155719999999</v>
      </c>
      <c r="BM215">
        <f ca="1">IFERROR(IF(0=LEN(ReferenceData!$BM$215),"",ReferenceData!$BM$215),"")</f>
        <v>8854.6880610000007</v>
      </c>
      <c r="BN215">
        <f ca="1">IFERROR(IF(0=LEN(ReferenceData!$BN$215),"",ReferenceData!$BN$215),"")</f>
        <v>8539.8669399999999</v>
      </c>
      <c r="BO215">
        <f ca="1">IFERROR(IF(0=LEN(ReferenceData!$BO$215),"",ReferenceData!$BO$215),"")</f>
        <v>8515.2754819999991</v>
      </c>
      <c r="BP215">
        <f ca="1">IFERROR(IF(0=LEN(ReferenceData!$BP$215),"",ReferenceData!$BP$215),"")</f>
        <v>8536.8544070000007</v>
      </c>
      <c r="BQ215">
        <f ca="1">IFERROR(IF(0=LEN(ReferenceData!$BQ$215),"",ReferenceData!$BQ$215),"")</f>
        <v>8435.0018810000001</v>
      </c>
      <c r="BR215">
        <f ca="1">IFERROR(IF(0=LEN(ReferenceData!$BR$215),"",ReferenceData!$BR$215),"")</f>
        <v>8130.7281750000002</v>
      </c>
      <c r="BS215">
        <f ca="1">IFERROR(IF(0=LEN(ReferenceData!$BS$215),"",ReferenceData!$BS$215),"")</f>
        <v>8089.8942770000003</v>
      </c>
      <c r="BT215">
        <f ca="1">IFERROR(IF(0=LEN(ReferenceData!$BT$215),"",ReferenceData!$BT$215),"")</f>
        <v>7992.0747510000001</v>
      </c>
      <c r="BU215">
        <f ca="1">IFERROR(IF(0=LEN(ReferenceData!$BU$215),"",ReferenceData!$BU$215),"")</f>
        <v>8370.2933630000007</v>
      </c>
      <c r="BV215">
        <f ca="1">IFERROR(IF(0=LEN(ReferenceData!$BV$215),"",ReferenceData!$BV$215),"")</f>
        <v>8296.4650060000004</v>
      </c>
      <c r="BW215">
        <f ca="1">IFERROR(IF(0=LEN(ReferenceData!$BW$215),"",ReferenceData!$BW$215),"")</f>
        <v>7996.1318780000001</v>
      </c>
      <c r="BX215">
        <f ca="1">IFERROR(IF(0=LEN(ReferenceData!$BX$215),"",ReferenceData!$BX$215),"")</f>
        <v>7826.7442789999996</v>
      </c>
      <c r="BY215">
        <f ca="1">IFERROR(IF(0=LEN(ReferenceData!$BY$215),"",ReferenceData!$BY$215),"")</f>
        <v>8038.1467780000003</v>
      </c>
      <c r="BZ215">
        <f ca="1">IFERROR(IF(0=LEN(ReferenceData!$BZ$215),"",ReferenceData!$BZ$215),"")</f>
        <v>7782.0283490000002</v>
      </c>
      <c r="CA215">
        <f ca="1">IFERROR(IF(0=LEN(ReferenceData!$CA$215),"",ReferenceData!$CA$215),"")</f>
        <v>7429.1973520000001</v>
      </c>
      <c r="CB215">
        <f ca="1">IFERROR(IF(0=LEN(ReferenceData!$CB$215),"",ReferenceData!$CB$215),"")</f>
        <v>7631.3409240000001</v>
      </c>
      <c r="CC215">
        <f ca="1">IFERROR(IF(0=LEN(ReferenceData!$CC$215),"",ReferenceData!$CC$215),"")</f>
        <v>6985.2318720000003</v>
      </c>
      <c r="CD215">
        <f ca="1">IFERROR(IF(0=LEN(ReferenceData!$CD$215),"",ReferenceData!$CD$215),"")</f>
        <v>6669.2938910000003</v>
      </c>
      <c r="CE215">
        <f ca="1">IFERROR(IF(0=LEN(ReferenceData!$CE$215),"",ReferenceData!$CE$215),"")</f>
        <v>6873.0885660000004</v>
      </c>
      <c r="CF215">
        <f ca="1">IFERROR(IF(0=LEN(ReferenceData!$CF$215),"",ReferenceData!$CF$215),"")</f>
        <v>6476.9317190000002</v>
      </c>
      <c r="CG215">
        <f ca="1">IFERROR(IF(0=LEN(ReferenceData!$CG$215),"",ReferenceData!$CG$215),"")</f>
        <v>7301.9942350000001</v>
      </c>
      <c r="CH215">
        <f ca="1">IFERROR(IF(0=LEN(ReferenceData!$CH$215),"",ReferenceData!$CH$215),"")</f>
        <v>7320.4047600000004</v>
      </c>
      <c r="CI215">
        <f ca="1">IFERROR(IF(0=LEN(ReferenceData!$CI$215),"",ReferenceData!$CI$215),"")</f>
        <v>7003.0374339999998</v>
      </c>
      <c r="CJ215">
        <f ca="1">IFERROR(IF(0=LEN(ReferenceData!$CJ$215),"",ReferenceData!$CJ$215),"")</f>
        <v>7214.4206000000004</v>
      </c>
      <c r="CK215">
        <f ca="1">IFERROR(IF(0=LEN(ReferenceData!$CK$215),"",ReferenceData!$CK$215),"")</f>
        <v>7103.2537080000002</v>
      </c>
    </row>
    <row r="216" spans="1:89">
      <c r="A216" t="str">
        <f>IFERROR(IF(0=LEN(ReferenceData!$A$216),"",ReferenceData!$A$216),"")</f>
        <v xml:space="preserve">    公寓物业权益信托</v>
      </c>
      <c r="B216" t="str">
        <f>IFERROR(IF(0=LEN(ReferenceData!$B$216),"",ReferenceData!$B$216),"")</f>
        <v>EQR US Equity</v>
      </c>
      <c r="C216" t="str">
        <f>IFERROR(IF(0=LEN(ReferenceData!$C$216),"",ReferenceData!$C$216),"")</f>
        <v>F0826</v>
      </c>
      <c r="D216" t="str">
        <f>IFERROR(IF(0=LEN(ReferenceData!$D$216),"",ReferenceData!$D$216),"")</f>
        <v>INDUSTRY_STANDARDIZED_EV</v>
      </c>
      <c r="E216" t="str">
        <f>IFERROR(IF(0=LEN(ReferenceData!$E$216),"",ReferenceData!$E$216),"")</f>
        <v>动态</v>
      </c>
      <c r="F216">
        <f ca="1">IFERROR(IF(0=LEN(ReferenceData!$F$216),"",ReferenceData!$F$216),"")</f>
        <v>32217.937190000001</v>
      </c>
      <c r="G216">
        <f ca="1">IFERROR(IF(0=LEN(ReferenceData!$G$216),"",ReferenceData!$G$216),"")</f>
        <v>31018.652249999999</v>
      </c>
      <c r="H216">
        <f ca="1">IFERROR(IF(0=LEN(ReferenceData!$H$216),"",ReferenceData!$H$216),"")</f>
        <v>33064.145499999999</v>
      </c>
      <c r="I216">
        <f ca="1">IFERROR(IF(0=LEN(ReferenceData!$I$216),"",ReferenceData!$I$216),"")</f>
        <v>33854.796090000003</v>
      </c>
      <c r="J216">
        <f ca="1">IFERROR(IF(0=LEN(ReferenceData!$J$216),"",ReferenceData!$J$216),"")</f>
        <v>35076.151729999998</v>
      </c>
      <c r="K216">
        <f ca="1">IFERROR(IF(0=LEN(ReferenceData!$K$216),"",ReferenceData!$K$216),"")</f>
        <v>35232.384389999999</v>
      </c>
      <c r="L216">
        <f ca="1">IFERROR(IF(0=LEN(ReferenceData!$L$216),"",ReferenceData!$L$216),"")</f>
        <v>34725.49048</v>
      </c>
      <c r="M216">
        <f ca="1">IFERROR(IF(0=LEN(ReferenceData!$M$216),"",ReferenceData!$M$216),"")</f>
        <v>35172.359539999998</v>
      </c>
      <c r="N216">
        <f ca="1">IFERROR(IF(0=LEN(ReferenceData!$N$216),"",ReferenceData!$N$216),"")</f>
        <v>35518.200960000002</v>
      </c>
      <c r="O216">
        <f ca="1">IFERROR(IF(0=LEN(ReferenceData!$O$216),"",ReferenceData!$O$216),"")</f>
        <v>34658.848319999997</v>
      </c>
      <c r="P216">
        <f ca="1">IFERROR(IF(0=LEN(ReferenceData!$P$216),"",ReferenceData!$P$216),"")</f>
        <v>34318.096039999997</v>
      </c>
      <c r="Q216">
        <f ca="1">IFERROR(IF(0=LEN(ReferenceData!$Q$216),"",ReferenceData!$Q$216),"")</f>
        <v>34122.683449999997</v>
      </c>
      <c r="R216">
        <f ca="1">IFERROR(IF(0=LEN(ReferenceData!$R$216),"",ReferenceData!$R$216),"")</f>
        <v>33221.110480000003</v>
      </c>
      <c r="S216">
        <f ca="1">IFERROR(IF(0=LEN(ReferenceData!$S$216),"",ReferenceData!$S$216),"")</f>
        <v>33696.64473</v>
      </c>
      <c r="T216">
        <f ca="1">IFERROR(IF(0=LEN(ReferenceData!$T$216),"",ReferenceData!$T$216),"")</f>
        <v>32731.48833</v>
      </c>
      <c r="U216">
        <f ca="1">IFERROR(IF(0=LEN(ReferenceData!$U$216),"",ReferenceData!$U$216),"")</f>
        <v>34096.72565</v>
      </c>
      <c r="V216">
        <f ca="1">IFERROR(IF(0=LEN(ReferenceData!$V$216),"",ReferenceData!$V$216),"")</f>
        <v>31504.908950000001</v>
      </c>
      <c r="W216">
        <f ca="1">IFERROR(IF(0=LEN(ReferenceData!$W$216),"",ReferenceData!$W$216),"")</f>
        <v>32160.02089</v>
      </c>
      <c r="X216">
        <f ca="1">IFERROR(IF(0=LEN(ReferenceData!$X$216),"",ReferenceData!$X$216),"")</f>
        <v>33140.895190000003</v>
      </c>
      <c r="Y216">
        <f ca="1">IFERROR(IF(0=LEN(ReferenceData!$Y$216),"",ReferenceData!$Y$216),"")</f>
        <v>33442.421589999998</v>
      </c>
      <c r="Z216">
        <f ca="1">IFERROR(IF(0=LEN(ReferenceData!$Z$216),"",ReferenceData!$Z$216),"")</f>
        <v>34625.172769999997</v>
      </c>
      <c r="AA216">
        <f ca="1">IFERROR(IF(0=LEN(ReferenceData!$AA$216),"",ReferenceData!$AA$216),"")</f>
        <v>34963.558539999998</v>
      </c>
      <c r="AB216">
        <f ca="1">IFERROR(IF(0=LEN(ReferenceData!$AB$216),"",ReferenceData!$AB$216),"")</f>
        <v>35333.112179999996</v>
      </c>
      <c r="AC216">
        <f ca="1">IFERROR(IF(0=LEN(ReferenceData!$AC$216),"",ReferenceData!$AC$216),"")</f>
        <v>34899.401339999997</v>
      </c>
      <c r="AD216">
        <f ca="1">IFERROR(IF(0=LEN(ReferenceData!$AD$216),"",ReferenceData!$AD$216),"")</f>
        <v>37518.858749999999</v>
      </c>
      <c r="AE216">
        <f ca="1">IFERROR(IF(0=LEN(ReferenceData!$AE$216),"",ReferenceData!$AE$216),"")</f>
        <v>39983.217349999999</v>
      </c>
      <c r="AF216">
        <f ca="1">IFERROR(IF(0=LEN(ReferenceData!$AF$216),"",ReferenceData!$AF$216),"")</f>
        <v>40902.275379999999</v>
      </c>
      <c r="AG216">
        <f ca="1">IFERROR(IF(0=LEN(ReferenceData!$AG$216),"",ReferenceData!$AG$216),"")</f>
        <v>42606.375899999999</v>
      </c>
      <c r="AH216">
        <f ca="1">IFERROR(IF(0=LEN(ReferenceData!$AH$216),"",ReferenceData!$AH$216),"")</f>
        <v>41784.084260000003</v>
      </c>
      <c r="AI216">
        <f ca="1">IFERROR(IF(0=LEN(ReferenceData!$AI$216),"",ReferenceData!$AI$216),"")</f>
        <v>40823.406340000001</v>
      </c>
      <c r="AJ216">
        <f ca="1">IFERROR(IF(0=LEN(ReferenceData!$AJ$216),"",ReferenceData!$AJ$216),"")</f>
        <v>39990.622739999999</v>
      </c>
      <c r="AK216">
        <f ca="1">IFERROR(IF(0=LEN(ReferenceData!$AK$216),"",ReferenceData!$AK$216),"")</f>
        <v>38589.518669999998</v>
      </c>
      <c r="AL216">
        <f ca="1">IFERROR(IF(0=LEN(ReferenceData!$AL$216),"",ReferenceData!$AL$216),"")</f>
        <v>39930.155809999997</v>
      </c>
      <c r="AM216">
        <f ca="1">IFERROR(IF(0=LEN(ReferenceData!$AM$216),"",ReferenceData!$AM$216),"")</f>
        <v>38174.125090000001</v>
      </c>
      <c r="AN216">
        <f ca="1">IFERROR(IF(0=LEN(ReferenceData!$AN$216),"",ReferenceData!$AN$216),"")</f>
        <v>39862.00922</v>
      </c>
      <c r="AO216">
        <f ca="1">IFERROR(IF(0=LEN(ReferenceData!$AO$216),"",ReferenceData!$AO$216),"")</f>
        <v>39673.847139999998</v>
      </c>
      <c r="AP216">
        <f ca="1">IFERROR(IF(0=LEN(ReferenceData!$AP$216),"",ReferenceData!$AP$216),"")</f>
        <v>41186.952160000001</v>
      </c>
      <c r="AQ216">
        <f ca="1">IFERROR(IF(0=LEN(ReferenceData!$AQ$216),"",ReferenceData!$AQ$216),"")</f>
        <v>40819.645940000002</v>
      </c>
      <c r="AR216">
        <f ca="1">IFERROR(IF(0=LEN(ReferenceData!$AR$216),"",ReferenceData!$AR$216),"")</f>
        <v>40927.562559999998</v>
      </c>
      <c r="AS216">
        <f ca="1">IFERROR(IF(0=LEN(ReferenceData!$AS$216),"",ReferenceData!$AS$216),"")</f>
        <v>38754.223510000003</v>
      </c>
      <c r="AT216">
        <f ca="1">IFERROR(IF(0=LEN(ReferenceData!$AT$216),"",ReferenceData!$AT$216),"")</f>
        <v>38429.959029999998</v>
      </c>
      <c r="AU216">
        <f ca="1">IFERROR(IF(0=LEN(ReferenceData!$AU$216),"",ReferenceData!$AU$216),"")</f>
        <v>37904.635119999999</v>
      </c>
      <c r="AV216">
        <f ca="1">IFERROR(IF(0=LEN(ReferenceData!$AV$216),"",ReferenceData!$AV$216),"")</f>
        <v>34903.614540000002</v>
      </c>
      <c r="AW216">
        <f ca="1">IFERROR(IF(0=LEN(ReferenceData!$AW$216),"",ReferenceData!$AW$216),"")</f>
        <v>36832.84648</v>
      </c>
      <c r="AX216">
        <f ca="1">IFERROR(IF(0=LEN(ReferenceData!$AX$216),"",ReferenceData!$AX$216),"")</f>
        <v>36113.495889999998</v>
      </c>
      <c r="AY216">
        <f ca="1">IFERROR(IF(0=LEN(ReferenceData!$AY$216),"",ReferenceData!$AY$216),"")</f>
        <v>35493.855069999998</v>
      </c>
      <c r="AZ216">
        <f ca="1">IFERROR(IF(0=LEN(ReferenceData!$AZ$216),"",ReferenceData!$AZ$216),"")</f>
        <v>34915.090069999998</v>
      </c>
      <c r="BA216">
        <f ca="1">IFERROR(IF(0=LEN(ReferenceData!$BA$216),"",ReferenceData!$BA$216),"")</f>
        <v>34879.770270000001</v>
      </c>
      <c r="BB216">
        <f ca="1">IFERROR(IF(0=LEN(ReferenceData!$BB$216),"",ReferenceData!$BB$216),"")</f>
        <v>33476.953159999997</v>
      </c>
      <c r="BC216">
        <f ca="1">IFERROR(IF(0=LEN(ReferenceData!$BC$216),"",ReferenceData!$BC$216),"")</f>
        <v>33405.286010000003</v>
      </c>
      <c r="BD216">
        <f ca="1">IFERROR(IF(0=LEN(ReferenceData!$BD$216),"",ReferenceData!$BD$216),"")</f>
        <v>32208.716479999999</v>
      </c>
      <c r="BE216">
        <f ca="1">IFERROR(IF(0=LEN(ReferenceData!$BE$216),"",ReferenceData!$BE$216),"")</f>
        <v>30893.901570000002</v>
      </c>
      <c r="BF216">
        <f ca="1">IFERROR(IF(0=LEN(ReferenceData!$BF$216),"",ReferenceData!$BF$216),"")</f>
        <v>30792.104289999999</v>
      </c>
      <c r="BG216">
        <f ca="1">IFERROR(IF(0=LEN(ReferenceData!$BG$216),"",ReferenceData!$BG$216),"")</f>
        <v>31095.295470000001</v>
      </c>
      <c r="BH216">
        <f ca="1">IFERROR(IF(0=LEN(ReferenceData!$BH$216),"",ReferenceData!$BH$216),"")</f>
        <v>31548.482749999999</v>
      </c>
      <c r="BI216">
        <f ca="1">IFERROR(IF(0=LEN(ReferenceData!$BI$216),"",ReferenceData!$BI$216),"")</f>
        <v>31780.77115</v>
      </c>
      <c r="BJ216">
        <f ca="1">IFERROR(IF(0=LEN(ReferenceData!$BJ$216),"",ReferenceData!$BJ$216),"")</f>
        <v>33310.219510000003</v>
      </c>
      <c r="BK216">
        <f ca="1">IFERROR(IF(0=LEN(ReferenceData!$BK$216),"",ReferenceData!$BK$216),"")</f>
        <v>34081.424489999998</v>
      </c>
      <c r="BL216">
        <f ca="1">IFERROR(IF(0=LEN(ReferenceData!$BL$216),"",ReferenceData!$BL$216),"")</f>
        <v>34018.537479999999</v>
      </c>
      <c r="BM216">
        <f ca="1">IFERROR(IF(0=LEN(ReferenceData!$BM$216),"",ReferenceData!$BM$216),"")</f>
        <v>34578.445509999998</v>
      </c>
      <c r="BN216">
        <f ca="1">IFERROR(IF(0=LEN(ReferenceData!$BN$216),"",ReferenceData!$BN$216),"")</f>
        <v>33448.256560000002</v>
      </c>
      <c r="BO216">
        <f ca="1">IFERROR(IF(0=LEN(ReferenceData!$BO$216),"",ReferenceData!$BO$216),"")</f>
        <v>27284.632900000001</v>
      </c>
      <c r="BP216">
        <f ca="1">IFERROR(IF(0=LEN(ReferenceData!$BP$216),"",ReferenceData!$BP$216),"")</f>
        <v>27351.472010000001</v>
      </c>
      <c r="BQ216">
        <f ca="1">IFERROR(IF(0=LEN(ReferenceData!$BQ$216),"",ReferenceData!$BQ$216),"")</f>
        <v>27784.743630000001</v>
      </c>
      <c r="BR216">
        <f ca="1">IFERROR(IF(0=LEN(ReferenceData!$BR$216),"",ReferenceData!$BR$216),"")</f>
        <v>28764.524809999999</v>
      </c>
      <c r="BS216">
        <f ca="1">IFERROR(IF(0=LEN(ReferenceData!$BS$216),"",ReferenceData!$BS$216),"")</f>
        <v>28154.074219999999</v>
      </c>
      <c r="BT216">
        <f ca="1">IFERROR(IF(0=LEN(ReferenceData!$BT$216),"",ReferenceData!$BT$216),"")</f>
        <v>28096.616129999999</v>
      </c>
      <c r="BU216">
        <f ca="1">IFERROR(IF(0=LEN(ReferenceData!$BU$216),"",ReferenceData!$BU$216),"")</f>
        <v>29278.458699999999</v>
      </c>
      <c r="BV216">
        <f ca="1">IFERROR(IF(0=LEN(ReferenceData!$BV$216),"",ReferenceData!$BV$216),"")</f>
        <v>30193.277549999999</v>
      </c>
      <c r="BW216">
        <f ca="1">IFERROR(IF(0=LEN(ReferenceData!$BW$216),"",ReferenceData!$BW$216),"")</f>
        <v>29872.534589999999</v>
      </c>
      <c r="BX216">
        <f ca="1">IFERROR(IF(0=LEN(ReferenceData!$BX$216),"",ReferenceData!$BX$216),"")</f>
        <v>29242.010999999999</v>
      </c>
      <c r="BY216">
        <f ca="1">IFERROR(IF(0=LEN(ReferenceData!$BY$216),"",ReferenceData!$BY$216),"")</f>
        <v>29342.561389999999</v>
      </c>
      <c r="BZ216">
        <f ca="1">IFERROR(IF(0=LEN(ReferenceData!$BZ$216),"",ReferenceData!$BZ$216),"")</f>
        <v>29695.517469999999</v>
      </c>
      <c r="CA216">
        <f ca="1">IFERROR(IF(0=LEN(ReferenceData!$CA$216),"",ReferenceData!$CA$216),"")</f>
        <v>27995.669750000001</v>
      </c>
      <c r="CB216">
        <f ca="1">IFERROR(IF(0=LEN(ReferenceData!$CB$216),"",ReferenceData!$CB$216),"")</f>
        <v>28615.100129999999</v>
      </c>
      <c r="CC216">
        <f ca="1">IFERROR(IF(0=LEN(ReferenceData!$CC$216),"",ReferenceData!$CC$216),"")</f>
        <v>27833.594850000001</v>
      </c>
      <c r="CD216">
        <f ca="1">IFERROR(IF(0=LEN(ReferenceData!$CD$216),"",ReferenceData!$CD$216),"")</f>
        <v>25844.812140000002</v>
      </c>
      <c r="CE216">
        <f ca="1">IFERROR(IF(0=LEN(ReferenceData!$CE$216),"",ReferenceData!$CE$216),"")</f>
        <v>26918.949349999999</v>
      </c>
      <c r="CF216">
        <f ca="1">IFERROR(IF(0=LEN(ReferenceData!$CF$216),"",ReferenceData!$CF$216),"")</f>
        <v>24807.86579</v>
      </c>
      <c r="CG216">
        <f ca="1">IFERROR(IF(0=LEN(ReferenceData!$CG$216),"",ReferenceData!$CG$216),"")</f>
        <v>28570.857230000001</v>
      </c>
      <c r="CH216">
        <f ca="1">IFERROR(IF(0=LEN(ReferenceData!$CH$216),"",ReferenceData!$CH$216),"")</f>
        <v>28655.599190000001</v>
      </c>
      <c r="CI216">
        <f ca="1">IFERROR(IF(0=LEN(ReferenceData!$CI$216),"",ReferenceData!$CI$216),"")</f>
        <v>28094.78787</v>
      </c>
      <c r="CJ216">
        <f ca="1">IFERROR(IF(0=LEN(ReferenceData!$CJ$216),"",ReferenceData!$CJ$216),"")</f>
        <v>28403.10255</v>
      </c>
      <c r="CK216">
        <f ca="1">IFERROR(IF(0=LEN(ReferenceData!$CK$216),"",ReferenceData!$CK$216),"")</f>
        <v>27718.593400000002</v>
      </c>
    </row>
    <row r="217" spans="1:89">
      <c r="A217" t="str">
        <f>IFERROR(IF(0=LEN(ReferenceData!$A$217),"",ReferenceData!$A$217),"")</f>
        <v xml:space="preserve">    埃塞克斯房地产信托公司</v>
      </c>
      <c r="B217" t="str">
        <f>IFERROR(IF(0=LEN(ReferenceData!$B$217),"",ReferenceData!$B$217),"")</f>
        <v>ESS US Equity</v>
      </c>
      <c r="C217" t="str">
        <f>IFERROR(IF(0=LEN(ReferenceData!$C$217),"",ReferenceData!$C$217),"")</f>
        <v>F0826</v>
      </c>
      <c r="D217" t="str">
        <f>IFERROR(IF(0=LEN(ReferenceData!$D$217),"",ReferenceData!$D$217),"")</f>
        <v>INDUSTRY_STANDARDIZED_EV</v>
      </c>
      <c r="E217" t="str">
        <f>IFERROR(IF(0=LEN(ReferenceData!$E$217),"",ReferenceData!$E$217),"")</f>
        <v>动态</v>
      </c>
      <c r="F217">
        <f ca="1">IFERROR(IF(0=LEN(ReferenceData!$F$217),"",ReferenceData!$F$217),"")</f>
        <v>22054.876840000001</v>
      </c>
      <c r="G217">
        <f ca="1">IFERROR(IF(0=LEN(ReferenceData!$G$217),"",ReferenceData!$G$217),"")</f>
        <v>21084.072919999999</v>
      </c>
      <c r="H217">
        <f ca="1">IFERROR(IF(0=LEN(ReferenceData!$H$217),"",ReferenceData!$H$217),"")</f>
        <v>21707.98342</v>
      </c>
      <c r="I217">
        <f ca="1">IFERROR(IF(0=LEN(ReferenceData!$I$217),"",ReferenceData!$I$217),"")</f>
        <v>22280.74379</v>
      </c>
      <c r="J217">
        <f ca="1">IFERROR(IF(0=LEN(ReferenceData!$J$217),"",ReferenceData!$J$217),"")</f>
        <v>22584.219659999999</v>
      </c>
      <c r="K217">
        <f ca="1">IFERROR(IF(0=LEN(ReferenceData!$K$217),"",ReferenceData!$K$217),"")</f>
        <v>23625.587960000001</v>
      </c>
      <c r="L217">
        <f ca="1">IFERROR(IF(0=LEN(ReferenceData!$L$217),"",ReferenceData!$L$217),"")</f>
        <v>23052.685010000001</v>
      </c>
      <c r="M217">
        <f ca="1">IFERROR(IF(0=LEN(ReferenceData!$M$217),"",ReferenceData!$M$217),"")</f>
        <v>23815.51427</v>
      </c>
      <c r="N217">
        <f ca="1">IFERROR(IF(0=LEN(ReferenceData!$N$217),"",ReferenceData!$N$217),"")</f>
        <v>23523.810359999999</v>
      </c>
      <c r="O217">
        <f ca="1">IFERROR(IF(0=LEN(ReferenceData!$O$217),"",ReferenceData!$O$217),"")</f>
        <v>23120.624690000001</v>
      </c>
      <c r="P217">
        <f ca="1">IFERROR(IF(0=LEN(ReferenceData!$P$217),"",ReferenceData!$P$217),"")</f>
        <v>23140.337149999999</v>
      </c>
      <c r="Q217">
        <f ca="1">IFERROR(IF(0=LEN(ReferenceData!$Q$217),"",ReferenceData!$Q$217),"")</f>
        <v>22284.65942</v>
      </c>
      <c r="R217">
        <f ca="1">IFERROR(IF(0=LEN(ReferenceData!$R$217),"",ReferenceData!$R$217),"")</f>
        <v>21406.214100000001</v>
      </c>
      <c r="S217">
        <f ca="1">IFERROR(IF(0=LEN(ReferenceData!$S$217),"",ReferenceData!$S$217),"")</f>
        <v>21570.403470000001</v>
      </c>
      <c r="T217">
        <f ca="1">IFERROR(IF(0=LEN(ReferenceData!$T$217),"",ReferenceData!$T$217),"")</f>
        <v>20857.446449999999</v>
      </c>
      <c r="U217">
        <f ca="1">IFERROR(IF(0=LEN(ReferenceData!$U$217),"",ReferenceData!$U$217),"")</f>
        <v>21413.655940000001</v>
      </c>
      <c r="V217">
        <f ca="1">IFERROR(IF(0=LEN(ReferenceData!$V$217),"",ReferenceData!$V$217),"")</f>
        <v>20200.93592</v>
      </c>
      <c r="W217">
        <f ca="1">IFERROR(IF(0=LEN(ReferenceData!$W$217),"",ReferenceData!$W$217),"")</f>
        <v>20076.839179999999</v>
      </c>
      <c r="X217">
        <f ca="1">IFERROR(IF(0=LEN(ReferenceData!$X$217),"",ReferenceData!$X$217),"")</f>
        <v>20655.676630000002</v>
      </c>
      <c r="Y217">
        <f ca="1">IFERROR(IF(0=LEN(ReferenceData!$Y$217),"",ReferenceData!$Y$217),"")</f>
        <v>20968.93017</v>
      </c>
      <c r="Z217">
        <f ca="1">IFERROR(IF(0=LEN(ReferenceData!$Z$217),"",ReferenceData!$Z$217),"")</f>
        <v>21413.413240000002</v>
      </c>
      <c r="AA217">
        <f ca="1">IFERROR(IF(0=LEN(ReferenceData!$AA$217),"",ReferenceData!$AA$217),"")</f>
        <v>21021.273379999999</v>
      </c>
      <c r="AB217">
        <f ca="1">IFERROR(IF(0=LEN(ReferenceData!$AB$217),"",ReferenceData!$AB$217),"")</f>
        <v>20915.511149999998</v>
      </c>
      <c r="AC217">
        <f ca="1">IFERROR(IF(0=LEN(ReferenceData!$AC$217),"",ReferenceData!$AC$217),"")</f>
        <v>20452.931970000001</v>
      </c>
      <c r="AD217">
        <f ca="1">IFERROR(IF(0=LEN(ReferenceData!$AD$217),"",ReferenceData!$AD$217),"")</f>
        <v>21361.070489999998</v>
      </c>
      <c r="AE217">
        <f ca="1">IFERROR(IF(0=LEN(ReferenceData!$AE$217),"",ReferenceData!$AE$217),"")</f>
        <v>19677.199680000002</v>
      </c>
      <c r="AF217">
        <f ca="1">IFERROR(IF(0=LEN(ReferenceData!$AF$217),"",ReferenceData!$AF$217),"")</f>
        <v>20069.40235</v>
      </c>
      <c r="AG217">
        <f ca="1">IFERROR(IF(0=LEN(ReferenceData!$AG$217),"",ReferenceData!$AG$217),"")</f>
        <v>21866.485049999999</v>
      </c>
      <c r="AH217">
        <f ca="1">IFERROR(IF(0=LEN(ReferenceData!$AH$217),"",ReferenceData!$AH$217),"")</f>
        <v>21247.400420000002</v>
      </c>
      <c r="AI217">
        <f ca="1">IFERROR(IF(0=LEN(ReferenceData!$AI$217),"",ReferenceData!$AI$217),"")</f>
        <v>20476.675999999999</v>
      </c>
      <c r="AJ217">
        <f ca="1">IFERROR(IF(0=LEN(ReferenceData!$AJ$217),"",ReferenceData!$AJ$217),"")</f>
        <v>20679.26035</v>
      </c>
      <c r="AK217">
        <f ca="1">IFERROR(IF(0=LEN(ReferenceData!$AK$217),"",ReferenceData!$AK$217),"")</f>
        <v>20138.481800000001</v>
      </c>
      <c r="AL217">
        <f ca="1">IFERROR(IF(0=LEN(ReferenceData!$AL$217),"",ReferenceData!$AL$217),"")</f>
        <v>20749.85555</v>
      </c>
      <c r="AM217">
        <f ca="1">IFERROR(IF(0=LEN(ReferenceData!$AM$217),"",ReferenceData!$AM$217),"")</f>
        <v>19911.01225</v>
      </c>
      <c r="AN217">
        <f ca="1">IFERROR(IF(0=LEN(ReferenceData!$AN$217),"",ReferenceData!$AN$217),"")</f>
        <v>20477.69859</v>
      </c>
      <c r="AO217">
        <f ca="1">IFERROR(IF(0=LEN(ReferenceData!$AO$217),"",ReferenceData!$AO$217),"")</f>
        <v>20382.105670000001</v>
      </c>
      <c r="AP217">
        <f ca="1">IFERROR(IF(0=LEN(ReferenceData!$AP$217),"",ReferenceData!$AP$217),"")</f>
        <v>20917.755369999999</v>
      </c>
      <c r="AQ217">
        <f ca="1">IFERROR(IF(0=LEN(ReferenceData!$AQ$217),"",ReferenceData!$AQ$217),"")</f>
        <v>20034.526669999999</v>
      </c>
      <c r="AR217">
        <f ca="1">IFERROR(IF(0=LEN(ReferenceData!$AR$217),"",ReferenceData!$AR$217),"")</f>
        <v>20273.968369999999</v>
      </c>
      <c r="AS217">
        <f ca="1">IFERROR(IF(0=LEN(ReferenceData!$AS$217),"",ReferenceData!$AS$217),"")</f>
        <v>18987.465319999999</v>
      </c>
      <c r="AT217">
        <f ca="1">IFERROR(IF(0=LEN(ReferenceData!$AT$217),"",ReferenceData!$AT$217),"")</f>
        <v>18792.510620000001</v>
      </c>
      <c r="AU217">
        <f ca="1">IFERROR(IF(0=LEN(ReferenceData!$AU$217),"",ReferenceData!$AU$217),"")</f>
        <v>18657.413949999998</v>
      </c>
      <c r="AV217">
        <f ca="1">IFERROR(IF(0=LEN(ReferenceData!$AV$217),"",ReferenceData!$AV$217),"")</f>
        <v>17147.00373</v>
      </c>
      <c r="AW217">
        <f ca="1">IFERROR(IF(0=LEN(ReferenceData!$AW$217),"",ReferenceData!$AW$217),"")</f>
        <v>17960.327089999999</v>
      </c>
      <c r="AX217">
        <f ca="1">IFERROR(IF(0=LEN(ReferenceData!$AX$217),"",ReferenceData!$AX$217),"")</f>
        <v>17521.343229999999</v>
      </c>
      <c r="AY217">
        <f ca="1">IFERROR(IF(0=LEN(ReferenceData!$AY$217),"",ReferenceData!$AY$217),"")</f>
        <v>17219.912980000001</v>
      </c>
      <c r="AZ217">
        <f ca="1">IFERROR(IF(0=LEN(ReferenceData!$AZ$217),"",ReferenceData!$AZ$217),"")</f>
        <v>16252.1186</v>
      </c>
      <c r="BA217">
        <f ca="1">IFERROR(IF(0=LEN(ReferenceData!$BA$217),"",ReferenceData!$BA$217),"")</f>
        <v>15699.856309999999</v>
      </c>
      <c r="BB217">
        <f ca="1">IFERROR(IF(0=LEN(ReferenceData!$BB$217),"",ReferenceData!$BB$217),"")</f>
        <v>11480.986940000001</v>
      </c>
      <c r="BC217">
        <f ca="1">IFERROR(IF(0=LEN(ReferenceData!$BC$217),"",ReferenceData!$BC$217),"")</f>
        <v>10023.276750000001</v>
      </c>
      <c r="BD217">
        <f ca="1">IFERROR(IF(0=LEN(ReferenceData!$BD$217),"",ReferenceData!$BD$217),"")</f>
        <v>9473.6135759999997</v>
      </c>
      <c r="BE217">
        <f ca="1">IFERROR(IF(0=LEN(ReferenceData!$BE$217),"",ReferenceData!$BE$217),"")</f>
        <v>8885.588205</v>
      </c>
      <c r="BF217">
        <f ca="1">IFERROR(IF(0=LEN(ReferenceData!$BF$217),"",ReferenceData!$BF$217),"")</f>
        <v>9203.189445</v>
      </c>
      <c r="BG217">
        <f ca="1">IFERROR(IF(0=LEN(ReferenceData!$BG$217),"",ReferenceData!$BG$217),"")</f>
        <v>9571.7474779999993</v>
      </c>
      <c r="BH217">
        <f ca="1">IFERROR(IF(0=LEN(ReferenceData!$BH$217),"",ReferenceData!$BH$217),"")</f>
        <v>9037.3602950000004</v>
      </c>
      <c r="BI217">
        <f ca="1">IFERROR(IF(0=LEN(ReferenceData!$BI$217),"",ReferenceData!$BI$217),"")</f>
        <v>8849.2885310000001</v>
      </c>
      <c r="BJ217">
        <f ca="1">IFERROR(IF(0=LEN(ReferenceData!$BJ$217),"",ReferenceData!$BJ$217),"")</f>
        <v>9566.177291</v>
      </c>
      <c r="BK217">
        <f ca="1">IFERROR(IF(0=LEN(ReferenceData!$BK$217),"",ReferenceData!$BK$217),"")</f>
        <v>9471.0310950000003</v>
      </c>
      <c r="BL217">
        <f ca="1">IFERROR(IF(0=LEN(ReferenceData!$BL$217),"",ReferenceData!$BL$217),"")</f>
        <v>9244.1241800000007</v>
      </c>
      <c r="BM217">
        <f ca="1">IFERROR(IF(0=LEN(ReferenceData!$BM$217),"",ReferenceData!$BM$217),"")</f>
        <v>9226.2501100000009</v>
      </c>
      <c r="BN217">
        <f ca="1">IFERROR(IF(0=LEN(ReferenceData!$BN$217),"",ReferenceData!$BN$217),"")</f>
        <v>8967.0502059999999</v>
      </c>
      <c r="BO217">
        <f ca="1">IFERROR(IF(0=LEN(ReferenceData!$BO$217),"",ReferenceData!$BO$217),"")</f>
        <v>8957.5100289999991</v>
      </c>
      <c r="BP217">
        <f ca="1">IFERROR(IF(0=LEN(ReferenceData!$BP$217),"",ReferenceData!$BP$217),"")</f>
        <v>8937.1740759999993</v>
      </c>
      <c r="BQ217">
        <f ca="1">IFERROR(IF(0=LEN(ReferenceData!$BQ$217),"",ReferenceData!$BQ$217),"")</f>
        <v>8661.5954459999994</v>
      </c>
      <c r="BR217">
        <f ca="1">IFERROR(IF(0=LEN(ReferenceData!$BR$217),"",ReferenceData!$BR$217),"")</f>
        <v>8233.206725</v>
      </c>
      <c r="BS217">
        <f ca="1">IFERROR(IF(0=LEN(ReferenceData!$BS$217),"",ReferenceData!$BS$217),"")</f>
        <v>8584.7673020000002</v>
      </c>
      <c r="BT217">
        <f ca="1">IFERROR(IF(0=LEN(ReferenceData!$BT$217),"",ReferenceData!$BT$217),"")</f>
        <v>8516.7431570000008</v>
      </c>
      <c r="BU217">
        <f ca="1">IFERROR(IF(0=LEN(ReferenceData!$BU$217),"",ReferenceData!$BU$217),"")</f>
        <v>8553.3810470000008</v>
      </c>
      <c r="BV217">
        <f ca="1">IFERROR(IF(0=LEN(ReferenceData!$BV$217),"",ReferenceData!$BV$217),"")</f>
        <v>8572.5357970000005</v>
      </c>
      <c r="BW217">
        <f ca="1">IFERROR(IF(0=LEN(ReferenceData!$BW$217),"",ReferenceData!$BW$217),"")</f>
        <v>8443.6955589999998</v>
      </c>
      <c r="BX217">
        <f ca="1">IFERROR(IF(0=LEN(ReferenceData!$BX$217),"",ReferenceData!$BX$217),"")</f>
        <v>7819.8274110000002</v>
      </c>
      <c r="BY217">
        <f ca="1">IFERROR(IF(0=LEN(ReferenceData!$BY$217),"",ReferenceData!$BY$217),"")</f>
        <v>8037.187516</v>
      </c>
      <c r="BZ217">
        <f ca="1">IFERROR(IF(0=LEN(ReferenceData!$BZ$217),"",ReferenceData!$BZ$217),"")</f>
        <v>7797.8137219999999</v>
      </c>
      <c r="CA217">
        <f ca="1">IFERROR(IF(0=LEN(ReferenceData!$CA$217),"",ReferenceData!$CA$217),"")</f>
        <v>7727.3349280000002</v>
      </c>
      <c r="CB217">
        <f ca="1">IFERROR(IF(0=LEN(ReferenceData!$CB$217),"",ReferenceData!$CB$217),"")</f>
        <v>7777.1341990000001</v>
      </c>
      <c r="CC217">
        <f ca="1">IFERROR(IF(0=LEN(ReferenceData!$CC$217),"",ReferenceData!$CC$217),"")</f>
        <v>7650.2614240000003</v>
      </c>
      <c r="CD217">
        <f ca="1">IFERROR(IF(0=LEN(ReferenceData!$CD$217),"",ReferenceData!$CD$217),"")</f>
        <v>7276.6229439999997</v>
      </c>
      <c r="CE217">
        <f ca="1">IFERROR(IF(0=LEN(ReferenceData!$CE$217),"",ReferenceData!$CE$217),"")</f>
        <v>7593.062226</v>
      </c>
      <c r="CF217">
        <f ca="1">IFERROR(IF(0=LEN(ReferenceData!$CF$217),"",ReferenceData!$CF$217),"")</f>
        <v>6774.1083630000003</v>
      </c>
      <c r="CG217">
        <f ca="1">IFERROR(IF(0=LEN(ReferenceData!$CG$217),"",ReferenceData!$CG$217),"")</f>
        <v>7316.6349719999998</v>
      </c>
      <c r="CH217">
        <f ca="1">IFERROR(IF(0=LEN(ReferenceData!$CH$217),"",ReferenceData!$CH$217),"")</f>
        <v>7029.1602409999996</v>
      </c>
      <c r="CI217">
        <f ca="1">IFERROR(IF(0=LEN(ReferenceData!$CI$217),"",ReferenceData!$CI$217),"")</f>
        <v>6852.6384079999998</v>
      </c>
      <c r="CJ217">
        <f ca="1">IFERROR(IF(0=LEN(ReferenceData!$CJ$217),"",ReferenceData!$CJ$217),"")</f>
        <v>7019.83907</v>
      </c>
      <c r="CK217">
        <f ca="1">IFERROR(IF(0=LEN(ReferenceData!$CK$217),"",ReferenceData!$CK$217),"")</f>
        <v>6888.724518</v>
      </c>
    </row>
    <row r="218" spans="1:89">
      <c r="A218" t="str">
        <f>IFERROR(IF(0=LEN(ReferenceData!$A$218),"",ReferenceData!$A$218),"")</f>
        <v xml:space="preserve">    Mid-America Apartment Communities股份有限公司</v>
      </c>
      <c r="B218" t="str">
        <f>IFERROR(IF(0=LEN(ReferenceData!$B$218),"",ReferenceData!$B$218),"")</f>
        <v>MAA US Equity</v>
      </c>
      <c r="C218" t="str">
        <f>IFERROR(IF(0=LEN(ReferenceData!$C$218),"",ReferenceData!$C$218),"")</f>
        <v>F0826</v>
      </c>
      <c r="D218" t="str">
        <f>IFERROR(IF(0=LEN(ReferenceData!$D$218),"",ReferenceData!$D$218),"")</f>
        <v>INDUSTRY_STANDARDIZED_EV</v>
      </c>
      <c r="E218" t="str">
        <f>IFERROR(IF(0=LEN(ReferenceData!$E$218),"",ReferenceData!$E$218),"")</f>
        <v>动态</v>
      </c>
      <c r="F218">
        <f ca="1">IFERROR(IF(0=LEN(ReferenceData!$F$218),"",ReferenceData!$F$218),"")</f>
        <v>15315.49201</v>
      </c>
      <c r="G218">
        <f ca="1">IFERROR(IF(0=LEN(ReferenceData!$G$218),"",ReferenceData!$G$218),"")</f>
        <v>14885.22632</v>
      </c>
      <c r="H218">
        <f ca="1">IFERROR(IF(0=LEN(ReferenceData!$H$218),"",ReferenceData!$H$218),"")</f>
        <v>16005.080669999999</v>
      </c>
      <c r="I218">
        <f ca="1">IFERROR(IF(0=LEN(ReferenceData!$I$218),"",ReferenceData!$I$218),"")</f>
        <v>16616.56135</v>
      </c>
      <c r="J218">
        <f ca="1">IFERROR(IF(0=LEN(ReferenceData!$J$218),"",ReferenceData!$J$218),"")</f>
        <v>16792.27361</v>
      </c>
      <c r="K218">
        <f ca="1">IFERROR(IF(0=LEN(ReferenceData!$K$218),"",ReferenceData!$K$218),"")</f>
        <v>16781.669180000001</v>
      </c>
      <c r="L218">
        <f ca="1">IFERROR(IF(0=LEN(ReferenceData!$L$218),"",ReferenceData!$L$218),"")</f>
        <v>17313.364799999999</v>
      </c>
      <c r="M218">
        <f ca="1">IFERROR(IF(0=LEN(ReferenceData!$M$218),"",ReferenceData!$M$218),"")</f>
        <v>17354.09446</v>
      </c>
      <c r="N218">
        <f ca="1">IFERROR(IF(0=LEN(ReferenceData!$N$218),"",ReferenceData!$N$218),"")</f>
        <v>17008.87385</v>
      </c>
      <c r="O218">
        <f ca="1">IFERROR(IF(0=LEN(ReferenceData!$O$218),"",ReferenceData!$O$218),"")</f>
        <v>17223.45277</v>
      </c>
      <c r="P218">
        <f ca="1">IFERROR(IF(0=LEN(ReferenceData!$P$218),"",ReferenceData!$P$218),"")</f>
        <v>16810.157910000002</v>
      </c>
      <c r="Q218">
        <f ca="1">IFERROR(IF(0=LEN(ReferenceData!$Q$218),"",ReferenceData!$Q$218),"")</f>
        <v>16488.584299999999</v>
      </c>
      <c r="R218">
        <f ca="1">IFERROR(IF(0=LEN(ReferenceData!$R$218),"",ReferenceData!$R$218),"")</f>
        <v>16783.517059999998</v>
      </c>
      <c r="S218">
        <f ca="1">IFERROR(IF(0=LEN(ReferenceData!$S$218),"",ReferenceData!$S$218),"")</f>
        <v>16845.872859999999</v>
      </c>
      <c r="T218">
        <f ca="1">IFERROR(IF(0=LEN(ReferenceData!$T$218),"",ReferenceData!$T$218),"")</f>
        <v>15928.51187</v>
      </c>
      <c r="U218">
        <f ca="1">IFERROR(IF(0=LEN(ReferenceData!$U$218),"",ReferenceData!$U$218),"")</f>
        <v>16278.238719999999</v>
      </c>
      <c r="V218">
        <f ca="1">IFERROR(IF(0=LEN(ReferenceData!$V$218),"",ReferenceData!$V$218),"")</f>
        <v>10881.500609999999</v>
      </c>
      <c r="W218">
        <f ca="1">IFERROR(IF(0=LEN(ReferenceData!$W$218),"",ReferenceData!$W$218),"")</f>
        <v>10970.748009999999</v>
      </c>
      <c r="X218">
        <f ca="1">IFERROR(IF(0=LEN(ReferenceData!$X$218),"",ReferenceData!$X$218),"")</f>
        <v>11068.79751</v>
      </c>
      <c r="Y218">
        <f ca="1">IFERROR(IF(0=LEN(ReferenceData!$Y$218),"",ReferenceData!$Y$218),"")</f>
        <v>11127.44335</v>
      </c>
      <c r="Z218">
        <f ca="1">IFERROR(IF(0=LEN(ReferenceData!$Z$218),"",ReferenceData!$Z$218),"")</f>
        <v>12086.1512</v>
      </c>
      <c r="AA218">
        <f ca="1">IFERROR(IF(0=LEN(ReferenceData!$AA$218),"",ReferenceData!$AA$218),"")</f>
        <v>12113.84504</v>
      </c>
      <c r="AB218">
        <f ca="1">IFERROR(IF(0=LEN(ReferenceData!$AB$218),"",ReferenceData!$AB$218),"")</f>
        <v>11795.08957</v>
      </c>
      <c r="AC218">
        <f ca="1">IFERROR(IF(0=LEN(ReferenceData!$AC$218),"",ReferenceData!$AC$218),"")</f>
        <v>11210.625679999999</v>
      </c>
      <c r="AD218">
        <f ca="1">IFERROR(IF(0=LEN(ReferenceData!$AD$218),"",ReferenceData!$AD$218),"")</f>
        <v>11724.97682</v>
      </c>
      <c r="AE218">
        <f ca="1">IFERROR(IF(0=LEN(ReferenceData!$AE$218),"",ReferenceData!$AE$218),"")</f>
        <v>10348.694219999999</v>
      </c>
      <c r="AF218">
        <f ca="1">IFERROR(IF(0=LEN(ReferenceData!$AF$218),"",ReferenceData!$AF$218),"")</f>
        <v>10636.468940000001</v>
      </c>
      <c r="AG218">
        <f ca="1">IFERROR(IF(0=LEN(ReferenceData!$AG$218),"",ReferenceData!$AG$218),"")</f>
        <v>10409.564469999999</v>
      </c>
      <c r="AH218">
        <f ca="1">IFERROR(IF(0=LEN(ReferenceData!$AH$218),"",ReferenceData!$AH$218),"")</f>
        <v>10601.28543</v>
      </c>
      <c r="AI218">
        <f ca="1">IFERROR(IF(0=LEN(ReferenceData!$AI$218),"",ReferenceData!$AI$218),"")</f>
        <v>10333.153469999999</v>
      </c>
      <c r="AJ218">
        <f ca="1">IFERROR(IF(0=LEN(ReferenceData!$AJ$218),"",ReferenceData!$AJ$218),"")</f>
        <v>10068.630579999999</v>
      </c>
      <c r="AK218">
        <f ca="1">IFERROR(IF(0=LEN(ReferenceData!$AK$218),"",ReferenceData!$AK$218),"")</f>
        <v>9836.8697969999994</v>
      </c>
      <c r="AL218">
        <f ca="1">IFERROR(IF(0=LEN(ReferenceData!$AL$218),"",ReferenceData!$AL$218),"")</f>
        <v>9976.1013199999998</v>
      </c>
      <c r="AM218">
        <f ca="1">IFERROR(IF(0=LEN(ReferenceData!$AM$218),"",ReferenceData!$AM$218),"")</f>
        <v>9374.9559640000007</v>
      </c>
      <c r="AN218">
        <f ca="1">IFERROR(IF(0=LEN(ReferenceData!$AN$218),"",ReferenceData!$AN$218),"")</f>
        <v>9704.4615439999998</v>
      </c>
      <c r="AO218">
        <f ca="1">IFERROR(IF(0=LEN(ReferenceData!$AO$218),"",ReferenceData!$AO$218),"")</f>
        <v>9562.2931040000003</v>
      </c>
      <c r="AP218">
        <f ca="1">IFERROR(IF(0=LEN(ReferenceData!$AP$218),"",ReferenceData!$AP$218),"")</f>
        <v>9770.6419709999991</v>
      </c>
      <c r="AQ218">
        <f ca="1">IFERROR(IF(0=LEN(ReferenceData!$AQ$218),"",ReferenceData!$AQ$218),"")</f>
        <v>9425.581134</v>
      </c>
      <c r="AR218">
        <f ca="1">IFERROR(IF(0=LEN(ReferenceData!$AR$218),"",ReferenceData!$AR$218),"")</f>
        <v>9966.6571960000001</v>
      </c>
      <c r="AS218">
        <f ca="1">IFERROR(IF(0=LEN(ReferenceData!$AS$218),"",ReferenceData!$AS$218),"")</f>
        <v>9598.0312379999996</v>
      </c>
      <c r="AT218">
        <f ca="1">IFERROR(IF(0=LEN(ReferenceData!$AT$218),"",ReferenceData!$AT$218),"")</f>
        <v>9362.982344</v>
      </c>
      <c r="AU218">
        <f ca="1">IFERROR(IF(0=LEN(ReferenceData!$AU$218),"",ReferenceData!$AU$218),"")</f>
        <v>9124.6135950000007</v>
      </c>
      <c r="AV218">
        <f ca="1">IFERROR(IF(0=LEN(ReferenceData!$AV$218),"",ReferenceData!$AV$218),"")</f>
        <v>8722.6365100000003</v>
      </c>
      <c r="AW218">
        <f ca="1">IFERROR(IF(0=LEN(ReferenceData!$AW$218),"",ReferenceData!$AW$218),"")</f>
        <v>9359.1089279999997</v>
      </c>
      <c r="AX218">
        <f ca="1">IFERROR(IF(0=LEN(ReferenceData!$AX$218),"",ReferenceData!$AX$218),"")</f>
        <v>9155.5567090000004</v>
      </c>
      <c r="AY218">
        <f ca="1">IFERROR(IF(0=LEN(ReferenceData!$AY$218),"",ReferenceData!$AY$218),"")</f>
        <v>9403.5030119999992</v>
      </c>
      <c r="AZ218">
        <f ca="1">IFERROR(IF(0=LEN(ReferenceData!$AZ$218),"",ReferenceData!$AZ$218),"")</f>
        <v>9241.152462</v>
      </c>
      <c r="BA218">
        <f ca="1">IFERROR(IF(0=LEN(ReferenceData!$BA$218),"",ReferenceData!$BA$218),"")</f>
        <v>9025.2316439999995</v>
      </c>
      <c r="BB218">
        <f ca="1">IFERROR(IF(0=LEN(ReferenceData!$BB$218),"",ReferenceData!$BB$218),"")</f>
        <v>8915.2608290000007</v>
      </c>
      <c r="BC218">
        <f ca="1">IFERROR(IF(0=LEN(ReferenceData!$BC$218),"",ReferenceData!$BC$218),"")</f>
        <v>8912.0317130000003</v>
      </c>
      <c r="BD218">
        <f ca="1">IFERROR(IF(0=LEN(ReferenceData!$BD$218),"",ReferenceData!$BD$218),"")</f>
        <v>8654.0294549999999</v>
      </c>
      <c r="BE218">
        <f ca="1">IFERROR(IF(0=LEN(ReferenceData!$BE$218),"",ReferenceData!$BE$218),"")</f>
        <v>8353.8171820000007</v>
      </c>
      <c r="BF218">
        <f ca="1">IFERROR(IF(0=LEN(ReferenceData!$BF$218),"",ReferenceData!$BF$218),"")</f>
        <v>6330.8285669999996</v>
      </c>
      <c r="BG218">
        <f ca="1">IFERROR(IF(0=LEN(ReferenceData!$BG$218),"",ReferenceData!$BG$218),"")</f>
        <v>6797.7925679999998</v>
      </c>
      <c r="BH218">
        <f ca="1">IFERROR(IF(0=LEN(ReferenceData!$BH$218),"",ReferenceData!$BH$218),"")</f>
        <v>4501.1375989999997</v>
      </c>
      <c r="BI218">
        <f ca="1">IFERROR(IF(0=LEN(ReferenceData!$BI$218),"",ReferenceData!$BI$218),"")</f>
        <v>4460.1698729999998</v>
      </c>
      <c r="BJ218">
        <f ca="1">IFERROR(IF(0=LEN(ReferenceData!$BJ$218),"",ReferenceData!$BJ$218),"")</f>
        <v>4696.0153499999997</v>
      </c>
      <c r="BK218">
        <f ca="1">IFERROR(IF(0=LEN(ReferenceData!$BK$218),"",ReferenceData!$BK$218),"")</f>
        <v>4705.708525</v>
      </c>
      <c r="BL218">
        <f ca="1">IFERROR(IF(0=LEN(ReferenceData!$BL$218),"",ReferenceData!$BL$218),"")</f>
        <v>4713.1002799999997</v>
      </c>
      <c r="BM218">
        <f ca="1">IFERROR(IF(0=LEN(ReferenceData!$BM$218),"",ReferenceData!$BM$218),"")</f>
        <v>4746.5858029999999</v>
      </c>
      <c r="BN218">
        <f ca="1">IFERROR(IF(0=LEN(ReferenceData!$BN$218),"",ReferenceData!$BN$218),"")</f>
        <v>4761.1255689999998</v>
      </c>
      <c r="BO218">
        <f ca="1">IFERROR(IF(0=LEN(ReferenceData!$BO$218),"",ReferenceData!$BO$218),"")</f>
        <v>4761.729891</v>
      </c>
      <c r="BP218">
        <f ca="1">IFERROR(IF(0=LEN(ReferenceData!$BP$218),"",ReferenceData!$BP$218),"")</f>
        <v>4576.7914350000001</v>
      </c>
      <c r="BQ218">
        <f ca="1">IFERROR(IF(0=LEN(ReferenceData!$BQ$218),"",ReferenceData!$BQ$218),"")</f>
        <v>4549.5117440000004</v>
      </c>
      <c r="BR218">
        <f ca="1">IFERROR(IF(0=LEN(ReferenceData!$BR$218),"",ReferenceData!$BR$218),"")</f>
        <v>4473.394714</v>
      </c>
      <c r="BS218">
        <f ca="1">IFERROR(IF(0=LEN(ReferenceData!$BS$218),"",ReferenceData!$BS$218),"")</f>
        <v>4503.3337590000001</v>
      </c>
      <c r="BT218">
        <f ca="1">IFERROR(IF(0=LEN(ReferenceData!$BT$218),"",ReferenceData!$BT$218),"")</f>
        <v>4529.0608590000002</v>
      </c>
      <c r="BU218">
        <f ca="1">IFERROR(IF(0=LEN(ReferenceData!$BU$218),"",ReferenceData!$BU$218),"")</f>
        <v>4514.7030249999998</v>
      </c>
      <c r="BV218">
        <f ca="1">IFERROR(IF(0=LEN(ReferenceData!$BV$218),"",ReferenceData!$BV$218),"")</f>
        <v>4555.9347150000003</v>
      </c>
      <c r="BW218">
        <f ca="1">IFERROR(IF(0=LEN(ReferenceData!$BW$218),"",ReferenceData!$BW$218),"")</f>
        <v>4513.6408270000002</v>
      </c>
      <c r="BX218">
        <f ca="1">IFERROR(IF(0=LEN(ReferenceData!$BX$218),"",ReferenceData!$BX$218),"")</f>
        <v>4421.0861720000003</v>
      </c>
      <c r="BY218">
        <f ca="1">IFERROR(IF(0=LEN(ReferenceData!$BY$218),"",ReferenceData!$BY$218),"")</f>
        <v>4449.3006660000001</v>
      </c>
      <c r="BZ218">
        <f ca="1">IFERROR(IF(0=LEN(ReferenceData!$BZ$218),"",ReferenceData!$BZ$218),"")</f>
        <v>4404.7269930000002</v>
      </c>
      <c r="CA218">
        <f ca="1">IFERROR(IF(0=LEN(ReferenceData!$CA$218),"",ReferenceData!$CA$218),"")</f>
        <v>4278.9609700000001</v>
      </c>
      <c r="CB218">
        <f ca="1">IFERROR(IF(0=LEN(ReferenceData!$CB$218),"",ReferenceData!$CB$218),"")</f>
        <v>4163.1931240000004</v>
      </c>
      <c r="CC218">
        <f ca="1">IFERROR(IF(0=LEN(ReferenceData!$CC$218),"",ReferenceData!$CC$218),"")</f>
        <v>4108.7191819999998</v>
      </c>
      <c r="CD218">
        <f ca="1">IFERROR(IF(0=LEN(ReferenceData!$CD$218),"",ReferenceData!$CD$218),"")</f>
        <v>3870.6081949999998</v>
      </c>
      <c r="CE218">
        <f ca="1">IFERROR(IF(0=LEN(ReferenceData!$CE$218),"",ReferenceData!$CE$218),"")</f>
        <v>4030.050115</v>
      </c>
      <c r="CF218">
        <f ca="1">IFERROR(IF(0=LEN(ReferenceData!$CF$218),"",ReferenceData!$CF$218),"")</f>
        <v>3944.847432</v>
      </c>
      <c r="CG218">
        <f ca="1">IFERROR(IF(0=LEN(ReferenceData!$CG$218),"",ReferenceData!$CG$218),"")</f>
        <v>4344.322819</v>
      </c>
      <c r="CH218">
        <f ca="1">IFERROR(IF(0=LEN(ReferenceData!$CH$218),"",ReferenceData!$CH$218),"")</f>
        <v>4285.9102979999998</v>
      </c>
      <c r="CI218">
        <f ca="1">IFERROR(IF(0=LEN(ReferenceData!$CI$218),"",ReferenceData!$CI$218),"")</f>
        <v>4157.5932929999999</v>
      </c>
      <c r="CJ218">
        <f ca="1">IFERROR(IF(0=LEN(ReferenceData!$CJ$218),"",ReferenceData!$CJ$218),"")</f>
        <v>4085.1955189999999</v>
      </c>
      <c r="CK218">
        <f ca="1">IFERROR(IF(0=LEN(ReferenceData!$CK$218),"",ReferenceData!$CK$218),"")</f>
        <v>3953.606851</v>
      </c>
    </row>
    <row r="219" spans="1:89">
      <c r="A219" t="str">
        <f>IFERROR(IF(0=LEN(ReferenceData!$A$219),"",ReferenceData!$A$219),"")</f>
        <v xml:space="preserve">    UDR 公司</v>
      </c>
      <c r="B219" t="str">
        <f>IFERROR(IF(0=LEN(ReferenceData!$B$219),"",ReferenceData!$B$219),"")</f>
        <v>UDR US Equity</v>
      </c>
      <c r="C219" t="str">
        <f>IFERROR(IF(0=LEN(ReferenceData!$C$219),"",ReferenceData!$C$219),"")</f>
        <v>F0826</v>
      </c>
      <c r="D219" t="str">
        <f>IFERROR(IF(0=LEN(ReferenceData!$D$219),"",ReferenceData!$D$219),"")</f>
        <v>INDUSTRY_STANDARDIZED_EV</v>
      </c>
      <c r="E219" t="str">
        <f>IFERROR(IF(0=LEN(ReferenceData!$E$219),"",ReferenceData!$E$219),"")</f>
        <v>动态</v>
      </c>
      <c r="F219">
        <f ca="1">IFERROR(IF(0=LEN(ReferenceData!$F$219),"",ReferenceData!$F$219),"")</f>
        <v>14030.49778</v>
      </c>
      <c r="G219">
        <f ca="1">IFERROR(IF(0=LEN(ReferenceData!$G$219),"",ReferenceData!$G$219),"")</f>
        <v>13509.567489999999</v>
      </c>
      <c r="H219">
        <f ca="1">IFERROR(IF(0=LEN(ReferenceData!$H$219),"",ReferenceData!$H$219),"")</f>
        <v>14341.68563</v>
      </c>
      <c r="I219">
        <f ca="1">IFERROR(IF(0=LEN(ReferenceData!$I$219),"",ReferenceData!$I$219),"")</f>
        <v>14920.01655</v>
      </c>
      <c r="J219">
        <f ca="1">IFERROR(IF(0=LEN(ReferenceData!$J$219),"",ReferenceData!$J$219),"")</f>
        <v>15168.677009999999</v>
      </c>
      <c r="K219">
        <f ca="1">IFERROR(IF(0=LEN(ReferenceData!$K$219),"",ReferenceData!$K$219),"")</f>
        <v>15011.642110000001</v>
      </c>
      <c r="L219">
        <f ca="1">IFERROR(IF(0=LEN(ReferenceData!$L$219),"",ReferenceData!$L$219),"")</f>
        <v>14783.67685</v>
      </c>
      <c r="M219">
        <f ca="1">IFERROR(IF(0=LEN(ReferenceData!$M$219),"",ReferenceData!$M$219),"")</f>
        <v>14968.81178</v>
      </c>
      <c r="N219">
        <f ca="1">IFERROR(IF(0=LEN(ReferenceData!$N$219),"",ReferenceData!$N$219),"")</f>
        <v>15047.28889</v>
      </c>
      <c r="O219">
        <f ca="1">IFERROR(IF(0=LEN(ReferenceData!$O$219),"",ReferenceData!$O$219),"")</f>
        <v>15005.337159999999</v>
      </c>
      <c r="P219">
        <f ca="1">IFERROR(IF(0=LEN(ReferenceData!$P$219),"",ReferenceData!$P$219),"")</f>
        <v>14804.81511</v>
      </c>
      <c r="Q219">
        <f ca="1">IFERROR(IF(0=LEN(ReferenceData!$Q$219),"",ReferenceData!$Q$219),"")</f>
        <v>14435.762549999999</v>
      </c>
      <c r="R219">
        <f ca="1">IFERROR(IF(0=LEN(ReferenceData!$R$219),"",ReferenceData!$R$219),"")</f>
        <v>14122.10737</v>
      </c>
      <c r="S219">
        <f ca="1">IFERROR(IF(0=LEN(ReferenceData!$S$219),"",ReferenceData!$S$219),"")</f>
        <v>14118.19644</v>
      </c>
      <c r="T219">
        <f ca="1">IFERROR(IF(0=LEN(ReferenceData!$T$219),"",ReferenceData!$T$219),"")</f>
        <v>13699.49804</v>
      </c>
      <c r="U219">
        <f ca="1">IFERROR(IF(0=LEN(ReferenceData!$U$219),"",ReferenceData!$U$219),"")</f>
        <v>14108.38811</v>
      </c>
      <c r="V219">
        <f ca="1">IFERROR(IF(0=LEN(ReferenceData!$V$219),"",ReferenceData!$V$219),"")</f>
        <v>13588.53098</v>
      </c>
      <c r="W219">
        <f ca="1">IFERROR(IF(0=LEN(ReferenceData!$W$219),"",ReferenceData!$W$219),"")</f>
        <v>13837.07201</v>
      </c>
      <c r="X219">
        <f ca="1">IFERROR(IF(0=LEN(ReferenceData!$X$219),"",ReferenceData!$X$219),"")</f>
        <v>14091.4</v>
      </c>
      <c r="Y219">
        <f ca="1">IFERROR(IF(0=LEN(ReferenceData!$Y$219),"",ReferenceData!$Y$219),"")</f>
        <v>14018.7762</v>
      </c>
      <c r="Z219">
        <f ca="1">IFERROR(IF(0=LEN(ReferenceData!$Z$219),"",ReferenceData!$Z$219),"")</f>
        <v>14323.796130000001</v>
      </c>
      <c r="AA219">
        <f ca="1">IFERROR(IF(0=LEN(ReferenceData!$AA$219),"",ReferenceData!$AA$219),"")</f>
        <v>14236.68334</v>
      </c>
      <c r="AB219">
        <f ca="1">IFERROR(IF(0=LEN(ReferenceData!$AB$219),"",ReferenceData!$AB$219),"")</f>
        <v>13924.98669</v>
      </c>
      <c r="AC219">
        <f ca="1">IFERROR(IF(0=LEN(ReferenceData!$AC$219),"",ReferenceData!$AC$219),"")</f>
        <v>13602.446330000001</v>
      </c>
      <c r="AD219">
        <f ca="1">IFERROR(IF(0=LEN(ReferenceData!$AD$219),"",ReferenceData!$AD$219),"")</f>
        <v>14651.497139999999</v>
      </c>
      <c r="AE219">
        <f ca="1">IFERROR(IF(0=LEN(ReferenceData!$AE$219),"",ReferenceData!$AE$219),"")</f>
        <v>13556.82141</v>
      </c>
      <c r="AF219">
        <f ca="1">IFERROR(IF(0=LEN(ReferenceData!$AF$219),"",ReferenceData!$AF$219),"")</f>
        <v>13882.92497</v>
      </c>
      <c r="AG219">
        <f ca="1">IFERROR(IF(0=LEN(ReferenceData!$AG$219),"",ReferenceData!$AG$219),"")</f>
        <v>14401.71513</v>
      </c>
      <c r="AH219">
        <f ca="1">IFERROR(IF(0=LEN(ReferenceData!$AH$219),"",ReferenceData!$AH$219),"")</f>
        <v>13542.36908</v>
      </c>
      <c r="AI219">
        <f ca="1">IFERROR(IF(0=LEN(ReferenceData!$AI$219),"",ReferenceData!$AI$219),"")</f>
        <v>12900.431769999999</v>
      </c>
      <c r="AJ219">
        <f ca="1">IFERROR(IF(0=LEN(ReferenceData!$AJ$219),"",ReferenceData!$AJ$219),"")</f>
        <v>12819.46451</v>
      </c>
      <c r="AK219">
        <f ca="1">IFERROR(IF(0=LEN(ReferenceData!$AK$219),"",ReferenceData!$AK$219),"")</f>
        <v>12307.763370000001</v>
      </c>
      <c r="AL219">
        <f ca="1">IFERROR(IF(0=LEN(ReferenceData!$AL$219),"",ReferenceData!$AL$219),"")</f>
        <v>12616.265729999999</v>
      </c>
      <c r="AM219">
        <f ca="1">IFERROR(IF(0=LEN(ReferenceData!$AM$219),"",ReferenceData!$AM$219),"")</f>
        <v>12138.335290000001</v>
      </c>
      <c r="AN219">
        <f ca="1">IFERROR(IF(0=LEN(ReferenceData!$AN$219),"",ReferenceData!$AN$219),"")</f>
        <v>12231.78393</v>
      </c>
      <c r="AO219">
        <f ca="1">IFERROR(IF(0=LEN(ReferenceData!$AO$219),"",ReferenceData!$AO$219),"")</f>
        <v>12287.72776</v>
      </c>
      <c r="AP219">
        <f ca="1">IFERROR(IF(0=LEN(ReferenceData!$AP$219),"",ReferenceData!$AP$219),"")</f>
        <v>12615.896839999999</v>
      </c>
      <c r="AQ219">
        <f ca="1">IFERROR(IF(0=LEN(ReferenceData!$AQ$219),"",ReferenceData!$AQ$219),"")</f>
        <v>12144.95599</v>
      </c>
      <c r="AR219">
        <f ca="1">IFERROR(IF(0=LEN(ReferenceData!$AR$219),"",ReferenceData!$AR$219),"")</f>
        <v>12368.5262</v>
      </c>
      <c r="AS219">
        <f ca="1">IFERROR(IF(0=LEN(ReferenceData!$AS$219),"",ReferenceData!$AS$219),"")</f>
        <v>11937.31322</v>
      </c>
      <c r="AT219">
        <f ca="1">IFERROR(IF(0=LEN(ReferenceData!$AT$219),"",ReferenceData!$AT$219),"")</f>
        <v>11745.574189999999</v>
      </c>
      <c r="AU219">
        <f ca="1">IFERROR(IF(0=LEN(ReferenceData!$AU$219),"",ReferenceData!$AU$219),"")</f>
        <v>11601.11327</v>
      </c>
      <c r="AV219">
        <f ca="1">IFERROR(IF(0=LEN(ReferenceData!$AV$219),"",ReferenceData!$AV$219),"")</f>
        <v>10722.54709</v>
      </c>
      <c r="AW219">
        <f ca="1">IFERROR(IF(0=LEN(ReferenceData!$AW$219),"",ReferenceData!$AW$219),"")</f>
        <v>11525.604170000001</v>
      </c>
      <c r="AX219">
        <f ca="1">IFERROR(IF(0=LEN(ReferenceData!$AX$219),"",ReferenceData!$AX$219),"")</f>
        <v>11307.822</v>
      </c>
      <c r="AY219">
        <f ca="1">IFERROR(IF(0=LEN(ReferenceData!$AY$219),"",ReferenceData!$AY$219),"")</f>
        <v>11183.430630000001</v>
      </c>
      <c r="AZ219">
        <f ca="1">IFERROR(IF(0=LEN(ReferenceData!$AZ$219),"",ReferenceData!$AZ$219),"")</f>
        <v>10787.40991</v>
      </c>
      <c r="BA219">
        <f ca="1">IFERROR(IF(0=LEN(ReferenceData!$BA$219),"",ReferenceData!$BA$219),"")</f>
        <v>10357.47329</v>
      </c>
      <c r="BB219">
        <f ca="1">IFERROR(IF(0=LEN(ReferenceData!$BB$219),"",ReferenceData!$BB$219),"")</f>
        <v>10349.801890000001</v>
      </c>
      <c r="BC219">
        <f ca="1">IFERROR(IF(0=LEN(ReferenceData!$BC$219),"",ReferenceData!$BC$219),"")</f>
        <v>10225.807989999999</v>
      </c>
      <c r="BD219">
        <f ca="1">IFERROR(IF(0=LEN(ReferenceData!$BD$219),"",ReferenceData!$BD$219),"")</f>
        <v>9828.1451649999999</v>
      </c>
      <c r="BE219">
        <f ca="1">IFERROR(IF(0=LEN(ReferenceData!$BE$219),"",ReferenceData!$BE$219),"")</f>
        <v>9572.4183150000008</v>
      </c>
      <c r="BF219">
        <f ca="1">IFERROR(IF(0=LEN(ReferenceData!$BF$219),"",ReferenceData!$BF$219),"")</f>
        <v>9510.373904</v>
      </c>
      <c r="BG219">
        <f ca="1">IFERROR(IF(0=LEN(ReferenceData!$BG$219),"",ReferenceData!$BG$219),"")</f>
        <v>9908.1726419999995</v>
      </c>
      <c r="BH219">
        <f ca="1">IFERROR(IF(0=LEN(ReferenceData!$BH$219),"",ReferenceData!$BH$219),"")</f>
        <v>9621.5115870000009</v>
      </c>
      <c r="BI219">
        <f ca="1">IFERROR(IF(0=LEN(ReferenceData!$BI$219),"",ReferenceData!$BI$219),"")</f>
        <v>9268.4952159999993</v>
      </c>
      <c r="BJ219">
        <f ca="1">IFERROR(IF(0=LEN(ReferenceData!$BJ$219),"",ReferenceData!$BJ$219),"")</f>
        <v>9901.3645120000001</v>
      </c>
      <c r="BK219">
        <f ca="1">IFERROR(IF(0=LEN(ReferenceData!$BK$219),"",ReferenceData!$BK$219),"")</f>
        <v>10017.66649</v>
      </c>
      <c r="BL219">
        <f ca="1">IFERROR(IF(0=LEN(ReferenceData!$BL$219),"",ReferenceData!$BL$219),"")</f>
        <v>9836.0405510000001</v>
      </c>
      <c r="BM219">
        <f ca="1">IFERROR(IF(0=LEN(ReferenceData!$BM$219),"",ReferenceData!$BM$219),"")</f>
        <v>9876.4236149999997</v>
      </c>
      <c r="BN219">
        <f ca="1">IFERROR(IF(0=LEN(ReferenceData!$BN$219),"",ReferenceData!$BN$219),"")</f>
        <v>9775.8780829999996</v>
      </c>
      <c r="BO219">
        <f ca="1">IFERROR(IF(0=LEN(ReferenceData!$BO$219),"",ReferenceData!$BO$219),"")</f>
        <v>9596.5247139999992</v>
      </c>
      <c r="BP219">
        <f ca="1">IFERROR(IF(0=LEN(ReferenceData!$BP$219),"",ReferenceData!$BP$219),"")</f>
        <v>9603.2298050000009</v>
      </c>
      <c r="BQ219">
        <f ca="1">IFERROR(IF(0=LEN(ReferenceData!$BQ$219),"",ReferenceData!$BQ$219),"")</f>
        <v>9574.8732650000002</v>
      </c>
      <c r="BR219">
        <f ca="1">IFERROR(IF(0=LEN(ReferenceData!$BR$219),"",ReferenceData!$BR$219),"")</f>
        <v>9242.6666229999992</v>
      </c>
      <c r="BS219">
        <f ca="1">IFERROR(IF(0=LEN(ReferenceData!$BS$219),"",ReferenceData!$BS$219),"")</f>
        <v>9567.4830480000001</v>
      </c>
      <c r="BT219">
        <f ca="1">IFERROR(IF(0=LEN(ReferenceData!$BT$219),"",ReferenceData!$BT$219),"")</f>
        <v>9710.9756579999994</v>
      </c>
      <c r="BU219">
        <f ca="1">IFERROR(IF(0=LEN(ReferenceData!$BU$219),"",ReferenceData!$BU$219),"")</f>
        <v>9723.5620249999993</v>
      </c>
      <c r="BV219">
        <f ca="1">IFERROR(IF(0=LEN(ReferenceData!$BV$219),"",ReferenceData!$BV$219),"")</f>
        <v>9998.6204359999992</v>
      </c>
      <c r="BW219">
        <f ca="1">IFERROR(IF(0=LEN(ReferenceData!$BW$219),"",ReferenceData!$BW$219),"")</f>
        <v>9802.2497629999998</v>
      </c>
      <c r="BX219">
        <f ca="1">IFERROR(IF(0=LEN(ReferenceData!$BX$219),"",ReferenceData!$BX$219),"")</f>
        <v>11033.58251</v>
      </c>
      <c r="BY219">
        <f ca="1">IFERROR(IF(0=LEN(ReferenceData!$BY$219),"",ReferenceData!$BY$219),"")</f>
        <v>10125.303389999999</v>
      </c>
      <c r="BZ219">
        <f ca="1">IFERROR(IF(0=LEN(ReferenceData!$BZ$219),"",ReferenceData!$BZ$219),"")</f>
        <v>10213.087159999999</v>
      </c>
      <c r="CA219">
        <f ca="1">IFERROR(IF(0=LEN(ReferenceData!$CA$219),"",ReferenceData!$CA$219),"")</f>
        <v>9818.6493859999991</v>
      </c>
      <c r="CB219">
        <f ca="1">IFERROR(IF(0=LEN(ReferenceData!$CB$219),"",ReferenceData!$CB$219),"")</f>
        <v>9937.8383479999993</v>
      </c>
      <c r="CC219">
        <f ca="1">IFERROR(IF(0=LEN(ReferenceData!$CC$219),"",ReferenceData!$CC$219),"")</f>
        <v>9729.2629149999993</v>
      </c>
      <c r="CD219">
        <f ca="1">IFERROR(IF(0=LEN(ReferenceData!$CD$219),"",ReferenceData!$CD$219),"")</f>
        <v>9436.6754189999992</v>
      </c>
      <c r="CE219">
        <f ca="1">IFERROR(IF(0=LEN(ReferenceData!$CE$219),"",ReferenceData!$CE$219),"")</f>
        <v>9761.803242</v>
      </c>
      <c r="CF219">
        <f ca="1">IFERROR(IF(0=LEN(ReferenceData!$CF$219),"",ReferenceData!$CF$219),"")</f>
        <v>9129.1504029999996</v>
      </c>
      <c r="CG219">
        <f ca="1">IFERROR(IF(0=LEN(ReferenceData!$CG$219),"",ReferenceData!$CG$219),"")</f>
        <v>9865.3118979999999</v>
      </c>
      <c r="CH219">
        <f ca="1">IFERROR(IF(0=LEN(ReferenceData!$CH$219),"",ReferenceData!$CH$219),"")</f>
        <v>9655.3439550000003</v>
      </c>
      <c r="CI219">
        <f ca="1">IFERROR(IF(0=LEN(ReferenceData!$CI$219),"",ReferenceData!$CI$219),"")</f>
        <v>8656.2826750000004</v>
      </c>
      <c r="CJ219">
        <f ca="1">IFERROR(IF(0=LEN(ReferenceData!$CJ$219),"",ReferenceData!$CJ$219),"")</f>
        <v>8674.4412040000007</v>
      </c>
      <c r="CK219">
        <f ca="1">IFERROR(IF(0=LEN(ReferenceData!$CK$219),"",ReferenceData!$CK$219),"")</f>
        <v>8453.0748839999997</v>
      </c>
    </row>
    <row r="220" spans="1:89">
      <c r="A220" t="str">
        <f>IFERROR(IF(0=LEN(ReferenceData!$A$220),"",ReferenceData!$A$220),"")</f>
        <v>最新价格</v>
      </c>
      <c r="B220" t="str">
        <f>IFERROR(IF(0=LEN(ReferenceData!$B$220),"",ReferenceData!$B$220),"")</f>
        <v/>
      </c>
      <c r="C220" t="str">
        <f>IFERROR(IF(0=LEN(ReferenceData!$C$220),"",ReferenceData!$C$220),"")</f>
        <v/>
      </c>
      <c r="D220" t="str">
        <f>IFERROR(IF(0=LEN(ReferenceData!$D$220),"",ReferenceData!$D$220),"")</f>
        <v/>
      </c>
      <c r="E220" t="str">
        <f>IFERROR(IF(0=LEN(ReferenceData!$E$220),"",ReferenceData!$E$220),"")</f>
        <v>Average</v>
      </c>
      <c r="F220">
        <f ca="1">IFERROR(IF(0=LEN(ReferenceData!$F$220),"",ReferenceData!$F$220),"")</f>
        <v>101.03</v>
      </c>
      <c r="G220">
        <f ca="1">IFERROR(IF(0=LEN(ReferenceData!$G$220),"",ReferenceData!$G$220),"")</f>
        <v>96.27</v>
      </c>
      <c r="H220">
        <f ca="1">IFERROR(IF(0=LEN(ReferenceData!$H$220),"",ReferenceData!$H$220),"")</f>
        <v>103.61285714285714</v>
      </c>
      <c r="I220">
        <f ca="1">IFERROR(IF(0=LEN(ReferenceData!$I$220),"",ReferenceData!$I$220),"")</f>
        <v>108.34285714285713</v>
      </c>
      <c r="J220">
        <f ca="1">IFERROR(IF(0=LEN(ReferenceData!$J$220),"",ReferenceData!$J$220),"")</f>
        <v>110.3257142857143</v>
      </c>
      <c r="K220">
        <f ca="1">IFERROR(IF(0=LEN(ReferenceData!$K$220),"",ReferenceData!$K$220),"")</f>
        <v>112.48285714285714</v>
      </c>
      <c r="L220">
        <f ca="1">IFERROR(IF(0=LEN(ReferenceData!$L$220),"",ReferenceData!$L$220),"")</f>
        <v>98.82374999999999</v>
      </c>
      <c r="M220">
        <f ca="1">IFERROR(IF(0=LEN(ReferenceData!$M$220),"",ReferenceData!$M$220),"")</f>
        <v>101.61750000000002</v>
      </c>
      <c r="N220">
        <f ca="1">IFERROR(IF(0=LEN(ReferenceData!$N$220),"",ReferenceData!$N$220),"")</f>
        <v>101.49249999999999</v>
      </c>
      <c r="O220">
        <f ca="1">IFERROR(IF(0=LEN(ReferenceData!$O$220),"",ReferenceData!$O$220),"")</f>
        <v>99.726250000000007</v>
      </c>
      <c r="P220">
        <f ca="1">IFERROR(IF(0=LEN(ReferenceData!$P$220),"",ReferenceData!$P$220),"")</f>
        <v>98.70750000000001</v>
      </c>
      <c r="Q220">
        <f ca="1">IFERROR(IF(0=LEN(ReferenceData!$Q$220),"",ReferenceData!$Q$220),"")</f>
        <v>96.461250000000007</v>
      </c>
      <c r="R220">
        <f ca="1">IFERROR(IF(0=LEN(ReferenceData!$R$220),"",ReferenceData!$R$220),"")</f>
        <v>93.766249999999999</v>
      </c>
      <c r="S220">
        <f ca="1">IFERROR(IF(0=LEN(ReferenceData!$S$220),"",ReferenceData!$S$220),"")</f>
        <v>95.28125</v>
      </c>
      <c r="T220">
        <f ca="1">IFERROR(IF(0=LEN(ReferenceData!$T$220),"",ReferenceData!$T$220),"")</f>
        <v>90.761250000000004</v>
      </c>
      <c r="U220">
        <f ca="1">IFERROR(IF(0=LEN(ReferenceData!$U$220),"",ReferenceData!$U$220),"")</f>
        <v>93.59375</v>
      </c>
      <c r="V220">
        <f ca="1">IFERROR(IF(0=LEN(ReferenceData!$V$220),"",ReferenceData!$V$220),"")</f>
        <v>87.178749999999994</v>
      </c>
      <c r="W220">
        <f ca="1">IFERROR(IF(0=LEN(ReferenceData!$W$220),"",ReferenceData!$W$220),"")</f>
        <v>88.848749999999995</v>
      </c>
      <c r="X220">
        <f ca="1">IFERROR(IF(0=LEN(ReferenceData!$X$220),"",ReferenceData!$X$220),"")</f>
        <v>91.892499999999998</v>
      </c>
      <c r="Y220">
        <f ca="1">IFERROR(IF(0=LEN(ReferenceData!$Y$220),"",ReferenceData!$Y$220),"")</f>
        <v>92.577499999999986</v>
      </c>
      <c r="Z220">
        <f ca="1">IFERROR(IF(0=LEN(ReferenceData!$Z$220),"",ReferenceData!$Z$220),"")</f>
        <v>97.13000000000001</v>
      </c>
      <c r="AA220">
        <f ca="1">IFERROR(IF(0=LEN(ReferenceData!$AA$220),"",ReferenceData!$AA$220),"")</f>
        <v>95.433749999999989</v>
      </c>
      <c r="AB220">
        <f ca="1">IFERROR(IF(0=LEN(ReferenceData!$AB$220),"",ReferenceData!$AB$220),"")</f>
        <v>94.16749999999999</v>
      </c>
      <c r="AC220">
        <f ca="1">IFERROR(IF(0=LEN(ReferenceData!$AC$220),"",ReferenceData!$AC$220),"")</f>
        <v>90.857499999999987</v>
      </c>
      <c r="AD220">
        <f ca="1">IFERROR(IF(0=LEN(ReferenceData!$AD$220),"",ReferenceData!$AD$220),"")</f>
        <v>96.95</v>
      </c>
      <c r="AE220">
        <f ca="1">IFERROR(IF(0=LEN(ReferenceData!$AE$220),"",ReferenceData!$AE$220),"")</f>
        <v>87.513750000000016</v>
      </c>
      <c r="AF220">
        <f ca="1">IFERROR(IF(0=LEN(ReferenceData!$AF$220),"",ReferenceData!$AF$220),"")</f>
        <v>89.408750000000012</v>
      </c>
      <c r="AG220">
        <f ca="1">IFERROR(IF(0=LEN(ReferenceData!$AG$220),"",ReferenceData!$AG$220),"")</f>
        <v>95.007500000000007</v>
      </c>
      <c r="AH220">
        <f ca="1">IFERROR(IF(0=LEN(ReferenceData!$AH$220),"",ReferenceData!$AH$220),"")</f>
        <v>92.792500000000004</v>
      </c>
      <c r="AI220">
        <f ca="1">IFERROR(IF(0=LEN(ReferenceData!$AI$220),"",ReferenceData!$AI$220),"")</f>
        <v>89.385000000000005</v>
      </c>
      <c r="AJ220">
        <f ca="1">IFERROR(IF(0=LEN(ReferenceData!$AJ$220),"",ReferenceData!$AJ$220),"")</f>
        <v>88.742499999999993</v>
      </c>
      <c r="AK220">
        <f ca="1">IFERROR(IF(0=LEN(ReferenceData!$AK$220),"",ReferenceData!$AK$220),"")</f>
        <v>84.892499999999998</v>
      </c>
      <c r="AL220">
        <f ca="1">IFERROR(IF(0=LEN(ReferenceData!$AL$220),"",ReferenceData!$AL$220),"")</f>
        <v>89.282499999999999</v>
      </c>
      <c r="AM220">
        <f ca="1">IFERROR(IF(0=LEN(ReferenceData!$AM$220),"",ReferenceData!$AM$220),"")</f>
        <v>83.451249999999987</v>
      </c>
      <c r="AN220">
        <f ca="1">IFERROR(IF(0=LEN(ReferenceData!$AN$220),"",ReferenceData!$AN$220),"")</f>
        <v>86.858750000000015</v>
      </c>
      <c r="AO220">
        <f ca="1">IFERROR(IF(0=LEN(ReferenceData!$AO$220),"",ReferenceData!$AO$220),"")</f>
        <v>86.222500000000011</v>
      </c>
      <c r="AP220">
        <f ca="1">IFERROR(IF(0=LEN(ReferenceData!$AP$220),"",ReferenceData!$AP$220),"")</f>
        <v>90.015000000000001</v>
      </c>
      <c r="AQ220">
        <f ca="1">IFERROR(IF(0=LEN(ReferenceData!$AQ$220),"",ReferenceData!$AQ$220),"")</f>
        <v>86.486250000000013</v>
      </c>
      <c r="AR220">
        <f ca="1">IFERROR(IF(0=LEN(ReferenceData!$AR$220),"",ReferenceData!$AR$220),"")</f>
        <v>89.41125000000001</v>
      </c>
      <c r="AS220">
        <f ca="1">IFERROR(IF(0=LEN(ReferenceData!$AS$220),"",ReferenceData!$AS$220),"")</f>
        <v>83.447500000000005</v>
      </c>
      <c r="AT220">
        <f ca="1">IFERROR(IF(0=LEN(ReferenceData!$AT$220),"",ReferenceData!$AT$220),"")</f>
        <v>82.739374999999995</v>
      </c>
      <c r="AU220">
        <f ca="1">IFERROR(IF(0=LEN(ReferenceData!$AU$220),"",ReferenceData!$AU$220),"")</f>
        <v>91.501428571428576</v>
      </c>
      <c r="AV220">
        <f ca="1">IFERROR(IF(0=LEN(ReferenceData!$AV$220),"",ReferenceData!$AV$220),"")</f>
        <v>82.078571428571422</v>
      </c>
      <c r="AW220">
        <f ca="1">IFERROR(IF(0=LEN(ReferenceData!$AW$220),"",ReferenceData!$AW$220),"")</f>
        <v>89.338571428571427</v>
      </c>
      <c r="AX220">
        <f ca="1">IFERROR(IF(0=LEN(ReferenceData!$AX$220),"",ReferenceData!$AX$220),"")</f>
        <v>86.834285714285713</v>
      </c>
      <c r="AY220">
        <f ca="1">IFERROR(IF(0=LEN(ReferenceData!$AY$220),"",ReferenceData!$AY$220),"")</f>
        <v>85.028571428571425</v>
      </c>
      <c r="AZ220">
        <f ca="1">IFERROR(IF(0=LEN(ReferenceData!$AZ$220),"",ReferenceData!$AZ$220),"")</f>
        <v>83.741428571428585</v>
      </c>
      <c r="BA220">
        <f ca="1">IFERROR(IF(0=LEN(ReferenceData!$BA$220),"",ReferenceData!$BA$220),"")</f>
        <v>80.582857142857151</v>
      </c>
      <c r="BB220">
        <f ca="1">IFERROR(IF(0=LEN(ReferenceData!$BB$220),"",ReferenceData!$BB$220),"")</f>
        <v>78.717142857142875</v>
      </c>
      <c r="BC220">
        <f ca="1">IFERROR(IF(0=LEN(ReferenceData!$BC$220),"",ReferenceData!$BC$220),"")</f>
        <v>77.818571428571417</v>
      </c>
      <c r="BD220">
        <f ca="1">IFERROR(IF(0=LEN(ReferenceData!$BD$220),"",ReferenceData!$BD$220),"")</f>
        <v>73.702857142857155</v>
      </c>
      <c r="BE220">
        <f ca="1">IFERROR(IF(0=LEN(ReferenceData!$BE$220),"",ReferenceData!$BE$220),"")</f>
        <v>68.641428571428577</v>
      </c>
      <c r="BF220">
        <f ca="1">IFERROR(IF(0=LEN(ReferenceData!$BF$220),"",ReferenceData!$BF$220),"")</f>
        <v>69.778571428571439</v>
      </c>
      <c r="BG220">
        <f ca="1">IFERROR(IF(0=LEN(ReferenceData!$BG$220),"",ReferenceData!$BG$220),"")</f>
        <v>74.54285714285713</v>
      </c>
      <c r="BH220">
        <f ca="1">IFERROR(IF(0=LEN(ReferenceData!$BH$220),"",ReferenceData!$BH$220),"")</f>
        <v>71.991428571428571</v>
      </c>
      <c r="BI220">
        <f ca="1">IFERROR(IF(0=LEN(ReferenceData!$BI$220),"",ReferenceData!$BI$220),"")</f>
        <v>70.381428571428572</v>
      </c>
      <c r="BJ220">
        <f ca="1">IFERROR(IF(0=LEN(ReferenceData!$BJ$220),"",ReferenceData!$BJ$220),"")</f>
        <v>77.877142857142843</v>
      </c>
      <c r="BK220">
        <f ca="1">IFERROR(IF(0=LEN(ReferenceData!$BK$220),"",ReferenceData!$BK$220),"")</f>
        <v>77.761428571428567</v>
      </c>
      <c r="BL220">
        <f ca="1">IFERROR(IF(0=LEN(ReferenceData!$BL$220),"",ReferenceData!$BL$220),"")</f>
        <v>76.885714285714272</v>
      </c>
      <c r="BM220">
        <f ca="1">IFERROR(IF(0=LEN(ReferenceData!$BM$220),"",ReferenceData!$BM$220),"")</f>
        <v>77.844285714285704</v>
      </c>
      <c r="BN220">
        <f ca="1">IFERROR(IF(0=LEN(ReferenceData!$BN$220),"",ReferenceData!$BN$220),"")</f>
        <v>74.985714285714295</v>
      </c>
      <c r="BO220">
        <f ca="1">IFERROR(IF(0=LEN(ReferenceData!$BO$220),"",ReferenceData!$BO$220),"")</f>
        <v>74.417142857142849</v>
      </c>
      <c r="BP220">
        <f ca="1">IFERROR(IF(0=LEN(ReferenceData!$BP$220),"",ReferenceData!$BP$220),"")</f>
        <v>74.984285714285718</v>
      </c>
      <c r="BQ220">
        <f ca="1">IFERROR(IF(0=LEN(ReferenceData!$BQ$220),"",ReferenceData!$BQ$220),"")</f>
        <v>74.672857142857154</v>
      </c>
      <c r="BR220">
        <f ca="1">IFERROR(IF(0=LEN(ReferenceData!$BR$220),"",ReferenceData!$BR$220),"")</f>
        <v>71.984285714285718</v>
      </c>
      <c r="BS220">
        <f ca="1">IFERROR(IF(0=LEN(ReferenceData!$BS$220),"",ReferenceData!$BS$220),"")</f>
        <v>74.895714285714277</v>
      </c>
      <c r="BT220">
        <f ca="1">IFERROR(IF(0=LEN(ReferenceData!$BT$220),"",ReferenceData!$BT$220),"")</f>
        <v>74.624285714285719</v>
      </c>
      <c r="BU220">
        <f ca="1">IFERROR(IF(0=LEN(ReferenceData!$BU$220),"",ReferenceData!$BU$220),"")</f>
        <v>77.58</v>
      </c>
      <c r="BV220">
        <f ca="1">IFERROR(IF(0=LEN(ReferenceData!$BV$220),"",ReferenceData!$BV$220),"")</f>
        <v>80.334285714285713</v>
      </c>
      <c r="BW220">
        <f ca="1">IFERROR(IF(0=LEN(ReferenceData!$BW$220),"",ReferenceData!$BW$220),"")</f>
        <v>78.077142857142874</v>
      </c>
      <c r="BX220">
        <f ca="1">IFERROR(IF(0=LEN(ReferenceData!$BX$220),"",ReferenceData!$BX$220),"")</f>
        <v>76.682857142857145</v>
      </c>
      <c r="BY220">
        <f ca="1">IFERROR(IF(0=LEN(ReferenceData!$BY$220),"",ReferenceData!$BY$220),"")</f>
        <v>79.147142857142867</v>
      </c>
      <c r="BZ220">
        <f ca="1">IFERROR(IF(0=LEN(ReferenceData!$BZ$220),"",ReferenceData!$BZ$220),"")</f>
        <v>77.34</v>
      </c>
      <c r="CA220">
        <f ca="1">IFERROR(IF(0=LEN(ReferenceData!$CA$220),"",ReferenceData!$CA$220),"")</f>
        <v>71.539999999999992</v>
      </c>
      <c r="CB220">
        <f ca="1">IFERROR(IF(0=LEN(ReferenceData!$CB$220),"",ReferenceData!$CB$220),"")</f>
        <v>74.080000000000013</v>
      </c>
      <c r="CC220">
        <f ca="1">IFERROR(IF(0=LEN(ReferenceData!$CC$220),"",ReferenceData!$CC$220),"")</f>
        <v>71.562857142857141</v>
      </c>
      <c r="CD220">
        <f ca="1">IFERROR(IF(0=LEN(ReferenceData!$CD$220),"",ReferenceData!$CD$220),"")</f>
        <v>67.602857142857133</v>
      </c>
      <c r="CE220">
        <f ca="1">IFERROR(IF(0=LEN(ReferenceData!$CE$220),"",ReferenceData!$CE$220),"")</f>
        <v>72.53857142857143</v>
      </c>
      <c r="CF220">
        <f ca="1">IFERROR(IF(0=LEN(ReferenceData!$CF$220),"",ReferenceData!$CF$220),"")</f>
        <v>63.671428571428564</v>
      </c>
      <c r="CG220">
        <f ca="1">IFERROR(IF(0=LEN(ReferenceData!$CG$220),"",ReferenceData!$CG$220),"")</f>
        <v>76.098571428571432</v>
      </c>
      <c r="CH220">
        <f ca="1">IFERROR(IF(0=LEN(ReferenceData!$CH$220),"",ReferenceData!$CH$220),"")</f>
        <v>75.405714285714296</v>
      </c>
      <c r="CI220">
        <f ca="1">IFERROR(IF(0=LEN(ReferenceData!$CI$220),"",ReferenceData!$CI$220),"")</f>
        <v>72.122857142857157</v>
      </c>
      <c r="CJ220">
        <f ca="1">IFERROR(IF(0=LEN(ReferenceData!$CJ$220),"",ReferenceData!$CJ$220),"")</f>
        <v>74.018571428571434</v>
      </c>
      <c r="CK220">
        <f ca="1">IFERROR(IF(0=LEN(ReferenceData!$CK$220),"",ReferenceData!$CK$220),"")</f>
        <v>72.039999999999992</v>
      </c>
    </row>
    <row r="221" spans="1:89">
      <c r="A221" t="str">
        <f>IFERROR(IF(0=LEN(ReferenceData!$A$221),"",ReferenceData!$A$221),"")</f>
        <v xml:space="preserve">    Apartment Investment &amp; Managem</v>
      </c>
      <c r="B221" t="str">
        <f>IFERROR(IF(0=LEN(ReferenceData!$B$221),"",ReferenceData!$B$221),"")</f>
        <v>AIV US Equity</v>
      </c>
      <c r="C221" t="str">
        <f>IFERROR(IF(0=LEN(ReferenceData!$C$221),"",ReferenceData!$C$221),"")</f>
        <v>PR005</v>
      </c>
      <c r="D221" t="str">
        <f>IFERROR(IF(0=LEN(ReferenceData!$D$221),"",ReferenceData!$D$221),"")</f>
        <v>PX_LAST</v>
      </c>
      <c r="E221" t="str">
        <f>IFERROR(IF(0=LEN(ReferenceData!$E$221),"",ReferenceData!$E$221),"")</f>
        <v>动态</v>
      </c>
      <c r="F221">
        <f ca="1">IFERROR(IF(0=LEN(ReferenceData!$F$221),"",ReferenceData!$F$221),"")</f>
        <v>40.04</v>
      </c>
      <c r="G221">
        <f ca="1">IFERROR(IF(0=LEN(ReferenceData!$G$221),"",ReferenceData!$G$221),"")</f>
        <v>38.659999999999997</v>
      </c>
      <c r="H221">
        <f ca="1">IFERROR(IF(0=LEN(ReferenceData!$H$221),"",ReferenceData!$H$221),"")</f>
        <v>41.84</v>
      </c>
      <c r="I221">
        <f ca="1">IFERROR(IF(0=LEN(ReferenceData!$I$221),"",ReferenceData!$I$221),"")</f>
        <v>43.71</v>
      </c>
      <c r="J221">
        <f ca="1">IFERROR(IF(0=LEN(ReferenceData!$J$221),"",ReferenceData!$J$221),"")</f>
        <v>44.09</v>
      </c>
      <c r="K221">
        <f ca="1">IFERROR(IF(0=LEN(ReferenceData!$K$221),"",ReferenceData!$K$221),"")</f>
        <v>43.98</v>
      </c>
      <c r="L221">
        <f ca="1">IFERROR(IF(0=LEN(ReferenceData!$L$221),"",ReferenceData!$L$221),"")</f>
        <v>43.86</v>
      </c>
      <c r="M221">
        <f ca="1">IFERROR(IF(0=LEN(ReferenceData!$M$221),"",ReferenceData!$M$221),"")</f>
        <v>45.33</v>
      </c>
      <c r="N221">
        <f ca="1">IFERROR(IF(0=LEN(ReferenceData!$N$221),"",ReferenceData!$N$221),"")</f>
        <v>45.55</v>
      </c>
      <c r="O221">
        <f ca="1">IFERROR(IF(0=LEN(ReferenceData!$O$221),"",ReferenceData!$O$221),"")</f>
        <v>42.97</v>
      </c>
      <c r="P221">
        <f ca="1">IFERROR(IF(0=LEN(ReferenceData!$P$221),"",ReferenceData!$P$221),"")</f>
        <v>42.92</v>
      </c>
      <c r="Q221">
        <f ca="1">IFERROR(IF(0=LEN(ReferenceData!$Q$221),"",ReferenceData!$Q$221),"")</f>
        <v>43.74</v>
      </c>
      <c r="R221">
        <f ca="1">IFERROR(IF(0=LEN(ReferenceData!$R$221),"",ReferenceData!$R$221),"")</f>
        <v>44.35</v>
      </c>
      <c r="S221">
        <f ca="1">IFERROR(IF(0=LEN(ReferenceData!$S$221),"",ReferenceData!$S$221),"")</f>
        <v>46.53</v>
      </c>
      <c r="T221">
        <f ca="1">IFERROR(IF(0=LEN(ReferenceData!$T$221),"",ReferenceData!$T$221),"")</f>
        <v>44.07</v>
      </c>
      <c r="U221">
        <f ca="1">IFERROR(IF(0=LEN(ReferenceData!$U$221),"",ReferenceData!$U$221),"")</f>
        <v>45.45</v>
      </c>
      <c r="V221">
        <f ca="1">IFERROR(IF(0=LEN(ReferenceData!$V$221),"",ReferenceData!$V$221),"")</f>
        <v>42.1</v>
      </c>
      <c r="W221">
        <f ca="1">IFERROR(IF(0=LEN(ReferenceData!$W$221),"",ReferenceData!$W$221),"")</f>
        <v>44.07</v>
      </c>
      <c r="X221">
        <f ca="1">IFERROR(IF(0=LEN(ReferenceData!$X$221),"",ReferenceData!$X$221),"")</f>
        <v>45.91</v>
      </c>
      <c r="Y221">
        <f ca="1">IFERROR(IF(0=LEN(ReferenceData!$Y$221),"",ReferenceData!$Y$221),"")</f>
        <v>45.18</v>
      </c>
      <c r="Z221">
        <f ca="1">IFERROR(IF(0=LEN(ReferenceData!$Z$221),"",ReferenceData!$Z$221),"")</f>
        <v>45.97</v>
      </c>
      <c r="AA221">
        <f ca="1">IFERROR(IF(0=LEN(ReferenceData!$AA$221),"",ReferenceData!$AA$221),"")</f>
        <v>44.16</v>
      </c>
      <c r="AB221">
        <f ca="1">IFERROR(IF(0=LEN(ReferenceData!$AB$221),"",ReferenceData!$AB$221),"")</f>
        <v>42.65</v>
      </c>
      <c r="AC221">
        <f ca="1">IFERROR(IF(0=LEN(ReferenceData!$AC$221),"",ReferenceData!$AC$221),"")</f>
        <v>40.06</v>
      </c>
      <c r="AD221">
        <f ca="1">IFERROR(IF(0=LEN(ReferenceData!$AD$221),"",ReferenceData!$AD$221),"")</f>
        <v>41.82</v>
      </c>
      <c r="AE221">
        <f ca="1">IFERROR(IF(0=LEN(ReferenceData!$AE$221),"",ReferenceData!$AE$221),"")</f>
        <v>36.61</v>
      </c>
      <c r="AF221">
        <f ca="1">IFERROR(IF(0=LEN(ReferenceData!$AF$221),"",ReferenceData!$AF$221),"")</f>
        <v>39.15</v>
      </c>
      <c r="AG221">
        <f ca="1">IFERROR(IF(0=LEN(ReferenceData!$AG$221),"",ReferenceData!$AG$221),"")</f>
        <v>40.03</v>
      </c>
      <c r="AH221">
        <f ca="1">IFERROR(IF(0=LEN(ReferenceData!$AH$221),"",ReferenceData!$AH$221),"")</f>
        <v>38.11</v>
      </c>
      <c r="AI221">
        <f ca="1">IFERROR(IF(0=LEN(ReferenceData!$AI$221),"",ReferenceData!$AI$221),"")</f>
        <v>39.19</v>
      </c>
      <c r="AJ221">
        <f ca="1">IFERROR(IF(0=LEN(ReferenceData!$AJ$221),"",ReferenceData!$AJ$221),"")</f>
        <v>37.020000000000003</v>
      </c>
      <c r="AK221">
        <f ca="1">IFERROR(IF(0=LEN(ReferenceData!$AK$221),"",ReferenceData!$AK$221),"")</f>
        <v>36.03</v>
      </c>
      <c r="AL221">
        <f ca="1">IFERROR(IF(0=LEN(ReferenceData!$AL$221),"",ReferenceData!$AL$221),"")</f>
        <v>39.08</v>
      </c>
      <c r="AM221">
        <f ca="1">IFERROR(IF(0=LEN(ReferenceData!$AM$221),"",ReferenceData!$AM$221),"")</f>
        <v>36.93</v>
      </c>
      <c r="AN221">
        <f ca="1">IFERROR(IF(0=LEN(ReferenceData!$AN$221),"",ReferenceData!$AN$221),"")</f>
        <v>37.93</v>
      </c>
      <c r="AO221">
        <f ca="1">IFERROR(IF(0=LEN(ReferenceData!$AO$221),"",ReferenceData!$AO$221),"")</f>
        <v>37.729999999999997</v>
      </c>
      <c r="AP221">
        <f ca="1">IFERROR(IF(0=LEN(ReferenceData!$AP$221),"",ReferenceData!$AP$221),"")</f>
        <v>39.36</v>
      </c>
      <c r="AQ221">
        <f ca="1">IFERROR(IF(0=LEN(ReferenceData!$AQ$221),"",ReferenceData!$AQ$221),"")</f>
        <v>37.68</v>
      </c>
      <c r="AR221">
        <f ca="1">IFERROR(IF(0=LEN(ReferenceData!$AR$221),"",ReferenceData!$AR$221),"")</f>
        <v>39.86</v>
      </c>
      <c r="AS221">
        <f ca="1">IFERROR(IF(0=LEN(ReferenceData!$AS$221),"",ReferenceData!$AS$221),"")</f>
        <v>37.15</v>
      </c>
      <c r="AT221">
        <f ca="1">IFERROR(IF(0=LEN(ReferenceData!$AT$221),"",ReferenceData!$AT$221),"")</f>
        <v>37.25</v>
      </c>
      <c r="AU221">
        <f ca="1">IFERROR(IF(0=LEN(ReferenceData!$AU$221),"",ReferenceData!$AU$221),"")</f>
        <v>35.79</v>
      </c>
      <c r="AV221">
        <f ca="1">IFERROR(IF(0=LEN(ReferenceData!$AV$221),"",ReferenceData!$AV$221),"")</f>
        <v>31.82</v>
      </c>
      <c r="AW221">
        <f ca="1">IFERROR(IF(0=LEN(ReferenceData!$AW$221),"",ReferenceData!$AW$221),"")</f>
        <v>34.270000000000003</v>
      </c>
      <c r="AX221">
        <f ca="1">IFERROR(IF(0=LEN(ReferenceData!$AX$221),"",ReferenceData!$AX$221),"")</f>
        <v>34.18</v>
      </c>
      <c r="AY221">
        <f ca="1">IFERROR(IF(0=LEN(ReferenceData!$AY$221),"",ReferenceData!$AY$221),"")</f>
        <v>32.270000000000003</v>
      </c>
      <c r="AZ221">
        <f ca="1">IFERROR(IF(0=LEN(ReferenceData!$AZ$221),"",ReferenceData!$AZ$221),"")</f>
        <v>31.48</v>
      </c>
      <c r="BA221">
        <f ca="1">IFERROR(IF(0=LEN(ReferenceData!$BA$221),"",ReferenceData!$BA$221),"")</f>
        <v>30.83</v>
      </c>
      <c r="BB221">
        <f ca="1">IFERROR(IF(0=LEN(ReferenceData!$BB$221),"",ReferenceData!$BB$221),"")</f>
        <v>30.22</v>
      </c>
      <c r="BC221">
        <f ca="1">IFERROR(IF(0=LEN(ReferenceData!$BC$221),"",ReferenceData!$BC$221),"")</f>
        <v>29.89</v>
      </c>
      <c r="BD221">
        <f ca="1">IFERROR(IF(0=LEN(ReferenceData!$BD$221),"",ReferenceData!$BD$221),"")</f>
        <v>27.97</v>
      </c>
      <c r="BE221">
        <f ca="1">IFERROR(IF(0=LEN(ReferenceData!$BE$221),"",ReferenceData!$BE$221),"")</f>
        <v>25.91</v>
      </c>
      <c r="BF221">
        <f ca="1">IFERROR(IF(0=LEN(ReferenceData!$BF$221),"",ReferenceData!$BF$221),"")</f>
        <v>25.11</v>
      </c>
      <c r="BG221">
        <f ca="1">IFERROR(IF(0=LEN(ReferenceData!$BG$221),"",ReferenceData!$BG$221),"")</f>
        <v>27.98</v>
      </c>
      <c r="BH221">
        <f ca="1">IFERROR(IF(0=LEN(ReferenceData!$BH$221),"",ReferenceData!$BH$221),"")</f>
        <v>27.94</v>
      </c>
      <c r="BI221">
        <f ca="1">IFERROR(IF(0=LEN(ReferenceData!$BI$221),"",ReferenceData!$BI$221),"")</f>
        <v>27.53</v>
      </c>
      <c r="BJ221">
        <f ca="1">IFERROR(IF(0=LEN(ReferenceData!$BJ$221),"",ReferenceData!$BJ$221),"")</f>
        <v>29.38</v>
      </c>
      <c r="BK221">
        <f ca="1">IFERROR(IF(0=LEN(ReferenceData!$BK$221),"",ReferenceData!$BK$221),"")</f>
        <v>30.04</v>
      </c>
      <c r="BL221">
        <f ca="1">IFERROR(IF(0=LEN(ReferenceData!$BL$221),"",ReferenceData!$BL$221),"")</f>
        <v>30.26</v>
      </c>
      <c r="BM221">
        <f ca="1">IFERROR(IF(0=LEN(ReferenceData!$BM$221),"",ReferenceData!$BM$221),"")</f>
        <v>31.11</v>
      </c>
      <c r="BN221">
        <f ca="1">IFERROR(IF(0=LEN(ReferenceData!$BN$221),"",ReferenceData!$BN$221),"")</f>
        <v>30.66</v>
      </c>
      <c r="BO221">
        <f ca="1">IFERROR(IF(0=LEN(ReferenceData!$BO$221),"",ReferenceData!$BO$221),"")</f>
        <v>29.62</v>
      </c>
      <c r="BP221">
        <f ca="1">IFERROR(IF(0=LEN(ReferenceData!$BP$221),"",ReferenceData!$BP$221),"")</f>
        <v>27.28</v>
      </c>
      <c r="BQ221">
        <f ca="1">IFERROR(IF(0=LEN(ReferenceData!$BQ$221),"",ReferenceData!$BQ$221),"")</f>
        <v>27.06</v>
      </c>
      <c r="BR221">
        <f ca="1">IFERROR(IF(0=LEN(ReferenceData!$BR$221),"",ReferenceData!$BR$221),"")</f>
        <v>25.07</v>
      </c>
      <c r="BS221">
        <f ca="1">IFERROR(IF(0=LEN(ReferenceData!$BS$221),"",ReferenceData!$BS$221),"")</f>
        <v>26.69</v>
      </c>
      <c r="BT221">
        <f ca="1">IFERROR(IF(0=LEN(ReferenceData!$BT$221),"",ReferenceData!$BT$221),"")</f>
        <v>25.99</v>
      </c>
      <c r="BU221">
        <f ca="1">IFERROR(IF(0=LEN(ReferenceData!$BU$221),"",ReferenceData!$BU$221),"")</f>
        <v>26.48</v>
      </c>
      <c r="BV221">
        <f ca="1">IFERROR(IF(0=LEN(ReferenceData!$BV$221),"",ReferenceData!$BV$221),"")</f>
        <v>27.43</v>
      </c>
      <c r="BW221">
        <f ca="1">IFERROR(IF(0=LEN(ReferenceData!$BW$221),"",ReferenceData!$BW$221),"")</f>
        <v>27.03</v>
      </c>
      <c r="BX221">
        <f ca="1">IFERROR(IF(0=LEN(ReferenceData!$BX$221),"",ReferenceData!$BX$221),"")</f>
        <v>27.07</v>
      </c>
      <c r="BY221">
        <f ca="1">IFERROR(IF(0=LEN(ReferenceData!$BY$221),"",ReferenceData!$BY$221),"")</f>
        <v>27.15</v>
      </c>
      <c r="BZ221">
        <f ca="1">IFERROR(IF(0=LEN(ReferenceData!$BZ$221),"",ReferenceData!$BZ$221),"")</f>
        <v>26.41</v>
      </c>
      <c r="CA221">
        <f ca="1">IFERROR(IF(0=LEN(ReferenceData!$CA$221),"",ReferenceData!$CA$221),"")</f>
        <v>24.84</v>
      </c>
      <c r="CB221">
        <f ca="1">IFERROR(IF(0=LEN(ReferenceData!$CB$221),"",ReferenceData!$CB$221),"")</f>
        <v>24.56</v>
      </c>
      <c r="CC221">
        <f ca="1">IFERROR(IF(0=LEN(ReferenceData!$CC$221),"",ReferenceData!$CC$221),"")</f>
        <v>22.91</v>
      </c>
      <c r="CD221">
        <f ca="1">IFERROR(IF(0=LEN(ReferenceData!$CD$221),"",ReferenceData!$CD$221),"")</f>
        <v>21.78</v>
      </c>
      <c r="CE221">
        <f ca="1">IFERROR(IF(0=LEN(ReferenceData!$CE$221),"",ReferenceData!$CE$221),"")</f>
        <v>24.67</v>
      </c>
      <c r="CF221">
        <f ca="1">IFERROR(IF(0=LEN(ReferenceData!$CF$221),"",ReferenceData!$CF$221),"")</f>
        <v>22.12</v>
      </c>
      <c r="CG221">
        <f ca="1">IFERROR(IF(0=LEN(ReferenceData!$CG$221),"",ReferenceData!$CG$221),"")</f>
        <v>26.57</v>
      </c>
      <c r="CH221">
        <f ca="1">IFERROR(IF(0=LEN(ReferenceData!$CH$221),"",ReferenceData!$CH$221),"")</f>
        <v>27.3</v>
      </c>
      <c r="CI221">
        <f ca="1">IFERROR(IF(0=LEN(ReferenceData!$CI$221),"",ReferenceData!$CI$221),"")</f>
        <v>25.53</v>
      </c>
      <c r="CJ221">
        <f ca="1">IFERROR(IF(0=LEN(ReferenceData!$CJ$221),"",ReferenceData!$CJ$221),"")</f>
        <v>26.73</v>
      </c>
      <c r="CK221">
        <f ca="1">IFERROR(IF(0=LEN(ReferenceData!$CK$221),"",ReferenceData!$CK$221),"")</f>
        <v>26.96</v>
      </c>
    </row>
    <row r="222" spans="1:89">
      <c r="A222" t="str">
        <f>IFERROR(IF(0=LEN(ReferenceData!$A$222),"",ReferenceData!$A$222),"")</f>
        <v xml:space="preserve">    AvalonBay Communities Inc</v>
      </c>
      <c r="B222" t="str">
        <f>IFERROR(IF(0=LEN(ReferenceData!$B$222),"",ReferenceData!$B$222),"")</f>
        <v>AVB US Equity</v>
      </c>
      <c r="C222" t="str">
        <f>IFERROR(IF(0=LEN(ReferenceData!$C$222),"",ReferenceData!$C$222),"")</f>
        <v>PR005</v>
      </c>
      <c r="D222" t="str">
        <f>IFERROR(IF(0=LEN(ReferenceData!$D$222),"",ReferenceData!$D$222),"")</f>
        <v>PX_LAST</v>
      </c>
      <c r="E222" t="str">
        <f>IFERROR(IF(0=LEN(ReferenceData!$E$222),"",ReferenceData!$E$222),"")</f>
        <v>动态</v>
      </c>
      <c r="F222">
        <f ca="1">IFERROR(IF(0=LEN(ReferenceData!$F$222),"",ReferenceData!$F$222),"")</f>
        <v>161.54</v>
      </c>
      <c r="G222">
        <f ca="1">IFERROR(IF(0=LEN(ReferenceData!$G$222),"",ReferenceData!$G$222),"")</f>
        <v>156.02000000000001</v>
      </c>
      <c r="H222">
        <f ca="1">IFERROR(IF(0=LEN(ReferenceData!$H$222),"",ReferenceData!$H$222),"")</f>
        <v>170.4</v>
      </c>
      <c r="I222">
        <f ca="1">IFERROR(IF(0=LEN(ReferenceData!$I$222),"",ReferenceData!$I$222),"")</f>
        <v>178.41</v>
      </c>
      <c r="J222">
        <f ca="1">IFERROR(IF(0=LEN(ReferenceData!$J$222),"",ReferenceData!$J$222),"")</f>
        <v>181.33</v>
      </c>
      <c r="K222">
        <f ca="1">IFERROR(IF(0=LEN(ReferenceData!$K$222),"",ReferenceData!$K$222),"")</f>
        <v>181.33</v>
      </c>
      <c r="L222">
        <f ca="1">IFERROR(IF(0=LEN(ReferenceData!$L$222),"",ReferenceData!$L$222),"")</f>
        <v>178.42</v>
      </c>
      <c r="M222">
        <f ca="1">IFERROR(IF(0=LEN(ReferenceData!$M$222),"",ReferenceData!$M$222),"")</f>
        <v>187.73</v>
      </c>
      <c r="N222">
        <f ca="1">IFERROR(IF(0=LEN(ReferenceData!$N$222),"",ReferenceData!$N$222),"")</f>
        <v>192.35</v>
      </c>
      <c r="O222">
        <f ca="1">IFERROR(IF(0=LEN(ReferenceData!$O$222),"",ReferenceData!$O$222),"")</f>
        <v>192.17</v>
      </c>
      <c r="P222">
        <f ca="1">IFERROR(IF(0=LEN(ReferenceData!$P$222),"",ReferenceData!$P$222),"")</f>
        <v>191.24</v>
      </c>
      <c r="Q222">
        <f ca="1">IFERROR(IF(0=LEN(ReferenceData!$Q$222),"",ReferenceData!$Q$222),"")</f>
        <v>189.84</v>
      </c>
      <c r="R222">
        <f ca="1">IFERROR(IF(0=LEN(ReferenceData!$R$222),"",ReferenceData!$R$222),"")</f>
        <v>183.6</v>
      </c>
      <c r="S222">
        <f ca="1">IFERROR(IF(0=LEN(ReferenceData!$S$222),"",ReferenceData!$S$222),"")</f>
        <v>183.78</v>
      </c>
      <c r="T222">
        <f ca="1">IFERROR(IF(0=LEN(ReferenceData!$T$222),"",ReferenceData!$T$222),"")</f>
        <v>173.31</v>
      </c>
      <c r="U222">
        <f ca="1">IFERROR(IF(0=LEN(ReferenceData!$U$222),"",ReferenceData!$U$222),"")</f>
        <v>177.15</v>
      </c>
      <c r="V222">
        <f ca="1">IFERROR(IF(0=LEN(ReferenceData!$V$222),"",ReferenceData!$V$222),"")</f>
        <v>164.49</v>
      </c>
      <c r="W222">
        <f ca="1">IFERROR(IF(0=LEN(ReferenceData!$W$222),"",ReferenceData!$W$222),"")</f>
        <v>171.18</v>
      </c>
      <c r="X222">
        <f ca="1">IFERROR(IF(0=LEN(ReferenceData!$X$222),"",ReferenceData!$X$222),"")</f>
        <v>177.84</v>
      </c>
      <c r="Y222">
        <f ca="1">IFERROR(IF(0=LEN(ReferenceData!$Y$222),"",ReferenceData!$Y$222),"")</f>
        <v>175.01</v>
      </c>
      <c r="Z222">
        <f ca="1">IFERROR(IF(0=LEN(ReferenceData!$Z$222),"",ReferenceData!$Z$222),"")</f>
        <v>185.65</v>
      </c>
      <c r="AA222">
        <f ca="1">IFERROR(IF(0=LEN(ReferenceData!$AA$222),"",ReferenceData!$AA$222),"")</f>
        <v>180.39</v>
      </c>
      <c r="AB222">
        <f ca="1">IFERROR(IF(0=LEN(ReferenceData!$AB$222),"",ReferenceData!$AB$222),"")</f>
        <v>179.88</v>
      </c>
      <c r="AC222">
        <f ca="1">IFERROR(IF(0=LEN(ReferenceData!$AC$222),"",ReferenceData!$AC$222),"")</f>
        <v>176.79</v>
      </c>
      <c r="AD222">
        <f ca="1">IFERROR(IF(0=LEN(ReferenceData!$AD$222),"",ReferenceData!$AD$222),"")</f>
        <v>190.2</v>
      </c>
      <c r="AE222">
        <f ca="1">IFERROR(IF(0=LEN(ReferenceData!$AE$222),"",ReferenceData!$AE$222),"")</f>
        <v>171.64</v>
      </c>
      <c r="AF222">
        <f ca="1">IFERROR(IF(0=LEN(ReferenceData!$AF$222),"",ReferenceData!$AF$222),"")</f>
        <v>171.49</v>
      </c>
      <c r="AG222">
        <f ca="1">IFERROR(IF(0=LEN(ReferenceData!$AG$222),"",ReferenceData!$AG$222),"")</f>
        <v>184.13</v>
      </c>
      <c r="AH222">
        <f ca="1">IFERROR(IF(0=LEN(ReferenceData!$AH$222),"",ReferenceData!$AH$222),"")</f>
        <v>181.79</v>
      </c>
      <c r="AI222">
        <f ca="1">IFERROR(IF(0=LEN(ReferenceData!$AI$222),"",ReferenceData!$AI$222),"")</f>
        <v>174.83</v>
      </c>
      <c r="AJ222">
        <f ca="1">IFERROR(IF(0=LEN(ReferenceData!$AJ$222),"",ReferenceData!$AJ$222),"")</f>
        <v>174.82</v>
      </c>
      <c r="AK222">
        <f ca="1">IFERROR(IF(0=LEN(ReferenceData!$AK$222),"",ReferenceData!$AK$222),"")</f>
        <v>165.06</v>
      </c>
      <c r="AL222">
        <f ca="1">IFERROR(IF(0=LEN(ReferenceData!$AL$222),"",ReferenceData!$AL$222),"")</f>
        <v>172.34</v>
      </c>
      <c r="AM222">
        <f ca="1">IFERROR(IF(0=LEN(ReferenceData!$AM$222),"",ReferenceData!$AM$222),"")</f>
        <v>159.87</v>
      </c>
      <c r="AN222">
        <f ca="1">IFERROR(IF(0=LEN(ReferenceData!$AN$222),"",ReferenceData!$AN$222),"")</f>
        <v>166.5</v>
      </c>
      <c r="AO222">
        <f ca="1">IFERROR(IF(0=LEN(ReferenceData!$AO$222),"",ReferenceData!$AO$222),"")</f>
        <v>164.34</v>
      </c>
      <c r="AP222">
        <f ca="1">IFERROR(IF(0=LEN(ReferenceData!$AP$222),"",ReferenceData!$AP$222),"")</f>
        <v>174.25</v>
      </c>
      <c r="AQ222">
        <f ca="1">IFERROR(IF(0=LEN(ReferenceData!$AQ$222),"",ReferenceData!$AQ$222),"")</f>
        <v>168.34</v>
      </c>
      <c r="AR222">
        <f ca="1">IFERROR(IF(0=LEN(ReferenceData!$AR$222),"",ReferenceData!$AR$222),"")</f>
        <v>172.99</v>
      </c>
      <c r="AS222">
        <f ca="1">IFERROR(IF(0=LEN(ReferenceData!$AS$222),"",ReferenceData!$AS$222),"")</f>
        <v>163.38999999999999</v>
      </c>
      <c r="AT222">
        <f ca="1">IFERROR(IF(0=LEN(ReferenceData!$AT$222),"",ReferenceData!$AT$222),"")</f>
        <v>160.79</v>
      </c>
      <c r="AU222">
        <f ca="1">IFERROR(IF(0=LEN(ReferenceData!$AU$222),"",ReferenceData!$AU$222),"")</f>
        <v>155.84</v>
      </c>
      <c r="AV222">
        <f ca="1">IFERROR(IF(0=LEN(ReferenceData!$AV$222),"",ReferenceData!$AV$222),"")</f>
        <v>140.97</v>
      </c>
      <c r="AW222">
        <f ca="1">IFERROR(IF(0=LEN(ReferenceData!$AW$222),"",ReferenceData!$AW$222),"")</f>
        <v>154.1</v>
      </c>
      <c r="AX222">
        <f ca="1">IFERROR(IF(0=LEN(ReferenceData!$AX$222),"",ReferenceData!$AX$222),"")</f>
        <v>148.08000000000001</v>
      </c>
      <c r="AY222">
        <f ca="1">IFERROR(IF(0=LEN(ReferenceData!$AY$222),"",ReferenceData!$AY$222),"")</f>
        <v>142.19</v>
      </c>
      <c r="AZ222">
        <f ca="1">IFERROR(IF(0=LEN(ReferenceData!$AZ$222),"",ReferenceData!$AZ$222),"")</f>
        <v>141.84</v>
      </c>
      <c r="BA222">
        <f ca="1">IFERROR(IF(0=LEN(ReferenceData!$BA$222),"",ReferenceData!$BA$222),"")</f>
        <v>136.55000000000001</v>
      </c>
      <c r="BB222">
        <f ca="1">IFERROR(IF(0=LEN(ReferenceData!$BB$222),"",ReferenceData!$BB$222),"")</f>
        <v>131.32</v>
      </c>
      <c r="BC222">
        <f ca="1">IFERROR(IF(0=LEN(ReferenceData!$BC$222),"",ReferenceData!$BC$222),"")</f>
        <v>128.97</v>
      </c>
      <c r="BD222">
        <f ca="1">IFERROR(IF(0=LEN(ReferenceData!$BD$222),"",ReferenceData!$BD$222),"")</f>
        <v>123.5</v>
      </c>
      <c r="BE222">
        <f ca="1">IFERROR(IF(0=LEN(ReferenceData!$BE$222),"",ReferenceData!$BE$222),"")</f>
        <v>118.23</v>
      </c>
      <c r="BF222">
        <f ca="1">IFERROR(IF(0=LEN(ReferenceData!$BF$222),"",ReferenceData!$BF$222),"")</f>
        <v>118.56</v>
      </c>
      <c r="BG222">
        <f ca="1">IFERROR(IF(0=LEN(ReferenceData!$BG$222),"",ReferenceData!$BG$222),"")</f>
        <v>125.05</v>
      </c>
      <c r="BH222">
        <f ca="1">IFERROR(IF(0=LEN(ReferenceData!$BH$222),"",ReferenceData!$BH$222),"")</f>
        <v>127.09</v>
      </c>
      <c r="BI222">
        <f ca="1">IFERROR(IF(0=LEN(ReferenceData!$BI$222),"",ReferenceData!$BI$222),"")</f>
        <v>123.9</v>
      </c>
      <c r="BJ222">
        <f ca="1">IFERROR(IF(0=LEN(ReferenceData!$BJ$222),"",ReferenceData!$BJ$222),"")</f>
        <v>135.34</v>
      </c>
      <c r="BK222">
        <f ca="1">IFERROR(IF(0=LEN(ReferenceData!$BK$222),"",ReferenceData!$BK$222),"")</f>
        <v>134.91</v>
      </c>
      <c r="BL222">
        <f ca="1">IFERROR(IF(0=LEN(ReferenceData!$BL$222),"",ReferenceData!$BL$222),"")</f>
        <v>132.66</v>
      </c>
      <c r="BM222">
        <f ca="1">IFERROR(IF(0=LEN(ReferenceData!$BM$222),"",ReferenceData!$BM$222),"")</f>
        <v>133.04</v>
      </c>
      <c r="BN222">
        <f ca="1">IFERROR(IF(0=LEN(ReferenceData!$BN$222),"",ReferenceData!$BN$222),"")</f>
        <v>126.67</v>
      </c>
      <c r="BO222">
        <f ca="1">IFERROR(IF(0=LEN(ReferenceData!$BO$222),"",ReferenceData!$BO$222),"")</f>
        <v>124.83</v>
      </c>
      <c r="BP222">
        <f ca="1">IFERROR(IF(0=LEN(ReferenceData!$BP$222),"",ReferenceData!$BP$222),"")</f>
        <v>129.79</v>
      </c>
      <c r="BQ222">
        <f ca="1">IFERROR(IF(0=LEN(ReferenceData!$BQ$222),"",ReferenceData!$BQ$222),"")</f>
        <v>135.59</v>
      </c>
      <c r="BR222">
        <f ca="1">IFERROR(IF(0=LEN(ReferenceData!$BR$222),"",ReferenceData!$BR$222),"")</f>
        <v>131.79</v>
      </c>
      <c r="BS222">
        <f ca="1">IFERROR(IF(0=LEN(ReferenceData!$BS$222),"",ReferenceData!$BS$222),"")</f>
        <v>135.56</v>
      </c>
      <c r="BT222">
        <f ca="1">IFERROR(IF(0=LEN(ReferenceData!$BT$222),"",ReferenceData!$BT$222),"")</f>
        <v>135.99</v>
      </c>
      <c r="BU222">
        <f ca="1">IFERROR(IF(0=LEN(ReferenceData!$BU$222),"",ReferenceData!$BU$222),"")</f>
        <v>141.52000000000001</v>
      </c>
      <c r="BV222">
        <f ca="1">IFERROR(IF(0=LEN(ReferenceData!$BV$222),"",ReferenceData!$BV$222),"")</f>
        <v>147.09</v>
      </c>
      <c r="BW222">
        <f ca="1">IFERROR(IF(0=LEN(ReferenceData!$BW$222),"",ReferenceData!$BW$222),"")</f>
        <v>141.47999999999999</v>
      </c>
      <c r="BX222">
        <f ca="1">IFERROR(IF(0=LEN(ReferenceData!$BX$222),"",ReferenceData!$BX$222),"")</f>
        <v>139.75</v>
      </c>
      <c r="BY222">
        <f ca="1">IFERROR(IF(0=LEN(ReferenceData!$BY$222),"",ReferenceData!$BY$222),"")</f>
        <v>145.4</v>
      </c>
      <c r="BZ222">
        <f ca="1">IFERROR(IF(0=LEN(ReferenceData!$BZ$222),"",ReferenceData!$BZ$222),"")</f>
        <v>141.35</v>
      </c>
      <c r="CA222">
        <f ca="1">IFERROR(IF(0=LEN(ReferenceData!$CA$222),"",ReferenceData!$CA$222),"")</f>
        <v>129.66999999999999</v>
      </c>
      <c r="CB222">
        <f ca="1">IFERROR(IF(0=LEN(ReferenceData!$CB$222),"",ReferenceData!$CB$222),"")</f>
        <v>136.01</v>
      </c>
      <c r="CC222">
        <f ca="1">IFERROR(IF(0=LEN(ReferenceData!$CC$222),"",ReferenceData!$CC$222),"")</f>
        <v>130.6</v>
      </c>
      <c r="CD222">
        <f ca="1">IFERROR(IF(0=LEN(ReferenceData!$CD$222),"",ReferenceData!$CD$222),"")</f>
        <v>124.85</v>
      </c>
      <c r="CE222">
        <f ca="1">IFERROR(IF(0=LEN(ReferenceData!$CE$222),"",ReferenceData!$CE$222),"")</f>
        <v>133.69</v>
      </c>
      <c r="CF222">
        <f ca="1">IFERROR(IF(0=LEN(ReferenceData!$CF$222),"",ReferenceData!$CF$222),"")</f>
        <v>114.05</v>
      </c>
      <c r="CG222">
        <f ca="1">IFERROR(IF(0=LEN(ReferenceData!$CG$222),"",ReferenceData!$CG$222),"")</f>
        <v>136.38</v>
      </c>
      <c r="CH222">
        <f ca="1">IFERROR(IF(0=LEN(ReferenceData!$CH$222),"",ReferenceData!$CH$222),"")</f>
        <v>134.19</v>
      </c>
      <c r="CI222">
        <f ca="1">IFERROR(IF(0=LEN(ReferenceData!$CI$222),"",ReferenceData!$CI$222),"")</f>
        <v>128.4</v>
      </c>
      <c r="CJ222">
        <f ca="1">IFERROR(IF(0=LEN(ReferenceData!$CJ$222),"",ReferenceData!$CJ$222),"")</f>
        <v>133.07</v>
      </c>
      <c r="CK222">
        <f ca="1">IFERROR(IF(0=LEN(ReferenceData!$CK$222),"",ReferenceData!$CK$222),"")</f>
        <v>126.61</v>
      </c>
    </row>
    <row r="223" spans="1:89">
      <c r="A223" t="str">
        <f>IFERROR(IF(0=LEN(ReferenceData!$A$223),"",ReferenceData!$A$223),"")</f>
        <v xml:space="preserve">    Camden Property Trust</v>
      </c>
      <c r="B223" t="str">
        <f>IFERROR(IF(0=LEN(ReferenceData!$B$223),"",ReferenceData!$B$223),"")</f>
        <v>CPT US Equity</v>
      </c>
      <c r="C223" t="str">
        <f>IFERROR(IF(0=LEN(ReferenceData!$C$223),"",ReferenceData!$C$223),"")</f>
        <v>PR005</v>
      </c>
      <c r="D223" t="str">
        <f>IFERROR(IF(0=LEN(ReferenceData!$D$223),"",ReferenceData!$D$223),"")</f>
        <v>PX_LAST</v>
      </c>
      <c r="E223" t="str">
        <f>IFERROR(IF(0=LEN(ReferenceData!$E$223),"",ReferenceData!$E$223),"")</f>
        <v>动态</v>
      </c>
      <c r="F223">
        <f ca="1">IFERROR(IF(0=LEN(ReferenceData!$F$223),"",ReferenceData!$F$223),"")</f>
        <v>82.73</v>
      </c>
      <c r="G223">
        <f ca="1">IFERROR(IF(0=LEN(ReferenceData!$G$223),"",ReferenceData!$G$223),"")</f>
        <v>79.709999999999994</v>
      </c>
      <c r="H223">
        <f ca="1">IFERROR(IF(0=LEN(ReferenceData!$H$223),"",ReferenceData!$H$223),"")</f>
        <v>86.56</v>
      </c>
      <c r="I223">
        <f ca="1">IFERROR(IF(0=LEN(ReferenceData!$I$223),"",ReferenceData!$I$223),"")</f>
        <v>92.06</v>
      </c>
      <c r="J223">
        <f ca="1">IFERROR(IF(0=LEN(ReferenceData!$J$223),"",ReferenceData!$J$223),"")</f>
        <v>91.28</v>
      </c>
      <c r="K223">
        <f ca="1">IFERROR(IF(0=LEN(ReferenceData!$K$223),"",ReferenceData!$K$223),"")</f>
        <v>91.24</v>
      </c>
      <c r="L223">
        <f ca="1">IFERROR(IF(0=LEN(ReferenceData!$L$223),"",ReferenceData!$L$223),"")</f>
        <v>91.45</v>
      </c>
      <c r="M223">
        <f ca="1">IFERROR(IF(0=LEN(ReferenceData!$M$223),"",ReferenceData!$M$223),"")</f>
        <v>89.48</v>
      </c>
      <c r="N223">
        <f ca="1">IFERROR(IF(0=LEN(ReferenceData!$N$223),"",ReferenceData!$N$223),"")</f>
        <v>89.7</v>
      </c>
      <c r="O223">
        <f ca="1">IFERROR(IF(0=LEN(ReferenceData!$O$223),"",ReferenceData!$O$223),"")</f>
        <v>85.51</v>
      </c>
      <c r="P223">
        <f ca="1">IFERROR(IF(0=LEN(ReferenceData!$P$223),"",ReferenceData!$P$223),"")</f>
        <v>83.31</v>
      </c>
      <c r="Q223">
        <f ca="1">IFERROR(IF(0=LEN(ReferenceData!$Q$223),"",ReferenceData!$Q$223),"")</f>
        <v>82.33</v>
      </c>
      <c r="R223">
        <f ca="1">IFERROR(IF(0=LEN(ReferenceData!$R$223),"",ReferenceData!$R$223),"")</f>
        <v>80.459999999999994</v>
      </c>
      <c r="S223">
        <f ca="1">IFERROR(IF(0=LEN(ReferenceData!$S$223),"",ReferenceData!$S$223),"")</f>
        <v>84.65</v>
      </c>
      <c r="T223">
        <f ca="1">IFERROR(IF(0=LEN(ReferenceData!$T$223),"",ReferenceData!$T$223),"")</f>
        <v>83.57</v>
      </c>
      <c r="U223">
        <f ca="1">IFERROR(IF(0=LEN(ReferenceData!$U$223),"",ReferenceData!$U$223),"")</f>
        <v>84.07</v>
      </c>
      <c r="V223">
        <f ca="1">IFERROR(IF(0=LEN(ReferenceData!$V$223),"",ReferenceData!$V$223),"")</f>
        <v>78.709999999999994</v>
      </c>
      <c r="W223">
        <f ca="1">IFERROR(IF(0=LEN(ReferenceData!$W$223),"",ReferenceData!$W$223),"")</f>
        <v>81.44</v>
      </c>
      <c r="X223">
        <f ca="1">IFERROR(IF(0=LEN(ReferenceData!$X$223),"",ReferenceData!$X$223),"")</f>
        <v>83.74</v>
      </c>
      <c r="Y223">
        <f ca="1">IFERROR(IF(0=LEN(ReferenceData!$Y$223),"",ReferenceData!$Y$223),"")</f>
        <v>87.77</v>
      </c>
      <c r="Z223">
        <f ca="1">IFERROR(IF(0=LEN(ReferenceData!$Z$223),"",ReferenceData!$Z$223),"")</f>
        <v>89.59</v>
      </c>
      <c r="AA223">
        <f ca="1">IFERROR(IF(0=LEN(ReferenceData!$AA$223),"",ReferenceData!$AA$223),"")</f>
        <v>88.42</v>
      </c>
      <c r="AB223">
        <f ca="1">IFERROR(IF(0=LEN(ReferenceData!$AB$223),"",ReferenceData!$AB$223),"")</f>
        <v>85.21</v>
      </c>
      <c r="AC223">
        <f ca="1">IFERROR(IF(0=LEN(ReferenceData!$AC$223),"",ReferenceData!$AC$223),"")</f>
        <v>80.73</v>
      </c>
      <c r="AD223">
        <f ca="1">IFERROR(IF(0=LEN(ReferenceData!$AD$223),"",ReferenceData!$AD$223),"")</f>
        <v>84.09</v>
      </c>
      <c r="AE223">
        <f ca="1">IFERROR(IF(0=LEN(ReferenceData!$AE$223),"",ReferenceData!$AE$223),"")</f>
        <v>74.739999999999995</v>
      </c>
      <c r="AF223">
        <f ca="1">IFERROR(IF(0=LEN(ReferenceData!$AF$223),"",ReferenceData!$AF$223),"")</f>
        <v>76.3</v>
      </c>
      <c r="AG223">
        <f ca="1">IFERROR(IF(0=LEN(ReferenceData!$AG$223),"",ReferenceData!$AG$223),"")</f>
        <v>76.760000000000005</v>
      </c>
      <c r="AH223">
        <f ca="1">IFERROR(IF(0=LEN(ReferenceData!$AH$223),"",ReferenceData!$AH$223),"")</f>
        <v>76.38</v>
      </c>
      <c r="AI223">
        <f ca="1">IFERROR(IF(0=LEN(ReferenceData!$AI$223),"",ReferenceData!$AI$223),"")</f>
        <v>73.790000000000006</v>
      </c>
      <c r="AJ223">
        <f ca="1">IFERROR(IF(0=LEN(ReferenceData!$AJ$223),"",ReferenceData!$AJ$223),"")</f>
        <v>73.900000000000006</v>
      </c>
      <c r="AK223">
        <f ca="1">IFERROR(IF(0=LEN(ReferenceData!$AK$223),"",ReferenceData!$AK$223),"")</f>
        <v>72.03</v>
      </c>
      <c r="AL223">
        <f ca="1">IFERROR(IF(0=LEN(ReferenceData!$AL$223),"",ReferenceData!$AL$223),"")</f>
        <v>79.63</v>
      </c>
      <c r="AM223">
        <f ca="1">IFERROR(IF(0=LEN(ReferenceData!$AM$223),"",ReferenceData!$AM$223),"")</f>
        <v>74.28</v>
      </c>
      <c r="AN223">
        <f ca="1">IFERROR(IF(0=LEN(ReferenceData!$AN$223),"",ReferenceData!$AN$223),"")</f>
        <v>74.98</v>
      </c>
      <c r="AO223">
        <f ca="1">IFERROR(IF(0=LEN(ReferenceData!$AO$223),"",ReferenceData!$AO$223),"")</f>
        <v>75.08</v>
      </c>
      <c r="AP223">
        <f ca="1">IFERROR(IF(0=LEN(ReferenceData!$AP$223),"",ReferenceData!$AP$223),"")</f>
        <v>78.13</v>
      </c>
      <c r="AQ223">
        <f ca="1">IFERROR(IF(0=LEN(ReferenceData!$AQ$223),"",ReferenceData!$AQ$223),"")</f>
        <v>72.790000000000006</v>
      </c>
      <c r="AR223">
        <f ca="1">IFERROR(IF(0=LEN(ReferenceData!$AR$223),"",ReferenceData!$AR$223),"")</f>
        <v>77.05</v>
      </c>
      <c r="AS223">
        <f ca="1">IFERROR(IF(0=LEN(ReferenceData!$AS$223),"",ReferenceData!$AS$223),"")</f>
        <v>73.84</v>
      </c>
      <c r="AT223">
        <f ca="1">IFERROR(IF(0=LEN(ReferenceData!$AT$223),"",ReferenceData!$AT$223),"")</f>
        <v>76.680000000000007</v>
      </c>
      <c r="AU223">
        <f ca="1">IFERROR(IF(0=LEN(ReferenceData!$AU$223),"",ReferenceData!$AU$223),"")</f>
        <v>76.67</v>
      </c>
      <c r="AV223">
        <f ca="1">IFERROR(IF(0=LEN(ReferenceData!$AV$223),"",ReferenceData!$AV$223),"")</f>
        <v>68.53</v>
      </c>
      <c r="AW223">
        <f ca="1">IFERROR(IF(0=LEN(ReferenceData!$AW$223),"",ReferenceData!$AW$223),"")</f>
        <v>74.84</v>
      </c>
      <c r="AX223">
        <f ca="1">IFERROR(IF(0=LEN(ReferenceData!$AX$223),"",ReferenceData!$AX$223),"")</f>
        <v>72.36</v>
      </c>
      <c r="AY223">
        <f ca="1">IFERROR(IF(0=LEN(ReferenceData!$AY$223),"",ReferenceData!$AY$223),"")</f>
        <v>71.150000000000006</v>
      </c>
      <c r="AZ223">
        <f ca="1">IFERROR(IF(0=LEN(ReferenceData!$AZ$223),"",ReferenceData!$AZ$223),"")</f>
        <v>70.239999999999995</v>
      </c>
      <c r="BA223">
        <f ca="1">IFERROR(IF(0=LEN(ReferenceData!$BA$223),"",ReferenceData!$BA$223),"")</f>
        <v>68.489999999999995</v>
      </c>
      <c r="BB223">
        <f ca="1">IFERROR(IF(0=LEN(ReferenceData!$BB$223),"",ReferenceData!$BB$223),"")</f>
        <v>67.34</v>
      </c>
      <c r="BC223">
        <f ca="1">IFERROR(IF(0=LEN(ReferenceData!$BC$223),"",ReferenceData!$BC$223),"")</f>
        <v>66.7</v>
      </c>
      <c r="BD223">
        <f ca="1">IFERROR(IF(0=LEN(ReferenceData!$BD$223),"",ReferenceData!$BD$223),"")</f>
        <v>61.82</v>
      </c>
      <c r="BE223">
        <f ca="1">IFERROR(IF(0=LEN(ReferenceData!$BE$223),"",ReferenceData!$BE$223),"")</f>
        <v>56.88</v>
      </c>
      <c r="BF223">
        <f ca="1">IFERROR(IF(0=LEN(ReferenceData!$BF$223),"",ReferenceData!$BF$223),"")</f>
        <v>57.92</v>
      </c>
      <c r="BG223">
        <f ca="1">IFERROR(IF(0=LEN(ReferenceData!$BG$223),"",ReferenceData!$BG$223),"")</f>
        <v>64.2</v>
      </c>
      <c r="BH223">
        <f ca="1">IFERROR(IF(0=LEN(ReferenceData!$BH$223),"",ReferenceData!$BH$223),"")</f>
        <v>61.44</v>
      </c>
      <c r="BI223">
        <f ca="1">IFERROR(IF(0=LEN(ReferenceData!$BI$223),"",ReferenceData!$BI$223),"")</f>
        <v>61.79</v>
      </c>
      <c r="BJ223">
        <f ca="1">IFERROR(IF(0=LEN(ReferenceData!$BJ$223),"",ReferenceData!$BJ$223),"")</f>
        <v>70.540000000000006</v>
      </c>
      <c r="BK223">
        <f ca="1">IFERROR(IF(0=LEN(ReferenceData!$BK$223),"",ReferenceData!$BK$223),"")</f>
        <v>69.14</v>
      </c>
      <c r="BL223">
        <f ca="1">IFERROR(IF(0=LEN(ReferenceData!$BL$223),"",ReferenceData!$BL$223),"")</f>
        <v>69.25</v>
      </c>
      <c r="BM223">
        <f ca="1">IFERROR(IF(0=LEN(ReferenceData!$BM$223),"",ReferenceData!$BM$223),"")</f>
        <v>72.34</v>
      </c>
      <c r="BN223">
        <f ca="1">IFERROR(IF(0=LEN(ReferenceData!$BN$223),"",ReferenceData!$BN$223),"")</f>
        <v>68.680000000000007</v>
      </c>
      <c r="BO223">
        <f ca="1">IFERROR(IF(0=LEN(ReferenceData!$BO$223),"",ReferenceData!$BO$223),"")</f>
        <v>69.14</v>
      </c>
      <c r="BP223">
        <f ca="1">IFERROR(IF(0=LEN(ReferenceData!$BP$223),"",ReferenceData!$BP$223),"")</f>
        <v>69.39</v>
      </c>
      <c r="BQ223">
        <f ca="1">IFERROR(IF(0=LEN(ReferenceData!$BQ$223),"",ReferenceData!$BQ$223),"")</f>
        <v>68.209999999999994</v>
      </c>
      <c r="BR223">
        <f ca="1">IFERROR(IF(0=LEN(ReferenceData!$BR$223),"",ReferenceData!$BR$223),"")</f>
        <v>65.7</v>
      </c>
      <c r="BS223">
        <f ca="1">IFERROR(IF(0=LEN(ReferenceData!$BS$223),"",ReferenceData!$BS$223),"")</f>
        <v>65.63</v>
      </c>
      <c r="BT223">
        <f ca="1">IFERROR(IF(0=LEN(ReferenceData!$BT$223),"",ReferenceData!$BT$223),"")</f>
        <v>64.489999999999995</v>
      </c>
      <c r="BU223">
        <f ca="1">IFERROR(IF(0=LEN(ReferenceData!$BU$223),"",ReferenceData!$BU$223),"")</f>
        <v>69.430000000000007</v>
      </c>
      <c r="BV223">
        <f ca="1">IFERROR(IF(0=LEN(ReferenceData!$BV$223),"",ReferenceData!$BV$223),"")</f>
        <v>71.31</v>
      </c>
      <c r="BW223">
        <f ca="1">IFERROR(IF(0=LEN(ReferenceData!$BW$223),"",ReferenceData!$BW$223),"")</f>
        <v>67.67</v>
      </c>
      <c r="BX223">
        <f ca="1">IFERROR(IF(0=LEN(ReferenceData!$BX$223),"",ReferenceData!$BX$223),"")</f>
        <v>65.11</v>
      </c>
      <c r="BY223">
        <f ca="1">IFERROR(IF(0=LEN(ReferenceData!$BY$223),"",ReferenceData!$BY$223),"")</f>
        <v>67.67</v>
      </c>
      <c r="BZ223">
        <f ca="1">IFERROR(IF(0=LEN(ReferenceData!$BZ$223),"",ReferenceData!$BZ$223),"")</f>
        <v>65.75</v>
      </c>
      <c r="CA223">
        <f ca="1">IFERROR(IF(0=LEN(ReferenceData!$CA$223),"",ReferenceData!$CA$223),"")</f>
        <v>62</v>
      </c>
      <c r="CB223">
        <f ca="1">IFERROR(IF(0=LEN(ReferenceData!$CB$223),"",ReferenceData!$CB$223),"")</f>
        <v>64.5</v>
      </c>
      <c r="CC223">
        <f ca="1">IFERROR(IF(0=LEN(ReferenceData!$CC$223),"",ReferenceData!$CC$223),"")</f>
        <v>62.24</v>
      </c>
      <c r="CD223">
        <f ca="1">IFERROR(IF(0=LEN(ReferenceData!$CD$223),"",ReferenceData!$CD$223),"")</f>
        <v>57.73</v>
      </c>
      <c r="CE223">
        <f ca="1">IFERROR(IF(0=LEN(ReferenceData!$CE$223),"",ReferenceData!$CE$223),"")</f>
        <v>60.64</v>
      </c>
      <c r="CF223">
        <f ca="1">IFERROR(IF(0=LEN(ReferenceData!$CF$223),"",ReferenceData!$CF$223),"")</f>
        <v>55.26</v>
      </c>
      <c r="CG223">
        <f ca="1">IFERROR(IF(0=LEN(ReferenceData!$CG$223),"",ReferenceData!$CG$223),"")</f>
        <v>66.819999999999993</v>
      </c>
      <c r="CH223">
        <f ca="1">IFERROR(IF(0=LEN(ReferenceData!$CH$223),"",ReferenceData!$CH$223),"")</f>
        <v>67.069999999999993</v>
      </c>
      <c r="CI223">
        <f ca="1">IFERROR(IF(0=LEN(ReferenceData!$CI$223),"",ReferenceData!$CI$223),"")</f>
        <v>63.62</v>
      </c>
      <c r="CJ223">
        <f ca="1">IFERROR(IF(0=LEN(ReferenceData!$CJ$223),"",ReferenceData!$CJ$223),"")</f>
        <v>64.28</v>
      </c>
      <c r="CK223">
        <f ca="1">IFERROR(IF(0=LEN(ReferenceData!$CK$223),"",ReferenceData!$CK$223),"")</f>
        <v>62.75</v>
      </c>
    </row>
    <row r="224" spans="1:89">
      <c r="A224" t="str">
        <f>IFERROR(IF(0=LEN(ReferenceData!$A$224),"",ReferenceData!$A$224),"")</f>
        <v xml:space="preserve">    Equity Residential</v>
      </c>
      <c r="B224" t="str">
        <f>IFERROR(IF(0=LEN(ReferenceData!$B$224),"",ReferenceData!$B$224),"")</f>
        <v>EQR US Equity</v>
      </c>
      <c r="C224" t="str">
        <f>IFERROR(IF(0=LEN(ReferenceData!$C$224),"",ReferenceData!$C$224),"")</f>
        <v>PR005</v>
      </c>
      <c r="D224" t="str">
        <f>IFERROR(IF(0=LEN(ReferenceData!$D$224),"",ReferenceData!$D$224),"")</f>
        <v>PX_LAST</v>
      </c>
      <c r="E224" t="str">
        <f>IFERROR(IF(0=LEN(ReferenceData!$E$224),"",ReferenceData!$E$224),"")</f>
        <v>动态</v>
      </c>
      <c r="F224">
        <f ca="1">IFERROR(IF(0=LEN(ReferenceData!$F$224),"",ReferenceData!$F$224),"")</f>
        <v>59.5</v>
      </c>
      <c r="G224">
        <f ca="1">IFERROR(IF(0=LEN(ReferenceData!$G$224),"",ReferenceData!$G$224),"")</f>
        <v>56.23</v>
      </c>
      <c r="H224">
        <f ca="1">IFERROR(IF(0=LEN(ReferenceData!$H$224),"",ReferenceData!$H$224),"")</f>
        <v>61.61</v>
      </c>
      <c r="I224">
        <f ca="1">IFERROR(IF(0=LEN(ReferenceData!$I$224),"",ReferenceData!$I$224),"")</f>
        <v>63.77</v>
      </c>
      <c r="J224">
        <f ca="1">IFERROR(IF(0=LEN(ReferenceData!$J$224),"",ReferenceData!$J$224),"")</f>
        <v>66.819999999999993</v>
      </c>
      <c r="K224">
        <f ca="1">IFERROR(IF(0=LEN(ReferenceData!$K$224),"",ReferenceData!$K$224),"")</f>
        <v>67.260000000000005</v>
      </c>
      <c r="L224">
        <f ca="1">IFERROR(IF(0=LEN(ReferenceData!$L$224),"",ReferenceData!$L$224),"")</f>
        <v>65.930000000000007</v>
      </c>
      <c r="M224">
        <f ca="1">IFERROR(IF(0=LEN(ReferenceData!$M$224),"",ReferenceData!$M$224),"")</f>
        <v>67.150000000000006</v>
      </c>
      <c r="N224">
        <f ca="1">IFERROR(IF(0=LEN(ReferenceData!$N$224),"",ReferenceData!$N$224),"")</f>
        <v>68.06</v>
      </c>
      <c r="O224">
        <f ca="1">IFERROR(IF(0=LEN(ReferenceData!$O$224),"",ReferenceData!$O$224),"")</f>
        <v>65.83</v>
      </c>
      <c r="P224">
        <f ca="1">IFERROR(IF(0=LEN(ReferenceData!$P$224),"",ReferenceData!$P$224),"")</f>
        <v>65.09</v>
      </c>
      <c r="Q224">
        <f ca="1">IFERROR(IF(0=LEN(ReferenceData!$Q$224),"",ReferenceData!$Q$224),"")</f>
        <v>64.58</v>
      </c>
      <c r="R224">
        <f ca="1">IFERROR(IF(0=LEN(ReferenceData!$R$224),"",ReferenceData!$R$224),"")</f>
        <v>62.22</v>
      </c>
      <c r="S224">
        <f ca="1">IFERROR(IF(0=LEN(ReferenceData!$S$224),"",ReferenceData!$S$224),"")</f>
        <v>63.07</v>
      </c>
      <c r="T224">
        <f ca="1">IFERROR(IF(0=LEN(ReferenceData!$T$224),"",ReferenceData!$T$224),"")</f>
        <v>60.77</v>
      </c>
      <c r="U224">
        <f ca="1">IFERROR(IF(0=LEN(ReferenceData!$U$224),"",ReferenceData!$U$224),"")</f>
        <v>64.36</v>
      </c>
      <c r="V224">
        <f ca="1">IFERROR(IF(0=LEN(ReferenceData!$V$224),"",ReferenceData!$V$224),"")</f>
        <v>60.01</v>
      </c>
      <c r="W224">
        <f ca="1">IFERROR(IF(0=LEN(ReferenceData!$W$224),"",ReferenceData!$W$224),"")</f>
        <v>61.75</v>
      </c>
      <c r="X224">
        <f ca="1">IFERROR(IF(0=LEN(ReferenceData!$X$224),"",ReferenceData!$X$224),"")</f>
        <v>64.33</v>
      </c>
      <c r="Y224">
        <f ca="1">IFERROR(IF(0=LEN(ReferenceData!$Y$224),"",ReferenceData!$Y$224),"")</f>
        <v>64.87</v>
      </c>
      <c r="Z224">
        <f ca="1">IFERROR(IF(0=LEN(ReferenceData!$Z$224),"",ReferenceData!$Z$224),"")</f>
        <v>67.989999999999995</v>
      </c>
      <c r="AA224">
        <f ca="1">IFERROR(IF(0=LEN(ReferenceData!$AA$224),"",ReferenceData!$AA$224),"")</f>
        <v>68.88</v>
      </c>
      <c r="AB224">
        <f ca="1">IFERROR(IF(0=LEN(ReferenceData!$AB$224),"",ReferenceData!$AB$224),"")</f>
        <v>69.209999999999994</v>
      </c>
      <c r="AC224">
        <f ca="1">IFERROR(IF(0=LEN(ReferenceData!$AC$224),"",ReferenceData!$AC$224),"")</f>
        <v>68.069999999999993</v>
      </c>
      <c r="AD224">
        <f ca="1">IFERROR(IF(0=LEN(ReferenceData!$AD$224),"",ReferenceData!$AD$224),"")</f>
        <v>75.03</v>
      </c>
      <c r="AE224">
        <f ca="1">IFERROR(IF(0=LEN(ReferenceData!$AE$224),"",ReferenceData!$AE$224),"")</f>
        <v>74.489999999999995</v>
      </c>
      <c r="AF224">
        <f ca="1">IFERROR(IF(0=LEN(ReferenceData!$AF$224),"",ReferenceData!$AF$224),"")</f>
        <v>77.09</v>
      </c>
      <c r="AG224">
        <f ca="1">IFERROR(IF(0=LEN(ReferenceData!$AG$224),"",ReferenceData!$AG$224),"")</f>
        <v>81.59</v>
      </c>
      <c r="AH224">
        <f ca="1">IFERROR(IF(0=LEN(ReferenceData!$AH$224),"",ReferenceData!$AH$224),"")</f>
        <v>79.819999999999993</v>
      </c>
      <c r="AI224">
        <f ca="1">IFERROR(IF(0=LEN(ReferenceData!$AI$224),"",ReferenceData!$AI$224),"")</f>
        <v>77.319999999999993</v>
      </c>
      <c r="AJ224">
        <f ca="1">IFERROR(IF(0=LEN(ReferenceData!$AJ$224),"",ReferenceData!$AJ$224),"")</f>
        <v>75.12</v>
      </c>
      <c r="AK224">
        <f ca="1">IFERROR(IF(0=LEN(ReferenceData!$AK$224),"",ReferenceData!$AK$224),"")</f>
        <v>71.25</v>
      </c>
      <c r="AL224">
        <f ca="1">IFERROR(IF(0=LEN(ReferenceData!$AL$224),"",ReferenceData!$AL$224),"")</f>
        <v>74.81</v>
      </c>
      <c r="AM224">
        <f ca="1">IFERROR(IF(0=LEN(ReferenceData!$AM$224),"",ReferenceData!$AM$224),"")</f>
        <v>70.17</v>
      </c>
      <c r="AN224">
        <f ca="1">IFERROR(IF(0=LEN(ReferenceData!$AN$224),"",ReferenceData!$AN$224),"")</f>
        <v>74.319999999999993</v>
      </c>
      <c r="AO224">
        <f ca="1">IFERROR(IF(0=LEN(ReferenceData!$AO$224),"",ReferenceData!$AO$224),"")</f>
        <v>73.86</v>
      </c>
      <c r="AP224">
        <f ca="1">IFERROR(IF(0=LEN(ReferenceData!$AP$224),"",ReferenceData!$AP$224),"")</f>
        <v>77.86</v>
      </c>
      <c r="AQ224">
        <f ca="1">IFERROR(IF(0=LEN(ReferenceData!$AQ$224),"",ReferenceData!$AQ$224),"")</f>
        <v>77.03</v>
      </c>
      <c r="AR224">
        <f ca="1">IFERROR(IF(0=LEN(ReferenceData!$AR$224),"",ReferenceData!$AR$224),"")</f>
        <v>77.61</v>
      </c>
      <c r="AS224">
        <f ca="1">IFERROR(IF(0=LEN(ReferenceData!$AS$224),"",ReferenceData!$AS$224),"")</f>
        <v>71.84</v>
      </c>
      <c r="AT224">
        <f ca="1">IFERROR(IF(0=LEN(ReferenceData!$AT$224),"",ReferenceData!$AT$224),"")</f>
        <v>70.84</v>
      </c>
      <c r="AU224">
        <f ca="1">IFERROR(IF(0=LEN(ReferenceData!$AU$224),"",ReferenceData!$AU$224),"")</f>
        <v>69.56</v>
      </c>
      <c r="AV224">
        <f ca="1">IFERROR(IF(0=LEN(ReferenceData!$AV$224),"",ReferenceData!$AV$224),"")</f>
        <v>61.58</v>
      </c>
      <c r="AW224">
        <f ca="1">IFERROR(IF(0=LEN(ReferenceData!$AW$224),"",ReferenceData!$AW$224),"")</f>
        <v>66.47</v>
      </c>
      <c r="AX224">
        <f ca="1">IFERROR(IF(0=LEN(ReferenceData!$AX$224),"",ReferenceData!$AX$224),"")</f>
        <v>64.650000000000006</v>
      </c>
      <c r="AY224">
        <f ca="1">IFERROR(IF(0=LEN(ReferenceData!$AY$224),"",ReferenceData!$AY$224),"")</f>
        <v>63</v>
      </c>
      <c r="AZ224">
        <f ca="1">IFERROR(IF(0=LEN(ReferenceData!$AZ$224),"",ReferenceData!$AZ$224),"")</f>
        <v>61.8</v>
      </c>
      <c r="BA224">
        <f ca="1">IFERROR(IF(0=LEN(ReferenceData!$BA$224),"",ReferenceData!$BA$224),"")</f>
        <v>59.44</v>
      </c>
      <c r="BB224">
        <f ca="1">IFERROR(IF(0=LEN(ReferenceData!$BB$224),"",ReferenceData!$BB$224),"")</f>
        <v>57.99</v>
      </c>
      <c r="BC224">
        <f ca="1">IFERROR(IF(0=LEN(ReferenceData!$BC$224),"",ReferenceData!$BC$224),"")</f>
        <v>58.47</v>
      </c>
      <c r="BD224">
        <f ca="1">IFERROR(IF(0=LEN(ReferenceData!$BD$224),"",ReferenceData!$BD$224),"")</f>
        <v>55.38</v>
      </c>
      <c r="BE224">
        <f ca="1">IFERROR(IF(0=LEN(ReferenceData!$BE$224),"",ReferenceData!$BE$224),"")</f>
        <v>51.87</v>
      </c>
      <c r="BF224">
        <f ca="1">IFERROR(IF(0=LEN(ReferenceData!$BF$224),"",ReferenceData!$BF$224),"")</f>
        <v>51.54</v>
      </c>
      <c r="BG224">
        <f ca="1">IFERROR(IF(0=LEN(ReferenceData!$BG$224),"",ReferenceData!$BG$224),"")</f>
        <v>52.36</v>
      </c>
      <c r="BH224">
        <f ca="1">IFERROR(IF(0=LEN(ReferenceData!$BH$224),"",ReferenceData!$BH$224),"")</f>
        <v>53.57</v>
      </c>
      <c r="BI224">
        <f ca="1">IFERROR(IF(0=LEN(ReferenceData!$BI$224),"",ReferenceData!$BI$224),"")</f>
        <v>51.89</v>
      </c>
      <c r="BJ224">
        <f ca="1">IFERROR(IF(0=LEN(ReferenceData!$BJ$224),"",ReferenceData!$BJ$224),"")</f>
        <v>56</v>
      </c>
      <c r="BK224">
        <f ca="1">IFERROR(IF(0=LEN(ReferenceData!$BK$224),"",ReferenceData!$BK$224),"")</f>
        <v>58.06</v>
      </c>
      <c r="BL224">
        <f ca="1">IFERROR(IF(0=LEN(ReferenceData!$BL$224),"",ReferenceData!$BL$224),"")</f>
        <v>56.55</v>
      </c>
      <c r="BM224">
        <f ca="1">IFERROR(IF(0=LEN(ReferenceData!$BM$224),"",ReferenceData!$BM$224),"")</f>
        <v>58.06</v>
      </c>
      <c r="BN224">
        <f ca="1">IFERROR(IF(0=LEN(ReferenceData!$BN$224),"",ReferenceData!$BN$224),"")</f>
        <v>55.06</v>
      </c>
      <c r="BO224">
        <f ca="1">IFERROR(IF(0=LEN(ReferenceData!$BO$224),"",ReferenceData!$BO$224),"")</f>
        <v>55.04</v>
      </c>
      <c r="BP224">
        <f ca="1">IFERROR(IF(0=LEN(ReferenceData!$BP$224),"",ReferenceData!$BP$224),"")</f>
        <v>55.39</v>
      </c>
      <c r="BQ224">
        <f ca="1">IFERROR(IF(0=LEN(ReferenceData!$BQ$224),"",ReferenceData!$BQ$224),"")</f>
        <v>56.67</v>
      </c>
      <c r="BR224">
        <f ca="1">IFERROR(IF(0=LEN(ReferenceData!$BR$224),"",ReferenceData!$BR$224),"")</f>
        <v>55.51</v>
      </c>
      <c r="BS224">
        <f ca="1">IFERROR(IF(0=LEN(ReferenceData!$BS$224),"",ReferenceData!$BS$224),"")</f>
        <v>57.41</v>
      </c>
      <c r="BT224">
        <f ca="1">IFERROR(IF(0=LEN(ReferenceData!$BT$224),"",ReferenceData!$BT$224),"")</f>
        <v>57.53</v>
      </c>
      <c r="BU224">
        <f ca="1">IFERROR(IF(0=LEN(ReferenceData!$BU$224),"",ReferenceData!$BU$224),"")</f>
        <v>60.4</v>
      </c>
      <c r="BV224">
        <f ca="1">IFERROR(IF(0=LEN(ReferenceData!$BV$224),"",ReferenceData!$BV$224),"")</f>
        <v>63.31</v>
      </c>
      <c r="BW224">
        <f ca="1">IFERROR(IF(0=LEN(ReferenceData!$BW$224),"",ReferenceData!$BW$224),"")</f>
        <v>62.36</v>
      </c>
      <c r="BX224">
        <f ca="1">IFERROR(IF(0=LEN(ReferenceData!$BX$224),"",ReferenceData!$BX$224),"")</f>
        <v>61.1</v>
      </c>
      <c r="BY224">
        <f ca="1">IFERROR(IF(0=LEN(ReferenceData!$BY$224),"",ReferenceData!$BY$224),"")</f>
        <v>61.44</v>
      </c>
      <c r="BZ224">
        <f ca="1">IFERROR(IF(0=LEN(ReferenceData!$BZ$224),"",ReferenceData!$BZ$224),"")</f>
        <v>62.62</v>
      </c>
      <c r="CA224">
        <f ca="1">IFERROR(IF(0=LEN(ReferenceData!$CA$224),"",ReferenceData!$CA$224),"")</f>
        <v>56.89</v>
      </c>
      <c r="CB224">
        <f ca="1">IFERROR(IF(0=LEN(ReferenceData!$CB$224),"",ReferenceData!$CB$224),"")</f>
        <v>59.55</v>
      </c>
      <c r="CC224">
        <f ca="1">IFERROR(IF(0=LEN(ReferenceData!$CC$224),"",ReferenceData!$CC$224),"")</f>
        <v>57.03</v>
      </c>
      <c r="CD224">
        <f ca="1">IFERROR(IF(0=LEN(ReferenceData!$CD$224),"",ReferenceData!$CD$224),"")</f>
        <v>55.19</v>
      </c>
      <c r="CE224">
        <f ca="1">IFERROR(IF(0=LEN(ReferenceData!$CE$224),"",ReferenceData!$CE$224),"")</f>
        <v>58.68</v>
      </c>
      <c r="CF224">
        <f ca="1">IFERROR(IF(0=LEN(ReferenceData!$CF$224),"",ReferenceData!$CF$224),"")</f>
        <v>51.87</v>
      </c>
      <c r="CG224">
        <f ca="1">IFERROR(IF(0=LEN(ReferenceData!$CG$224),"",ReferenceData!$CG$224),"")</f>
        <v>61.18</v>
      </c>
      <c r="CH224">
        <f ca="1">IFERROR(IF(0=LEN(ReferenceData!$CH$224),"",ReferenceData!$CH$224),"")</f>
        <v>61.82</v>
      </c>
      <c r="CI224">
        <f ca="1">IFERROR(IF(0=LEN(ReferenceData!$CI$224),"",ReferenceData!$CI$224),"")</f>
        <v>60</v>
      </c>
      <c r="CJ224">
        <f ca="1">IFERROR(IF(0=LEN(ReferenceData!$CJ$224),"",ReferenceData!$CJ$224),"")</f>
        <v>61.83</v>
      </c>
      <c r="CK224">
        <f ca="1">IFERROR(IF(0=LEN(ReferenceData!$CK$224),"",ReferenceData!$CK$224),"")</f>
        <v>59.74</v>
      </c>
    </row>
    <row r="225" spans="1:89">
      <c r="A225" t="str">
        <f>IFERROR(IF(0=LEN(ReferenceData!$A$225),"",ReferenceData!$A$225),"")</f>
        <v xml:space="preserve">    Essex Property Trust Inc</v>
      </c>
      <c r="B225" t="str">
        <f>IFERROR(IF(0=LEN(ReferenceData!$B$225),"",ReferenceData!$B$225),"")</f>
        <v>ESS US Equity</v>
      </c>
      <c r="C225" t="str">
        <f>IFERROR(IF(0=LEN(ReferenceData!$C$225),"",ReferenceData!$C$225),"")</f>
        <v>PR005</v>
      </c>
      <c r="D225" t="str">
        <f>IFERROR(IF(0=LEN(ReferenceData!$D$225),"",ReferenceData!$D$225),"")</f>
        <v>PX_LAST</v>
      </c>
      <c r="E225" t="str">
        <f>IFERROR(IF(0=LEN(ReferenceData!$E$225),"",ReferenceData!$E$225),"")</f>
        <v>动态</v>
      </c>
      <c r="F225">
        <f ca="1">IFERROR(IF(0=LEN(ReferenceData!$F$225),"",ReferenceData!$F$225),"")</f>
        <v>238.74</v>
      </c>
      <c r="G225">
        <f ca="1">IFERROR(IF(0=LEN(ReferenceData!$G$225),"",ReferenceData!$G$225),"")</f>
        <v>223.83</v>
      </c>
      <c r="H225">
        <f ca="1">IFERROR(IF(0=LEN(ReferenceData!$H$225),"",ReferenceData!$H$225),"")</f>
        <v>232.98</v>
      </c>
      <c r="I225">
        <f ca="1">IFERROR(IF(0=LEN(ReferenceData!$I$225),"",ReferenceData!$I$225),"")</f>
        <v>241.37</v>
      </c>
      <c r="J225">
        <f ca="1">IFERROR(IF(0=LEN(ReferenceData!$J$225),"",ReferenceData!$J$225),"")</f>
        <v>246.99</v>
      </c>
      <c r="K225">
        <f ca="1">IFERROR(IF(0=LEN(ReferenceData!$K$225),"",ReferenceData!$K$225),"")</f>
        <v>262.43</v>
      </c>
      <c r="L225">
        <f ca="1">IFERROR(IF(0=LEN(ReferenceData!$L$225),"",ReferenceData!$L$225),"")</f>
        <v>254.03</v>
      </c>
      <c r="M225">
        <f ca="1">IFERROR(IF(0=LEN(ReferenceData!$M$225),"",ReferenceData!$M$225),"")</f>
        <v>265.97000000000003</v>
      </c>
      <c r="N225">
        <f ca="1">IFERROR(IF(0=LEN(ReferenceData!$N$225),"",ReferenceData!$N$225),"")</f>
        <v>261.7</v>
      </c>
      <c r="O225">
        <f ca="1">IFERROR(IF(0=LEN(ReferenceData!$O$225),"",ReferenceData!$O$225),"")</f>
        <v>257.27</v>
      </c>
      <c r="P225">
        <f ca="1">IFERROR(IF(0=LEN(ReferenceData!$P$225),"",ReferenceData!$P$225),"")</f>
        <v>256.92</v>
      </c>
      <c r="Q225">
        <f ca="1">IFERROR(IF(0=LEN(ReferenceData!$Q$225),"",ReferenceData!$Q$225),"")</f>
        <v>244.47</v>
      </c>
      <c r="R225">
        <f ca="1">IFERROR(IF(0=LEN(ReferenceData!$R$225),"",ReferenceData!$R$225),"")</f>
        <v>231.53</v>
      </c>
      <c r="S225">
        <f ca="1">IFERROR(IF(0=LEN(ReferenceData!$S$225),"",ReferenceData!$S$225),"")</f>
        <v>234.7</v>
      </c>
      <c r="T225">
        <f ca="1">IFERROR(IF(0=LEN(ReferenceData!$T$225),"",ReferenceData!$T$225),"")</f>
        <v>224.3</v>
      </c>
      <c r="U225">
        <f ca="1">IFERROR(IF(0=LEN(ReferenceData!$U$225),"",ReferenceData!$U$225),"")</f>
        <v>232.5</v>
      </c>
      <c r="V225">
        <f ca="1">IFERROR(IF(0=LEN(ReferenceData!$V$225),"",ReferenceData!$V$225),"")</f>
        <v>215.92</v>
      </c>
      <c r="W225">
        <f ca="1">IFERROR(IF(0=LEN(ReferenceData!$W$225),"",ReferenceData!$W$225),"")</f>
        <v>214.09</v>
      </c>
      <c r="X225">
        <f ca="1">IFERROR(IF(0=LEN(ReferenceData!$X$225),"",ReferenceData!$X$225),"")</f>
        <v>222.7</v>
      </c>
      <c r="Y225">
        <f ca="1">IFERROR(IF(0=LEN(ReferenceData!$Y$225),"",ReferenceData!$Y$225),"")</f>
        <v>227.1</v>
      </c>
      <c r="Z225">
        <f ca="1">IFERROR(IF(0=LEN(ReferenceData!$Z$225),"",ReferenceData!$Z$225),"")</f>
        <v>233.88</v>
      </c>
      <c r="AA225">
        <f ca="1">IFERROR(IF(0=LEN(ReferenceData!$AA$225),"",ReferenceData!$AA$225),"")</f>
        <v>228.09</v>
      </c>
      <c r="AB225">
        <f ca="1">IFERROR(IF(0=LEN(ReferenceData!$AB$225),"",ReferenceData!$AB$225),"")</f>
        <v>227.23</v>
      </c>
      <c r="AC225">
        <f ca="1">IFERROR(IF(0=LEN(ReferenceData!$AC$225),"",ReferenceData!$AC$225),"")</f>
        <v>220.45</v>
      </c>
      <c r="AD225">
        <f ca="1">IFERROR(IF(0=LEN(ReferenceData!$AD$225),"",ReferenceData!$AD$225),"")</f>
        <v>233.86</v>
      </c>
      <c r="AE225">
        <f ca="1">IFERROR(IF(0=LEN(ReferenceData!$AE$225),"",ReferenceData!$AE$225),"")</f>
        <v>209.28</v>
      </c>
      <c r="AF225">
        <f ca="1">IFERROR(IF(0=LEN(ReferenceData!$AF$225),"",ReferenceData!$AF$225),"")</f>
        <v>213.11</v>
      </c>
      <c r="AG225">
        <f ca="1">IFERROR(IF(0=LEN(ReferenceData!$AG$225),"",ReferenceData!$AG$225),"")</f>
        <v>239.41</v>
      </c>
      <c r="AH225">
        <f ca="1">IFERROR(IF(0=LEN(ReferenceData!$AH$225),"",ReferenceData!$AH$225),"")</f>
        <v>230.79</v>
      </c>
      <c r="AI225">
        <f ca="1">IFERROR(IF(0=LEN(ReferenceData!$AI$225),"",ReferenceData!$AI$225),"")</f>
        <v>220.44</v>
      </c>
      <c r="AJ225">
        <f ca="1">IFERROR(IF(0=LEN(ReferenceData!$AJ$225),"",ReferenceData!$AJ$225),"")</f>
        <v>223.42</v>
      </c>
      <c r="AK225">
        <f ca="1">IFERROR(IF(0=LEN(ReferenceData!$AK$225),"",ReferenceData!$AK$225),"")</f>
        <v>214.62</v>
      </c>
      <c r="AL225">
        <f ca="1">IFERROR(IF(0=LEN(ReferenceData!$AL$225),"",ReferenceData!$AL$225),"")</f>
        <v>224.91</v>
      </c>
      <c r="AM225">
        <f ca="1">IFERROR(IF(0=LEN(ReferenceData!$AM$225),"",ReferenceData!$AM$225),"")</f>
        <v>212.5</v>
      </c>
      <c r="AN225">
        <f ca="1">IFERROR(IF(0=LEN(ReferenceData!$AN$225),"",ReferenceData!$AN$225),"")</f>
        <v>222.62</v>
      </c>
      <c r="AO225">
        <f ca="1">IFERROR(IF(0=LEN(ReferenceData!$AO$225),"",ReferenceData!$AO$225),"")</f>
        <v>221.95</v>
      </c>
      <c r="AP225">
        <f ca="1">IFERROR(IF(0=LEN(ReferenceData!$AP$225),"",ReferenceData!$AP$225),"")</f>
        <v>229.9</v>
      </c>
      <c r="AQ225">
        <f ca="1">IFERROR(IF(0=LEN(ReferenceData!$AQ$225),"",ReferenceData!$AQ$225),"")</f>
        <v>222.43</v>
      </c>
      <c r="AR225">
        <f ca="1">IFERROR(IF(0=LEN(ReferenceData!$AR$225),"",ReferenceData!$AR$225),"")</f>
        <v>226.05</v>
      </c>
      <c r="AS225">
        <f ca="1">IFERROR(IF(0=LEN(ReferenceData!$AS$225),"",ReferenceData!$AS$225),"")</f>
        <v>206.6</v>
      </c>
      <c r="AT225">
        <f ca="1">IFERROR(IF(0=LEN(ReferenceData!$AT$225),"",ReferenceData!$AT$225),"")</f>
        <v>202.41</v>
      </c>
      <c r="AU225">
        <f ca="1">IFERROR(IF(0=LEN(ReferenceData!$AU$225),"",ReferenceData!$AU$225),"")</f>
        <v>201.76</v>
      </c>
      <c r="AV225">
        <f ca="1">IFERROR(IF(0=LEN(ReferenceData!$AV$225),"",ReferenceData!$AV$225),"")</f>
        <v>178.75</v>
      </c>
      <c r="AW225">
        <f ca="1">IFERROR(IF(0=LEN(ReferenceData!$AW$225),"",ReferenceData!$AW$225),"")</f>
        <v>193.45</v>
      </c>
      <c r="AX225">
        <f ca="1">IFERROR(IF(0=LEN(ReferenceData!$AX$225),"",ReferenceData!$AX$225),"")</f>
        <v>189.57</v>
      </c>
      <c r="AY225">
        <f ca="1">IFERROR(IF(0=LEN(ReferenceData!$AY$225),"",ReferenceData!$AY$225),"")</f>
        <v>184.91</v>
      </c>
      <c r="AZ225">
        <f ca="1">IFERROR(IF(0=LEN(ReferenceData!$AZ$225),"",ReferenceData!$AZ$225),"")</f>
        <v>180.96</v>
      </c>
      <c r="BA225">
        <f ca="1">IFERROR(IF(0=LEN(ReferenceData!$BA$225),"",ReferenceData!$BA$225),"")</f>
        <v>173.26</v>
      </c>
      <c r="BB225">
        <f ca="1">IFERROR(IF(0=LEN(ReferenceData!$BB$225),"",ReferenceData!$BB$225),"")</f>
        <v>170.05</v>
      </c>
      <c r="BC225">
        <f ca="1">IFERROR(IF(0=LEN(ReferenceData!$BC$225),"",ReferenceData!$BC$225),"")</f>
        <v>167.25</v>
      </c>
      <c r="BD225">
        <f ca="1">IFERROR(IF(0=LEN(ReferenceData!$BD$225),"",ReferenceData!$BD$225),"")</f>
        <v>158.37</v>
      </c>
      <c r="BE225">
        <f ca="1">IFERROR(IF(0=LEN(ReferenceData!$BE$225),"",ReferenceData!$BE$225),"")</f>
        <v>143.51</v>
      </c>
      <c r="BF225">
        <f ca="1">IFERROR(IF(0=LEN(ReferenceData!$BF$225),"",ReferenceData!$BF$225),"")</f>
        <v>151.81</v>
      </c>
      <c r="BG225">
        <f ca="1">IFERROR(IF(0=LEN(ReferenceData!$BG$225),"",ReferenceData!$BG$225),"")</f>
        <v>161</v>
      </c>
      <c r="BH225">
        <f ca="1">IFERROR(IF(0=LEN(ReferenceData!$BH$225),"",ReferenceData!$BH$225),"")</f>
        <v>147.69999999999999</v>
      </c>
      <c r="BI225">
        <f ca="1">IFERROR(IF(0=LEN(ReferenceData!$BI$225),"",ReferenceData!$BI$225),"")</f>
        <v>143.31</v>
      </c>
      <c r="BJ225">
        <f ca="1">IFERROR(IF(0=LEN(ReferenceData!$BJ$225),"",ReferenceData!$BJ$225),"")</f>
        <v>161.29</v>
      </c>
      <c r="BK225">
        <f ca="1">IFERROR(IF(0=LEN(ReferenceData!$BK$225),"",ReferenceData!$BK$225),"")</f>
        <v>158.91999999999999</v>
      </c>
      <c r="BL225">
        <f ca="1">IFERROR(IF(0=LEN(ReferenceData!$BL$225),"",ReferenceData!$BL$225),"")</f>
        <v>157.13999999999999</v>
      </c>
      <c r="BM225">
        <f ca="1">IFERROR(IF(0=LEN(ReferenceData!$BM$225),"",ReferenceData!$BM$225),"")</f>
        <v>157.05000000000001</v>
      </c>
      <c r="BN225">
        <f ca="1">IFERROR(IF(0=LEN(ReferenceData!$BN$225),"",ReferenceData!$BN$225),"")</f>
        <v>150.58000000000001</v>
      </c>
      <c r="BO225">
        <f ca="1">IFERROR(IF(0=LEN(ReferenceData!$BO$225),"",ReferenceData!$BO$225),"")</f>
        <v>148.99</v>
      </c>
      <c r="BP225">
        <f ca="1">IFERROR(IF(0=LEN(ReferenceData!$BP$225),"",ReferenceData!$BP$225),"")</f>
        <v>153.78</v>
      </c>
      <c r="BQ225">
        <f ca="1">IFERROR(IF(0=LEN(ReferenceData!$BQ$225),"",ReferenceData!$BQ$225),"")</f>
        <v>146.65</v>
      </c>
      <c r="BR225">
        <f ca="1">IFERROR(IF(0=LEN(ReferenceData!$BR$225),"",ReferenceData!$BR$225),"")</f>
        <v>140.49</v>
      </c>
      <c r="BS225">
        <f ca="1">IFERROR(IF(0=LEN(ReferenceData!$BS$225),"",ReferenceData!$BS$225),"")</f>
        <v>150</v>
      </c>
      <c r="BT225">
        <f ca="1">IFERROR(IF(0=LEN(ReferenceData!$BT$225),"",ReferenceData!$BT$225),"")</f>
        <v>148.24</v>
      </c>
      <c r="BU225">
        <f ca="1">IFERROR(IF(0=LEN(ReferenceData!$BU$225),"",ReferenceData!$BU$225),"")</f>
        <v>151.97999999999999</v>
      </c>
      <c r="BV225">
        <f ca="1">IFERROR(IF(0=LEN(ReferenceData!$BV$225),"",ReferenceData!$BV$225),"")</f>
        <v>157.36000000000001</v>
      </c>
      <c r="BW225">
        <f ca="1">IFERROR(IF(0=LEN(ReferenceData!$BW$225),"",ReferenceData!$BW$225),"")</f>
        <v>153.91999999999999</v>
      </c>
      <c r="BX225">
        <f ca="1">IFERROR(IF(0=LEN(ReferenceData!$BX$225),"",ReferenceData!$BX$225),"")</f>
        <v>150.46</v>
      </c>
      <c r="BY225">
        <f ca="1">IFERROR(IF(0=LEN(ReferenceData!$BY$225),"",ReferenceData!$BY$225),"")</f>
        <v>157.97</v>
      </c>
      <c r="BZ225">
        <f ca="1">IFERROR(IF(0=LEN(ReferenceData!$BZ$225),"",ReferenceData!$BZ$225),"")</f>
        <v>151.51</v>
      </c>
      <c r="CA225">
        <f ca="1">IFERROR(IF(0=LEN(ReferenceData!$CA$225),"",ReferenceData!$CA$225),"")</f>
        <v>139.99</v>
      </c>
      <c r="CB225">
        <f ca="1">IFERROR(IF(0=LEN(ReferenceData!$CB$225),"",ReferenceData!$CB$225),"")</f>
        <v>144</v>
      </c>
      <c r="CC225">
        <f ca="1">IFERROR(IF(0=LEN(ReferenceData!$CC$225),"",ReferenceData!$CC$225),"")</f>
        <v>140.51</v>
      </c>
      <c r="CD225">
        <f ca="1">IFERROR(IF(0=LEN(ReferenceData!$CD$225),"",ReferenceData!$CD$225),"")</f>
        <v>132.85</v>
      </c>
      <c r="CE225">
        <f ca="1">IFERROR(IF(0=LEN(ReferenceData!$CE$225),"",ReferenceData!$CE$225),"")</f>
        <v>142.76</v>
      </c>
      <c r="CF225">
        <f ca="1">IFERROR(IF(0=LEN(ReferenceData!$CF$225),"",ReferenceData!$CF$225),"")</f>
        <v>120.04</v>
      </c>
      <c r="CG225">
        <f ca="1">IFERROR(IF(0=LEN(ReferenceData!$CG$225),"",ReferenceData!$CG$225),"")</f>
        <v>143.55000000000001</v>
      </c>
      <c r="CH225">
        <f ca="1">IFERROR(IF(0=LEN(ReferenceData!$CH$225),"",ReferenceData!$CH$225),"")</f>
        <v>140.36000000000001</v>
      </c>
      <c r="CI225">
        <f ca="1">IFERROR(IF(0=LEN(ReferenceData!$CI$225),"",ReferenceData!$CI$225),"")</f>
        <v>135.29</v>
      </c>
      <c r="CJ225">
        <f ca="1">IFERROR(IF(0=LEN(ReferenceData!$CJ$225),"",ReferenceData!$CJ$225),"")</f>
        <v>137.61000000000001</v>
      </c>
      <c r="CK225">
        <f ca="1">IFERROR(IF(0=LEN(ReferenceData!$CK$225),"",ReferenceData!$CK$225),"")</f>
        <v>135.47999999999999</v>
      </c>
    </row>
    <row r="226" spans="1:89">
      <c r="A226" t="str">
        <f>IFERROR(IF(0=LEN(ReferenceData!$A$226),"",ReferenceData!$A$226),"")</f>
        <v xml:space="preserve">    Mid-America Apartment Communit</v>
      </c>
      <c r="B226" t="str">
        <f>IFERROR(IF(0=LEN(ReferenceData!$B$226),"",ReferenceData!$B$226),"")</f>
        <v>MAA US Equity</v>
      </c>
      <c r="C226" t="str">
        <f>IFERROR(IF(0=LEN(ReferenceData!$C$226),"",ReferenceData!$C$226),"")</f>
        <v>PR005</v>
      </c>
      <c r="D226" t="str">
        <f>IFERROR(IF(0=LEN(ReferenceData!$D$226),"",ReferenceData!$D$226),"")</f>
        <v>PX_LAST</v>
      </c>
      <c r="E226" t="str">
        <f>IFERROR(IF(0=LEN(ReferenceData!$E$226),"",ReferenceData!$E$226),"")</f>
        <v>动态</v>
      </c>
      <c r="F226">
        <f ca="1">IFERROR(IF(0=LEN(ReferenceData!$F$226),"",ReferenceData!$F$226),"")</f>
        <v>89.34</v>
      </c>
      <c r="G226">
        <f ca="1">IFERROR(IF(0=LEN(ReferenceData!$G$226),"",ReferenceData!$G$226),"")</f>
        <v>85.82</v>
      </c>
      <c r="H226">
        <f ca="1">IFERROR(IF(0=LEN(ReferenceData!$H$226),"",ReferenceData!$H$226),"")</f>
        <v>95.37</v>
      </c>
      <c r="I226">
        <f ca="1">IFERROR(IF(0=LEN(ReferenceData!$I$226),"",ReferenceData!$I$226),"")</f>
        <v>100.56</v>
      </c>
      <c r="J226">
        <f ca="1">IFERROR(IF(0=LEN(ReferenceData!$J$226),"",ReferenceData!$J$226),"")</f>
        <v>102.44</v>
      </c>
      <c r="K226">
        <f ca="1">IFERROR(IF(0=LEN(ReferenceData!$K$226),"",ReferenceData!$K$226),"")</f>
        <v>102.35</v>
      </c>
      <c r="L226">
        <f ca="1">IFERROR(IF(0=LEN(ReferenceData!$L$226),"",ReferenceData!$L$226),"")</f>
        <v>106.88</v>
      </c>
      <c r="M226">
        <f ca="1">IFERROR(IF(0=LEN(ReferenceData!$M$226),"",ReferenceData!$M$226),"")</f>
        <v>106.46</v>
      </c>
      <c r="N226">
        <f ca="1">IFERROR(IF(0=LEN(ReferenceData!$N$226),"",ReferenceData!$N$226),"")</f>
        <v>103.53</v>
      </c>
      <c r="O226">
        <f ca="1">IFERROR(IF(0=LEN(ReferenceData!$O$226),"",ReferenceData!$O$226),"")</f>
        <v>105.38</v>
      </c>
      <c r="P226">
        <f ca="1">IFERROR(IF(0=LEN(ReferenceData!$P$226),"",ReferenceData!$P$226),"")</f>
        <v>101.94</v>
      </c>
      <c r="Q226">
        <f ca="1">IFERROR(IF(0=LEN(ReferenceData!$Q$226),"",ReferenceData!$Q$226),"")</f>
        <v>99.21</v>
      </c>
      <c r="R226">
        <f ca="1">IFERROR(IF(0=LEN(ReferenceData!$R$226),"",ReferenceData!$R$226),"")</f>
        <v>101.74</v>
      </c>
      <c r="S226">
        <f ca="1">IFERROR(IF(0=LEN(ReferenceData!$S$226),"",ReferenceData!$S$226),"")</f>
        <v>102.73</v>
      </c>
      <c r="T226">
        <f ca="1">IFERROR(IF(0=LEN(ReferenceData!$T$226),"",ReferenceData!$T$226),"")</f>
        <v>94.95</v>
      </c>
      <c r="U226">
        <f ca="1">IFERROR(IF(0=LEN(ReferenceData!$U$226),"",ReferenceData!$U$226),"")</f>
        <v>97.92</v>
      </c>
      <c r="V226">
        <f ca="1">IFERROR(IF(0=LEN(ReferenceData!$V$226),"",ReferenceData!$V$226),"")</f>
        <v>91.63</v>
      </c>
      <c r="W226">
        <f ca="1">IFERROR(IF(0=LEN(ReferenceData!$W$226),"",ReferenceData!$W$226),"")</f>
        <v>92.75</v>
      </c>
      <c r="X226">
        <f ca="1">IFERROR(IF(0=LEN(ReferenceData!$X$226),"",ReferenceData!$X$226),"")</f>
        <v>93.99</v>
      </c>
      <c r="Y226">
        <f ca="1">IFERROR(IF(0=LEN(ReferenceData!$Y$226),"",ReferenceData!$Y$226),"")</f>
        <v>93.99</v>
      </c>
      <c r="Z226">
        <f ca="1">IFERROR(IF(0=LEN(ReferenceData!$Z$226),"",ReferenceData!$Z$226),"")</f>
        <v>106.02</v>
      </c>
      <c r="AA226">
        <f ca="1">IFERROR(IF(0=LEN(ReferenceData!$AA$226),"",ReferenceData!$AA$226),"")</f>
        <v>106.4</v>
      </c>
      <c r="AB226">
        <f ca="1">IFERROR(IF(0=LEN(ReferenceData!$AB$226),"",ReferenceData!$AB$226),"")</f>
        <v>102.99</v>
      </c>
      <c r="AC226">
        <f ca="1">IFERROR(IF(0=LEN(ReferenceData!$AC$226),"",ReferenceData!$AC$226),"")</f>
        <v>95.71</v>
      </c>
      <c r="AD226">
        <f ca="1">IFERROR(IF(0=LEN(ReferenceData!$AD$226),"",ReferenceData!$AD$226),"")</f>
        <v>102.21</v>
      </c>
      <c r="AE226">
        <f ca="1">IFERROR(IF(0=LEN(ReferenceData!$AE$226),"",ReferenceData!$AE$226),"")</f>
        <v>89.94</v>
      </c>
      <c r="AF226">
        <f ca="1">IFERROR(IF(0=LEN(ReferenceData!$AF$226),"",ReferenceData!$AF$226),"")</f>
        <v>93.82</v>
      </c>
      <c r="AG226">
        <f ca="1">IFERROR(IF(0=LEN(ReferenceData!$AG$226),"",ReferenceData!$AG$226),"")</f>
        <v>90.81</v>
      </c>
      <c r="AH226">
        <f ca="1">IFERROR(IF(0=LEN(ReferenceData!$AH$226),"",ReferenceData!$AH$226),"")</f>
        <v>88.56</v>
      </c>
      <c r="AI226">
        <f ca="1">IFERROR(IF(0=LEN(ReferenceData!$AI$226),"",ReferenceData!$AI$226),"")</f>
        <v>85.19</v>
      </c>
      <c r="AJ226">
        <f ca="1">IFERROR(IF(0=LEN(ReferenceData!$AJ$226),"",ReferenceData!$AJ$226),"")</f>
        <v>81.87</v>
      </c>
      <c r="AK226">
        <f ca="1">IFERROR(IF(0=LEN(ReferenceData!$AK$226),"",ReferenceData!$AK$226),"")</f>
        <v>78.59</v>
      </c>
      <c r="AL226">
        <f ca="1">IFERROR(IF(0=LEN(ReferenceData!$AL$226),"",ReferenceData!$AL$226),"")</f>
        <v>80.34</v>
      </c>
      <c r="AM226">
        <f ca="1">IFERROR(IF(0=LEN(ReferenceData!$AM$226),"",ReferenceData!$AM$226),"")</f>
        <v>72.81</v>
      </c>
      <c r="AN226">
        <f ca="1">IFERROR(IF(0=LEN(ReferenceData!$AN$226),"",ReferenceData!$AN$226),"")</f>
        <v>76.39</v>
      </c>
      <c r="AO226">
        <f ca="1">IFERROR(IF(0=LEN(ReferenceData!$AO$226),"",ReferenceData!$AO$226),"")</f>
        <v>74.61</v>
      </c>
      <c r="AP226">
        <f ca="1">IFERROR(IF(0=LEN(ReferenceData!$AP$226),"",ReferenceData!$AP$226),"")</f>
        <v>77.27</v>
      </c>
      <c r="AQ226">
        <f ca="1">IFERROR(IF(0=LEN(ReferenceData!$AQ$226),"",ReferenceData!$AQ$226),"")</f>
        <v>72.47</v>
      </c>
      <c r="AR226">
        <f ca="1">IFERROR(IF(0=LEN(ReferenceData!$AR$226),"",ReferenceData!$AR$226),"")</f>
        <v>79.319999999999993</v>
      </c>
      <c r="AS226">
        <f ca="1">IFERROR(IF(0=LEN(ReferenceData!$AS$226),"",ReferenceData!$AS$226),"")</f>
        <v>74.680000000000007</v>
      </c>
      <c r="AT226">
        <f ca="1">IFERROR(IF(0=LEN(ReferenceData!$AT$226),"",ReferenceData!$AT$226),"")</f>
        <v>73.66</v>
      </c>
      <c r="AU226">
        <f ca="1">IFERROR(IF(0=LEN(ReferenceData!$AU$226),"",ReferenceData!$AU$226),"")</f>
        <v>70.66</v>
      </c>
      <c r="AV226">
        <f ca="1">IFERROR(IF(0=LEN(ReferenceData!$AV$226),"",ReferenceData!$AV$226),"")</f>
        <v>65.650000000000006</v>
      </c>
      <c r="AW226">
        <f ca="1">IFERROR(IF(0=LEN(ReferenceData!$AW$226),"",ReferenceData!$AW$226),"")</f>
        <v>72.319999999999993</v>
      </c>
      <c r="AX226">
        <f ca="1">IFERROR(IF(0=LEN(ReferenceData!$AX$226),"",ReferenceData!$AX$226),"")</f>
        <v>69.92</v>
      </c>
      <c r="AY226">
        <f ca="1">IFERROR(IF(0=LEN(ReferenceData!$AY$226),"",ReferenceData!$AY$226),"")</f>
        <v>73.05</v>
      </c>
      <c r="AZ226">
        <f ca="1">IFERROR(IF(0=LEN(ReferenceData!$AZ$226),"",ReferenceData!$AZ$226),"")</f>
        <v>72.349999999999994</v>
      </c>
      <c r="BA226">
        <f ca="1">IFERROR(IF(0=LEN(ReferenceData!$BA$226),"",ReferenceData!$BA$226),"")</f>
        <v>69.650000000000006</v>
      </c>
      <c r="BB226">
        <f ca="1">IFERROR(IF(0=LEN(ReferenceData!$BB$226),"",ReferenceData!$BB$226),"")</f>
        <v>68.27</v>
      </c>
      <c r="BC226">
        <f ca="1">IFERROR(IF(0=LEN(ReferenceData!$BC$226),"",ReferenceData!$BC$226),"")</f>
        <v>67.64</v>
      </c>
      <c r="BD226">
        <f ca="1">IFERROR(IF(0=LEN(ReferenceData!$BD$226),"",ReferenceData!$BD$226),"")</f>
        <v>64.540000000000006</v>
      </c>
      <c r="BE226">
        <f ca="1">IFERROR(IF(0=LEN(ReferenceData!$BE$226),"",ReferenceData!$BE$226),"")</f>
        <v>60.74</v>
      </c>
      <c r="BF226">
        <f ca="1">IFERROR(IF(0=LEN(ReferenceData!$BF$226),"",ReferenceData!$BF$226),"")</f>
        <v>60.24</v>
      </c>
      <c r="BG226">
        <f ca="1">IFERROR(IF(0=LEN(ReferenceData!$BG$226),"",ReferenceData!$BG$226),"")</f>
        <v>66.400000000000006</v>
      </c>
      <c r="BH226">
        <f ca="1">IFERROR(IF(0=LEN(ReferenceData!$BH$226),"",ReferenceData!$BH$226),"")</f>
        <v>62.5</v>
      </c>
      <c r="BI226">
        <f ca="1">IFERROR(IF(0=LEN(ReferenceData!$BI$226),"",ReferenceData!$BI$226),"")</f>
        <v>61.66</v>
      </c>
      <c r="BJ226">
        <f ca="1">IFERROR(IF(0=LEN(ReferenceData!$BJ$226),"",ReferenceData!$BJ$226),"")</f>
        <v>67.55</v>
      </c>
      <c r="BK226">
        <f ca="1">IFERROR(IF(0=LEN(ReferenceData!$BK$226),"",ReferenceData!$BK$226),"")</f>
        <v>67.77</v>
      </c>
      <c r="BL226">
        <f ca="1">IFERROR(IF(0=LEN(ReferenceData!$BL$226),"",ReferenceData!$BL$226),"")</f>
        <v>67.97</v>
      </c>
      <c r="BM226">
        <f ca="1">IFERROR(IF(0=LEN(ReferenceData!$BM$226),"",ReferenceData!$BM$226),"")</f>
        <v>68.73</v>
      </c>
      <c r="BN226">
        <f ca="1">IFERROR(IF(0=LEN(ReferenceData!$BN$226),"",ReferenceData!$BN$226),"")</f>
        <v>69.06</v>
      </c>
      <c r="BO226">
        <f ca="1">IFERROR(IF(0=LEN(ReferenceData!$BO$226),"",ReferenceData!$BO$226),"")</f>
        <v>69.44</v>
      </c>
      <c r="BP226">
        <f ca="1">IFERROR(IF(0=LEN(ReferenceData!$BP$226),"",ReferenceData!$BP$226),"")</f>
        <v>65.37</v>
      </c>
      <c r="BQ226">
        <f ca="1">IFERROR(IF(0=LEN(ReferenceData!$BQ$226),"",ReferenceData!$BQ$226),"")</f>
        <v>64.75</v>
      </c>
      <c r="BR226">
        <f ca="1">IFERROR(IF(0=LEN(ReferenceData!$BR$226),"",ReferenceData!$BR$226),"")</f>
        <v>62.32</v>
      </c>
      <c r="BS226">
        <f ca="1">IFERROR(IF(0=LEN(ReferenceData!$BS$226),"",ReferenceData!$BS$226),"")</f>
        <v>64.709999999999994</v>
      </c>
      <c r="BT226">
        <f ca="1">IFERROR(IF(0=LEN(ReferenceData!$BT$226),"",ReferenceData!$BT$226),"")</f>
        <v>65.31</v>
      </c>
      <c r="BU226">
        <f ca="1">IFERROR(IF(0=LEN(ReferenceData!$BU$226),"",ReferenceData!$BU$226),"")</f>
        <v>68</v>
      </c>
      <c r="BV226">
        <f ca="1">IFERROR(IF(0=LEN(ReferenceData!$BV$226),"",ReferenceData!$BV$226),"")</f>
        <v>69.23</v>
      </c>
      <c r="BW226">
        <f ca="1">IFERROR(IF(0=LEN(ReferenceData!$BW$226),"",ReferenceData!$BW$226),"")</f>
        <v>68.239999999999995</v>
      </c>
      <c r="BX226">
        <f ca="1">IFERROR(IF(0=LEN(ReferenceData!$BX$226),"",ReferenceData!$BX$226),"")</f>
        <v>67.39</v>
      </c>
      <c r="BY226">
        <f ca="1">IFERROR(IF(0=LEN(ReferenceData!$BY$226),"",ReferenceData!$BY$226),"")</f>
        <v>68.069999999999993</v>
      </c>
      <c r="BZ226">
        <f ca="1">IFERROR(IF(0=LEN(ReferenceData!$BZ$226),"",ReferenceData!$BZ$226),"")</f>
        <v>67.03</v>
      </c>
      <c r="CA226">
        <f ca="1">IFERROR(IF(0=LEN(ReferenceData!$CA$226),"",ReferenceData!$CA$226),"")</f>
        <v>62.37</v>
      </c>
      <c r="CB226">
        <f ca="1">IFERROR(IF(0=LEN(ReferenceData!$CB$226),"",ReferenceData!$CB$226),"")</f>
        <v>63.92</v>
      </c>
      <c r="CC226">
        <f ca="1">IFERROR(IF(0=LEN(ReferenceData!$CC$226),"",ReferenceData!$CC$226),"")</f>
        <v>62.55</v>
      </c>
      <c r="CD226">
        <f ca="1">IFERROR(IF(0=LEN(ReferenceData!$CD$226),"",ReferenceData!$CD$226),"")</f>
        <v>57.32</v>
      </c>
      <c r="CE226">
        <f ca="1">IFERROR(IF(0=LEN(ReferenceData!$CE$226),"",ReferenceData!$CE$226),"")</f>
        <v>62.4</v>
      </c>
      <c r="CF226">
        <f ca="1">IFERROR(IF(0=LEN(ReferenceData!$CF$226),"",ReferenceData!$CF$226),"")</f>
        <v>60.22</v>
      </c>
      <c r="CG226">
        <f ca="1">IFERROR(IF(0=LEN(ReferenceData!$CG$226),"",ReferenceData!$CG$226),"")</f>
        <v>71.48</v>
      </c>
      <c r="CH226">
        <f ca="1">IFERROR(IF(0=LEN(ReferenceData!$CH$226),"",ReferenceData!$CH$226),"")</f>
        <v>70.790000000000006</v>
      </c>
      <c r="CI226">
        <f ca="1">IFERROR(IF(0=LEN(ReferenceData!$CI$226),"",ReferenceData!$CI$226),"")</f>
        <v>67.47</v>
      </c>
      <c r="CJ226">
        <f ca="1">IFERROR(IF(0=LEN(ReferenceData!$CJ$226),"",ReferenceData!$CJ$226),"")</f>
        <v>68.55</v>
      </c>
      <c r="CK226">
        <f ca="1">IFERROR(IF(0=LEN(ReferenceData!$CK$226),"",ReferenceData!$CK$226),"")</f>
        <v>66.849999999999994</v>
      </c>
    </row>
    <row r="227" spans="1:89">
      <c r="A227" t="str">
        <f>IFERROR(IF(0=LEN(ReferenceData!$A$227),"",ReferenceData!$A$227),"")</f>
        <v xml:space="preserve">    Monogram Residential Trust Inc</v>
      </c>
      <c r="B227" t="str">
        <f>IFERROR(IF(0=LEN(ReferenceData!$B$227),"",ReferenceData!$B$227),"")</f>
        <v>MORE US Equity</v>
      </c>
      <c r="C227" t="str">
        <f>IFERROR(IF(0=LEN(ReferenceData!$C$227),"",ReferenceData!$C$227),"")</f>
        <v>PR005</v>
      </c>
      <c r="D227" t="str">
        <f>IFERROR(IF(0=LEN(ReferenceData!$D$227),"",ReferenceData!$D$227),"")</f>
        <v>PX_LAST</v>
      </c>
      <c r="E227" t="str">
        <f>IFERROR(IF(0=LEN(ReferenceData!$E$227),"",ReferenceData!$E$227),"")</f>
        <v>动态</v>
      </c>
      <c r="F227" t="str">
        <f ca="1">IFERROR(IF(0=LEN(ReferenceData!$F$227),"",ReferenceData!$F$227),"")</f>
        <v/>
      </c>
      <c r="G227" t="str">
        <f ca="1">IFERROR(IF(0=LEN(ReferenceData!$G$227),"",ReferenceData!$G$227),"")</f>
        <v/>
      </c>
      <c r="H227" t="str">
        <f ca="1">IFERROR(IF(0=LEN(ReferenceData!$H$227),"",ReferenceData!$H$227),"")</f>
        <v/>
      </c>
      <c r="I227" t="str">
        <f ca="1">IFERROR(IF(0=LEN(ReferenceData!$I$227),"",ReferenceData!$I$227),"")</f>
        <v/>
      </c>
      <c r="J227" t="str">
        <f ca="1">IFERROR(IF(0=LEN(ReferenceData!$J$227),"",ReferenceData!$J$227),"")</f>
        <v/>
      </c>
      <c r="K227" t="str">
        <f ca="1">IFERROR(IF(0=LEN(ReferenceData!$K$227),"",ReferenceData!$K$227),"")</f>
        <v/>
      </c>
      <c r="L227">
        <f ca="1">IFERROR(IF(0=LEN(ReferenceData!$L$227),"",ReferenceData!$L$227),"")</f>
        <v>11.99</v>
      </c>
      <c r="M227">
        <f ca="1">IFERROR(IF(0=LEN(ReferenceData!$M$227),"",ReferenceData!$M$227),"")</f>
        <v>12</v>
      </c>
      <c r="N227">
        <f ca="1">IFERROR(IF(0=LEN(ReferenceData!$N$227),"",ReferenceData!$N$227),"")</f>
        <v>11.96</v>
      </c>
      <c r="O227">
        <f ca="1">IFERROR(IF(0=LEN(ReferenceData!$O$227),"",ReferenceData!$O$227),"")</f>
        <v>9.7100000000000009</v>
      </c>
      <c r="P227">
        <f ca="1">IFERROR(IF(0=LEN(ReferenceData!$P$227),"",ReferenceData!$P$227),"")</f>
        <v>9.6300000000000008</v>
      </c>
      <c r="Q227">
        <f ca="1">IFERROR(IF(0=LEN(ReferenceData!$Q$227),"",ReferenceData!$Q$227),"")</f>
        <v>10.18</v>
      </c>
      <c r="R227">
        <f ca="1">IFERROR(IF(0=LEN(ReferenceData!$R$227),"",ReferenceData!$R$227),"")</f>
        <v>9.9700000000000006</v>
      </c>
      <c r="S227">
        <f ca="1">IFERROR(IF(0=LEN(ReferenceData!$S$227),"",ReferenceData!$S$227),"")</f>
        <v>10.29</v>
      </c>
      <c r="T227">
        <f ca="1">IFERROR(IF(0=LEN(ReferenceData!$T$227),"",ReferenceData!$T$227),"")</f>
        <v>10.17</v>
      </c>
      <c r="U227">
        <f ca="1">IFERROR(IF(0=LEN(ReferenceData!$U$227),"",ReferenceData!$U$227),"")</f>
        <v>10.82</v>
      </c>
      <c r="V227">
        <f ca="1">IFERROR(IF(0=LEN(ReferenceData!$V$227),"",ReferenceData!$V$227),"")</f>
        <v>10.53</v>
      </c>
      <c r="W227">
        <f ca="1">IFERROR(IF(0=LEN(ReferenceData!$W$227),"",ReferenceData!$W$227),"")</f>
        <v>10.54</v>
      </c>
      <c r="X227">
        <f ca="1">IFERROR(IF(0=LEN(ReferenceData!$X$227),"",ReferenceData!$X$227),"")</f>
        <v>10.64</v>
      </c>
      <c r="Y227">
        <f ca="1">IFERROR(IF(0=LEN(ReferenceData!$Y$227),"",ReferenceData!$Y$227),"")</f>
        <v>10.52</v>
      </c>
      <c r="Z227">
        <f ca="1">IFERROR(IF(0=LEN(ReferenceData!$Z$227),"",ReferenceData!$Z$227),"")</f>
        <v>10.71</v>
      </c>
      <c r="AA227">
        <f ca="1">IFERROR(IF(0=LEN(ReferenceData!$AA$227),"",ReferenceData!$AA$227),"")</f>
        <v>10.210000000000001</v>
      </c>
      <c r="AB227">
        <f ca="1">IFERROR(IF(0=LEN(ReferenceData!$AB$227),"",ReferenceData!$AB$227),"")</f>
        <v>10.14</v>
      </c>
      <c r="AC227">
        <f ca="1">IFERROR(IF(0=LEN(ReferenceData!$AC$227),"",ReferenceData!$AC$227),"")</f>
        <v>10.130000000000001</v>
      </c>
      <c r="AD227">
        <f ca="1">IFERROR(IF(0=LEN(ReferenceData!$AD$227),"",ReferenceData!$AD$227),"")</f>
        <v>9.86</v>
      </c>
      <c r="AE227">
        <f ca="1">IFERROR(IF(0=LEN(ReferenceData!$AE$227),"",ReferenceData!$AE$227),"")</f>
        <v>9.08</v>
      </c>
      <c r="AF227">
        <f ca="1">IFERROR(IF(0=LEN(ReferenceData!$AF$227),"",ReferenceData!$AF$227),"")</f>
        <v>8.7200000000000006</v>
      </c>
      <c r="AG227">
        <f ca="1">IFERROR(IF(0=LEN(ReferenceData!$AG$227),"",ReferenceData!$AG$227),"")</f>
        <v>9.76</v>
      </c>
      <c r="AH227">
        <f ca="1">IFERROR(IF(0=LEN(ReferenceData!$AH$227),"",ReferenceData!$AH$227),"")</f>
        <v>9.98</v>
      </c>
      <c r="AI227">
        <f ca="1">IFERROR(IF(0=LEN(ReferenceData!$AI$227),"",ReferenceData!$AI$227),"")</f>
        <v>9.86</v>
      </c>
      <c r="AJ227">
        <f ca="1">IFERROR(IF(0=LEN(ReferenceData!$AJ$227),"",ReferenceData!$AJ$227),"")</f>
        <v>9.31</v>
      </c>
      <c r="AK227">
        <f ca="1">IFERROR(IF(0=LEN(ReferenceData!$AK$227),"",ReferenceData!$AK$227),"")</f>
        <v>9.26</v>
      </c>
      <c r="AL227">
        <f ca="1">IFERROR(IF(0=LEN(ReferenceData!$AL$227),"",ReferenceData!$AL$227),"")</f>
        <v>9.34</v>
      </c>
      <c r="AM227">
        <f ca="1">IFERROR(IF(0=LEN(ReferenceData!$AM$227),"",ReferenceData!$AM$227),"")</f>
        <v>9.02</v>
      </c>
      <c r="AN227">
        <f ca="1">IFERROR(IF(0=LEN(ReferenceData!$AN$227),"",ReferenceData!$AN$227),"")</f>
        <v>9.57</v>
      </c>
      <c r="AO227">
        <f ca="1">IFERROR(IF(0=LEN(ReferenceData!$AO$227),"",ReferenceData!$AO$227),"")</f>
        <v>9.44</v>
      </c>
      <c r="AP227">
        <f ca="1">IFERROR(IF(0=LEN(ReferenceData!$AP$227),"",ReferenceData!$AP$227),"")</f>
        <v>9.32</v>
      </c>
      <c r="AQ227">
        <f ca="1">IFERROR(IF(0=LEN(ReferenceData!$AQ$227),"",ReferenceData!$AQ$227),"")</f>
        <v>9.2100000000000009</v>
      </c>
      <c r="AR227">
        <f ca="1">IFERROR(IF(0=LEN(ReferenceData!$AR$227),"",ReferenceData!$AR$227),"")</f>
        <v>9.15</v>
      </c>
      <c r="AS227">
        <f ca="1">IFERROR(IF(0=LEN(ReferenceData!$AS$227),"",ReferenceData!$AS$227),"")</f>
        <v>9.26</v>
      </c>
      <c r="AT227">
        <f ca="1">IFERROR(IF(0=LEN(ReferenceData!$AT$227),"",ReferenceData!$AT$227),"")</f>
        <v>9.5050000000000008</v>
      </c>
      <c r="AU227" t="str">
        <f ca="1">IFERROR(IF(0=LEN(ReferenceData!$AU$227),"",ReferenceData!$AU$227),"")</f>
        <v/>
      </c>
      <c r="AV227" t="str">
        <f ca="1">IFERROR(IF(0=LEN(ReferenceData!$AV$227),"",ReferenceData!$AV$227),"")</f>
        <v/>
      </c>
      <c r="AW227" t="str">
        <f ca="1">IFERROR(IF(0=LEN(ReferenceData!$AW$227),"",ReferenceData!$AW$227),"")</f>
        <v/>
      </c>
      <c r="AX227" t="str">
        <f ca="1">IFERROR(IF(0=LEN(ReferenceData!$AX$227),"",ReferenceData!$AX$227),"")</f>
        <v/>
      </c>
      <c r="AY227" t="str">
        <f ca="1">IFERROR(IF(0=LEN(ReferenceData!$AY$227),"",ReferenceData!$AY$227),"")</f>
        <v/>
      </c>
      <c r="AZ227" t="str">
        <f ca="1">IFERROR(IF(0=LEN(ReferenceData!$AZ$227),"",ReferenceData!$AZ$227),"")</f>
        <v/>
      </c>
      <c r="BA227" t="str">
        <f ca="1">IFERROR(IF(0=LEN(ReferenceData!$BA$227),"",ReferenceData!$BA$227),"")</f>
        <v/>
      </c>
      <c r="BB227" t="str">
        <f ca="1">IFERROR(IF(0=LEN(ReferenceData!$BB$227),"",ReferenceData!$BB$227),"")</f>
        <v/>
      </c>
      <c r="BC227" t="str">
        <f ca="1">IFERROR(IF(0=LEN(ReferenceData!$BC$227),"",ReferenceData!$BC$227),"")</f>
        <v/>
      </c>
      <c r="BD227" t="str">
        <f ca="1">IFERROR(IF(0=LEN(ReferenceData!$BD$227),"",ReferenceData!$BD$227),"")</f>
        <v/>
      </c>
      <c r="BE227" t="str">
        <f ca="1">IFERROR(IF(0=LEN(ReferenceData!$BE$227),"",ReferenceData!$BE$227),"")</f>
        <v/>
      </c>
      <c r="BF227" t="str">
        <f ca="1">IFERROR(IF(0=LEN(ReferenceData!$BF$227),"",ReferenceData!$BF$227),"")</f>
        <v/>
      </c>
      <c r="BG227" t="str">
        <f ca="1">IFERROR(IF(0=LEN(ReferenceData!$BG$227),"",ReferenceData!$BG$227),"")</f>
        <v/>
      </c>
      <c r="BH227" t="str">
        <f ca="1">IFERROR(IF(0=LEN(ReferenceData!$BH$227),"",ReferenceData!$BH$227),"")</f>
        <v/>
      </c>
      <c r="BI227" t="str">
        <f ca="1">IFERROR(IF(0=LEN(ReferenceData!$BI$227),"",ReferenceData!$BI$227),"")</f>
        <v/>
      </c>
      <c r="BJ227" t="str">
        <f ca="1">IFERROR(IF(0=LEN(ReferenceData!$BJ$227),"",ReferenceData!$BJ$227),"")</f>
        <v/>
      </c>
      <c r="BK227" t="str">
        <f ca="1">IFERROR(IF(0=LEN(ReferenceData!$BK$227),"",ReferenceData!$BK$227),"")</f>
        <v/>
      </c>
      <c r="BL227" t="str">
        <f ca="1">IFERROR(IF(0=LEN(ReferenceData!$BL$227),"",ReferenceData!$BL$227),"")</f>
        <v/>
      </c>
      <c r="BM227" t="str">
        <f ca="1">IFERROR(IF(0=LEN(ReferenceData!$BM$227),"",ReferenceData!$BM$227),"")</f>
        <v/>
      </c>
      <c r="BN227" t="str">
        <f ca="1">IFERROR(IF(0=LEN(ReferenceData!$BN$227),"",ReferenceData!$BN$227),"")</f>
        <v/>
      </c>
      <c r="BO227" t="str">
        <f ca="1">IFERROR(IF(0=LEN(ReferenceData!$BO$227),"",ReferenceData!$BO$227),"")</f>
        <v/>
      </c>
      <c r="BP227" t="str">
        <f ca="1">IFERROR(IF(0=LEN(ReferenceData!$BP$227),"",ReferenceData!$BP$227),"")</f>
        <v/>
      </c>
      <c r="BQ227" t="str">
        <f ca="1">IFERROR(IF(0=LEN(ReferenceData!$BQ$227),"",ReferenceData!$BQ$227),"")</f>
        <v/>
      </c>
      <c r="BR227" t="str">
        <f ca="1">IFERROR(IF(0=LEN(ReferenceData!$BR$227),"",ReferenceData!$BR$227),"")</f>
        <v/>
      </c>
      <c r="BS227" t="str">
        <f ca="1">IFERROR(IF(0=LEN(ReferenceData!$BS$227),"",ReferenceData!$BS$227),"")</f>
        <v/>
      </c>
      <c r="BT227" t="str">
        <f ca="1">IFERROR(IF(0=LEN(ReferenceData!$BT$227),"",ReferenceData!$BT$227),"")</f>
        <v/>
      </c>
      <c r="BU227" t="str">
        <f ca="1">IFERROR(IF(0=LEN(ReferenceData!$BU$227),"",ReferenceData!$BU$227),"")</f>
        <v/>
      </c>
      <c r="BV227" t="str">
        <f ca="1">IFERROR(IF(0=LEN(ReferenceData!$BV$227),"",ReferenceData!$BV$227),"")</f>
        <v/>
      </c>
      <c r="BW227" t="str">
        <f ca="1">IFERROR(IF(0=LEN(ReferenceData!$BW$227),"",ReferenceData!$BW$227),"")</f>
        <v/>
      </c>
      <c r="BX227" t="str">
        <f ca="1">IFERROR(IF(0=LEN(ReferenceData!$BX$227),"",ReferenceData!$BX$227),"")</f>
        <v/>
      </c>
      <c r="BY227" t="str">
        <f ca="1">IFERROR(IF(0=LEN(ReferenceData!$BY$227),"",ReferenceData!$BY$227),"")</f>
        <v/>
      </c>
      <c r="BZ227" t="str">
        <f ca="1">IFERROR(IF(0=LEN(ReferenceData!$BZ$227),"",ReferenceData!$BZ$227),"")</f>
        <v/>
      </c>
      <c r="CA227" t="str">
        <f ca="1">IFERROR(IF(0=LEN(ReferenceData!$CA$227),"",ReferenceData!$CA$227),"")</f>
        <v/>
      </c>
      <c r="CB227" t="str">
        <f ca="1">IFERROR(IF(0=LEN(ReferenceData!$CB$227),"",ReferenceData!$CB$227),"")</f>
        <v/>
      </c>
      <c r="CC227" t="str">
        <f ca="1">IFERROR(IF(0=LEN(ReferenceData!$CC$227),"",ReferenceData!$CC$227),"")</f>
        <v/>
      </c>
      <c r="CD227" t="str">
        <f ca="1">IFERROR(IF(0=LEN(ReferenceData!$CD$227),"",ReferenceData!$CD$227),"")</f>
        <v/>
      </c>
      <c r="CE227" t="str">
        <f ca="1">IFERROR(IF(0=LEN(ReferenceData!$CE$227),"",ReferenceData!$CE$227),"")</f>
        <v/>
      </c>
      <c r="CF227" t="str">
        <f ca="1">IFERROR(IF(0=LEN(ReferenceData!$CF$227),"",ReferenceData!$CF$227),"")</f>
        <v/>
      </c>
      <c r="CG227" t="str">
        <f ca="1">IFERROR(IF(0=LEN(ReferenceData!$CG$227),"",ReferenceData!$CG$227),"")</f>
        <v/>
      </c>
      <c r="CH227" t="str">
        <f ca="1">IFERROR(IF(0=LEN(ReferenceData!$CH$227),"",ReferenceData!$CH$227),"")</f>
        <v/>
      </c>
      <c r="CI227" t="str">
        <f ca="1">IFERROR(IF(0=LEN(ReferenceData!$CI$227),"",ReferenceData!$CI$227),"")</f>
        <v/>
      </c>
      <c r="CJ227" t="str">
        <f ca="1">IFERROR(IF(0=LEN(ReferenceData!$CJ$227),"",ReferenceData!$CJ$227),"")</f>
        <v/>
      </c>
      <c r="CK227" t="str">
        <f ca="1">IFERROR(IF(0=LEN(ReferenceData!$CK$227),"",ReferenceData!$CK$227),"")</f>
        <v/>
      </c>
    </row>
    <row r="228" spans="1:89">
      <c r="A228" t="str">
        <f>IFERROR(IF(0=LEN(ReferenceData!$A$228),"",ReferenceData!$A$228),"")</f>
        <v xml:space="preserve">    UDR Inc</v>
      </c>
      <c r="B228" t="str">
        <f>IFERROR(IF(0=LEN(ReferenceData!$B$228),"",ReferenceData!$B$228),"")</f>
        <v>UDR US Equity</v>
      </c>
      <c r="C228" t="str">
        <f>IFERROR(IF(0=LEN(ReferenceData!$C$228),"",ReferenceData!$C$228),"")</f>
        <v>PR005</v>
      </c>
      <c r="D228" t="str">
        <f>IFERROR(IF(0=LEN(ReferenceData!$D$228),"",ReferenceData!$D$228),"")</f>
        <v>PX_LAST</v>
      </c>
      <c r="E228" t="str">
        <f>IFERROR(IF(0=LEN(ReferenceData!$E$228),"",ReferenceData!$E$228),"")</f>
        <v>动态</v>
      </c>
      <c r="F228">
        <f ca="1">IFERROR(IF(0=LEN(ReferenceData!$F$228),"",ReferenceData!$F$228),"")</f>
        <v>35.32</v>
      </c>
      <c r="G228">
        <f ca="1">IFERROR(IF(0=LEN(ReferenceData!$G$228),"",ReferenceData!$G$228),"")</f>
        <v>33.619999999999997</v>
      </c>
      <c r="H228">
        <f ca="1">IFERROR(IF(0=LEN(ReferenceData!$H$228),"",ReferenceData!$H$228),"")</f>
        <v>36.53</v>
      </c>
      <c r="I228">
        <f ca="1">IFERROR(IF(0=LEN(ReferenceData!$I$228),"",ReferenceData!$I$228),"")</f>
        <v>38.520000000000003</v>
      </c>
      <c r="J228">
        <f ca="1">IFERROR(IF(0=LEN(ReferenceData!$J$228),"",ReferenceData!$J$228),"")</f>
        <v>39.33</v>
      </c>
      <c r="K228">
        <f ca="1">IFERROR(IF(0=LEN(ReferenceData!$K$228),"",ReferenceData!$K$228),"")</f>
        <v>38.79</v>
      </c>
      <c r="L228">
        <f ca="1">IFERROR(IF(0=LEN(ReferenceData!$L$228),"",ReferenceData!$L$228),"")</f>
        <v>38.03</v>
      </c>
      <c r="M228">
        <f ca="1">IFERROR(IF(0=LEN(ReferenceData!$M$228),"",ReferenceData!$M$228),"")</f>
        <v>38.82</v>
      </c>
      <c r="N228">
        <f ca="1">IFERROR(IF(0=LEN(ReferenceData!$N$228),"",ReferenceData!$N$228),"")</f>
        <v>39.090000000000003</v>
      </c>
      <c r="O228">
        <f ca="1">IFERROR(IF(0=LEN(ReferenceData!$O$228),"",ReferenceData!$O$228),"")</f>
        <v>38.97</v>
      </c>
      <c r="P228">
        <f ca="1">IFERROR(IF(0=LEN(ReferenceData!$P$228),"",ReferenceData!$P$228),"")</f>
        <v>38.61</v>
      </c>
      <c r="Q228">
        <f ca="1">IFERROR(IF(0=LEN(ReferenceData!$Q$228),"",ReferenceData!$Q$228),"")</f>
        <v>37.340000000000003</v>
      </c>
      <c r="R228">
        <f ca="1">IFERROR(IF(0=LEN(ReferenceData!$R$228),"",ReferenceData!$R$228),"")</f>
        <v>36.26</v>
      </c>
      <c r="S228">
        <f ca="1">IFERROR(IF(0=LEN(ReferenceData!$S$228),"",ReferenceData!$S$228),"")</f>
        <v>36.5</v>
      </c>
      <c r="T228">
        <f ca="1">IFERROR(IF(0=LEN(ReferenceData!$T$228),"",ReferenceData!$T$228),"")</f>
        <v>34.950000000000003</v>
      </c>
      <c r="U228">
        <f ca="1">IFERROR(IF(0=LEN(ReferenceData!$U$228),"",ReferenceData!$U$228),"")</f>
        <v>36.479999999999997</v>
      </c>
      <c r="V228">
        <f ca="1">IFERROR(IF(0=LEN(ReferenceData!$V$228),"",ReferenceData!$V$228),"")</f>
        <v>34.04</v>
      </c>
      <c r="W228">
        <f ca="1">IFERROR(IF(0=LEN(ReferenceData!$W$228),"",ReferenceData!$W$228),"")</f>
        <v>34.97</v>
      </c>
      <c r="X228">
        <f ca="1">IFERROR(IF(0=LEN(ReferenceData!$X$228),"",ReferenceData!$X$228),"")</f>
        <v>35.99</v>
      </c>
      <c r="Y228">
        <f ca="1">IFERROR(IF(0=LEN(ReferenceData!$Y$228),"",ReferenceData!$Y$228),"")</f>
        <v>36.18</v>
      </c>
      <c r="Z228">
        <f ca="1">IFERROR(IF(0=LEN(ReferenceData!$Z$228),"",ReferenceData!$Z$228),"")</f>
        <v>37.229999999999997</v>
      </c>
      <c r="AA228">
        <f ca="1">IFERROR(IF(0=LEN(ReferenceData!$AA$228),"",ReferenceData!$AA$228),"")</f>
        <v>36.92</v>
      </c>
      <c r="AB228">
        <f ca="1">IFERROR(IF(0=LEN(ReferenceData!$AB$228),"",ReferenceData!$AB$228),"")</f>
        <v>36.03</v>
      </c>
      <c r="AC228">
        <f ca="1">IFERROR(IF(0=LEN(ReferenceData!$AC$228),"",ReferenceData!$AC$228),"")</f>
        <v>34.92</v>
      </c>
      <c r="AD228">
        <f ca="1">IFERROR(IF(0=LEN(ReferenceData!$AD$228),"",ReferenceData!$AD$228),"")</f>
        <v>38.53</v>
      </c>
      <c r="AE228">
        <f ca="1">IFERROR(IF(0=LEN(ReferenceData!$AE$228),"",ReferenceData!$AE$228),"")</f>
        <v>34.33</v>
      </c>
      <c r="AF228">
        <f ca="1">IFERROR(IF(0=LEN(ReferenceData!$AF$228),"",ReferenceData!$AF$228),"")</f>
        <v>35.590000000000003</v>
      </c>
      <c r="AG228">
        <f ca="1">IFERROR(IF(0=LEN(ReferenceData!$AG$228),"",ReferenceData!$AG$228),"")</f>
        <v>37.57</v>
      </c>
      <c r="AH228">
        <f ca="1">IFERROR(IF(0=LEN(ReferenceData!$AH$228),"",ReferenceData!$AH$228),"")</f>
        <v>36.909999999999997</v>
      </c>
      <c r="AI228">
        <f ca="1">IFERROR(IF(0=LEN(ReferenceData!$AI$228),"",ReferenceData!$AI$228),"")</f>
        <v>34.46</v>
      </c>
      <c r="AJ228">
        <f ca="1">IFERROR(IF(0=LEN(ReferenceData!$AJ$228),"",ReferenceData!$AJ$228),"")</f>
        <v>34.479999999999997</v>
      </c>
      <c r="AK228">
        <f ca="1">IFERROR(IF(0=LEN(ReferenceData!$AK$228),"",ReferenceData!$AK$228),"")</f>
        <v>32.299999999999997</v>
      </c>
      <c r="AL228">
        <f ca="1">IFERROR(IF(0=LEN(ReferenceData!$AL$228),"",ReferenceData!$AL$228),"")</f>
        <v>33.81</v>
      </c>
      <c r="AM228">
        <f ca="1">IFERROR(IF(0=LEN(ReferenceData!$AM$228),"",ReferenceData!$AM$228),"")</f>
        <v>32.03</v>
      </c>
      <c r="AN228">
        <f ca="1">IFERROR(IF(0=LEN(ReferenceData!$AN$228),"",ReferenceData!$AN$228),"")</f>
        <v>32.56</v>
      </c>
      <c r="AO228">
        <f ca="1">IFERROR(IF(0=LEN(ReferenceData!$AO$228),"",ReferenceData!$AO$228),"")</f>
        <v>32.770000000000003</v>
      </c>
      <c r="AP228">
        <f ca="1">IFERROR(IF(0=LEN(ReferenceData!$AP$228),"",ReferenceData!$AP$228),"")</f>
        <v>34.03</v>
      </c>
      <c r="AQ228">
        <f ca="1">IFERROR(IF(0=LEN(ReferenceData!$AQ$228),"",ReferenceData!$AQ$228),"")</f>
        <v>31.94</v>
      </c>
      <c r="AR228">
        <f ca="1">IFERROR(IF(0=LEN(ReferenceData!$AR$228),"",ReferenceData!$AR$228),"")</f>
        <v>33.26</v>
      </c>
      <c r="AS228">
        <f ca="1">IFERROR(IF(0=LEN(ReferenceData!$AS$228),"",ReferenceData!$AS$228),"")</f>
        <v>30.82</v>
      </c>
      <c r="AT228">
        <f ca="1">IFERROR(IF(0=LEN(ReferenceData!$AT$228),"",ReferenceData!$AT$228),"")</f>
        <v>30.78</v>
      </c>
      <c r="AU228">
        <f ca="1">IFERROR(IF(0=LEN(ReferenceData!$AU$228),"",ReferenceData!$AU$228),"")</f>
        <v>30.23</v>
      </c>
      <c r="AV228">
        <f ca="1">IFERROR(IF(0=LEN(ReferenceData!$AV$228),"",ReferenceData!$AV$228),"")</f>
        <v>27.25</v>
      </c>
      <c r="AW228">
        <f ca="1">IFERROR(IF(0=LEN(ReferenceData!$AW$228),"",ReferenceData!$AW$228),"")</f>
        <v>29.92</v>
      </c>
      <c r="AX228">
        <f ca="1">IFERROR(IF(0=LEN(ReferenceData!$AX$228),"",ReferenceData!$AX$228),"")</f>
        <v>29.08</v>
      </c>
      <c r="AY228">
        <f ca="1">IFERROR(IF(0=LEN(ReferenceData!$AY$228),"",ReferenceData!$AY$228),"")</f>
        <v>28.63</v>
      </c>
      <c r="AZ228">
        <f ca="1">IFERROR(IF(0=LEN(ReferenceData!$AZ$228),"",ReferenceData!$AZ$228),"")</f>
        <v>27.52</v>
      </c>
      <c r="BA228">
        <f ca="1">IFERROR(IF(0=LEN(ReferenceData!$BA$228),"",ReferenceData!$BA$228),"")</f>
        <v>25.86</v>
      </c>
      <c r="BB228">
        <f ca="1">IFERROR(IF(0=LEN(ReferenceData!$BB$228),"",ReferenceData!$BB$228),"")</f>
        <v>25.83</v>
      </c>
      <c r="BC228">
        <f ca="1">IFERROR(IF(0=LEN(ReferenceData!$BC$228),"",ReferenceData!$BC$228),"")</f>
        <v>25.81</v>
      </c>
      <c r="BD228">
        <f ca="1">IFERROR(IF(0=LEN(ReferenceData!$BD$228),"",ReferenceData!$BD$228),"")</f>
        <v>24.34</v>
      </c>
      <c r="BE228">
        <f ca="1">IFERROR(IF(0=LEN(ReferenceData!$BE$228),"",ReferenceData!$BE$228),"")</f>
        <v>23.35</v>
      </c>
      <c r="BF228">
        <f ca="1">IFERROR(IF(0=LEN(ReferenceData!$BF$228),"",ReferenceData!$BF$228),"")</f>
        <v>23.27</v>
      </c>
      <c r="BG228">
        <f ca="1">IFERROR(IF(0=LEN(ReferenceData!$BG$228),"",ReferenceData!$BG$228),"")</f>
        <v>24.81</v>
      </c>
      <c r="BH228">
        <f ca="1">IFERROR(IF(0=LEN(ReferenceData!$BH$228),"",ReferenceData!$BH$228),"")</f>
        <v>23.7</v>
      </c>
      <c r="BI228">
        <f ca="1">IFERROR(IF(0=LEN(ReferenceData!$BI$228),"",ReferenceData!$BI$228),"")</f>
        <v>22.59</v>
      </c>
      <c r="BJ228">
        <f ca="1">IFERROR(IF(0=LEN(ReferenceData!$BJ$228),"",ReferenceData!$BJ$228),"")</f>
        <v>25.04</v>
      </c>
      <c r="BK228">
        <f ca="1">IFERROR(IF(0=LEN(ReferenceData!$BK$228),"",ReferenceData!$BK$228),"")</f>
        <v>25.49</v>
      </c>
      <c r="BL228">
        <f ca="1">IFERROR(IF(0=LEN(ReferenceData!$BL$228),"",ReferenceData!$BL$228),"")</f>
        <v>24.37</v>
      </c>
      <c r="BM228">
        <f ca="1">IFERROR(IF(0=LEN(ReferenceData!$BM$228),"",ReferenceData!$BM$228),"")</f>
        <v>24.58</v>
      </c>
      <c r="BN228">
        <f ca="1">IFERROR(IF(0=LEN(ReferenceData!$BN$228),"",ReferenceData!$BN$228),"")</f>
        <v>24.19</v>
      </c>
      <c r="BO228">
        <f ca="1">IFERROR(IF(0=LEN(ReferenceData!$BO$228),"",ReferenceData!$BO$228),"")</f>
        <v>23.86</v>
      </c>
      <c r="BP228">
        <f ca="1">IFERROR(IF(0=LEN(ReferenceData!$BP$228),"",ReferenceData!$BP$228),"")</f>
        <v>23.89</v>
      </c>
      <c r="BQ228">
        <f ca="1">IFERROR(IF(0=LEN(ReferenceData!$BQ$228),"",ReferenceData!$BQ$228),"")</f>
        <v>23.78</v>
      </c>
      <c r="BR228">
        <f ca="1">IFERROR(IF(0=LEN(ReferenceData!$BR$228),"",ReferenceData!$BR$228),"")</f>
        <v>23.01</v>
      </c>
      <c r="BS228">
        <f ca="1">IFERROR(IF(0=LEN(ReferenceData!$BS$228),"",ReferenceData!$BS$228),"")</f>
        <v>24.27</v>
      </c>
      <c r="BT228">
        <f ca="1">IFERROR(IF(0=LEN(ReferenceData!$BT$228),"",ReferenceData!$BT$228),"")</f>
        <v>24.82</v>
      </c>
      <c r="BU228">
        <f ca="1">IFERROR(IF(0=LEN(ReferenceData!$BU$228),"",ReferenceData!$BU$228),"")</f>
        <v>25.25</v>
      </c>
      <c r="BV228">
        <f ca="1">IFERROR(IF(0=LEN(ReferenceData!$BV$228),"",ReferenceData!$BV$228),"")</f>
        <v>26.61</v>
      </c>
      <c r="BW228">
        <f ca="1">IFERROR(IF(0=LEN(ReferenceData!$BW$228),"",ReferenceData!$BW$228),"")</f>
        <v>25.84</v>
      </c>
      <c r="BX228">
        <f ca="1">IFERROR(IF(0=LEN(ReferenceData!$BX$228),"",ReferenceData!$BX$228),"")</f>
        <v>25.9</v>
      </c>
      <c r="BY228">
        <f ca="1">IFERROR(IF(0=LEN(ReferenceData!$BY$228),"",ReferenceData!$BY$228),"")</f>
        <v>26.33</v>
      </c>
      <c r="BZ228">
        <f ca="1">IFERROR(IF(0=LEN(ReferenceData!$BZ$228),"",ReferenceData!$BZ$228),"")</f>
        <v>26.71</v>
      </c>
      <c r="CA228">
        <f ca="1">IFERROR(IF(0=LEN(ReferenceData!$CA$228),"",ReferenceData!$CA$228),"")</f>
        <v>25.02</v>
      </c>
      <c r="CB228">
        <f ca="1">IFERROR(IF(0=LEN(ReferenceData!$CB$228),"",ReferenceData!$CB$228),"")</f>
        <v>26.02</v>
      </c>
      <c r="CC228">
        <f ca="1">IFERROR(IF(0=LEN(ReferenceData!$CC$228),"",ReferenceData!$CC$228),"")</f>
        <v>25.1</v>
      </c>
      <c r="CD228">
        <f ca="1">IFERROR(IF(0=LEN(ReferenceData!$CD$228),"",ReferenceData!$CD$228),"")</f>
        <v>23.5</v>
      </c>
      <c r="CE228">
        <f ca="1">IFERROR(IF(0=LEN(ReferenceData!$CE$228),"",ReferenceData!$CE$228),"")</f>
        <v>24.93</v>
      </c>
      <c r="CF228">
        <f ca="1">IFERROR(IF(0=LEN(ReferenceData!$CF$228),"",ReferenceData!$CF$228),"")</f>
        <v>22.14</v>
      </c>
      <c r="CG228">
        <f ca="1">IFERROR(IF(0=LEN(ReferenceData!$CG$228),"",ReferenceData!$CG$228),"")</f>
        <v>26.71</v>
      </c>
      <c r="CH228">
        <f ca="1">IFERROR(IF(0=LEN(ReferenceData!$CH$228),"",ReferenceData!$CH$228),"")</f>
        <v>26.31</v>
      </c>
      <c r="CI228">
        <f ca="1">IFERROR(IF(0=LEN(ReferenceData!$CI$228),"",ReferenceData!$CI$228),"")</f>
        <v>24.55</v>
      </c>
      <c r="CJ228">
        <f ca="1">IFERROR(IF(0=LEN(ReferenceData!$CJ$228),"",ReferenceData!$CJ$228),"")</f>
        <v>26.06</v>
      </c>
      <c r="CK228">
        <f ca="1">IFERROR(IF(0=LEN(ReferenceData!$CK$228),"",ReferenceData!$CK$228),"")</f>
        <v>25.89</v>
      </c>
    </row>
    <row r="229" spans="1:89">
      <c r="A229" t="str">
        <f>IFERROR(IF(0=LEN(ReferenceData!$A$229),"",ReferenceData!$A$229),"")</f>
        <v>市值</v>
      </c>
      <c r="B229" t="str">
        <f>IFERROR(IF(0=LEN(ReferenceData!$B$229),"",ReferenceData!$B$229),"")</f>
        <v/>
      </c>
      <c r="C229" t="str">
        <f>IFERROR(IF(0=LEN(ReferenceData!$C$229),"",ReferenceData!$C$229),"")</f>
        <v/>
      </c>
      <c r="D229" t="str">
        <f>IFERROR(IF(0=LEN(ReferenceData!$D$229),"",ReferenceData!$D$229),"")</f>
        <v/>
      </c>
      <c r="E229" t="str">
        <f>IFERROR(IF(0=LEN(ReferenceData!$E$229),"",ReferenceData!$E$229),"")</f>
        <v>Sum</v>
      </c>
      <c r="F229">
        <f ca="1">IFERROR(IF(0=LEN(ReferenceData!$F$229),"",ReferenceData!$F$229),"")</f>
        <v>96544.190371000004</v>
      </c>
      <c r="G229">
        <f ca="1">IFERROR(IF(0=LEN(ReferenceData!$G$229),"",ReferenceData!$G$229),"")</f>
        <v>92111.848660000018</v>
      </c>
      <c r="H229">
        <f ca="1">IFERROR(IF(0=LEN(ReferenceData!$H$229),"",ReferenceData!$H$229),"")</f>
        <v>99872.740246000001</v>
      </c>
      <c r="I229">
        <f ca="1">IFERROR(IF(0=LEN(ReferenceData!$I$229),"",ReferenceData!$I$229),"")</f>
        <v>104359.53575999998</v>
      </c>
      <c r="J229">
        <f ca="1">IFERROR(IF(0=LEN(ReferenceData!$J$229),"",ReferenceData!$J$229),"")</f>
        <v>106762.30558700001</v>
      </c>
      <c r="K229">
        <f ca="1">IFERROR(IF(0=LEN(ReferenceData!$K$229),"",ReferenceData!$K$229),"")</f>
        <v>107769.52363300002</v>
      </c>
      <c r="L229">
        <f ca="1">IFERROR(IF(0=LEN(ReferenceData!$L$229),"",ReferenceData!$L$229),"")</f>
        <v>106590.84377400001</v>
      </c>
      <c r="M229">
        <f ca="1">IFERROR(IF(0=LEN(ReferenceData!$M$229),"",ReferenceData!$M$229),"")</f>
        <v>108977.87738999999</v>
      </c>
      <c r="N229">
        <f ca="1">IFERROR(IF(0=LEN(ReferenceData!$N$229),"",ReferenceData!$N$229),"")</f>
        <v>109401.95186</v>
      </c>
      <c r="O229">
        <f ca="1">IFERROR(IF(0=LEN(ReferenceData!$O$229),"",ReferenceData!$O$229),"")</f>
        <v>107485.60305599999</v>
      </c>
      <c r="P229">
        <f ca="1">IFERROR(IF(0=LEN(ReferenceData!$P$229),"",ReferenceData!$P$229),"")</f>
        <v>106351.80610000002</v>
      </c>
      <c r="Q229">
        <f ca="1">IFERROR(IF(0=LEN(ReferenceData!$Q$229),"",ReferenceData!$Q$229),"")</f>
        <v>104405.20808099999</v>
      </c>
      <c r="R229">
        <f ca="1">IFERROR(IF(0=LEN(ReferenceData!$R$229),"",ReferenceData!$R$229),"")</f>
        <v>101654.144825</v>
      </c>
      <c r="S229">
        <f ca="1">IFERROR(IF(0=LEN(ReferenceData!$S$229),"",ReferenceData!$S$229),"")</f>
        <v>103014.93745499999</v>
      </c>
      <c r="T229">
        <f ca="1">IFERROR(IF(0=LEN(ReferenceData!$T$229),"",ReferenceData!$T$229),"")</f>
        <v>98016.931347999984</v>
      </c>
      <c r="U229">
        <f ca="1">IFERROR(IF(0=LEN(ReferenceData!$U$229),"",ReferenceData!$U$229),"")</f>
        <v>101530.560767</v>
      </c>
      <c r="V229">
        <f ca="1">IFERROR(IF(0=LEN(ReferenceData!$V$229),"",ReferenceData!$V$229),"")</f>
        <v>91056.505481</v>
      </c>
      <c r="W229">
        <f ca="1">IFERROR(IF(0=LEN(ReferenceData!$W$229),"",ReferenceData!$W$229),"")</f>
        <v>93426.547002000007</v>
      </c>
      <c r="X229">
        <f ca="1">IFERROR(IF(0=LEN(ReferenceData!$X$229),"",ReferenceData!$X$229),"")</f>
        <v>96774.007744999995</v>
      </c>
      <c r="Y229">
        <f ca="1">IFERROR(IF(0=LEN(ReferenceData!$Y$229),"",ReferenceData!$Y$229),"")</f>
        <v>97714.583750000005</v>
      </c>
      <c r="Z229">
        <f ca="1">IFERROR(IF(0=LEN(ReferenceData!$Z$229),"",ReferenceData!$Z$229),"")</f>
        <v>102337.17641299998</v>
      </c>
      <c r="AA229">
        <f ca="1">IFERROR(IF(0=LEN(ReferenceData!$AA$229),"",ReferenceData!$AA$229),"")</f>
        <v>101049.33093899999</v>
      </c>
      <c r="AB229">
        <f ca="1">IFERROR(IF(0=LEN(ReferenceData!$AB$229),"",ReferenceData!$AB$229),"")</f>
        <v>99642.905201000001</v>
      </c>
      <c r="AC229">
        <f ca="1">IFERROR(IF(0=LEN(ReferenceData!$AC$229),"",ReferenceData!$AC$229),"")</f>
        <v>96591.585787999997</v>
      </c>
      <c r="AD229">
        <f ca="1">IFERROR(IF(0=LEN(ReferenceData!$AD$229),"",ReferenceData!$AD$229),"")</f>
        <v>104073.57966100001</v>
      </c>
      <c r="AE229">
        <f ca="1">IFERROR(IF(0=LEN(ReferenceData!$AE$229),"",ReferenceData!$AE$229),"")</f>
        <v>95207.751810999995</v>
      </c>
      <c r="AF229">
        <f ca="1">IFERROR(IF(0=LEN(ReferenceData!$AF$229),"",ReferenceData!$AF$229),"")</f>
        <v>97664.673595</v>
      </c>
      <c r="AG229">
        <f ca="1">IFERROR(IF(0=LEN(ReferenceData!$AG$229),"",ReferenceData!$AG$229),"")</f>
        <v>103419.76670299999</v>
      </c>
      <c r="AH229">
        <f ca="1">IFERROR(IF(0=LEN(ReferenceData!$AH$229),"",ReferenceData!$AH$229),"")</f>
        <v>100886.26452700001</v>
      </c>
      <c r="AI229">
        <f ca="1">IFERROR(IF(0=LEN(ReferenceData!$AI$229),"",ReferenceData!$AI$229),"")</f>
        <v>96520.920217000006</v>
      </c>
      <c r="AJ229">
        <f ca="1">IFERROR(IF(0=LEN(ReferenceData!$AJ$229),"",ReferenceData!$AJ$229),"")</f>
        <v>95283.507451000012</v>
      </c>
      <c r="AK229">
        <f ca="1">IFERROR(IF(0=LEN(ReferenceData!$AK$229),"",ReferenceData!$AK$229),"")</f>
        <v>90750.320261000001</v>
      </c>
      <c r="AL229">
        <f ca="1">IFERROR(IF(0=LEN(ReferenceData!$AL$229),"",ReferenceData!$AL$229),"")</f>
        <v>95169.021770000007</v>
      </c>
      <c r="AM229">
        <f ca="1">IFERROR(IF(0=LEN(ReferenceData!$AM$229),"",ReferenceData!$AM$229),"")</f>
        <v>89018.425117999999</v>
      </c>
      <c r="AN229">
        <f ca="1">IFERROR(IF(0=LEN(ReferenceData!$AN$229),"",ReferenceData!$AN$229),"")</f>
        <v>92806.930877999999</v>
      </c>
      <c r="AO229">
        <f ca="1">IFERROR(IF(0=LEN(ReferenceData!$AO$229),"",ReferenceData!$AO$229),"")</f>
        <v>92360.776113</v>
      </c>
      <c r="AP229">
        <f ca="1">IFERROR(IF(0=LEN(ReferenceData!$AP$229),"",ReferenceData!$AP$229),"")</f>
        <v>96775.764094999991</v>
      </c>
      <c r="AQ229">
        <f ca="1">IFERROR(IF(0=LEN(ReferenceData!$AQ$229),"",ReferenceData!$AQ$229),"")</f>
        <v>92957.273925000001</v>
      </c>
      <c r="AR229">
        <f ca="1">IFERROR(IF(0=LEN(ReferenceData!$AR$229),"",ReferenceData!$AR$229),"")</f>
        <v>95370.498686000006</v>
      </c>
      <c r="AS229">
        <f ca="1">IFERROR(IF(0=LEN(ReferenceData!$AS$229),"",ReferenceData!$AS$229),"")</f>
        <v>88557.59825000001</v>
      </c>
      <c r="AT229">
        <f ca="1">IFERROR(IF(0=LEN(ReferenceData!$AT$229),"",ReferenceData!$AT$229),"")</f>
        <v>87729.503412000005</v>
      </c>
      <c r="AU229">
        <f ca="1">IFERROR(IF(0=LEN(ReferenceData!$AU$229),"",ReferenceData!$AU$229),"")</f>
        <v>86477.985954000003</v>
      </c>
      <c r="AV229">
        <f ca="1">IFERROR(IF(0=LEN(ReferenceData!$AV$229),"",ReferenceData!$AV$229),"")</f>
        <v>77277.343821000002</v>
      </c>
      <c r="AW229">
        <f ca="1">IFERROR(IF(0=LEN(ReferenceData!$AW$229),"",ReferenceData!$AW$229),"")</f>
        <v>83240.623164999997</v>
      </c>
      <c r="AX229">
        <f ca="1">IFERROR(IF(0=LEN(ReferenceData!$AX$229),"",ReferenceData!$AX$229),"")</f>
        <v>80397.639534999995</v>
      </c>
      <c r="AY229">
        <f ca="1">IFERROR(IF(0=LEN(ReferenceData!$AY$229),"",ReferenceData!$AY$229),"")</f>
        <v>78437.144553999999</v>
      </c>
      <c r="AZ229">
        <f ca="1">IFERROR(IF(0=LEN(ReferenceData!$AZ$229),"",ReferenceData!$AZ$229),"")</f>
        <v>77149.542392000003</v>
      </c>
      <c r="BA229">
        <f ca="1">IFERROR(IF(0=LEN(ReferenceData!$BA$229),"",ReferenceData!$BA$229),"")</f>
        <v>75182.667935999983</v>
      </c>
      <c r="BB229">
        <f ca="1">IFERROR(IF(0=LEN(ReferenceData!$BB$229),"",ReferenceData!$BB$229),"")</f>
        <v>68547.600649</v>
      </c>
      <c r="BC229">
        <f ca="1">IFERROR(IF(0=LEN(ReferenceData!$BC$229),"",ReferenceData!$BC$229),"")</f>
        <v>67919.063610000012</v>
      </c>
      <c r="BD229">
        <f ca="1">IFERROR(IF(0=LEN(ReferenceData!$BD$229),"",ReferenceData!$BD$229),"")</f>
        <v>64082.284419000003</v>
      </c>
      <c r="BE229">
        <f ca="1">IFERROR(IF(0=LEN(ReferenceData!$BE$229),"",ReferenceData!$BE$229),"")</f>
        <v>60193.189796000006</v>
      </c>
      <c r="BF229">
        <f ca="1">IFERROR(IF(0=LEN(ReferenceData!$BF$229),"",ReferenceData!$BF$229),"")</f>
        <v>60284.350237999992</v>
      </c>
      <c r="BG229">
        <f ca="1">IFERROR(IF(0=LEN(ReferenceData!$BG$229),"",ReferenceData!$BG$229),"")</f>
        <v>63645.452389999999</v>
      </c>
      <c r="BH229">
        <f ca="1">IFERROR(IF(0=LEN(ReferenceData!$BH$229),"",ReferenceData!$BH$229),"")</f>
        <v>60998.216377000004</v>
      </c>
      <c r="BI229">
        <f ca="1">IFERROR(IF(0=LEN(ReferenceData!$BI$229),"",ReferenceData!$BI$229),"")</f>
        <v>59424.790181000004</v>
      </c>
      <c r="BJ229">
        <f ca="1">IFERROR(IF(0=LEN(ReferenceData!$BJ$229),"",ReferenceData!$BJ$229),"")</f>
        <v>65061.973657999995</v>
      </c>
      <c r="BK229">
        <f ca="1">IFERROR(IF(0=LEN(ReferenceData!$BK$229),"",ReferenceData!$BK$229),"")</f>
        <v>65758.636428999991</v>
      </c>
      <c r="BL229">
        <f ca="1">IFERROR(IF(0=LEN(ReferenceData!$BL$229),"",ReferenceData!$BL$229),"")</f>
        <v>64597.937585</v>
      </c>
      <c r="BM229">
        <f ca="1">IFERROR(IF(0=LEN(ReferenceData!$BM$229),"",ReferenceData!$BM$229),"")</f>
        <v>65604.731308000002</v>
      </c>
      <c r="BN229">
        <f ca="1">IFERROR(IF(0=LEN(ReferenceData!$BN$229),"",ReferenceData!$BN$229),"")</f>
        <v>62915.073462</v>
      </c>
      <c r="BO229">
        <f ca="1">IFERROR(IF(0=LEN(ReferenceData!$BO$229),"",ReferenceData!$BO$229),"")</f>
        <v>58665.718859000001</v>
      </c>
      <c r="BP229">
        <f ca="1">IFERROR(IF(0=LEN(ReferenceData!$BP$229),"",ReferenceData!$BP$229),"")</f>
        <v>58752.627734999995</v>
      </c>
      <c r="BQ229">
        <f ca="1">IFERROR(IF(0=LEN(ReferenceData!$BQ$229),"",ReferenceData!$BQ$229),"")</f>
        <v>59382.515289000003</v>
      </c>
      <c r="BR229">
        <f ca="1">IFERROR(IF(0=LEN(ReferenceData!$BR$229),"",ReferenceData!$BR$229),"")</f>
        <v>57533.678245000003</v>
      </c>
      <c r="BS229">
        <f ca="1">IFERROR(IF(0=LEN(ReferenceData!$BS$229),"",ReferenceData!$BS$229),"")</f>
        <v>55900.040301000001</v>
      </c>
      <c r="BT229">
        <f ca="1">IFERROR(IF(0=LEN(ReferenceData!$BT$229),"",ReferenceData!$BT$229),"")</f>
        <v>55780.142453</v>
      </c>
      <c r="BU229">
        <f ca="1">IFERROR(IF(0=LEN(ReferenceData!$BU$229),"",ReferenceData!$BU$229),"")</f>
        <v>58103.669736999997</v>
      </c>
      <c r="BV229">
        <f ca="1">IFERROR(IF(0=LEN(ReferenceData!$BV$229),"",ReferenceData!$BV$229),"")</f>
        <v>59621.882222999993</v>
      </c>
      <c r="BW229">
        <f ca="1">IFERROR(IF(0=LEN(ReferenceData!$BW$229),"",ReferenceData!$BW$229),"")</f>
        <v>58038.519572000005</v>
      </c>
      <c r="BX229">
        <f ca="1">IFERROR(IF(0=LEN(ReferenceData!$BX$229),"",ReferenceData!$BX$229),"")</f>
        <v>57216.556391999999</v>
      </c>
      <c r="BY229">
        <f ca="1">IFERROR(IF(0=LEN(ReferenceData!$BY$229),"",ReferenceData!$BY$229),"")</f>
        <v>57090.658857999995</v>
      </c>
      <c r="BZ229">
        <f ca="1">IFERROR(IF(0=LEN(ReferenceData!$BZ$229),"",ReferenceData!$BZ$229),"")</f>
        <v>56510.061146999993</v>
      </c>
      <c r="CA229">
        <f ca="1">IFERROR(IF(0=LEN(ReferenceData!$CA$229),"",ReferenceData!$CA$229),"")</f>
        <v>52073.099700000006</v>
      </c>
      <c r="CB229">
        <f ca="1">IFERROR(IF(0=LEN(ReferenceData!$CB$229),"",ReferenceData!$CB$229),"")</f>
        <v>53492.454229000003</v>
      </c>
      <c r="CC229">
        <f ca="1">IFERROR(IF(0=LEN(ReferenceData!$CC$229),"",ReferenceData!$CC$229),"")</f>
        <v>50947.164441999994</v>
      </c>
      <c r="CD229">
        <f ca="1">IFERROR(IF(0=LEN(ReferenceData!$CD$229),"",ReferenceData!$CD$229),"")</f>
        <v>48500.725214000006</v>
      </c>
      <c r="CE229">
        <f ca="1">IFERROR(IF(0=LEN(ReferenceData!$CE$229),"",ReferenceData!$CE$229),"")</f>
        <v>51654.691132000007</v>
      </c>
      <c r="CF229">
        <f ca="1">IFERROR(IF(0=LEN(ReferenceData!$CF$229),"",ReferenceData!$CF$229),"")</f>
        <v>45431.513437000001</v>
      </c>
      <c r="CG229">
        <f ca="1">IFERROR(IF(0=LEN(ReferenceData!$CG$229),"",ReferenceData!$CG$229),"")</f>
        <v>54167.367653000001</v>
      </c>
      <c r="CH229">
        <f ca="1">IFERROR(IF(0=LEN(ReferenceData!$CH$229),"",ReferenceData!$CH$229),"")</f>
        <v>52665.165142999991</v>
      </c>
      <c r="CI229">
        <f ca="1">IFERROR(IF(0=LEN(ReferenceData!$CI$229),"",ReferenceData!$CI$229),"")</f>
        <v>49751.171815999995</v>
      </c>
      <c r="CJ229">
        <f ca="1">IFERROR(IF(0=LEN(ReferenceData!$CJ$229),"",ReferenceData!$CJ$229),"")</f>
        <v>51256.550364000002</v>
      </c>
      <c r="CK229">
        <f ca="1">IFERROR(IF(0=LEN(ReferenceData!$CK$229),"",ReferenceData!$CK$229),"")</f>
        <v>49359.581522</v>
      </c>
    </row>
    <row r="230" spans="1:89">
      <c r="A230" t="str">
        <f>IFERROR(IF(0=LEN(ReferenceData!$A$230),"",ReferenceData!$A$230),"")</f>
        <v xml:space="preserve">    公寓投资与管理</v>
      </c>
      <c r="B230" t="str">
        <f>IFERROR(IF(0=LEN(ReferenceData!$B$230),"",ReferenceData!$B$230),"")</f>
        <v>AIV US Equity</v>
      </c>
      <c r="C230" t="str">
        <f>IFERROR(IF(0=LEN(ReferenceData!$C$230),"",ReferenceData!$C$230),"")</f>
        <v>F0825</v>
      </c>
      <c r="D230" t="str">
        <f>IFERROR(IF(0=LEN(ReferenceData!$D$230),"",ReferenceData!$D$230),"")</f>
        <v>INDUSTRY_STANDARDIZED_MARKET_CAP</v>
      </c>
      <c r="E230" t="str">
        <f>IFERROR(IF(0=LEN(ReferenceData!$E$230),"",ReferenceData!$E$230),"")</f>
        <v>动态</v>
      </c>
      <c r="F230">
        <f ca="1">IFERROR(IF(0=LEN(ReferenceData!$F$230),"",ReferenceData!$F$230),"")</f>
        <v>6594.9237169999997</v>
      </c>
      <c r="G230">
        <f ca="1">IFERROR(IF(0=LEN(ReferenceData!$G$230),"",ReferenceData!$G$230),"")</f>
        <v>6366.036349</v>
      </c>
      <c r="H230">
        <f ca="1">IFERROR(IF(0=LEN(ReferenceData!$H$230),"",ReferenceData!$H$230),"")</f>
        <v>6876.8355380000003</v>
      </c>
      <c r="I230">
        <f ca="1">IFERROR(IF(0=LEN(ReferenceData!$I$230),"",ReferenceData!$I$230),"")</f>
        <v>7184.1893250000003</v>
      </c>
      <c r="J230">
        <f ca="1">IFERROR(IF(0=LEN(ReferenceData!$J$230),"",ReferenceData!$J$230),"")</f>
        <v>7247.4398639999999</v>
      </c>
      <c r="K230">
        <f ca="1">IFERROR(IF(0=LEN(ReferenceData!$K$230),"",ReferenceData!$K$230),"")</f>
        <v>7229.3321260000002</v>
      </c>
      <c r="L230">
        <f ca="1">IFERROR(IF(0=LEN(ReferenceData!$L$230),"",ReferenceData!$L$230),"")</f>
        <v>7209.6067990000001</v>
      </c>
      <c r="M230">
        <f ca="1">IFERROR(IF(0=LEN(ReferenceData!$M$230),"",ReferenceData!$M$230),"")</f>
        <v>7451.9219979999998</v>
      </c>
      <c r="N230">
        <f ca="1">IFERROR(IF(0=LEN(ReferenceData!$N$230),"",ReferenceData!$N$230),"")</f>
        <v>7488.0668960000003</v>
      </c>
      <c r="O230">
        <f ca="1">IFERROR(IF(0=LEN(ReferenceData!$O$230),"",ReferenceData!$O$230),"")</f>
        <v>7063.9348970000001</v>
      </c>
      <c r="P230">
        <f ca="1">IFERROR(IF(0=LEN(ReferenceData!$P$230),"",ReferenceData!$P$230),"")</f>
        <v>7064.4280150000004</v>
      </c>
      <c r="Q230">
        <f ca="1">IFERROR(IF(0=LEN(ReferenceData!$Q$230),"",ReferenceData!$Q$230),"")</f>
        <v>7199.1832109999996</v>
      </c>
      <c r="R230">
        <f ca="1">IFERROR(IF(0=LEN(ReferenceData!$R$230),"",ReferenceData!$R$230),"")</f>
        <v>7299.5833419999999</v>
      </c>
      <c r="S230">
        <f ca="1">IFERROR(IF(0=LEN(ReferenceData!$S$230),"",ReferenceData!$S$230),"")</f>
        <v>7659.8793299999998</v>
      </c>
      <c r="T230">
        <f ca="1">IFERROR(IF(0=LEN(ReferenceData!$T$230),"",ReferenceData!$T$230),"")</f>
        <v>7249.2065320000002</v>
      </c>
      <c r="U230">
        <f ca="1">IFERROR(IF(0=LEN(ReferenceData!$U$230),"",ReferenceData!$U$230),"")</f>
        <v>7476.2068719999997</v>
      </c>
      <c r="V230">
        <f ca="1">IFERROR(IF(0=LEN(ReferenceData!$V$230),"",ReferenceData!$V$230),"")</f>
        <v>6926.544621</v>
      </c>
      <c r="W230">
        <f ca="1">IFERROR(IF(0=LEN(ReferenceData!$W$230),"",ReferenceData!$W$230),"")</f>
        <v>7250.6608420000002</v>
      </c>
      <c r="X230">
        <f ca="1">IFERROR(IF(0=LEN(ReferenceData!$X$230),"",ReferenceData!$X$230),"")</f>
        <v>7540.784028</v>
      </c>
      <c r="Y230">
        <f ca="1">IFERROR(IF(0=LEN(ReferenceData!$Y$230),"",ReferenceData!$Y$230),"")</f>
        <v>7780.4229100000002</v>
      </c>
      <c r="Z230">
        <f ca="1">IFERROR(IF(0=LEN(ReferenceData!$Z$230),"",ReferenceData!$Z$230),"")</f>
        <v>7916.4683750000004</v>
      </c>
      <c r="AA230">
        <f ca="1">IFERROR(IF(0=LEN(ReferenceData!$AA$230),"",ReferenceData!$AA$230),"")</f>
        <v>7604.4027100000003</v>
      </c>
      <c r="AB230">
        <f ca="1">IFERROR(IF(0=LEN(ReferenceData!$AB$230),"",ReferenceData!$AB$230),"")</f>
        <v>7013.8414759999996</v>
      </c>
      <c r="AC230">
        <f ca="1">IFERROR(IF(0=LEN(ReferenceData!$AC$230),"",ReferenceData!$AC$230),"")</f>
        <v>6587.9130020000002</v>
      </c>
      <c r="AD230">
        <f ca="1">IFERROR(IF(0=LEN(ReferenceData!$AD$230),"",ReferenceData!$AD$230),"")</f>
        <v>6877.1224030000003</v>
      </c>
      <c r="AE230">
        <f ca="1">IFERROR(IF(0=LEN(ReferenceData!$AE$230),"",ReferenceData!$AE$230),"")</f>
        <v>6020.6161739999998</v>
      </c>
      <c r="AF230">
        <f ca="1">IFERROR(IF(0=LEN(ReferenceData!$AF$230),"",ReferenceData!$AF$230),"")</f>
        <v>6431.4264709999998</v>
      </c>
      <c r="AG230">
        <f ca="1">IFERROR(IF(0=LEN(ReferenceData!$AG$230),"",ReferenceData!$AG$230),"")</f>
        <v>6575.9898240000002</v>
      </c>
      <c r="AH230">
        <f ca="1">IFERROR(IF(0=LEN(ReferenceData!$AH$230),"",ReferenceData!$AH$230),"")</f>
        <v>6250.3272809999999</v>
      </c>
      <c r="AI230">
        <f ca="1">IFERROR(IF(0=LEN(ReferenceData!$AI$230),"",ReferenceData!$AI$230),"")</f>
        <v>6421.8899110000002</v>
      </c>
      <c r="AJ230">
        <f ca="1">IFERROR(IF(0=LEN(ReferenceData!$AJ$230),"",ReferenceData!$AJ$230),"")</f>
        <v>6066.3017229999996</v>
      </c>
      <c r="AK230">
        <f ca="1">IFERROR(IF(0=LEN(ReferenceData!$AK$230),"",ReferenceData!$AK$230),"")</f>
        <v>5905.155753</v>
      </c>
      <c r="AL230">
        <f ca="1">IFERROR(IF(0=LEN(ReferenceData!$AL$230),"",ReferenceData!$AL$230),"")</f>
        <v>6405.037104</v>
      </c>
      <c r="AM230">
        <f ca="1">IFERROR(IF(0=LEN(ReferenceData!$AM$230),"",ReferenceData!$AM$230),"")</f>
        <v>6052.5456430000004</v>
      </c>
      <c r="AN230">
        <f ca="1">IFERROR(IF(0=LEN(ReferenceData!$AN$230),"",ReferenceData!$AN$230),"")</f>
        <v>6217.234555</v>
      </c>
      <c r="AO230">
        <f ca="1">IFERROR(IF(0=LEN(ReferenceData!$AO$230),"",ReferenceData!$AO$230),"")</f>
        <v>6184.4282739999999</v>
      </c>
      <c r="AP230">
        <f ca="1">IFERROR(IF(0=LEN(ReferenceData!$AP$230),"",ReferenceData!$AP$230),"")</f>
        <v>6451.6060660000003</v>
      </c>
      <c r="AQ230">
        <f ca="1">IFERROR(IF(0=LEN(ReferenceData!$AQ$230),"",ReferenceData!$AQ$230),"")</f>
        <v>6176.8731959999996</v>
      </c>
      <c r="AR230">
        <f ca="1">IFERROR(IF(0=LEN(ReferenceData!$AR$230),"",ReferenceData!$AR$230),"")</f>
        <v>6508.634806</v>
      </c>
      <c r="AS230">
        <f ca="1">IFERROR(IF(0=LEN(ReferenceData!$AS$230),"",ReferenceData!$AS$230),"")</f>
        <v>5715.8012230000004</v>
      </c>
      <c r="AT230">
        <f ca="1">IFERROR(IF(0=LEN(ReferenceData!$AT$230),"",ReferenceData!$AT$230),"")</f>
        <v>5731.4104600000001</v>
      </c>
      <c r="AU230">
        <f ca="1">IFERROR(IF(0=LEN(ReferenceData!$AU$230),"",ReferenceData!$AU$230),"")</f>
        <v>5506.7699419999999</v>
      </c>
      <c r="AV230">
        <f ca="1">IFERROR(IF(0=LEN(ReferenceData!$AV$230),"",ReferenceData!$AV$230),"")</f>
        <v>4895.3953700000002</v>
      </c>
      <c r="AW230">
        <f ca="1">IFERROR(IF(0=LEN(ReferenceData!$AW$230),"",ReferenceData!$AW$230),"")</f>
        <v>5272.7990550000004</v>
      </c>
      <c r="AX230">
        <f ca="1">IFERROR(IF(0=LEN(ReferenceData!$AX$230),"",ReferenceData!$AX$230),"")</f>
        <v>5255.9162159999996</v>
      </c>
      <c r="AY230">
        <f ca="1">IFERROR(IF(0=LEN(ReferenceData!$AY$230),"",ReferenceData!$AY$230),"")</f>
        <v>4962.212297</v>
      </c>
      <c r="AZ230">
        <f ca="1">IFERROR(IF(0=LEN(ReferenceData!$AZ$230),"",ReferenceData!$AZ$230),"")</f>
        <v>4845.1398650000001</v>
      </c>
      <c r="BA230">
        <f ca="1">IFERROR(IF(0=LEN(ReferenceData!$BA$230),"",ReferenceData!$BA$230),"")</f>
        <v>4745.0779819999998</v>
      </c>
      <c r="BB230">
        <f ca="1">IFERROR(IF(0=LEN(ReferenceData!$BB$230),"",ReferenceData!$BB$230),"")</f>
        <v>4651.1922350000004</v>
      </c>
      <c r="BC230">
        <f ca="1">IFERROR(IF(0=LEN(ReferenceData!$BC$230),"",ReferenceData!$BC$230),"")</f>
        <v>4603.6297050000003</v>
      </c>
      <c r="BD230">
        <f ca="1">IFERROR(IF(0=LEN(ReferenceData!$BD$230),"",ReferenceData!$BD$230),"")</f>
        <v>4302.8053069999996</v>
      </c>
      <c r="BE230">
        <f ca="1">IFERROR(IF(0=LEN(ReferenceData!$BE$230),"",ReferenceData!$BE$230),"")</f>
        <v>3985.902235</v>
      </c>
      <c r="BF230">
        <f ca="1">IFERROR(IF(0=LEN(ReferenceData!$BF$230),"",ReferenceData!$BF$230),"")</f>
        <v>3863.4122929999999</v>
      </c>
      <c r="BG230">
        <f ca="1">IFERROR(IF(0=LEN(ReferenceData!$BG$230),"",ReferenceData!$BG$230),"")</f>
        <v>4304.7192599999998</v>
      </c>
      <c r="BH230">
        <f ca="1">IFERROR(IF(0=LEN(ReferenceData!$BH$230),"",ReferenceData!$BH$230),"")</f>
        <v>4298.5652650000002</v>
      </c>
      <c r="BI230">
        <f ca="1">IFERROR(IF(0=LEN(ReferenceData!$BI$230),"",ReferenceData!$BI$230),"")</f>
        <v>4235.8564649999998</v>
      </c>
      <c r="BJ230">
        <f ca="1">IFERROR(IF(0=LEN(ReferenceData!$BJ$230),"",ReferenceData!$BJ$230),"")</f>
        <v>4517.9796100000003</v>
      </c>
      <c r="BK230">
        <f ca="1">IFERROR(IF(0=LEN(ReferenceData!$BK$230),"",ReferenceData!$BK$230),"")</f>
        <v>4619.4726849999997</v>
      </c>
      <c r="BL230">
        <f ca="1">IFERROR(IF(0=LEN(ReferenceData!$BL$230),"",ReferenceData!$BL$230),"")</f>
        <v>4654.4261219999999</v>
      </c>
      <c r="BM230">
        <f ca="1">IFERROR(IF(0=LEN(ReferenceData!$BM$230),"",ReferenceData!$BM$230),"")</f>
        <v>4785.1684290000003</v>
      </c>
      <c r="BN230">
        <f ca="1">IFERROR(IF(0=LEN(ReferenceData!$BN$230),"",ReferenceData!$BN$230),"")</f>
        <v>4715.9519140000002</v>
      </c>
      <c r="BO230">
        <f ca="1">IFERROR(IF(0=LEN(ReferenceData!$BO$230),"",ReferenceData!$BO$230),"")</f>
        <v>4556.3233829999999</v>
      </c>
      <c r="BP230">
        <f ca="1">IFERROR(IF(0=LEN(ReferenceData!$BP$230),"",ReferenceData!$BP$230),"")</f>
        <v>4188.8414519999997</v>
      </c>
      <c r="BQ230">
        <f ca="1">IFERROR(IF(0=LEN(ReferenceData!$BQ$230),"",ReferenceData!$BQ$230),"")</f>
        <v>4155.0604729999995</v>
      </c>
      <c r="BR230">
        <f ca="1">IFERROR(IF(0=LEN(ReferenceData!$BR$230),"",ReferenceData!$BR$230),"")</f>
        <v>3849.7018579999999</v>
      </c>
      <c r="BS230">
        <f ca="1">IFERROR(IF(0=LEN(ReferenceData!$BS$230),"",ReferenceData!$BS$230),"")</f>
        <v>4098.4472649999998</v>
      </c>
      <c r="BT230">
        <f ca="1">IFERROR(IF(0=LEN(ReferenceData!$BT$230),"",ReferenceData!$BT$230),"")</f>
        <v>3990.9570779999999</v>
      </c>
      <c r="BU230">
        <f ca="1">IFERROR(IF(0=LEN(ReferenceData!$BU$230),"",ReferenceData!$BU$230),"")</f>
        <v>4070.6926469999999</v>
      </c>
      <c r="BV230">
        <f ca="1">IFERROR(IF(0=LEN(ReferenceData!$BV$230),"",ReferenceData!$BV$230),"")</f>
        <v>4101.7329490000002</v>
      </c>
      <c r="BW230">
        <f ca="1">IFERROR(IF(0=LEN(ReferenceData!$BW$230),"",ReferenceData!$BW$230),"")</f>
        <v>4041.9191249999999</v>
      </c>
      <c r="BX230">
        <f ca="1">IFERROR(IF(0=LEN(ReferenceData!$BX$230),"",ReferenceData!$BX$230),"")</f>
        <v>3802.2394720000002</v>
      </c>
      <c r="BY230">
        <f ca="1">IFERROR(IF(0=LEN(ReferenceData!$BY$230),"",ReferenceData!$BY$230),"")</f>
        <v>3509.1763369999999</v>
      </c>
      <c r="BZ230">
        <f ca="1">IFERROR(IF(0=LEN(ReferenceData!$BZ$230),"",ReferenceData!$BZ$230),"")</f>
        <v>3413.5302790000001</v>
      </c>
      <c r="CA230">
        <f ca="1">IFERROR(IF(0=LEN(ReferenceData!$CA$230),"",ReferenceData!$CA$230),"")</f>
        <v>3217.0893940000001</v>
      </c>
      <c r="CB230">
        <f ca="1">IFERROR(IF(0=LEN(ReferenceData!$CB$230),"",ReferenceData!$CB$230),"")</f>
        <v>3175.238484</v>
      </c>
      <c r="CC230">
        <f ca="1">IFERROR(IF(0=LEN(ReferenceData!$CC$230),"",ReferenceData!$CC$230),"")</f>
        <v>2961.9183090000001</v>
      </c>
      <c r="CD230">
        <f ca="1">IFERROR(IF(0=LEN(ReferenceData!$CD$230),"",ReferenceData!$CD$230),"")</f>
        <v>2814.1053849999998</v>
      </c>
      <c r="CE230">
        <f ca="1">IFERROR(IF(0=LEN(ReferenceData!$CE$230),"",ReferenceData!$CE$230),"")</f>
        <v>3187.5105530000001</v>
      </c>
      <c r="CF230">
        <f ca="1">IFERROR(IF(0=LEN(ReferenceData!$CF$230),"",ReferenceData!$CF$230),"")</f>
        <v>2855.5247300000001</v>
      </c>
      <c r="CG230">
        <f ca="1">IFERROR(IF(0=LEN(ReferenceData!$CG$230),"",ReferenceData!$CG$230),"")</f>
        <v>3431.4995589999999</v>
      </c>
      <c r="CH230">
        <f ca="1">IFERROR(IF(0=LEN(ReferenceData!$CH$230),"",ReferenceData!$CH$230),"")</f>
        <v>3490.5043190000001</v>
      </c>
      <c r="CI230">
        <f ca="1">IFERROR(IF(0=LEN(ReferenceData!$CI$230),"",ReferenceData!$CI$230),"")</f>
        <v>3264.1968959999999</v>
      </c>
      <c r="CJ230">
        <f ca="1">IFERROR(IF(0=LEN(ReferenceData!$CJ$230),"",ReferenceData!$CJ$230),"")</f>
        <v>3420.0824910000001</v>
      </c>
      <c r="CK230">
        <f ca="1">IFERROR(IF(0=LEN(ReferenceData!$CK$230),"",ReferenceData!$CK$230),"")</f>
        <v>3449.5108110000001</v>
      </c>
    </row>
    <row r="231" spans="1:89">
      <c r="A231" t="str">
        <f>IFERROR(IF(0=LEN(ReferenceData!$A$231),"",ReferenceData!$A$231),"")</f>
        <v xml:space="preserve">    AvalonBay社区股份有限公司</v>
      </c>
      <c r="B231" t="str">
        <f>IFERROR(IF(0=LEN(ReferenceData!$B$231),"",ReferenceData!$B$231),"")</f>
        <v>AVB US Equity</v>
      </c>
      <c r="C231" t="str">
        <f>IFERROR(IF(0=LEN(ReferenceData!$C$231),"",ReferenceData!$C$231),"")</f>
        <v>F0825</v>
      </c>
      <c r="D231" t="str">
        <f>IFERROR(IF(0=LEN(ReferenceData!$D$231),"",ReferenceData!$D$231),"")</f>
        <v>INDUSTRY_STANDARDIZED_MARKET_CAP</v>
      </c>
      <c r="E231" t="str">
        <f>IFERROR(IF(0=LEN(ReferenceData!$E$231),"",ReferenceData!$E$231),"")</f>
        <v>动态</v>
      </c>
      <c r="F231">
        <f ca="1">IFERROR(IF(0=LEN(ReferenceData!$F$231),"",ReferenceData!$F$231),"")</f>
        <v>22306.397799999999</v>
      </c>
      <c r="G231">
        <f ca="1">IFERROR(IF(0=LEN(ReferenceData!$G$231),"",ReferenceData!$G$231),"")</f>
        <v>21546.830679999999</v>
      </c>
      <c r="H231">
        <f ca="1">IFERROR(IF(0=LEN(ReferenceData!$H$231),"",ReferenceData!$H$231),"")</f>
        <v>23531.450369999999</v>
      </c>
      <c r="I231">
        <f ca="1">IFERROR(IF(0=LEN(ReferenceData!$I$231),"",ReferenceData!$I$231),"")</f>
        <v>24637.594249999998</v>
      </c>
      <c r="J231">
        <f ca="1">IFERROR(IF(0=LEN(ReferenceData!$J$231),"",ReferenceData!$J$231),"")</f>
        <v>25040.832719999999</v>
      </c>
      <c r="K231">
        <f ca="1">IFERROR(IF(0=LEN(ReferenceData!$K$231),"",ReferenceData!$K$231),"")</f>
        <v>25039.979200000002</v>
      </c>
      <c r="L231">
        <f ca="1">IFERROR(IF(0=LEN(ReferenceData!$L$231),"",ReferenceData!$L$231),"")</f>
        <v>24638.13538</v>
      </c>
      <c r="M231">
        <f ca="1">IFERROR(IF(0=LEN(ReferenceData!$M$231),"",ReferenceData!$M$231),"")</f>
        <v>25923.759409999999</v>
      </c>
      <c r="N231">
        <f ca="1">IFERROR(IF(0=LEN(ReferenceData!$N$231),"",ReferenceData!$N$231),"")</f>
        <v>26504.593769999999</v>
      </c>
      <c r="O231">
        <f ca="1">IFERROR(IF(0=LEN(ReferenceData!$O$231),"",ReferenceData!$O$231),"")</f>
        <v>26479.790919999999</v>
      </c>
      <c r="P231">
        <f ca="1">IFERROR(IF(0=LEN(ReferenceData!$P$231),"",ReferenceData!$P$231),"")</f>
        <v>26351.642670000001</v>
      </c>
      <c r="Q231">
        <f ca="1">IFERROR(IF(0=LEN(ReferenceData!$Q$231),"",ReferenceData!$Q$231),"")</f>
        <v>26100.681229999998</v>
      </c>
      <c r="R231">
        <f ca="1">IFERROR(IF(0=LEN(ReferenceData!$R$231),"",ReferenceData!$R$231),"")</f>
        <v>25215.347430000002</v>
      </c>
      <c r="S231">
        <f ca="1">IFERROR(IF(0=LEN(ReferenceData!$S$231),"",ReferenceData!$S$231),"")</f>
        <v>25240.068360000001</v>
      </c>
      <c r="T231">
        <f ca="1">IFERROR(IF(0=LEN(ReferenceData!$T$231),"",ReferenceData!$T$231),"")</f>
        <v>23801.24843</v>
      </c>
      <c r="U231">
        <f ca="1">IFERROR(IF(0=LEN(ReferenceData!$U$231),"",ReferenceData!$U$231),"")</f>
        <v>24328.608609999999</v>
      </c>
      <c r="V231">
        <f ca="1">IFERROR(IF(0=LEN(ReferenceData!$V$231),"",ReferenceData!$V$231),"")</f>
        <v>22589.968000000001</v>
      </c>
      <c r="W231">
        <f ca="1">IFERROR(IF(0=LEN(ReferenceData!$W$231),"",ReferenceData!$W$231),"")</f>
        <v>23506.617829999999</v>
      </c>
      <c r="X231">
        <f ca="1">IFERROR(IF(0=LEN(ReferenceData!$X$231),"",ReferenceData!$X$231),"")</f>
        <v>24421.176039999998</v>
      </c>
      <c r="Y231">
        <f ca="1">IFERROR(IF(0=LEN(ReferenceData!$Y$231),"",ReferenceData!$Y$231),"")</f>
        <v>24032.55746</v>
      </c>
      <c r="Z231">
        <f ca="1">IFERROR(IF(0=LEN(ReferenceData!$Z$231),"",ReferenceData!$Z$231),"")</f>
        <v>25465.61447</v>
      </c>
      <c r="AA231">
        <f ca="1">IFERROR(IF(0=LEN(ReferenceData!$AA$231),"",ReferenceData!$AA$231),"")</f>
        <v>24744.100149999998</v>
      </c>
      <c r="AB231">
        <f ca="1">IFERROR(IF(0=LEN(ReferenceData!$AB$231),"",ReferenceData!$AB$231),"")</f>
        <v>24674.14344</v>
      </c>
      <c r="AC231">
        <f ca="1">IFERROR(IF(0=LEN(ReferenceData!$AC$231),"",ReferenceData!$AC$231),"")</f>
        <v>24250.274590000001</v>
      </c>
      <c r="AD231">
        <f ca="1">IFERROR(IF(0=LEN(ReferenceData!$AD$231),"",ReferenceData!$AD$231),"")</f>
        <v>26059.322779999999</v>
      </c>
      <c r="AE231">
        <f ca="1">IFERROR(IF(0=LEN(ReferenceData!$AE$231),"",ReferenceData!$AE$231),"")</f>
        <v>23516.415150000001</v>
      </c>
      <c r="AF231">
        <f ca="1">IFERROR(IF(0=LEN(ReferenceData!$AF$231),"",ReferenceData!$AF$231),"")</f>
        <v>23474.35673</v>
      </c>
      <c r="AG231">
        <f ca="1">IFERROR(IF(0=LEN(ReferenceData!$AG$231),"",ReferenceData!$AG$231),"")</f>
        <v>25204.579310000001</v>
      </c>
      <c r="AH231">
        <f ca="1">IFERROR(IF(0=LEN(ReferenceData!$AH$231),"",ReferenceData!$AH$231),"")</f>
        <v>24884.269120000001</v>
      </c>
      <c r="AI231">
        <f ca="1">IFERROR(IF(0=LEN(ReferenceData!$AI$231),"",ReferenceData!$AI$231),"")</f>
        <v>23236.601309999998</v>
      </c>
      <c r="AJ231">
        <f ca="1">IFERROR(IF(0=LEN(ReferenceData!$AJ$231),"",ReferenceData!$AJ$231),"")</f>
        <v>23235.272209999999</v>
      </c>
      <c r="AK231">
        <f ca="1">IFERROR(IF(0=LEN(ReferenceData!$AK$231),"",ReferenceData!$AK$231),"")</f>
        <v>21938.073619999999</v>
      </c>
      <c r="AL231">
        <f ca="1">IFERROR(IF(0=LEN(ReferenceData!$AL$231),"",ReferenceData!$AL$231),"")</f>
        <v>22782.646710000001</v>
      </c>
      <c r="AM231">
        <f ca="1">IFERROR(IF(0=LEN(ReferenceData!$AM$231),"",ReferenceData!$AM$231),"")</f>
        <v>21134.16345</v>
      </c>
      <c r="AN231">
        <f ca="1">IFERROR(IF(0=LEN(ReferenceData!$AN$231),"",ReferenceData!$AN$231),"")</f>
        <v>22010.622480000002</v>
      </c>
      <c r="AO231">
        <f ca="1">IFERROR(IF(0=LEN(ReferenceData!$AO$231),"",ReferenceData!$AO$231),"")</f>
        <v>21728.449519999998</v>
      </c>
      <c r="AP231">
        <f ca="1">IFERROR(IF(0=LEN(ReferenceData!$AP$231),"",ReferenceData!$AP$231),"")</f>
        <v>23010.993320000001</v>
      </c>
      <c r="AQ231">
        <f ca="1">IFERROR(IF(0=LEN(ReferenceData!$AQ$231),"",ReferenceData!$AQ$231),"")</f>
        <v>22230.534380000001</v>
      </c>
      <c r="AR231">
        <f ca="1">IFERROR(IF(0=LEN(ReferenceData!$AR$231),"",ReferenceData!$AR$231),"")</f>
        <v>22837.365860000002</v>
      </c>
      <c r="AS231">
        <f ca="1">IFERROR(IF(0=LEN(ReferenceData!$AS$231),"",ReferenceData!$AS$231),"")</f>
        <v>21570.016810000001</v>
      </c>
      <c r="AT231">
        <f ca="1">IFERROR(IF(0=LEN(ReferenceData!$AT$231),"",ReferenceData!$AT$231),"")</f>
        <v>21226.776450000001</v>
      </c>
      <c r="AU231">
        <f ca="1">IFERROR(IF(0=LEN(ReferenceData!$AU$231),"",ReferenceData!$AU$231),"")</f>
        <v>21244.032709999999</v>
      </c>
      <c r="AV231">
        <f ca="1">IFERROR(IF(0=LEN(ReferenceData!$AV$231),"",ReferenceData!$AV$231),"")</f>
        <v>19216.961569999999</v>
      </c>
      <c r="AW231">
        <f ca="1">IFERROR(IF(0=LEN(ReferenceData!$AW$231),"",ReferenceData!$AW$231),"")</f>
        <v>20217.001359999998</v>
      </c>
      <c r="AX231">
        <f ca="1">IFERROR(IF(0=LEN(ReferenceData!$AX$231),"",ReferenceData!$AX$231),"")</f>
        <v>19193.63522</v>
      </c>
      <c r="AY231">
        <f ca="1">IFERROR(IF(0=LEN(ReferenceData!$AY$231),"",ReferenceData!$AY$231),"")</f>
        <v>18430.193080000001</v>
      </c>
      <c r="AZ231">
        <f ca="1">IFERROR(IF(0=LEN(ReferenceData!$AZ$231),"",ReferenceData!$AZ$231),"")</f>
        <v>18384.827249999998</v>
      </c>
      <c r="BA231">
        <f ca="1">IFERROR(IF(0=LEN(ReferenceData!$BA$231),"",ReferenceData!$BA$231),"")</f>
        <v>17693.798210000001</v>
      </c>
      <c r="BB231">
        <f ca="1">IFERROR(IF(0=LEN(ReferenceData!$BB$231),"",ReferenceData!$BB$231),"")</f>
        <v>16996.0684</v>
      </c>
      <c r="BC231">
        <f ca="1">IFERROR(IF(0=LEN(ReferenceData!$BC$231),"",ReferenceData!$BC$231),"")</f>
        <v>16691.374940000002</v>
      </c>
      <c r="BD231">
        <f ca="1">IFERROR(IF(0=LEN(ReferenceData!$BD$231),"",ReferenceData!$BD$231),"")</f>
        <v>15983.44425</v>
      </c>
      <c r="BE231">
        <f ca="1">IFERROR(IF(0=LEN(ReferenceData!$BE$231),"",ReferenceData!$BE$231),"")</f>
        <v>15301.39768</v>
      </c>
      <c r="BF231">
        <f ca="1">IFERROR(IF(0=LEN(ReferenceData!$BF$231),"",ReferenceData!$BF$231),"")</f>
        <v>15344.10648</v>
      </c>
      <c r="BG231">
        <f ca="1">IFERROR(IF(0=LEN(ReferenceData!$BG$231),"",ReferenceData!$BG$231),"")</f>
        <v>16182.76965</v>
      </c>
      <c r="BH231">
        <f ca="1">IFERROR(IF(0=LEN(ReferenceData!$BH$231),"",ReferenceData!$BH$231),"")</f>
        <v>16446.76685</v>
      </c>
      <c r="BI231">
        <f ca="1">IFERROR(IF(0=LEN(ReferenceData!$BI$231),"",ReferenceData!$BI$231),"")</f>
        <v>16033.947700000001</v>
      </c>
      <c r="BJ231">
        <f ca="1">IFERROR(IF(0=LEN(ReferenceData!$BJ$231),"",ReferenceData!$BJ$231),"")</f>
        <v>17511.300780000001</v>
      </c>
      <c r="BK231">
        <f ca="1">IFERROR(IF(0=LEN(ReferenceData!$BK$231),"",ReferenceData!$BK$231),"")</f>
        <v>17455.66417</v>
      </c>
      <c r="BL231">
        <f ca="1">IFERROR(IF(0=LEN(ReferenceData!$BL$231),"",ReferenceData!$BL$231),"")</f>
        <v>17164.546399999999</v>
      </c>
      <c r="BM231">
        <f ca="1">IFERROR(IF(0=LEN(ReferenceData!$BM$231),"",ReferenceData!$BM$231),"")</f>
        <v>17208.922780000001</v>
      </c>
      <c r="BN231">
        <f ca="1">IFERROR(IF(0=LEN(ReferenceData!$BN$231),"",ReferenceData!$BN$231),"")</f>
        <v>16378.697190000001</v>
      </c>
      <c r="BO231">
        <f ca="1">IFERROR(IF(0=LEN(ReferenceData!$BO$231),"",ReferenceData!$BO$231),"")</f>
        <v>14282.187459999999</v>
      </c>
      <c r="BP231">
        <f ca="1">IFERROR(IF(0=LEN(ReferenceData!$BP$231),"",ReferenceData!$BP$231),"")</f>
        <v>14846.72955</v>
      </c>
      <c r="BQ231">
        <f ca="1">IFERROR(IF(0=LEN(ReferenceData!$BQ$231),"",ReferenceData!$BQ$231),"")</f>
        <v>15510.19385</v>
      </c>
      <c r="BR231">
        <f ca="1">IFERROR(IF(0=LEN(ReferenceData!$BR$231),"",ReferenceData!$BR$231),"")</f>
        <v>15075.510340000001</v>
      </c>
      <c r="BS231">
        <f ca="1">IFERROR(IF(0=LEN(ReferenceData!$BS$231),"",ReferenceData!$BS$231),"")</f>
        <v>13138.095429999999</v>
      </c>
      <c r="BT231">
        <f ca="1">IFERROR(IF(0=LEN(ReferenceData!$BT$231),"",ReferenceData!$BT$231),"")</f>
        <v>13179.76982</v>
      </c>
      <c r="BU231">
        <f ca="1">IFERROR(IF(0=LEN(ReferenceData!$BU$231),"",ReferenceData!$BU$231),"")</f>
        <v>13715.72193</v>
      </c>
      <c r="BV231">
        <f ca="1">IFERROR(IF(0=LEN(ReferenceData!$BV$231),"",ReferenceData!$BV$231),"")</f>
        <v>14026.458769999999</v>
      </c>
      <c r="BW231">
        <f ca="1">IFERROR(IF(0=LEN(ReferenceData!$BW$231),"",ReferenceData!$BW$231),"")</f>
        <v>13491.490830000001</v>
      </c>
      <c r="BX231">
        <f ca="1">IFERROR(IF(0=LEN(ReferenceData!$BX$231),"",ReferenceData!$BX$231),"")</f>
        <v>13326.518550000001</v>
      </c>
      <c r="BY231">
        <f ca="1">IFERROR(IF(0=LEN(ReferenceData!$BY$231),"",ReferenceData!$BY$231),"")</f>
        <v>13844.43578</v>
      </c>
      <c r="BZ231">
        <f ca="1">IFERROR(IF(0=LEN(ReferenceData!$BZ$231),"",ReferenceData!$BZ$231),"")</f>
        <v>13458.810170000001</v>
      </c>
      <c r="CA231">
        <f ca="1">IFERROR(IF(0=LEN(ReferenceData!$CA$231),"",ReferenceData!$CA$231),"")</f>
        <v>12346.68492</v>
      </c>
      <c r="CB231">
        <f ca="1">IFERROR(IF(0=LEN(ReferenceData!$CB$231),"",ReferenceData!$CB$231),"")</f>
        <v>12933.096020000001</v>
      </c>
      <c r="CC231">
        <f ca="1">IFERROR(IF(0=LEN(ReferenceData!$CC$231),"",ReferenceData!$CC$231),"")</f>
        <v>12418.66289</v>
      </c>
      <c r="CD231">
        <f ca="1">IFERROR(IF(0=LEN(ReferenceData!$CD$231),"",ReferenceData!$CD$231),"")</f>
        <v>11871.92524</v>
      </c>
      <c r="CE231">
        <f ca="1">IFERROR(IF(0=LEN(ReferenceData!$CE$231),"",ReferenceData!$CE$231),"")</f>
        <v>12573.54508</v>
      </c>
      <c r="CF231">
        <f ca="1">IFERROR(IF(0=LEN(ReferenceData!$CF$231),"",ReferenceData!$CF$231),"")</f>
        <v>10726.403</v>
      </c>
      <c r="CG231">
        <f ca="1">IFERROR(IF(0=LEN(ReferenceData!$CG$231),"",ReferenceData!$CG$231),"")</f>
        <v>12826.5396</v>
      </c>
      <c r="CH231">
        <f ca="1">IFERROR(IF(0=LEN(ReferenceData!$CH$231),"",ReferenceData!$CH$231),"")</f>
        <v>11718.035040000001</v>
      </c>
      <c r="CI231">
        <f ca="1">IFERROR(IF(0=LEN(ReferenceData!$CI$231),"",ReferenceData!$CI$231),"")</f>
        <v>11212.427900000001</v>
      </c>
      <c r="CJ231">
        <f ca="1">IFERROR(IF(0=LEN(ReferenceData!$CJ$231),"",ReferenceData!$CJ$231),"")</f>
        <v>11620.23193</v>
      </c>
      <c r="CK231">
        <f ca="1">IFERROR(IF(0=LEN(ReferenceData!$CK$231),"",ReferenceData!$CK$231),"")</f>
        <v>10973.58035</v>
      </c>
    </row>
    <row r="232" spans="1:89">
      <c r="A232" t="str">
        <f>IFERROR(IF(0=LEN(ReferenceData!$A$232),"",ReferenceData!$A$232),"")</f>
        <v xml:space="preserve">    Camden 房地产信托公司</v>
      </c>
      <c r="B232" t="str">
        <f>IFERROR(IF(0=LEN(ReferenceData!$B$232),"",ReferenceData!$B$232),"")</f>
        <v>CPT US Equity</v>
      </c>
      <c r="C232" t="str">
        <f>IFERROR(IF(0=LEN(ReferenceData!$C$232),"",ReferenceData!$C$232),"")</f>
        <v>F0825</v>
      </c>
      <c r="D232" t="str">
        <f>IFERROR(IF(0=LEN(ReferenceData!$D$232),"",ReferenceData!$D$232),"")</f>
        <v>INDUSTRY_STANDARDIZED_MARKET_CAP</v>
      </c>
      <c r="E232" t="str">
        <f>IFERROR(IF(0=LEN(ReferenceData!$E$232),"",ReferenceData!$E$232),"")</f>
        <v>动态</v>
      </c>
      <c r="F232">
        <f ca="1">IFERROR(IF(0=LEN(ReferenceData!$F$232),"",ReferenceData!$F$232),"")</f>
        <v>7863.5453340000004</v>
      </c>
      <c r="G232">
        <f ca="1">IFERROR(IF(0=LEN(ReferenceData!$G$232),"",ReferenceData!$G$232),"")</f>
        <v>7540.9429490000002</v>
      </c>
      <c r="H232">
        <f ca="1">IFERROR(IF(0=LEN(ReferenceData!$H$232),"",ReferenceData!$H$232),"")</f>
        <v>8185.0394180000003</v>
      </c>
      <c r="I232">
        <f ca="1">IFERROR(IF(0=LEN(ReferenceData!$I$232),"",ReferenceData!$I$232),"")</f>
        <v>8705.114705</v>
      </c>
      <c r="J232">
        <f ca="1">IFERROR(IF(0=LEN(ReferenceData!$J$232),"",ReferenceData!$J$232),"")</f>
        <v>8631.2672930000008</v>
      </c>
      <c r="K232">
        <f ca="1">IFERROR(IF(0=LEN(ReferenceData!$K$232),"",ReferenceData!$K$232),"")</f>
        <v>8627.4849670000003</v>
      </c>
      <c r="L232">
        <f ca="1">IFERROR(IF(0=LEN(ReferenceData!$L$232),"",ReferenceData!$L$232),"")</f>
        <v>8646.4407549999996</v>
      </c>
      <c r="M232">
        <f ca="1">IFERROR(IF(0=LEN(ReferenceData!$M$232),"",ReferenceData!$M$232),"")</f>
        <v>8013.0162319999999</v>
      </c>
      <c r="N232">
        <f ca="1">IFERROR(IF(0=LEN(ReferenceData!$N$232),"",ReferenceData!$N$232),"")</f>
        <v>8032.7174340000001</v>
      </c>
      <c r="O232">
        <f ca="1">IFERROR(IF(0=LEN(ReferenceData!$O$232),"",ReferenceData!$O$232),"")</f>
        <v>7655.2145989999999</v>
      </c>
      <c r="P232">
        <f ca="1">IFERROR(IF(0=LEN(ReferenceData!$P$232),"",ReferenceData!$P$232),"")</f>
        <v>7458.2615050000004</v>
      </c>
      <c r="Q232">
        <f ca="1">IFERROR(IF(0=LEN(ReferenceData!$Q$232),"",ReferenceData!$Q$232),"")</f>
        <v>7369.5862200000001</v>
      </c>
      <c r="R232">
        <f ca="1">IFERROR(IF(0=LEN(ReferenceData!$R$232),"",ReferenceData!$R$232),"")</f>
        <v>7202.1973429999998</v>
      </c>
      <c r="S232">
        <f ca="1">IFERROR(IF(0=LEN(ReferenceData!$S$232),"",ReferenceData!$S$232),"")</f>
        <v>7409.2547850000001</v>
      </c>
      <c r="T232">
        <f ca="1">IFERROR(IF(0=LEN(ReferenceData!$T$232),"",ReferenceData!$T$232),"")</f>
        <v>7310.842146</v>
      </c>
      <c r="U232">
        <f ca="1">IFERROR(IF(0=LEN(ReferenceData!$U$232),"",ReferenceData!$U$232),"")</f>
        <v>7354.5829750000003</v>
      </c>
      <c r="V232">
        <f ca="1">IFERROR(IF(0=LEN(ReferenceData!$V$232),"",ReferenceData!$V$232),"")</f>
        <v>6885.6811319999997</v>
      </c>
      <c r="W232">
        <f ca="1">IFERROR(IF(0=LEN(ReferenceData!$W$232),"",ReferenceData!$W$232),"")</f>
        <v>7124.5060519999997</v>
      </c>
      <c r="X232">
        <f ca="1">IFERROR(IF(0=LEN(ReferenceData!$X$232),"",ReferenceData!$X$232),"")</f>
        <v>7320.0546130000002</v>
      </c>
      <c r="Y232">
        <f ca="1">IFERROR(IF(0=LEN(ReferenceData!$Y$232),"",ReferenceData!$Y$232),"")</f>
        <v>7837.9650659999998</v>
      </c>
      <c r="Z232">
        <f ca="1">IFERROR(IF(0=LEN(ReferenceData!$Z$232),"",ReferenceData!$Z$232),"")</f>
        <v>8000.4932239999998</v>
      </c>
      <c r="AA232">
        <f ca="1">IFERROR(IF(0=LEN(ReferenceData!$AA$232),"",ReferenceData!$AA$232),"")</f>
        <v>7859.4007799999999</v>
      </c>
      <c r="AB232">
        <f ca="1">IFERROR(IF(0=LEN(ReferenceData!$AB$232),"",ReferenceData!$AB$232),"")</f>
        <v>7574.3286950000002</v>
      </c>
      <c r="AC232">
        <f ca="1">IFERROR(IF(0=LEN(ReferenceData!$AC$232),"",ReferenceData!$AC$232),"")</f>
        <v>7176.1008750000001</v>
      </c>
      <c r="AD232">
        <f ca="1">IFERROR(IF(0=LEN(ReferenceData!$AD$232),"",ReferenceData!$AD$232),"")</f>
        <v>7468.8392739999999</v>
      </c>
      <c r="AE232">
        <f ca="1">IFERROR(IF(0=LEN(ReferenceData!$AE$232),"",ReferenceData!$AE$232),"")</f>
        <v>6638.6003330000003</v>
      </c>
      <c r="AF232">
        <f ca="1">IFERROR(IF(0=LEN(ReferenceData!$AF$232),"",ReferenceData!$AF$232),"")</f>
        <v>6772.097358</v>
      </c>
      <c r="AG232">
        <f ca="1">IFERROR(IF(0=LEN(ReferenceData!$AG$232),"",ReferenceData!$AG$232),"")</f>
        <v>6812.9252049999996</v>
      </c>
      <c r="AH232">
        <f ca="1">IFERROR(IF(0=LEN(ReferenceData!$AH$232),"",ReferenceData!$AH$232),"")</f>
        <v>6779.1978529999997</v>
      </c>
      <c r="AI232">
        <f ca="1">IFERROR(IF(0=LEN(ReferenceData!$AI$232),"",ReferenceData!$AI$232),"")</f>
        <v>6549.3193190000002</v>
      </c>
      <c r="AJ232">
        <f ca="1">IFERROR(IF(0=LEN(ReferenceData!$AJ$232),"",ReferenceData!$AJ$232),"")</f>
        <v>6558.4995179999996</v>
      </c>
      <c r="AK232">
        <f ca="1">IFERROR(IF(0=LEN(ReferenceData!$AK$232),"",ReferenceData!$AK$232),"")</f>
        <v>6392.6842530000004</v>
      </c>
      <c r="AL232">
        <f ca="1">IFERROR(IF(0=LEN(ReferenceData!$AL$232),"",ReferenceData!$AL$232),"")</f>
        <v>7067.1865479999997</v>
      </c>
      <c r="AM232">
        <f ca="1">IFERROR(IF(0=LEN(ReferenceData!$AM$232),"",ReferenceData!$AM$232),"")</f>
        <v>6591.5144319999999</v>
      </c>
      <c r="AN232">
        <f ca="1">IFERROR(IF(0=LEN(ReferenceData!$AN$232),"",ReferenceData!$AN$232),"")</f>
        <v>6653.6315569999997</v>
      </c>
      <c r="AO232">
        <f ca="1">IFERROR(IF(0=LEN(ReferenceData!$AO$232),"",ReferenceData!$AO$232),"")</f>
        <v>6892.435641</v>
      </c>
      <c r="AP232">
        <f ca="1">IFERROR(IF(0=LEN(ReferenceData!$AP$232),"",ReferenceData!$AP$232),"")</f>
        <v>7172.4293639999996</v>
      </c>
      <c r="AQ232">
        <f ca="1">IFERROR(IF(0=LEN(ReferenceData!$AQ$232),"",ReferenceData!$AQ$232),"")</f>
        <v>6450.3237820000004</v>
      </c>
      <c r="AR232">
        <f ca="1">IFERROR(IF(0=LEN(ReferenceData!$AR$232),"",ReferenceData!$AR$232),"")</f>
        <v>6803.1646350000001</v>
      </c>
      <c r="AS232">
        <f ca="1">IFERROR(IF(0=LEN(ReferenceData!$AS$232),"",ReferenceData!$AS$232),"")</f>
        <v>6519.7362320000002</v>
      </c>
      <c r="AT232">
        <f ca="1">IFERROR(IF(0=LEN(ReferenceData!$AT$232),"",ReferenceData!$AT$232),"")</f>
        <v>6770.4953180000002</v>
      </c>
      <c r="AU232">
        <f ca="1">IFERROR(IF(0=LEN(ReferenceData!$AU$232),"",ReferenceData!$AU$232),"")</f>
        <v>6769.6123630000002</v>
      </c>
      <c r="AV232">
        <f ca="1">IFERROR(IF(0=LEN(ReferenceData!$AV$232),"",ReferenceData!$AV$232),"")</f>
        <v>5999.3900149999999</v>
      </c>
      <c r="AW232">
        <f ca="1">IFERROR(IF(0=LEN(ReferenceData!$AW$232),"",ReferenceData!$AW$232),"")</f>
        <v>6552.0410869999996</v>
      </c>
      <c r="AX232">
        <f ca="1">IFERROR(IF(0=LEN(ReferenceData!$AX$232),"",ReferenceData!$AX$232),"")</f>
        <v>6328.9752660000004</v>
      </c>
      <c r="AY232">
        <f ca="1">IFERROR(IF(0=LEN(ReferenceData!$AY$232),"",ReferenceData!$AY$232),"")</f>
        <v>6223.142484</v>
      </c>
      <c r="AZ232">
        <f ca="1">IFERROR(IF(0=LEN(ReferenceData!$AZ$232),"",ReferenceData!$AZ$232),"")</f>
        <v>6143.5492350000004</v>
      </c>
      <c r="BA232">
        <f ca="1">IFERROR(IF(0=LEN(ReferenceData!$BA$232),"",ReferenceData!$BA$232),"")</f>
        <v>6201.2052270000004</v>
      </c>
      <c r="BB232">
        <f ca="1">IFERROR(IF(0=LEN(ReferenceData!$BB$232),"",ReferenceData!$BB$232),"")</f>
        <v>6097.0822010000002</v>
      </c>
      <c r="BC232">
        <f ca="1">IFERROR(IF(0=LEN(ReferenceData!$BC$232),"",ReferenceData!$BC$232),"")</f>
        <v>5824.3085060000003</v>
      </c>
      <c r="BD232">
        <f ca="1">IFERROR(IF(0=LEN(ReferenceData!$BD$232),"",ReferenceData!$BD$232),"")</f>
        <v>5398.182186</v>
      </c>
      <c r="BE232">
        <f ca="1">IFERROR(IF(0=LEN(ReferenceData!$BE$232),"",ReferenceData!$BE$232),"")</f>
        <v>4966.8166090000004</v>
      </c>
      <c r="BF232">
        <f ca="1">IFERROR(IF(0=LEN(ReferenceData!$BF$232),"",ReferenceData!$BF$232),"")</f>
        <v>5051.0912589999998</v>
      </c>
      <c r="BG232">
        <f ca="1">IFERROR(IF(0=LEN(ReferenceData!$BG$232),"",ReferenceData!$BG$232),"")</f>
        <v>5595.7113220000001</v>
      </c>
      <c r="BH232">
        <f ca="1">IFERROR(IF(0=LEN(ReferenceData!$BH$232),"",ReferenceData!$BH$232),"")</f>
        <v>5355.1480309999997</v>
      </c>
      <c r="BI232">
        <f ca="1">IFERROR(IF(0=LEN(ReferenceData!$BI$232),"",ReferenceData!$BI$232),"")</f>
        <v>5385.6542460000001</v>
      </c>
      <c r="BJ232">
        <f ca="1">IFERROR(IF(0=LEN(ReferenceData!$BJ$232),"",ReferenceData!$BJ$232),"")</f>
        <v>6148.3096050000004</v>
      </c>
      <c r="BK232">
        <f ca="1">IFERROR(IF(0=LEN(ReferenceData!$BK$232),"",ReferenceData!$BK$232),"")</f>
        <v>5997.0619779999997</v>
      </c>
      <c r="BL232">
        <f ca="1">IFERROR(IF(0=LEN(ReferenceData!$BL$232),"",ReferenceData!$BL$232),"")</f>
        <v>6006.6755720000001</v>
      </c>
      <c r="BM232">
        <f ca="1">IFERROR(IF(0=LEN(ReferenceData!$BM$232),"",ReferenceData!$BM$232),"")</f>
        <v>6222.4480610000001</v>
      </c>
      <c r="BN232">
        <f ca="1">IFERROR(IF(0=LEN(ReferenceData!$BN$232),"",ReferenceData!$BN$232),"")</f>
        <v>5907.6269400000001</v>
      </c>
      <c r="BO232">
        <f ca="1">IFERROR(IF(0=LEN(ReferenceData!$BO$232),"",ReferenceData!$BO$232),"")</f>
        <v>5967.8674819999997</v>
      </c>
      <c r="BP232">
        <f ca="1">IFERROR(IF(0=LEN(ReferenceData!$BP$232),"",ReferenceData!$BP$232),"")</f>
        <v>5989.4464070000004</v>
      </c>
      <c r="BQ232">
        <f ca="1">IFERROR(IF(0=LEN(ReferenceData!$BQ$232),"",ReferenceData!$BQ$232),"")</f>
        <v>5887.5938809999998</v>
      </c>
      <c r="BR232">
        <f ca="1">IFERROR(IF(0=LEN(ReferenceData!$BR$232),"",ReferenceData!$BR$232),"")</f>
        <v>5672.321175</v>
      </c>
      <c r="BS232">
        <f ca="1">IFERROR(IF(0=LEN(ReferenceData!$BS$232),"",ReferenceData!$BS$232),"")</f>
        <v>5631.4872770000002</v>
      </c>
      <c r="BT232">
        <f ca="1">IFERROR(IF(0=LEN(ReferenceData!$BT$232),"",ReferenceData!$BT$232),"")</f>
        <v>5533.667751</v>
      </c>
      <c r="BU232">
        <f ca="1">IFERROR(IF(0=LEN(ReferenceData!$BU$232),"",ReferenceData!$BU$232),"")</f>
        <v>5957.5523629999998</v>
      </c>
      <c r="BV232">
        <f ca="1">IFERROR(IF(0=LEN(ReferenceData!$BV$232),"",ReferenceData!$BV$232),"")</f>
        <v>5883.7240060000004</v>
      </c>
      <c r="BW232">
        <f ca="1">IFERROR(IF(0=LEN(ReferenceData!$BW$232),"",ReferenceData!$BW$232),"")</f>
        <v>5583.3908780000002</v>
      </c>
      <c r="BX232">
        <f ca="1">IFERROR(IF(0=LEN(ReferenceData!$BX$232),"",ReferenceData!$BX$232),"")</f>
        <v>5376.7252790000002</v>
      </c>
      <c r="BY232">
        <f ca="1">IFERROR(IF(0=LEN(ReferenceData!$BY$232),"",ReferenceData!$BY$232),"")</f>
        <v>5588.127778</v>
      </c>
      <c r="BZ232">
        <f ca="1">IFERROR(IF(0=LEN(ReferenceData!$BZ$232),"",ReferenceData!$BZ$232),"")</f>
        <v>5332.0093489999999</v>
      </c>
      <c r="CA232">
        <f ca="1">IFERROR(IF(0=LEN(ReferenceData!$CA$232),"",ReferenceData!$CA$232),"")</f>
        <v>5038.7523520000004</v>
      </c>
      <c r="CB232">
        <f ca="1">IFERROR(IF(0=LEN(ReferenceData!$CB$232),"",ReferenceData!$CB$232),"")</f>
        <v>5240.8959240000004</v>
      </c>
      <c r="CC232">
        <f ca="1">IFERROR(IF(0=LEN(ReferenceData!$CC$232),"",ReferenceData!$CC$232),"")</f>
        <v>4594.7868719999997</v>
      </c>
      <c r="CD232">
        <f ca="1">IFERROR(IF(0=LEN(ReferenceData!$CD$232),"",ReferenceData!$CD$232),"")</f>
        <v>4261.4378909999996</v>
      </c>
      <c r="CE232">
        <f ca="1">IFERROR(IF(0=LEN(ReferenceData!$CE$232),"",ReferenceData!$CE$232),"")</f>
        <v>4465.2325659999997</v>
      </c>
      <c r="CF232">
        <f ca="1">IFERROR(IF(0=LEN(ReferenceData!$CF$232),"",ReferenceData!$CF$232),"")</f>
        <v>4069.0757189999999</v>
      </c>
      <c r="CG232">
        <f ca="1">IFERROR(IF(0=LEN(ReferenceData!$CG$232),"",ReferenceData!$CG$232),"")</f>
        <v>4920.7652349999998</v>
      </c>
      <c r="CH232">
        <f ca="1">IFERROR(IF(0=LEN(ReferenceData!$CH$232),"",ReferenceData!$CH$232),"")</f>
        <v>4939.1757600000001</v>
      </c>
      <c r="CI232">
        <f ca="1">IFERROR(IF(0=LEN(ReferenceData!$CI$232),"",ReferenceData!$CI$232),"")</f>
        <v>4621.8084339999996</v>
      </c>
      <c r="CJ232">
        <f ca="1">IFERROR(IF(0=LEN(ReferenceData!$CJ$232),"",ReferenceData!$CJ$232),"")</f>
        <v>4670.4625999999998</v>
      </c>
      <c r="CK232">
        <f ca="1">IFERROR(IF(0=LEN(ReferenceData!$CK$232),"",ReferenceData!$CK$232),"")</f>
        <v>4559.2957079999996</v>
      </c>
    </row>
    <row r="233" spans="1:89">
      <c r="A233" t="str">
        <f>IFERROR(IF(0=LEN(ReferenceData!$A$233),"",ReferenceData!$A$233),"")</f>
        <v xml:space="preserve">    公寓物业权益信托</v>
      </c>
      <c r="B233" t="str">
        <f>IFERROR(IF(0=LEN(ReferenceData!$B$233),"",ReferenceData!$B$233),"")</f>
        <v>EQR US Equity</v>
      </c>
      <c r="C233" t="str">
        <f>IFERROR(IF(0=LEN(ReferenceData!$C$233),"",ReferenceData!$C$233),"")</f>
        <v>F0825</v>
      </c>
      <c r="D233" t="str">
        <f>IFERROR(IF(0=LEN(ReferenceData!$D$233),"",ReferenceData!$D$233),"")</f>
        <v>INDUSTRY_STANDARDIZED_MARKET_CAP</v>
      </c>
      <c r="E233" t="str">
        <f>IFERROR(IF(0=LEN(ReferenceData!$E$233),"",ReferenceData!$E$233),"")</f>
        <v>动态</v>
      </c>
      <c r="F233">
        <f ca="1">IFERROR(IF(0=LEN(ReferenceData!$F$233),"",ReferenceData!$F$233),"")</f>
        <v>22675.659189999998</v>
      </c>
      <c r="G233">
        <f ca="1">IFERROR(IF(0=LEN(ReferenceData!$G$233),"",ReferenceData!$G$233),"")</f>
        <v>21476.374250000001</v>
      </c>
      <c r="H233">
        <f ca="1">IFERROR(IF(0=LEN(ReferenceData!$H$233),"",ReferenceData!$H$233),"")</f>
        <v>23521.8675</v>
      </c>
      <c r="I233">
        <f ca="1">IFERROR(IF(0=LEN(ReferenceData!$I$233),"",ReferenceData!$I$233),"")</f>
        <v>24312.518090000001</v>
      </c>
      <c r="J233">
        <f ca="1">IFERROR(IF(0=LEN(ReferenceData!$J$233),"",ReferenceData!$J$233),"")</f>
        <v>25478.116730000002</v>
      </c>
      <c r="K233">
        <f ca="1">IFERROR(IF(0=LEN(ReferenceData!$K$233),"",ReferenceData!$K$233),"")</f>
        <v>25634.349389999999</v>
      </c>
      <c r="L233">
        <f ca="1">IFERROR(IF(0=LEN(ReferenceData!$L$233),"",ReferenceData!$L$233),"")</f>
        <v>25127.455480000001</v>
      </c>
      <c r="M233">
        <f ca="1">IFERROR(IF(0=LEN(ReferenceData!$M$233),"",ReferenceData!$M$233),"")</f>
        <v>25592.838540000001</v>
      </c>
      <c r="N233">
        <f ca="1">IFERROR(IF(0=LEN(ReferenceData!$N$233),"",ReferenceData!$N$233),"")</f>
        <v>25938.679960000001</v>
      </c>
      <c r="O233">
        <f ca="1">IFERROR(IF(0=LEN(ReferenceData!$O$233),"",ReferenceData!$O$233),"")</f>
        <v>25079.32732</v>
      </c>
      <c r="P233">
        <f ca="1">IFERROR(IF(0=LEN(ReferenceData!$P$233),"",ReferenceData!$P$233),"")</f>
        <v>24798.14704</v>
      </c>
      <c r="Q233">
        <f ca="1">IFERROR(IF(0=LEN(ReferenceData!$Q$233),"",ReferenceData!$Q$233),"")</f>
        <v>24602.73445</v>
      </c>
      <c r="R233">
        <f ca="1">IFERROR(IF(0=LEN(ReferenceData!$R$233),"",ReferenceData!$R$233),"")</f>
        <v>23701.161479999999</v>
      </c>
      <c r="S233">
        <f ca="1">IFERROR(IF(0=LEN(ReferenceData!$S$233),"",ReferenceData!$S$233),"")</f>
        <v>24075.315729999998</v>
      </c>
      <c r="T233">
        <f ca="1">IFERROR(IF(0=LEN(ReferenceData!$T$233),"",ReferenceData!$T$233),"")</f>
        <v>23110.159329999999</v>
      </c>
      <c r="U233">
        <f ca="1">IFERROR(IF(0=LEN(ReferenceData!$U$233),"",ReferenceData!$U$233),"")</f>
        <v>24475.396649999999</v>
      </c>
      <c r="V233">
        <f ca="1">IFERROR(IF(0=LEN(ReferenceData!$V$233),"",ReferenceData!$V$233),"")</f>
        <v>22821.239949999999</v>
      </c>
      <c r="W233">
        <f ca="1">IFERROR(IF(0=LEN(ReferenceData!$W$233),"",ReferenceData!$W$233),"")</f>
        <v>23476.351890000002</v>
      </c>
      <c r="X233">
        <f ca="1">IFERROR(IF(0=LEN(ReferenceData!$X$233),"",ReferenceData!$X$233),"")</f>
        <v>24457.226190000001</v>
      </c>
      <c r="Y233">
        <f ca="1">IFERROR(IF(0=LEN(ReferenceData!$Y$233),"",ReferenceData!$Y$233),"")</f>
        <v>24667.640589999999</v>
      </c>
      <c r="Z233">
        <f ca="1">IFERROR(IF(0=LEN(ReferenceData!$Z$233),"",ReferenceData!$Z$233),"")</f>
        <v>25850.391769999998</v>
      </c>
      <c r="AA233">
        <f ca="1">IFERROR(IF(0=LEN(ReferenceData!$AA$233),"",ReferenceData!$AA$233),"")</f>
        <v>26188.777539999999</v>
      </c>
      <c r="AB233">
        <f ca="1">IFERROR(IF(0=LEN(ReferenceData!$AB$233),"",ReferenceData!$AB$233),"")</f>
        <v>26314.04018</v>
      </c>
      <c r="AC233">
        <f ca="1">IFERROR(IF(0=LEN(ReferenceData!$AC$233),"",ReferenceData!$AC$233),"")</f>
        <v>25880.32934</v>
      </c>
      <c r="AD233">
        <f ca="1">IFERROR(IF(0=LEN(ReferenceData!$AD$233),"",ReferenceData!$AD$233),"")</f>
        <v>28499.786749999999</v>
      </c>
      <c r="AE233">
        <f ca="1">IFERROR(IF(0=LEN(ReferenceData!$AE$233),"",ReferenceData!$AE$233),"")</f>
        <v>28274.07735</v>
      </c>
      <c r="AF233">
        <f ca="1">IFERROR(IF(0=LEN(ReferenceData!$AF$233),"",ReferenceData!$AF$233),"")</f>
        <v>29193.13538</v>
      </c>
      <c r="AG233">
        <f ca="1">IFERROR(IF(0=LEN(ReferenceData!$AG$233),"",ReferenceData!$AG$233),"")</f>
        <v>30897.2359</v>
      </c>
      <c r="AH233">
        <f ca="1">IFERROR(IF(0=LEN(ReferenceData!$AH$233),"",ReferenceData!$AH$233),"")</f>
        <v>30229.236260000001</v>
      </c>
      <c r="AI233">
        <f ca="1">IFERROR(IF(0=LEN(ReferenceData!$AI$233),"",ReferenceData!$AI$233),"")</f>
        <v>29268.55834</v>
      </c>
      <c r="AJ233">
        <f ca="1">IFERROR(IF(0=LEN(ReferenceData!$AJ$233),"",ReferenceData!$AJ$233),"")</f>
        <v>28435.774740000001</v>
      </c>
      <c r="AK233">
        <f ca="1">IFERROR(IF(0=LEN(ReferenceData!$AK$233),"",ReferenceData!$AK$233),"")</f>
        <v>26971.573670000002</v>
      </c>
      <c r="AL233">
        <f ca="1">IFERROR(IF(0=LEN(ReferenceData!$AL$233),"",ReferenceData!$AL$233),"")</f>
        <v>28312.21081</v>
      </c>
      <c r="AM233">
        <f ca="1">IFERROR(IF(0=LEN(ReferenceData!$AM$233),"",ReferenceData!$AM$233),"")</f>
        <v>26556.180090000002</v>
      </c>
      <c r="AN233">
        <f ca="1">IFERROR(IF(0=LEN(ReferenceData!$AN$233),"",ReferenceData!$AN$233),"")</f>
        <v>28127.646219999999</v>
      </c>
      <c r="AO233">
        <f ca="1">IFERROR(IF(0=LEN(ReferenceData!$AO$233),"",ReferenceData!$AO$233),"")</f>
        <v>27939.48414</v>
      </c>
      <c r="AP233">
        <f ca="1">IFERROR(IF(0=LEN(ReferenceData!$AP$233),"",ReferenceData!$AP$233),"")</f>
        <v>29452.58916</v>
      </c>
      <c r="AQ233">
        <f ca="1">IFERROR(IF(0=LEN(ReferenceData!$AQ$233),"",ReferenceData!$AQ$233),"")</f>
        <v>29124.81194</v>
      </c>
      <c r="AR233">
        <f ca="1">IFERROR(IF(0=LEN(ReferenceData!$AR$233),"",ReferenceData!$AR$233),"")</f>
        <v>29232.72856</v>
      </c>
      <c r="AS233">
        <f ca="1">IFERROR(IF(0=LEN(ReferenceData!$AS$233),"",ReferenceData!$AS$233),"")</f>
        <v>27059.389510000001</v>
      </c>
      <c r="AT233">
        <f ca="1">IFERROR(IF(0=LEN(ReferenceData!$AT$233),"",ReferenceData!$AT$233),"")</f>
        <v>26684.596030000001</v>
      </c>
      <c r="AU233">
        <f ca="1">IFERROR(IF(0=LEN(ReferenceData!$AU$233),"",ReferenceData!$AU$233),"")</f>
        <v>26159.272120000001</v>
      </c>
      <c r="AV233">
        <f ca="1">IFERROR(IF(0=LEN(ReferenceData!$AV$233),"",ReferenceData!$AV$233),"")</f>
        <v>23158.251540000001</v>
      </c>
      <c r="AW233">
        <f ca="1">IFERROR(IF(0=LEN(ReferenceData!$AW$233),"",ReferenceData!$AW$233),"")</f>
        <v>24998.00448</v>
      </c>
      <c r="AX233">
        <f ca="1">IFERROR(IF(0=LEN(ReferenceData!$AX$233),"",ReferenceData!$AX$233),"")</f>
        <v>24278.653890000001</v>
      </c>
      <c r="AY233">
        <f ca="1">IFERROR(IF(0=LEN(ReferenceData!$AY$233),"",ReferenceData!$AY$233),"")</f>
        <v>23659.013070000001</v>
      </c>
      <c r="AZ233">
        <f ca="1">IFERROR(IF(0=LEN(ReferenceData!$AZ$233),"",ReferenceData!$AZ$233),"")</f>
        <v>23210.744070000001</v>
      </c>
      <c r="BA233">
        <f ca="1">IFERROR(IF(0=LEN(ReferenceData!$BA$233),"",ReferenceData!$BA$233),"")</f>
        <v>23175.42427</v>
      </c>
      <c r="BB233">
        <f ca="1">IFERROR(IF(0=LEN(ReferenceData!$BB$233),"",ReferenceData!$BB$233),"")</f>
        <v>21772.60716</v>
      </c>
      <c r="BC233">
        <f ca="1">IFERROR(IF(0=LEN(ReferenceData!$BC$233),"",ReferenceData!$BC$233),"")</f>
        <v>21941.427009999999</v>
      </c>
      <c r="BD233">
        <f ca="1">IFERROR(IF(0=LEN(ReferenceData!$BD$233),"",ReferenceData!$BD$233),"")</f>
        <v>20744.857479999999</v>
      </c>
      <c r="BE233">
        <f ca="1">IFERROR(IF(0=LEN(ReferenceData!$BE$233),"",ReferenceData!$BE$233),"")</f>
        <v>19430.042570000001</v>
      </c>
      <c r="BF233">
        <f ca="1">IFERROR(IF(0=LEN(ReferenceData!$BF$233),"",ReferenceData!$BF$233),"")</f>
        <v>19307.458289999999</v>
      </c>
      <c r="BG233">
        <f ca="1">IFERROR(IF(0=LEN(ReferenceData!$BG$233),"",ReferenceData!$BG$233),"")</f>
        <v>19610.64947</v>
      </c>
      <c r="BH233">
        <f ca="1">IFERROR(IF(0=LEN(ReferenceData!$BH$233),"",ReferenceData!$BH$233),"")</f>
        <v>20063.836749999999</v>
      </c>
      <c r="BI233">
        <f ca="1">IFERROR(IF(0=LEN(ReferenceData!$BI$233),"",ReferenceData!$BI$233),"")</f>
        <v>19435.347150000001</v>
      </c>
      <c r="BJ233">
        <f ca="1">IFERROR(IF(0=LEN(ReferenceData!$BJ$233),"",ReferenceData!$BJ$233),"")</f>
        <v>20964.79551</v>
      </c>
      <c r="BK233">
        <f ca="1">IFERROR(IF(0=LEN(ReferenceData!$BK$233),"",ReferenceData!$BK$233),"")</f>
        <v>21736.000489999999</v>
      </c>
      <c r="BL233">
        <f ca="1">IFERROR(IF(0=LEN(ReferenceData!$BL$233),"",ReferenceData!$BL$233),"")</f>
        <v>21171.393479999999</v>
      </c>
      <c r="BM233">
        <f ca="1">IFERROR(IF(0=LEN(ReferenceData!$BM$233),"",ReferenceData!$BM$233),"")</f>
        <v>21731.301510000001</v>
      </c>
      <c r="BN233">
        <f ca="1">IFERROR(IF(0=LEN(ReferenceData!$BN$233),"",ReferenceData!$BN$233),"")</f>
        <v>20601.112560000001</v>
      </c>
      <c r="BO233">
        <f ca="1">IFERROR(IF(0=LEN(ReferenceData!$BO$233),"",ReferenceData!$BO$233),"")</f>
        <v>18682.312900000001</v>
      </c>
      <c r="BP233">
        <f ca="1">IFERROR(IF(0=LEN(ReferenceData!$BP$233),"",ReferenceData!$BP$233),"")</f>
        <v>18749.152010000002</v>
      </c>
      <c r="BQ233">
        <f ca="1">IFERROR(IF(0=LEN(ReferenceData!$BQ$233),"",ReferenceData!$BQ$233),"")</f>
        <v>19182.423630000001</v>
      </c>
      <c r="BR233">
        <f ca="1">IFERROR(IF(0=LEN(ReferenceData!$BR$233),"",ReferenceData!$BR$233),"")</f>
        <v>18813.697810000001</v>
      </c>
      <c r="BS233">
        <f ca="1">IFERROR(IF(0=LEN(ReferenceData!$BS$233),"",ReferenceData!$BS$233),"")</f>
        <v>18203.247220000001</v>
      </c>
      <c r="BT233">
        <f ca="1">IFERROR(IF(0=LEN(ReferenceData!$BT$233),"",ReferenceData!$BT$233),"")</f>
        <v>18145.789130000001</v>
      </c>
      <c r="BU233">
        <f ca="1">IFERROR(IF(0=LEN(ReferenceData!$BU$233),"",ReferenceData!$BU$233),"")</f>
        <v>19057.609700000001</v>
      </c>
      <c r="BV233">
        <f ca="1">IFERROR(IF(0=LEN(ReferenceData!$BV$233),"",ReferenceData!$BV$233),"")</f>
        <v>19972.428550000001</v>
      </c>
      <c r="BW233">
        <f ca="1">IFERROR(IF(0=LEN(ReferenceData!$BW$233),"",ReferenceData!$BW$233),"")</f>
        <v>19651.685590000001</v>
      </c>
      <c r="BX233">
        <f ca="1">IFERROR(IF(0=LEN(ReferenceData!$BX$233),"",ReferenceData!$BX$233),"")</f>
        <v>19194.902999999998</v>
      </c>
      <c r="BY233">
        <f ca="1">IFERROR(IF(0=LEN(ReferenceData!$BY$233),"",ReferenceData!$BY$233),"")</f>
        <v>19295.453389999999</v>
      </c>
      <c r="BZ233">
        <f ca="1">IFERROR(IF(0=LEN(ReferenceData!$BZ$233),"",ReferenceData!$BZ$233),"")</f>
        <v>19648.409469999999</v>
      </c>
      <c r="CA233">
        <f ca="1">IFERROR(IF(0=LEN(ReferenceData!$CA$233),"",ReferenceData!$CA$233),"")</f>
        <v>17848.283749999999</v>
      </c>
      <c r="CB233">
        <f ca="1">IFERROR(IF(0=LEN(ReferenceData!$CB$233),"",ReferenceData!$CB$233),"")</f>
        <v>18467.71413</v>
      </c>
      <c r="CC233">
        <f ca="1">IFERROR(IF(0=LEN(ReferenceData!$CC$233),"",ReferenceData!$CC$233),"")</f>
        <v>17686.208849999999</v>
      </c>
      <c r="CD233">
        <f ca="1">IFERROR(IF(0=LEN(ReferenceData!$CD$233),"",ReferenceData!$CD$233),"")</f>
        <v>17116.521140000001</v>
      </c>
      <c r="CE233">
        <f ca="1">IFERROR(IF(0=LEN(ReferenceData!$CE$233),"",ReferenceData!$CE$233),"")</f>
        <v>18190.658350000002</v>
      </c>
      <c r="CF233">
        <f ca="1">IFERROR(IF(0=LEN(ReferenceData!$CF$233),"",ReferenceData!$CF$233),"")</f>
        <v>16079.574790000001</v>
      </c>
      <c r="CG233">
        <f ca="1">IFERROR(IF(0=LEN(ReferenceData!$CG$233),"",ReferenceData!$CG$233),"")</f>
        <v>18964.35457</v>
      </c>
      <c r="CH233">
        <f ca="1">IFERROR(IF(0=LEN(ReferenceData!$CH$233),"",ReferenceData!$CH$233),"")</f>
        <v>19049.096529999999</v>
      </c>
      <c r="CI233">
        <f ca="1">IFERROR(IF(0=LEN(ReferenceData!$CI$233),"",ReferenceData!$CI$233),"")</f>
        <v>18488.285209999998</v>
      </c>
      <c r="CJ233">
        <f ca="1">IFERROR(IF(0=LEN(ReferenceData!$CJ$233),"",ReferenceData!$CJ$233),"")</f>
        <v>19068.30255</v>
      </c>
      <c r="CK233">
        <f ca="1">IFERROR(IF(0=LEN(ReferenceData!$CK$233),"",ReferenceData!$CK$233),"")</f>
        <v>18383.793399999999</v>
      </c>
    </row>
    <row r="234" spans="1:89">
      <c r="A234" t="str">
        <f>IFERROR(IF(0=LEN(ReferenceData!$A$234),"",ReferenceData!$A$234),"")</f>
        <v xml:space="preserve">    埃塞克斯房地产信托公司</v>
      </c>
      <c r="B234" t="str">
        <f>IFERROR(IF(0=LEN(ReferenceData!$B$234),"",ReferenceData!$B$234),"")</f>
        <v>ESS US Equity</v>
      </c>
      <c r="C234" t="str">
        <f>IFERROR(IF(0=LEN(ReferenceData!$C$234),"",ReferenceData!$C$234),"")</f>
        <v>F0825</v>
      </c>
      <c r="D234" t="str">
        <f>IFERROR(IF(0=LEN(ReferenceData!$D$234),"",ReferenceData!$D$234),"")</f>
        <v>INDUSTRY_STANDARDIZED_MARKET_CAP</v>
      </c>
      <c r="E234" t="str">
        <f>IFERROR(IF(0=LEN(ReferenceData!$E$234),"",ReferenceData!$E$234),"")</f>
        <v>动态</v>
      </c>
      <c r="F234">
        <f ca="1">IFERROR(IF(0=LEN(ReferenceData!$F$234),"",ReferenceData!$F$234),"")</f>
        <v>16251.74584</v>
      </c>
      <c r="G234">
        <f ca="1">IFERROR(IF(0=LEN(ReferenceData!$G$234),"",ReferenceData!$G$234),"")</f>
        <v>15280.941919999999</v>
      </c>
      <c r="H234">
        <f ca="1">IFERROR(IF(0=LEN(ReferenceData!$H$234),"",ReferenceData!$H$234),"")</f>
        <v>15904.852419999999</v>
      </c>
      <c r="I234">
        <f ca="1">IFERROR(IF(0=LEN(ReferenceData!$I$234),"",ReferenceData!$I$234),"")</f>
        <v>16477.612789999999</v>
      </c>
      <c r="J234">
        <f ca="1">IFERROR(IF(0=LEN(ReferenceData!$J$234),"",ReferenceData!$J$234),"")</f>
        <v>16857.074659999998</v>
      </c>
      <c r="K234">
        <f ca="1">IFERROR(IF(0=LEN(ReferenceData!$K$234),"",ReferenceData!$K$234),"")</f>
        <v>17898.44296</v>
      </c>
      <c r="L234">
        <f ca="1">IFERROR(IF(0=LEN(ReferenceData!$L$234),"",ReferenceData!$L$234),"")</f>
        <v>17325.540010000001</v>
      </c>
      <c r="M234">
        <f ca="1">IFERROR(IF(0=LEN(ReferenceData!$M$234),"",ReferenceData!$M$234),"")</f>
        <v>18169.669269999999</v>
      </c>
      <c r="N234">
        <f ca="1">IFERROR(IF(0=LEN(ReferenceData!$N$234),"",ReferenceData!$N$234),"")</f>
        <v>17877.965359999998</v>
      </c>
      <c r="O234">
        <f ca="1">IFERROR(IF(0=LEN(ReferenceData!$O$234),"",ReferenceData!$O$234),"")</f>
        <v>17474.779689999999</v>
      </c>
      <c r="P234">
        <f ca="1">IFERROR(IF(0=LEN(ReferenceData!$P$234),"",ReferenceData!$P$234),"")</f>
        <v>17451.777150000002</v>
      </c>
      <c r="Q234">
        <f ca="1">IFERROR(IF(0=LEN(ReferenceData!$Q$234),"",ReferenceData!$Q$234),"")</f>
        <v>16596.099419999999</v>
      </c>
      <c r="R234">
        <f ca="1">IFERROR(IF(0=LEN(ReferenceData!$R$234),"",ReferenceData!$R$234),"")</f>
        <v>15717.6541</v>
      </c>
      <c r="S234">
        <f ca="1">IFERROR(IF(0=LEN(ReferenceData!$S$234),"",ReferenceData!$S$234),"")</f>
        <v>15927.321470000001</v>
      </c>
      <c r="T234">
        <f ca="1">IFERROR(IF(0=LEN(ReferenceData!$T$234),"",ReferenceData!$T$234),"")</f>
        <v>15214.364449999999</v>
      </c>
      <c r="U234">
        <f ca="1">IFERROR(IF(0=LEN(ReferenceData!$U$234),"",ReferenceData!$U$234),"")</f>
        <v>15770.57394</v>
      </c>
      <c r="V234">
        <f ca="1">IFERROR(IF(0=LEN(ReferenceData!$V$234),"",ReferenceData!$V$234),"")</f>
        <v>14642.058919999999</v>
      </c>
      <c r="W234">
        <f ca="1">IFERROR(IF(0=LEN(ReferenceData!$W$234),"",ReferenceData!$W$234),"")</f>
        <v>14517.96218</v>
      </c>
      <c r="X234">
        <f ca="1">IFERROR(IF(0=LEN(ReferenceData!$X$234),"",ReferenceData!$X$234),"")</f>
        <v>15096.79963</v>
      </c>
      <c r="Y234">
        <f ca="1">IFERROR(IF(0=LEN(ReferenceData!$Y$234),"",ReferenceData!$Y$234),"")</f>
        <v>15395.52917</v>
      </c>
      <c r="Z234">
        <f ca="1">IFERROR(IF(0=LEN(ReferenceData!$Z$234),"",ReferenceData!$Z$234),"")</f>
        <v>15840.01224</v>
      </c>
      <c r="AA234">
        <f ca="1">IFERROR(IF(0=LEN(ReferenceData!$AA$234),"",ReferenceData!$AA$234),"")</f>
        <v>15447.872380000001</v>
      </c>
      <c r="AB234">
        <f ca="1">IFERROR(IF(0=LEN(ReferenceData!$AB$234),"",ReferenceData!$AB$234),"")</f>
        <v>15391.67215</v>
      </c>
      <c r="AC234">
        <f ca="1">IFERROR(IF(0=LEN(ReferenceData!$AC$234),"",ReferenceData!$AC$234),"")</f>
        <v>14929.09297</v>
      </c>
      <c r="AD234">
        <f ca="1">IFERROR(IF(0=LEN(ReferenceData!$AD$234),"",ReferenceData!$AD$234),"")</f>
        <v>15837.23149</v>
      </c>
      <c r="AE234">
        <f ca="1">IFERROR(IF(0=LEN(ReferenceData!$AE$234),"",ReferenceData!$AE$234),"")</f>
        <v>14169.633680000001</v>
      </c>
      <c r="AF234">
        <f ca="1">IFERROR(IF(0=LEN(ReferenceData!$AF$234),"",ReferenceData!$AF$234),"")</f>
        <v>14561.83635</v>
      </c>
      <c r="AG234">
        <f ca="1">IFERROR(IF(0=LEN(ReferenceData!$AG$234),"",ReferenceData!$AG$234),"")</f>
        <v>16358.91905</v>
      </c>
      <c r="AH234">
        <f ca="1">IFERROR(IF(0=LEN(ReferenceData!$AH$234),"",ReferenceData!$AH$234),"")</f>
        <v>15756.52742</v>
      </c>
      <c r="AI234">
        <f ca="1">IFERROR(IF(0=LEN(ReferenceData!$AI$234),"",ReferenceData!$AI$234),"")</f>
        <v>14985.803</v>
      </c>
      <c r="AJ234">
        <f ca="1">IFERROR(IF(0=LEN(ReferenceData!$AJ$234),"",ReferenceData!$AJ$234),"")</f>
        <v>15188.387350000001</v>
      </c>
      <c r="AK234">
        <f ca="1">IFERROR(IF(0=LEN(ReferenceData!$AK$234),"",ReferenceData!$AK$234),"")</f>
        <v>14591.2248</v>
      </c>
      <c r="AL234">
        <f ca="1">IFERROR(IF(0=LEN(ReferenceData!$AL$234),"",ReferenceData!$AL$234),"")</f>
        <v>15202.598550000001</v>
      </c>
      <c r="AM234">
        <f ca="1">IFERROR(IF(0=LEN(ReferenceData!$AM$234),"",ReferenceData!$AM$234),"")</f>
        <v>14363.75525</v>
      </c>
      <c r="AN234">
        <f ca="1">IFERROR(IF(0=LEN(ReferenceData!$AN$234),"",ReferenceData!$AN$234),"")</f>
        <v>15048.03059</v>
      </c>
      <c r="AO234">
        <f ca="1">IFERROR(IF(0=LEN(ReferenceData!$AO$234),"",ReferenceData!$AO$234),"")</f>
        <v>14952.437669999999</v>
      </c>
      <c r="AP234">
        <f ca="1">IFERROR(IF(0=LEN(ReferenceData!$AP$234),"",ReferenceData!$AP$234),"")</f>
        <v>15488.087369999999</v>
      </c>
      <c r="AQ234">
        <f ca="1">IFERROR(IF(0=LEN(ReferenceData!$AQ$234),"",ReferenceData!$AQ$234),"")</f>
        <v>14712.435670000001</v>
      </c>
      <c r="AR234">
        <f ca="1">IFERROR(IF(0=LEN(ReferenceData!$AR$234),"",ReferenceData!$AR$234),"")</f>
        <v>14951.87737</v>
      </c>
      <c r="AS234">
        <f ca="1">IFERROR(IF(0=LEN(ReferenceData!$AS$234),"",ReferenceData!$AS$234),"")</f>
        <v>13665.374320000001</v>
      </c>
      <c r="AT234">
        <f ca="1">IFERROR(IF(0=LEN(ReferenceData!$AT$234),"",ReferenceData!$AT$234),"")</f>
        <v>13378.919620000001</v>
      </c>
      <c r="AU234">
        <f ca="1">IFERROR(IF(0=LEN(ReferenceData!$AU$234),"",ReferenceData!$AU$234),"")</f>
        <v>13243.82295</v>
      </c>
      <c r="AV234">
        <f ca="1">IFERROR(IF(0=LEN(ReferenceData!$AV$234),"",ReferenceData!$AV$234),"")</f>
        <v>11733.41273</v>
      </c>
      <c r="AW234">
        <f ca="1">IFERROR(IF(0=LEN(ReferenceData!$AW$234),"",ReferenceData!$AW$234),"")</f>
        <v>12701.24409</v>
      </c>
      <c r="AX234">
        <f ca="1">IFERROR(IF(0=LEN(ReferenceData!$AX$234),"",ReferenceData!$AX$234),"")</f>
        <v>12262.26023</v>
      </c>
      <c r="AY234">
        <f ca="1">IFERROR(IF(0=LEN(ReferenceData!$AY$234),"",ReferenceData!$AY$234),"")</f>
        <v>11960.82998</v>
      </c>
      <c r="AZ234">
        <f ca="1">IFERROR(IF(0=LEN(ReferenceData!$AZ$234),"",ReferenceData!$AZ$234),"")</f>
        <v>11706.230600000001</v>
      </c>
      <c r="BA234">
        <f ca="1">IFERROR(IF(0=LEN(ReferenceData!$BA$234),"",ReferenceData!$BA$234),"")</f>
        <v>11153.96831</v>
      </c>
      <c r="BB234">
        <f ca="1">IFERROR(IF(0=LEN(ReferenceData!$BB$234),"",ReferenceData!$BB$234),"")</f>
        <v>6935.0989360000003</v>
      </c>
      <c r="BC234">
        <f ca="1">IFERROR(IF(0=LEN(ReferenceData!$BC$234),"",ReferenceData!$BC$234),"")</f>
        <v>6816.525748</v>
      </c>
      <c r="BD234">
        <f ca="1">IFERROR(IF(0=LEN(ReferenceData!$BD$234),"",ReferenceData!$BD$234),"")</f>
        <v>6266.8625760000004</v>
      </c>
      <c r="BE234">
        <f ca="1">IFERROR(IF(0=LEN(ReferenceData!$BE$234),"",ReferenceData!$BE$234),"")</f>
        <v>5678.8372049999998</v>
      </c>
      <c r="BF234">
        <f ca="1">IFERROR(IF(0=LEN(ReferenceData!$BF$234),"",ReferenceData!$BF$234),"")</f>
        <v>6100.3394449999996</v>
      </c>
      <c r="BG234">
        <f ca="1">IFERROR(IF(0=LEN(ReferenceData!$BG$234),"",ReferenceData!$BG$234),"")</f>
        <v>6468.8974779999999</v>
      </c>
      <c r="BH234">
        <f ca="1">IFERROR(IF(0=LEN(ReferenceData!$BH$234),"",ReferenceData!$BH$234),"")</f>
        <v>5934.510295</v>
      </c>
      <c r="BI234">
        <f ca="1">IFERROR(IF(0=LEN(ReferenceData!$BI$234),"",ReferenceData!$BI$234),"")</f>
        <v>5758.2715310000003</v>
      </c>
      <c r="BJ234">
        <f ca="1">IFERROR(IF(0=LEN(ReferenceData!$BJ$234),"",ReferenceData!$BJ$234),"")</f>
        <v>6475.1602910000001</v>
      </c>
      <c r="BK234">
        <f ca="1">IFERROR(IF(0=LEN(ReferenceData!$BK$234),"",ReferenceData!$BK$234),"")</f>
        <v>6380.0140950000005</v>
      </c>
      <c r="BL234">
        <f ca="1">IFERROR(IF(0=LEN(ReferenceData!$BL$234),"",ReferenceData!$BL$234),"")</f>
        <v>6309.5811800000001</v>
      </c>
      <c r="BM234">
        <f ca="1">IFERROR(IF(0=LEN(ReferenceData!$BM$234),"",ReferenceData!$BM$234),"")</f>
        <v>6291.7071100000003</v>
      </c>
      <c r="BN234">
        <f ca="1">IFERROR(IF(0=LEN(ReferenceData!$BN$234),"",ReferenceData!$BN$234),"")</f>
        <v>6032.5072060000002</v>
      </c>
      <c r="BO234">
        <f ca="1">IFERROR(IF(0=LEN(ReferenceData!$BO$234),"",ReferenceData!$BO$234),"")</f>
        <v>5964.0220289999997</v>
      </c>
      <c r="BP234">
        <f ca="1">IFERROR(IF(0=LEN(ReferenceData!$BP$234),"",ReferenceData!$BP$234),"")</f>
        <v>5943.686076</v>
      </c>
      <c r="BQ234">
        <f ca="1">IFERROR(IF(0=LEN(ReferenceData!$BQ$234),"",ReferenceData!$BQ$234),"")</f>
        <v>5668.107446</v>
      </c>
      <c r="BR234">
        <f ca="1">IFERROR(IF(0=LEN(ReferenceData!$BR$234),"",ReferenceData!$BR$234),"")</f>
        <v>5445.9517249999999</v>
      </c>
      <c r="BS234">
        <f ca="1">IFERROR(IF(0=LEN(ReferenceData!$BS$234),"",ReferenceData!$BS$234),"")</f>
        <v>5797.5123020000001</v>
      </c>
      <c r="BT234">
        <f ca="1">IFERROR(IF(0=LEN(ReferenceData!$BT$234),"",ReferenceData!$BT$234),"")</f>
        <v>5729.4881569999998</v>
      </c>
      <c r="BU234">
        <f ca="1">IFERROR(IF(0=LEN(ReferenceData!$BU$234),"",ReferenceData!$BU$234),"")</f>
        <v>5874.5370469999998</v>
      </c>
      <c r="BV234">
        <f ca="1">IFERROR(IF(0=LEN(ReferenceData!$BV$234),"",ReferenceData!$BV$234),"")</f>
        <v>5893.6917970000004</v>
      </c>
      <c r="BW234">
        <f ca="1">IFERROR(IF(0=LEN(ReferenceData!$BW$234),"",ReferenceData!$BW$234),"")</f>
        <v>5764.8515589999997</v>
      </c>
      <c r="BX234">
        <f ca="1">IFERROR(IF(0=LEN(ReferenceData!$BX$234),"",ReferenceData!$BX$234),"")</f>
        <v>5636.1814109999996</v>
      </c>
      <c r="BY234">
        <f ca="1">IFERROR(IF(0=LEN(ReferenceData!$BY$234),"",ReferenceData!$BY$234),"")</f>
        <v>5853.5415160000002</v>
      </c>
      <c r="BZ234">
        <f ca="1">IFERROR(IF(0=LEN(ReferenceData!$BZ$234),"",ReferenceData!$BZ$234),"")</f>
        <v>5614.1677220000001</v>
      </c>
      <c r="CA234">
        <f ca="1">IFERROR(IF(0=LEN(ReferenceData!$CA$234),"",ReferenceData!$CA$234),"")</f>
        <v>5185.065928</v>
      </c>
      <c r="CB234">
        <f ca="1">IFERROR(IF(0=LEN(ReferenceData!$CB$234),"",ReferenceData!$CB$234),"")</f>
        <v>5234.8651989999998</v>
      </c>
      <c r="CC234">
        <f ca="1">IFERROR(IF(0=LEN(ReferenceData!$CC$234),"",ReferenceData!$CC$234),"")</f>
        <v>5107.992424</v>
      </c>
      <c r="CD234">
        <f ca="1">IFERROR(IF(0=LEN(ReferenceData!$CD$234),"",ReferenceData!$CD$234),"")</f>
        <v>4829.4169439999996</v>
      </c>
      <c r="CE234">
        <f ca="1">IFERROR(IF(0=LEN(ReferenceData!$CE$234),"",ReferenceData!$CE$234),"")</f>
        <v>5145.8562259999999</v>
      </c>
      <c r="CF234">
        <f ca="1">IFERROR(IF(0=LEN(ReferenceData!$CF$234),"",ReferenceData!$CF$234),"")</f>
        <v>4326.9023630000002</v>
      </c>
      <c r="CG234">
        <f ca="1">IFERROR(IF(0=LEN(ReferenceData!$CG$234),"",ReferenceData!$CG$234),"")</f>
        <v>5174.3789720000004</v>
      </c>
      <c r="CH234">
        <f ca="1">IFERROR(IF(0=LEN(ReferenceData!$CH$234),"",ReferenceData!$CH$234),"")</f>
        <v>4886.9042410000002</v>
      </c>
      <c r="CI234">
        <f ca="1">IFERROR(IF(0=LEN(ReferenceData!$CI$234),"",ReferenceData!$CI$234),"")</f>
        <v>4710.3824080000004</v>
      </c>
      <c r="CJ234">
        <f ca="1">IFERROR(IF(0=LEN(ReferenceData!$CJ$234),"",ReferenceData!$CJ$234),"")</f>
        <v>4791.9530699999996</v>
      </c>
      <c r="CK234">
        <f ca="1">IFERROR(IF(0=LEN(ReferenceData!$CK$234),"",ReferenceData!$CK$234),"")</f>
        <v>4660.8385179999996</v>
      </c>
    </row>
    <row r="235" spans="1:89">
      <c r="A235" t="str">
        <f>IFERROR(IF(0=LEN(ReferenceData!$A$235),"",ReferenceData!$A$235),"")</f>
        <v xml:space="preserve">    Mid-America Apartment Communities股份有限公司</v>
      </c>
      <c r="B235" t="str">
        <f>IFERROR(IF(0=LEN(ReferenceData!$B$235),"",ReferenceData!$B$235),"")</f>
        <v>MAA US Equity</v>
      </c>
      <c r="C235" t="str">
        <f>IFERROR(IF(0=LEN(ReferenceData!$C$235),"",ReferenceData!$C$235),"")</f>
        <v>F0825</v>
      </c>
      <c r="D235" t="str">
        <f>IFERROR(IF(0=LEN(ReferenceData!$D$235),"",ReferenceData!$D$235),"")</f>
        <v>INDUSTRY_STANDARDIZED_MARKET_CAP</v>
      </c>
      <c r="E235" t="str">
        <f>IFERROR(IF(0=LEN(ReferenceData!$E$235),"",ReferenceData!$E$235),"")</f>
        <v>动态</v>
      </c>
      <c r="F235">
        <f ca="1">IFERROR(IF(0=LEN(ReferenceData!$F$235),"",ReferenceData!$F$235),"")</f>
        <v>10546.81071</v>
      </c>
      <c r="G235">
        <f ca="1">IFERROR(IF(0=LEN(ReferenceData!$G$235),"",ReferenceData!$G$235),"")</f>
        <v>10116.54502</v>
      </c>
      <c r="H235">
        <f ca="1">IFERROR(IF(0=LEN(ReferenceData!$H$235),"",ReferenceData!$H$235),"")</f>
        <v>11236.399369999999</v>
      </c>
      <c r="I235">
        <f ca="1">IFERROR(IF(0=LEN(ReferenceData!$I$235),"",ReferenceData!$I$235),"")</f>
        <v>11847.88005</v>
      </c>
      <c r="J235">
        <f ca="1">IFERROR(IF(0=LEN(ReferenceData!$J$235),"",ReferenceData!$J$235),"")</f>
        <v>12070.19931</v>
      </c>
      <c r="K235">
        <f ca="1">IFERROR(IF(0=LEN(ReferenceData!$K$235),"",ReferenceData!$K$235),"")</f>
        <v>12059.594880000001</v>
      </c>
      <c r="L235">
        <f ca="1">IFERROR(IF(0=LEN(ReferenceData!$L$235),"",ReferenceData!$L$235),"")</f>
        <v>12591.290499999999</v>
      </c>
      <c r="M235">
        <f ca="1">IFERROR(IF(0=LEN(ReferenceData!$M$235),"",ReferenceData!$M$235),"")</f>
        <v>12543.408160000001</v>
      </c>
      <c r="N235">
        <f ca="1">IFERROR(IF(0=LEN(ReferenceData!$N$235),"",ReferenceData!$N$235),"")</f>
        <v>12198.187550000001</v>
      </c>
      <c r="O235">
        <f ca="1">IFERROR(IF(0=LEN(ReferenceData!$O$235),"",ReferenceData!$O$235),"")</f>
        <v>12412.76647</v>
      </c>
      <c r="P235">
        <f ca="1">IFERROR(IF(0=LEN(ReferenceData!$P$235),"",ReferenceData!$P$235),"")</f>
        <v>12007.77061</v>
      </c>
      <c r="Q235">
        <f ca="1">IFERROR(IF(0=LEN(ReferenceData!$Q$235),"",ReferenceData!$Q$235),"")</f>
        <v>11686.197</v>
      </c>
      <c r="R235">
        <f ca="1">IFERROR(IF(0=LEN(ReferenceData!$R$235),"",ReferenceData!$R$235),"")</f>
        <v>11981.12976</v>
      </c>
      <c r="S235">
        <f ca="1">IFERROR(IF(0=LEN(ReferenceData!$S$235),"",ReferenceData!$S$235),"")</f>
        <v>12098.022559999999</v>
      </c>
      <c r="T235">
        <f ca="1">IFERROR(IF(0=LEN(ReferenceData!$T$235),"",ReferenceData!$T$235),"")</f>
        <v>11180.66157</v>
      </c>
      <c r="U235">
        <f ca="1">IFERROR(IF(0=LEN(ReferenceData!$U$235),"",ReferenceData!$U$235),"")</f>
        <v>11530.388419999999</v>
      </c>
      <c r="V235">
        <f ca="1">IFERROR(IF(0=LEN(ReferenceData!$V$235),"",ReferenceData!$V$235),"")</f>
        <v>7301.5526120000004</v>
      </c>
      <c r="W235">
        <f ca="1">IFERROR(IF(0=LEN(ReferenceData!$W$235),"",ReferenceData!$W$235),"")</f>
        <v>7390.8000080000002</v>
      </c>
      <c r="X235">
        <f ca="1">IFERROR(IF(0=LEN(ReferenceData!$X$235),"",ReferenceData!$X$235),"")</f>
        <v>7488.8495140000005</v>
      </c>
      <c r="Y235">
        <f ca="1">IFERROR(IF(0=LEN(ReferenceData!$Y$235),"",ReferenceData!$Y$235),"")</f>
        <v>7490.3533539999999</v>
      </c>
      <c r="Z235">
        <f ca="1">IFERROR(IF(0=LEN(ReferenceData!$Z$235),"",ReferenceData!$Z$235),"")</f>
        <v>8449.0612039999996</v>
      </c>
      <c r="AA235">
        <f ca="1">IFERROR(IF(0=LEN(ReferenceData!$AA$235),"",ReferenceData!$AA$235),"")</f>
        <v>8476.7550389999997</v>
      </c>
      <c r="AB235">
        <f ca="1">IFERROR(IF(0=LEN(ReferenceData!$AB$235),"",ReferenceData!$AB$235),"")</f>
        <v>8205.3935700000002</v>
      </c>
      <c r="AC235">
        <f ca="1">IFERROR(IF(0=LEN(ReferenceData!$AC$235),"",ReferenceData!$AC$235),"")</f>
        <v>7620.9296809999996</v>
      </c>
      <c r="AD235">
        <f ca="1">IFERROR(IF(0=LEN(ReferenceData!$AD$235),"",ReferenceData!$AD$235),"")</f>
        <v>8135.2808240000004</v>
      </c>
      <c r="AE235">
        <f ca="1">IFERROR(IF(0=LEN(ReferenceData!$AE$235),"",ReferenceData!$AE$235),"")</f>
        <v>6784.7092160000002</v>
      </c>
      <c r="AF235">
        <f ca="1">IFERROR(IF(0=LEN(ReferenceData!$AF$235),"",ReferenceData!$AF$235),"")</f>
        <v>7072.4839359999996</v>
      </c>
      <c r="AG235">
        <f ca="1">IFERROR(IF(0=LEN(ReferenceData!$AG$235),"",ReferenceData!$AG$235),"")</f>
        <v>6845.5794740000001</v>
      </c>
      <c r="AH235">
        <f ca="1">IFERROR(IF(0=LEN(ReferenceData!$AH$235),"",ReferenceData!$AH$235),"")</f>
        <v>7046.2214279999998</v>
      </c>
      <c r="AI235">
        <f ca="1">IFERROR(IF(0=LEN(ReferenceData!$AI$235),"",ReferenceData!$AI$235),"")</f>
        <v>6778.0894699999999</v>
      </c>
      <c r="AJ235">
        <f ca="1">IFERROR(IF(0=LEN(ReferenceData!$AJ$235),"",ReferenceData!$AJ$235),"")</f>
        <v>6513.566581</v>
      </c>
      <c r="AK235">
        <f ca="1">IFERROR(IF(0=LEN(ReferenceData!$AK$235),"",ReferenceData!$AK$235),"")</f>
        <v>6252.6887969999998</v>
      </c>
      <c r="AL235">
        <f ca="1">IFERROR(IF(0=LEN(ReferenceData!$AL$235),"",ReferenceData!$AL$235),"")</f>
        <v>6391.9203200000002</v>
      </c>
      <c r="AM235">
        <f ca="1">IFERROR(IF(0=LEN(ReferenceData!$AM$235),"",ReferenceData!$AM$235),"")</f>
        <v>5790.7749640000002</v>
      </c>
      <c r="AN235">
        <f ca="1">IFERROR(IF(0=LEN(ReferenceData!$AN$235),"",ReferenceData!$AN$235),"")</f>
        <v>6075.8075440000002</v>
      </c>
      <c r="AO235">
        <f ca="1">IFERROR(IF(0=LEN(ReferenceData!$AO$235),"",ReferenceData!$AO$235),"")</f>
        <v>5933.6391039999999</v>
      </c>
      <c r="AP235">
        <f ca="1">IFERROR(IF(0=LEN(ReferenceData!$AP$235),"",ReferenceData!$AP$235),"")</f>
        <v>6141.9879709999996</v>
      </c>
      <c r="AQ235">
        <f ca="1">IFERROR(IF(0=LEN(ReferenceData!$AQ$235),"",ReferenceData!$AQ$235),"")</f>
        <v>5760.5211339999996</v>
      </c>
      <c r="AR235">
        <f ca="1">IFERROR(IF(0=LEN(ReferenceData!$AR$235),"",ReferenceData!$AR$235),"")</f>
        <v>6301.5971959999997</v>
      </c>
      <c r="AS235">
        <f ca="1">IFERROR(IF(0=LEN(ReferenceData!$AS$235),"",ReferenceData!$AS$235),"")</f>
        <v>5932.9712380000001</v>
      </c>
      <c r="AT235">
        <f ca="1">IFERROR(IF(0=LEN(ReferenceData!$AT$235),"",ReferenceData!$AT$235),"")</f>
        <v>5852.7473440000003</v>
      </c>
      <c r="AU235">
        <f ca="1">IFERROR(IF(0=LEN(ReferenceData!$AU$235),"",ReferenceData!$AU$235),"")</f>
        <v>5614.3785950000001</v>
      </c>
      <c r="AV235">
        <f ca="1">IFERROR(IF(0=LEN(ReferenceData!$AV$235),"",ReferenceData!$AV$235),"")</f>
        <v>5212.4015099999997</v>
      </c>
      <c r="AW235">
        <f ca="1">IFERROR(IF(0=LEN(ReferenceData!$AW$235),"",ReferenceData!$AW$235),"")</f>
        <v>5742.3399280000003</v>
      </c>
      <c r="AX235">
        <f ca="1">IFERROR(IF(0=LEN(ReferenceData!$AX$235),"",ReferenceData!$AX$235),"")</f>
        <v>5538.7877090000002</v>
      </c>
      <c r="AY235">
        <f ca="1">IFERROR(IF(0=LEN(ReferenceData!$AY$235),"",ReferenceData!$AY$235),"")</f>
        <v>5786.7340119999999</v>
      </c>
      <c r="AZ235">
        <f ca="1">IFERROR(IF(0=LEN(ReferenceData!$AZ$235),"",ReferenceData!$AZ$235),"")</f>
        <v>5731.4274619999997</v>
      </c>
      <c r="BA235">
        <f ca="1">IFERROR(IF(0=LEN(ReferenceData!$BA$235),"",ReferenceData!$BA$235),"")</f>
        <v>5515.5066440000001</v>
      </c>
      <c r="BB235">
        <f ca="1">IFERROR(IF(0=LEN(ReferenceData!$BB$235),"",ReferenceData!$BB$235),"")</f>
        <v>5405.5358290000004</v>
      </c>
      <c r="BC235">
        <f ca="1">IFERROR(IF(0=LEN(ReferenceData!$BC$235),"",ReferenceData!$BC$235),"")</f>
        <v>5356.8707130000003</v>
      </c>
      <c r="BD235">
        <f ca="1">IFERROR(IF(0=LEN(ReferenceData!$BD$235),"",ReferenceData!$BD$235),"")</f>
        <v>5098.8684549999998</v>
      </c>
      <c r="BE235">
        <f ca="1">IFERROR(IF(0=LEN(ReferenceData!$BE$235),"",ReferenceData!$BE$235),"")</f>
        <v>4798.6561819999997</v>
      </c>
      <c r="BF235">
        <f ca="1">IFERROR(IF(0=LEN(ReferenceData!$BF$235),"",ReferenceData!$BF$235),"")</f>
        <v>4607.0485669999998</v>
      </c>
      <c r="BG235">
        <f ca="1">IFERROR(IF(0=LEN(ReferenceData!$BG$235),"",ReferenceData!$BG$235),"")</f>
        <v>5074.0125680000001</v>
      </c>
      <c r="BH235">
        <f ca="1">IFERROR(IF(0=LEN(ReferenceData!$BH$235),"",ReferenceData!$BH$235),"")</f>
        <v>2777.3575989999999</v>
      </c>
      <c r="BI235">
        <f ca="1">IFERROR(IF(0=LEN(ReferenceData!$BI$235),"",ReferenceData!$BI$235),"")</f>
        <v>2740.3998729999998</v>
      </c>
      <c r="BJ235">
        <f ca="1">IFERROR(IF(0=LEN(ReferenceData!$BJ$235),"",ReferenceData!$BJ$235),"")</f>
        <v>2976.2453500000001</v>
      </c>
      <c r="BK235">
        <f ca="1">IFERROR(IF(0=LEN(ReferenceData!$BK$235),"",ReferenceData!$BK$235),"")</f>
        <v>2985.938525</v>
      </c>
      <c r="BL235">
        <f ca="1">IFERROR(IF(0=LEN(ReferenceData!$BL$235),"",ReferenceData!$BL$235),"")</f>
        <v>2994.75128</v>
      </c>
      <c r="BM235">
        <f ca="1">IFERROR(IF(0=LEN(ReferenceData!$BM$235),"",ReferenceData!$BM$235),"")</f>
        <v>3028.2368029999998</v>
      </c>
      <c r="BN235">
        <f ca="1">IFERROR(IF(0=LEN(ReferenceData!$BN$235),"",ReferenceData!$BN$235),"")</f>
        <v>3042.7765690000001</v>
      </c>
      <c r="BO235">
        <f ca="1">IFERROR(IF(0=LEN(ReferenceData!$BO$235),"",ReferenceData!$BO$235),"")</f>
        <v>3061.1858910000001</v>
      </c>
      <c r="BP235">
        <f ca="1">IFERROR(IF(0=LEN(ReferenceData!$BP$235),"",ReferenceData!$BP$235),"")</f>
        <v>2876.2474350000002</v>
      </c>
      <c r="BQ235">
        <f ca="1">IFERROR(IF(0=LEN(ReferenceData!$BQ$235),"",ReferenceData!$BQ$235),"")</f>
        <v>2848.967744</v>
      </c>
      <c r="BR235">
        <f ca="1">IFERROR(IF(0=LEN(ReferenceData!$BR$235),"",ReferenceData!$BR$235),"")</f>
        <v>2744.7287139999999</v>
      </c>
      <c r="BS235">
        <f ca="1">IFERROR(IF(0=LEN(ReferenceData!$BS$235),"",ReferenceData!$BS$235),"")</f>
        <v>2774.6677589999999</v>
      </c>
      <c r="BT235">
        <f ca="1">IFERROR(IF(0=LEN(ReferenceData!$BT$235),"",ReferenceData!$BT$235),"")</f>
        <v>2800.394859</v>
      </c>
      <c r="BU235">
        <f ca="1">IFERROR(IF(0=LEN(ReferenceData!$BU$235),"",ReferenceData!$BU$235),"")</f>
        <v>2916.3500250000002</v>
      </c>
      <c r="BV235">
        <f ca="1">IFERROR(IF(0=LEN(ReferenceData!$BV$235),"",ReferenceData!$BV$235),"")</f>
        <v>2957.5817149999998</v>
      </c>
      <c r="BW235">
        <f ca="1">IFERROR(IF(0=LEN(ReferenceData!$BW$235),"",ReferenceData!$BW$235),"")</f>
        <v>2915.2878270000001</v>
      </c>
      <c r="BX235">
        <f ca="1">IFERROR(IF(0=LEN(ReferenceData!$BX$235),"",ReferenceData!$BX$235),"")</f>
        <v>2889.2181719999999</v>
      </c>
      <c r="BY235">
        <f ca="1">IFERROR(IF(0=LEN(ReferenceData!$BY$235),"",ReferenceData!$BY$235),"")</f>
        <v>2917.4326660000002</v>
      </c>
      <c r="BZ235">
        <f ca="1">IFERROR(IF(0=LEN(ReferenceData!$BZ$235),"",ReferenceData!$BZ$235),"")</f>
        <v>2872.8589929999998</v>
      </c>
      <c r="CA235">
        <f ca="1">IFERROR(IF(0=LEN(ReferenceData!$CA$235),"",ReferenceData!$CA$235),"")</f>
        <v>2657.3549699999999</v>
      </c>
      <c r="CB235">
        <f ca="1">IFERROR(IF(0=LEN(ReferenceData!$CB$235),"",ReferenceData!$CB$235),"")</f>
        <v>2541.5871240000001</v>
      </c>
      <c r="CC235">
        <f ca="1">IFERROR(IF(0=LEN(ReferenceData!$CC$235),"",ReferenceData!$CC$235),"")</f>
        <v>2487.1131820000001</v>
      </c>
      <c r="CD235">
        <f ca="1">IFERROR(IF(0=LEN(ReferenceData!$CD$235),"",ReferenceData!$CD$235),"")</f>
        <v>2279.3871949999998</v>
      </c>
      <c r="CE235">
        <f ca="1">IFERROR(IF(0=LEN(ReferenceData!$CE$235),"",ReferenceData!$CE$235),"")</f>
        <v>2438.829115</v>
      </c>
      <c r="CF235">
        <f ca="1">IFERROR(IF(0=LEN(ReferenceData!$CF$235),"",ReferenceData!$CF$235),"")</f>
        <v>2353.626432</v>
      </c>
      <c r="CG235">
        <f ca="1">IFERROR(IF(0=LEN(ReferenceData!$CG$235),"",ReferenceData!$CG$235),"")</f>
        <v>2794.4248189999998</v>
      </c>
      <c r="CH235">
        <f ca="1">IFERROR(IF(0=LEN(ReferenceData!$CH$235),"",ReferenceData!$CH$235),"")</f>
        <v>2736.0122980000001</v>
      </c>
      <c r="CI235">
        <f ca="1">IFERROR(IF(0=LEN(ReferenceData!$CI$235),"",ReferenceData!$CI$235),"")</f>
        <v>2607.6952930000002</v>
      </c>
      <c r="CJ235">
        <f ca="1">IFERROR(IF(0=LEN(ReferenceData!$CJ$235),"",ReferenceData!$CJ$235),"")</f>
        <v>2653.6185190000001</v>
      </c>
      <c r="CK235">
        <f ca="1">IFERROR(IF(0=LEN(ReferenceData!$CK$235),"",ReferenceData!$CK$235),"")</f>
        <v>2522.0298509999998</v>
      </c>
    </row>
    <row r="236" spans="1:89">
      <c r="A236" t="str">
        <f>IFERROR(IF(0=LEN(ReferenceData!$A$236),"",ReferenceData!$A$236),"")</f>
        <v xml:space="preserve">    UDR 公司</v>
      </c>
      <c r="B236" t="str">
        <f>IFERROR(IF(0=LEN(ReferenceData!$B$236),"",ReferenceData!$B$236),"")</f>
        <v>UDR US Equity</v>
      </c>
      <c r="C236" t="str">
        <f>IFERROR(IF(0=LEN(ReferenceData!$C$236),"",ReferenceData!$C$236),"")</f>
        <v>F0825</v>
      </c>
      <c r="D236" t="str">
        <f>IFERROR(IF(0=LEN(ReferenceData!$D$236),"",ReferenceData!$D$236),"")</f>
        <v>INDUSTRY_STANDARDIZED_MARKET_CAP</v>
      </c>
      <c r="E236" t="str">
        <f>IFERROR(IF(0=LEN(ReferenceData!$E$236),"",ReferenceData!$E$236),"")</f>
        <v>动态</v>
      </c>
      <c r="F236">
        <f ca="1">IFERROR(IF(0=LEN(ReferenceData!$F$236),"",ReferenceData!$F$236),"")</f>
        <v>10305.10778</v>
      </c>
      <c r="G236">
        <f ca="1">IFERROR(IF(0=LEN(ReferenceData!$G$236),"",ReferenceData!$G$236),"")</f>
        <v>9784.1774920000007</v>
      </c>
      <c r="H236">
        <f ca="1">IFERROR(IF(0=LEN(ReferenceData!$H$236),"",ReferenceData!$H$236),"")</f>
        <v>10616.295630000001</v>
      </c>
      <c r="I236">
        <f ca="1">IFERROR(IF(0=LEN(ReferenceData!$I$236),"",ReferenceData!$I$236),"")</f>
        <v>11194.626550000001</v>
      </c>
      <c r="J236">
        <f ca="1">IFERROR(IF(0=LEN(ReferenceData!$J$236),"",ReferenceData!$J$236),"")</f>
        <v>11437.37501</v>
      </c>
      <c r="K236">
        <f ca="1">IFERROR(IF(0=LEN(ReferenceData!$K$236),"",ReferenceData!$K$236),"")</f>
        <v>11280.340109999999</v>
      </c>
      <c r="L236">
        <f ca="1">IFERROR(IF(0=LEN(ReferenceData!$L$236),"",ReferenceData!$L$236),"")</f>
        <v>11052.37485</v>
      </c>
      <c r="M236">
        <f ca="1">IFERROR(IF(0=LEN(ReferenceData!$M$236),"",ReferenceData!$M$236),"")</f>
        <v>11283.263779999999</v>
      </c>
      <c r="N236">
        <f ca="1">IFERROR(IF(0=LEN(ReferenceData!$N$236),"",ReferenceData!$N$236),"")</f>
        <v>11361.740889999999</v>
      </c>
      <c r="O236">
        <f ca="1">IFERROR(IF(0=LEN(ReferenceData!$O$236),"",ReferenceData!$O$236),"")</f>
        <v>11319.78916</v>
      </c>
      <c r="P236">
        <f ca="1">IFERROR(IF(0=LEN(ReferenceData!$P$236),"",ReferenceData!$P$236),"")</f>
        <v>11219.779109999999</v>
      </c>
      <c r="Q236">
        <f ca="1">IFERROR(IF(0=LEN(ReferenceData!$Q$236),"",ReferenceData!$Q$236),"")</f>
        <v>10850.726549999999</v>
      </c>
      <c r="R236">
        <f ca="1">IFERROR(IF(0=LEN(ReferenceData!$R$236),"",ReferenceData!$R$236),"")</f>
        <v>10537.07137</v>
      </c>
      <c r="S236">
        <f ca="1">IFERROR(IF(0=LEN(ReferenceData!$S$236),"",ReferenceData!$S$236),"")</f>
        <v>10605.075220000001</v>
      </c>
      <c r="T236">
        <f ca="1">IFERROR(IF(0=LEN(ReferenceData!$T$236),"",ReferenceData!$T$236),"")</f>
        <v>10150.44889</v>
      </c>
      <c r="U236">
        <f ca="1">IFERROR(IF(0=LEN(ReferenceData!$U$236),"",ReferenceData!$U$236),"")</f>
        <v>10594.8033</v>
      </c>
      <c r="V236">
        <f ca="1">IFERROR(IF(0=LEN(ReferenceData!$V$236),"",ReferenceData!$V$236),"")</f>
        <v>9889.4602460000006</v>
      </c>
      <c r="W236">
        <f ca="1">IFERROR(IF(0=LEN(ReferenceData!$W$236),"",ReferenceData!$W$236),"")</f>
        <v>10159.6482</v>
      </c>
      <c r="X236">
        <f ca="1">IFERROR(IF(0=LEN(ReferenceData!$X$236),"",ReferenceData!$X$236),"")</f>
        <v>10449.11773</v>
      </c>
      <c r="Y236">
        <f ca="1">IFERROR(IF(0=LEN(ReferenceData!$Y$236),"",ReferenceData!$Y$236),"")</f>
        <v>10510.1152</v>
      </c>
      <c r="Z236">
        <f ca="1">IFERROR(IF(0=LEN(ReferenceData!$Z$236),"",ReferenceData!$Z$236),"")</f>
        <v>10815.135130000001</v>
      </c>
      <c r="AA236">
        <f ca="1">IFERROR(IF(0=LEN(ReferenceData!$AA$236),"",ReferenceData!$AA$236),"")</f>
        <v>10728.02234</v>
      </c>
      <c r="AB236">
        <f ca="1">IFERROR(IF(0=LEN(ReferenceData!$AB$236),"",ReferenceData!$AB$236),"")</f>
        <v>10469.48569</v>
      </c>
      <c r="AC236">
        <f ca="1">IFERROR(IF(0=LEN(ReferenceData!$AC$236),"",ReferenceData!$AC$236),"")</f>
        <v>10146.94533</v>
      </c>
      <c r="AD236">
        <f ca="1">IFERROR(IF(0=LEN(ReferenceData!$AD$236),"",ReferenceData!$AD$236),"")</f>
        <v>11195.996139999999</v>
      </c>
      <c r="AE236">
        <f ca="1">IFERROR(IF(0=LEN(ReferenceData!$AE$236),"",ReferenceData!$AE$236),"")</f>
        <v>9803.6999080000005</v>
      </c>
      <c r="AF236">
        <f ca="1">IFERROR(IF(0=LEN(ReferenceData!$AF$236),"",ReferenceData!$AF$236),"")</f>
        <v>10159.337369999999</v>
      </c>
      <c r="AG236">
        <f ca="1">IFERROR(IF(0=LEN(ReferenceData!$AG$236),"",ReferenceData!$AG$236),"")</f>
        <v>10724.53794</v>
      </c>
      <c r="AH236">
        <f ca="1">IFERROR(IF(0=LEN(ReferenceData!$AH$236),"",ReferenceData!$AH$236),"")</f>
        <v>9940.4851650000001</v>
      </c>
      <c r="AI236">
        <f ca="1">IFERROR(IF(0=LEN(ReferenceData!$AI$236),"",ReferenceData!$AI$236),"")</f>
        <v>9280.6588670000001</v>
      </c>
      <c r="AJ236">
        <f ca="1">IFERROR(IF(0=LEN(ReferenceData!$AJ$236),"",ReferenceData!$AJ$236),"")</f>
        <v>9285.7053290000003</v>
      </c>
      <c r="AK236">
        <f ca="1">IFERROR(IF(0=LEN(ReferenceData!$AK$236),"",ReferenceData!$AK$236),"")</f>
        <v>8698.9193680000008</v>
      </c>
      <c r="AL236">
        <f ca="1">IFERROR(IF(0=LEN(ReferenceData!$AL$236),"",ReferenceData!$AL$236),"")</f>
        <v>9007.4217279999993</v>
      </c>
      <c r="AM236">
        <f ca="1">IFERROR(IF(0=LEN(ReferenceData!$AM$236),"",ReferenceData!$AM$236),"")</f>
        <v>8529.4912889999996</v>
      </c>
      <c r="AN236">
        <f ca="1">IFERROR(IF(0=LEN(ReferenceData!$AN$236),"",ReferenceData!$AN$236),"")</f>
        <v>8673.9579319999993</v>
      </c>
      <c r="AO236">
        <f ca="1">IFERROR(IF(0=LEN(ReferenceData!$AO$236),"",ReferenceData!$AO$236),"")</f>
        <v>8729.9017640000002</v>
      </c>
      <c r="AP236">
        <f ca="1">IFERROR(IF(0=LEN(ReferenceData!$AP$236),"",ReferenceData!$AP$236),"")</f>
        <v>9058.0708439999999</v>
      </c>
      <c r="AQ236">
        <f ca="1">IFERROR(IF(0=LEN(ReferenceData!$AQ$236),"",ReferenceData!$AQ$236),"")</f>
        <v>8501.7738229999995</v>
      </c>
      <c r="AR236">
        <f ca="1">IFERROR(IF(0=LEN(ReferenceData!$AR$236),"",ReferenceData!$AR$236),"")</f>
        <v>8735.1302589999996</v>
      </c>
      <c r="AS236">
        <f ca="1">IFERROR(IF(0=LEN(ReferenceData!$AS$236),"",ReferenceData!$AS$236),"")</f>
        <v>8094.3089170000003</v>
      </c>
      <c r="AT236">
        <f ca="1">IFERROR(IF(0=LEN(ReferenceData!$AT$236),"",ReferenceData!$AT$236),"")</f>
        <v>8084.5581899999997</v>
      </c>
      <c r="AU236">
        <f ca="1">IFERROR(IF(0=LEN(ReferenceData!$AU$236),"",ReferenceData!$AU$236),"")</f>
        <v>7940.0972739999997</v>
      </c>
      <c r="AV236">
        <f ca="1">IFERROR(IF(0=LEN(ReferenceData!$AV$236),"",ReferenceData!$AV$236),"")</f>
        <v>7061.531086</v>
      </c>
      <c r="AW236">
        <f ca="1">IFERROR(IF(0=LEN(ReferenceData!$AW$236),"",ReferenceData!$AW$236),"")</f>
        <v>7757.1931649999997</v>
      </c>
      <c r="AX236">
        <f ca="1">IFERROR(IF(0=LEN(ReferenceData!$AX$236),"",ReferenceData!$AX$236),"")</f>
        <v>7539.4110039999996</v>
      </c>
      <c r="AY236">
        <f ca="1">IFERROR(IF(0=LEN(ReferenceData!$AY$236),"",ReferenceData!$AY$236),"")</f>
        <v>7415.0196310000001</v>
      </c>
      <c r="AZ236">
        <f ca="1">IFERROR(IF(0=LEN(ReferenceData!$AZ$236),"",ReferenceData!$AZ$236),"")</f>
        <v>7127.6239100000003</v>
      </c>
      <c r="BA236">
        <f ca="1">IFERROR(IF(0=LEN(ReferenceData!$BA$236),"",ReferenceData!$BA$236),"")</f>
        <v>6697.687293</v>
      </c>
      <c r="BB236">
        <f ca="1">IFERROR(IF(0=LEN(ReferenceData!$BB$236),"",ReferenceData!$BB$236),"")</f>
        <v>6690.0158879999999</v>
      </c>
      <c r="BC236">
        <f ca="1">IFERROR(IF(0=LEN(ReferenceData!$BC$236),"",ReferenceData!$BC$236),"")</f>
        <v>6684.9269880000002</v>
      </c>
      <c r="BD236">
        <f ca="1">IFERROR(IF(0=LEN(ReferenceData!$BD$236),"",ReferenceData!$BD$236),"")</f>
        <v>6287.2641649999996</v>
      </c>
      <c r="BE236">
        <f ca="1">IFERROR(IF(0=LEN(ReferenceData!$BE$236),"",ReferenceData!$BE$236),"")</f>
        <v>6031.5373149999996</v>
      </c>
      <c r="BF236">
        <f ca="1">IFERROR(IF(0=LEN(ReferenceData!$BF$236),"",ReferenceData!$BF$236),"")</f>
        <v>6010.8939039999996</v>
      </c>
      <c r="BG236">
        <f ca="1">IFERROR(IF(0=LEN(ReferenceData!$BG$236),"",ReferenceData!$BG$236),"")</f>
        <v>6408.692642</v>
      </c>
      <c r="BH236">
        <f ca="1">IFERROR(IF(0=LEN(ReferenceData!$BH$236),"",ReferenceData!$BH$236),"")</f>
        <v>6122.0315870000004</v>
      </c>
      <c r="BI236">
        <f ca="1">IFERROR(IF(0=LEN(ReferenceData!$BI$236),"",ReferenceData!$BI$236),"")</f>
        <v>5835.3132159999996</v>
      </c>
      <c r="BJ236">
        <f ca="1">IFERROR(IF(0=LEN(ReferenceData!$BJ$236),"",ReferenceData!$BJ$236),"")</f>
        <v>6468.1825120000003</v>
      </c>
      <c r="BK236">
        <f ca="1">IFERROR(IF(0=LEN(ReferenceData!$BK$236),"",ReferenceData!$BK$236),"")</f>
        <v>6584.4844860000003</v>
      </c>
      <c r="BL236">
        <f ca="1">IFERROR(IF(0=LEN(ReferenceData!$BL$236),"",ReferenceData!$BL$236),"")</f>
        <v>6296.5635510000002</v>
      </c>
      <c r="BM236">
        <f ca="1">IFERROR(IF(0=LEN(ReferenceData!$BM$236),"",ReferenceData!$BM$236),"")</f>
        <v>6336.9466149999998</v>
      </c>
      <c r="BN236">
        <f ca="1">IFERROR(IF(0=LEN(ReferenceData!$BN$236),"",ReferenceData!$BN$236),"")</f>
        <v>6236.4010829999997</v>
      </c>
      <c r="BO236">
        <f ca="1">IFERROR(IF(0=LEN(ReferenceData!$BO$236),"",ReferenceData!$BO$236),"")</f>
        <v>6151.8197140000002</v>
      </c>
      <c r="BP236">
        <f ca="1">IFERROR(IF(0=LEN(ReferenceData!$BP$236),"",ReferenceData!$BP$236),"")</f>
        <v>6158.524805</v>
      </c>
      <c r="BQ236">
        <f ca="1">IFERROR(IF(0=LEN(ReferenceData!$BQ$236),"",ReferenceData!$BQ$236),"")</f>
        <v>6130.1682650000002</v>
      </c>
      <c r="BR236">
        <f ca="1">IFERROR(IF(0=LEN(ReferenceData!$BR$236),"",ReferenceData!$BR$236),"")</f>
        <v>5931.7666230000004</v>
      </c>
      <c r="BS236">
        <f ca="1">IFERROR(IF(0=LEN(ReferenceData!$BS$236),"",ReferenceData!$BS$236),"")</f>
        <v>6256.5830480000004</v>
      </c>
      <c r="BT236">
        <f ca="1">IFERROR(IF(0=LEN(ReferenceData!$BT$236),"",ReferenceData!$BT$236),"")</f>
        <v>6400.0756579999997</v>
      </c>
      <c r="BU236">
        <f ca="1">IFERROR(IF(0=LEN(ReferenceData!$BU$236),"",ReferenceData!$BU$236),"")</f>
        <v>6511.2060250000004</v>
      </c>
      <c r="BV236">
        <f ca="1">IFERROR(IF(0=LEN(ReferenceData!$BV$236),"",ReferenceData!$BV$236),"")</f>
        <v>6786.2644360000004</v>
      </c>
      <c r="BW236">
        <f ca="1">IFERROR(IF(0=LEN(ReferenceData!$BW$236),"",ReferenceData!$BW$236),"")</f>
        <v>6589.893763</v>
      </c>
      <c r="BX236">
        <f ca="1">IFERROR(IF(0=LEN(ReferenceData!$BX$236),"",ReferenceData!$BX$236),"")</f>
        <v>6990.7705079999996</v>
      </c>
      <c r="BY236">
        <f ca="1">IFERROR(IF(0=LEN(ReferenceData!$BY$236),"",ReferenceData!$BY$236),"")</f>
        <v>6082.4913909999996</v>
      </c>
      <c r="BZ236">
        <f ca="1">IFERROR(IF(0=LEN(ReferenceData!$BZ$236),"",ReferenceData!$BZ$236),"")</f>
        <v>6170.2751639999997</v>
      </c>
      <c r="CA236">
        <f ca="1">IFERROR(IF(0=LEN(ReferenceData!$CA$236),"",ReferenceData!$CA$236),"")</f>
        <v>5779.8683860000001</v>
      </c>
      <c r="CB236">
        <f ca="1">IFERROR(IF(0=LEN(ReferenceData!$CB$236),"",ReferenceData!$CB$236),"")</f>
        <v>5899.0573480000003</v>
      </c>
      <c r="CC236">
        <f ca="1">IFERROR(IF(0=LEN(ReferenceData!$CC$236),"",ReferenceData!$CC$236),"")</f>
        <v>5690.4819150000003</v>
      </c>
      <c r="CD236">
        <f ca="1">IFERROR(IF(0=LEN(ReferenceData!$CD$236),"",ReferenceData!$CD$236),"")</f>
        <v>5327.9314189999996</v>
      </c>
      <c r="CE236">
        <f ca="1">IFERROR(IF(0=LEN(ReferenceData!$CE$236),"",ReferenceData!$CE$236),"")</f>
        <v>5653.0592420000003</v>
      </c>
      <c r="CF236">
        <f ca="1">IFERROR(IF(0=LEN(ReferenceData!$CF$236),"",ReferenceData!$CF$236),"")</f>
        <v>5020.406403</v>
      </c>
      <c r="CG236">
        <f ca="1">IFERROR(IF(0=LEN(ReferenceData!$CG$236),"",ReferenceData!$CG$236),"")</f>
        <v>6055.4048979999998</v>
      </c>
      <c r="CH236">
        <f ca="1">IFERROR(IF(0=LEN(ReferenceData!$CH$236),"",ReferenceData!$CH$236),"")</f>
        <v>5845.4369550000001</v>
      </c>
      <c r="CI236">
        <f ca="1">IFERROR(IF(0=LEN(ReferenceData!$CI$236),"",ReferenceData!$CI$236),"")</f>
        <v>4846.3756750000002</v>
      </c>
      <c r="CJ236">
        <f ca="1">IFERROR(IF(0=LEN(ReferenceData!$CJ$236),"",ReferenceData!$CJ$236),"")</f>
        <v>5031.8992040000003</v>
      </c>
      <c r="CK236">
        <f ca="1">IFERROR(IF(0=LEN(ReferenceData!$CK$236),"",ReferenceData!$CK$236),"")</f>
        <v>4810.5328840000002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Q465"/>
  <sheetViews>
    <sheetView workbookViewId="0"/>
  </sheetViews>
  <sheetFormatPr defaultRowHeight="13.5"/>
  <cols>
    <col min="1" max="1" width="56.375" customWidth="1"/>
    <col min="2" max="2" width="15.75" customWidth="1"/>
    <col min="3" max="173" width="9.125" bestFit="1" customWidth="1"/>
  </cols>
  <sheetData>
    <row r="1" spans="1:173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</row>
    <row r="2" spans="1:173" ht="15">
      <c r="A2" s="1" t="str">
        <f>"简述"</f>
        <v>简述</v>
      </c>
      <c r="B2" s="1" t="str">
        <f>"代码"</f>
        <v>代码</v>
      </c>
      <c r="C2" s="1" t="str">
        <f>"栏目ID"</f>
        <v>栏目ID</v>
      </c>
      <c r="D2" s="1" t="str">
        <f>"栏目助记符"</f>
        <v>栏目助记符</v>
      </c>
      <c r="E2" s="1" t="str">
        <f>"数据状态"</f>
        <v>数据状态</v>
      </c>
      <c r="F2" s="1" t="str">
        <f>ReferenceData!$C$456</f>
        <v>3/2018</v>
      </c>
      <c r="G2" s="1" t="str">
        <f>ReferenceData!$D$456</f>
        <v>2/2018</v>
      </c>
      <c r="H2" s="1" t="str">
        <f>ReferenceData!$E$456</f>
        <v>1/2018</v>
      </c>
      <c r="I2" s="1" t="str">
        <f>ReferenceData!$F$456</f>
        <v>12/2017</v>
      </c>
      <c r="J2" s="1" t="str">
        <f>ReferenceData!$G$456</f>
        <v>11/2017</v>
      </c>
      <c r="K2" s="1" t="str">
        <f>ReferenceData!$H$456</f>
        <v>10/2017</v>
      </c>
      <c r="L2" s="1" t="str">
        <f>ReferenceData!$I$456</f>
        <v>9/2017</v>
      </c>
      <c r="M2" s="1" t="str">
        <f>ReferenceData!$J$456</f>
        <v>8/2017</v>
      </c>
      <c r="N2" s="1" t="str">
        <f>ReferenceData!$K$456</f>
        <v>7/2017</v>
      </c>
      <c r="O2" s="1" t="str">
        <f>ReferenceData!$L$456</f>
        <v>6/2017</v>
      </c>
      <c r="P2" s="1" t="str">
        <f>ReferenceData!$M$456</f>
        <v>5/2017</v>
      </c>
      <c r="Q2" s="1" t="str">
        <f>ReferenceData!$N$456</f>
        <v>4/2017</v>
      </c>
      <c r="R2" s="1" t="str">
        <f>ReferenceData!$O$456</f>
        <v>3/2017</v>
      </c>
      <c r="S2" s="1" t="str">
        <f>ReferenceData!$P$456</f>
        <v>2/2017</v>
      </c>
      <c r="T2" s="1" t="str">
        <f>ReferenceData!$Q$456</f>
        <v>1/2017</v>
      </c>
      <c r="U2" s="1" t="str">
        <f>ReferenceData!$R$456</f>
        <v>12/2016</v>
      </c>
      <c r="V2" s="1" t="str">
        <f>ReferenceData!$S$456</f>
        <v>11/2016</v>
      </c>
      <c r="W2" s="1" t="str">
        <f>ReferenceData!$T$456</f>
        <v>10/2016</v>
      </c>
      <c r="X2" s="1" t="str">
        <f>ReferenceData!$U$456</f>
        <v>9/2016</v>
      </c>
      <c r="Y2" s="1" t="str">
        <f>ReferenceData!$V$456</f>
        <v>8/2016</v>
      </c>
      <c r="Z2" s="1" t="str">
        <f>ReferenceData!$W$456</f>
        <v>7/2016</v>
      </c>
      <c r="AA2" s="1" t="str">
        <f>ReferenceData!$X$456</f>
        <v>6/2016</v>
      </c>
      <c r="AB2" s="1" t="str">
        <f>ReferenceData!$Y$456</f>
        <v>5/2016</v>
      </c>
      <c r="AC2" s="1" t="str">
        <f>ReferenceData!$Z$456</f>
        <v>4/2016</v>
      </c>
      <c r="AD2" s="1" t="str">
        <f>ReferenceData!$AA$456</f>
        <v>3/2016</v>
      </c>
      <c r="AE2" s="1" t="str">
        <f>ReferenceData!$AB$456</f>
        <v>2/2016</v>
      </c>
      <c r="AF2" s="1" t="str">
        <f>ReferenceData!$AC$456</f>
        <v>1/2016</v>
      </c>
      <c r="AG2" s="1" t="str">
        <f>ReferenceData!$AD$456</f>
        <v>12/2015</v>
      </c>
      <c r="AH2" s="1" t="str">
        <f>ReferenceData!$AE$456</f>
        <v>11/2015</v>
      </c>
      <c r="AI2" s="1" t="str">
        <f>ReferenceData!$AF$456</f>
        <v>10/2015</v>
      </c>
      <c r="AJ2" s="1" t="str">
        <f>ReferenceData!$AG$456</f>
        <v>9/2015</v>
      </c>
      <c r="AK2" s="1" t="str">
        <f>ReferenceData!$AH$456</f>
        <v>8/2015</v>
      </c>
      <c r="AL2" s="1" t="str">
        <f>ReferenceData!$AI$456</f>
        <v>7/2015</v>
      </c>
      <c r="AM2" s="1" t="str">
        <f>ReferenceData!$AJ$456</f>
        <v>6/2015</v>
      </c>
      <c r="AN2" s="1" t="str">
        <f>ReferenceData!$AK$456</f>
        <v>5/2015</v>
      </c>
      <c r="AO2" s="1" t="str">
        <f>ReferenceData!$AL$456</f>
        <v>4/2015</v>
      </c>
      <c r="AP2" s="1" t="str">
        <f>ReferenceData!$AM$456</f>
        <v>3/2015</v>
      </c>
      <c r="AQ2" s="1" t="str">
        <f>ReferenceData!$AN$456</f>
        <v>2/2015</v>
      </c>
      <c r="AR2" s="1" t="str">
        <f>ReferenceData!$AO$456</f>
        <v>1/2015</v>
      </c>
      <c r="AS2" s="1" t="str">
        <f>ReferenceData!$AP$456</f>
        <v>12/2014</v>
      </c>
      <c r="AT2" s="1" t="str">
        <f>ReferenceData!$AQ$456</f>
        <v>11/2014</v>
      </c>
      <c r="AU2" s="1" t="str">
        <f>ReferenceData!$AR$456</f>
        <v>10/2014</v>
      </c>
      <c r="AV2" s="1" t="str">
        <f>ReferenceData!$AS$456</f>
        <v>9/2014</v>
      </c>
      <c r="AW2" s="1" t="str">
        <f>ReferenceData!$AT$456</f>
        <v>8/2014</v>
      </c>
      <c r="AX2" s="1" t="str">
        <f>ReferenceData!$AU$456</f>
        <v>7/2014</v>
      </c>
      <c r="AY2" s="1" t="str">
        <f>ReferenceData!$AV$456</f>
        <v>6/2014</v>
      </c>
      <c r="AZ2" s="1" t="str">
        <f>ReferenceData!$AW$456</f>
        <v>5/2014</v>
      </c>
      <c r="BA2" s="1" t="str">
        <f>ReferenceData!$AX$456</f>
        <v>4/2014</v>
      </c>
      <c r="BB2" s="1" t="str">
        <f>ReferenceData!$AY$456</f>
        <v>3/2014</v>
      </c>
      <c r="BC2" s="1" t="str">
        <f>ReferenceData!$AZ$456</f>
        <v>2/2014</v>
      </c>
      <c r="BD2" s="1" t="str">
        <f>ReferenceData!$BA$456</f>
        <v>1/2014</v>
      </c>
      <c r="BE2" s="1" t="str">
        <f>ReferenceData!$BB$456</f>
        <v>12/2013</v>
      </c>
      <c r="BF2" s="1" t="str">
        <f>ReferenceData!$BC$456</f>
        <v>11/2013</v>
      </c>
      <c r="BG2" s="1" t="str">
        <f>ReferenceData!$BD$456</f>
        <v>10/2013</v>
      </c>
      <c r="BH2" s="1" t="str">
        <f>ReferenceData!$BE$456</f>
        <v>9/2013</v>
      </c>
      <c r="BI2" s="1" t="str">
        <f>ReferenceData!$BF$456</f>
        <v>8/2013</v>
      </c>
      <c r="BJ2" s="1" t="str">
        <f>ReferenceData!$BG$456</f>
        <v>7/2013</v>
      </c>
      <c r="BK2" s="1" t="str">
        <f>ReferenceData!$BH$456</f>
        <v>6/2013</v>
      </c>
      <c r="BL2" s="1" t="str">
        <f>ReferenceData!$BI$456</f>
        <v>5/2013</v>
      </c>
      <c r="BM2" s="1" t="str">
        <f>ReferenceData!$BJ$456</f>
        <v>4/2013</v>
      </c>
      <c r="BN2" s="1" t="str">
        <f>ReferenceData!$BK$456</f>
        <v>3/2013</v>
      </c>
      <c r="BO2" s="1" t="str">
        <f>ReferenceData!$BL$456</f>
        <v>2/2013</v>
      </c>
      <c r="BP2" s="1" t="str">
        <f>ReferenceData!$BM$456</f>
        <v>1/2013</v>
      </c>
      <c r="BQ2" s="1" t="str">
        <f>ReferenceData!$BN$456</f>
        <v>12/2012</v>
      </c>
      <c r="BR2" s="1" t="str">
        <f>ReferenceData!$BO$456</f>
        <v>11/2012</v>
      </c>
      <c r="BS2" s="1" t="str">
        <f>ReferenceData!$BP$456</f>
        <v>10/2012</v>
      </c>
      <c r="BT2" s="1" t="str">
        <f>ReferenceData!$BQ$456</f>
        <v>9/2012</v>
      </c>
      <c r="BU2" s="1" t="str">
        <f>ReferenceData!$BR$456</f>
        <v>8/2012</v>
      </c>
      <c r="BV2" s="1" t="str">
        <f>ReferenceData!$BS$456</f>
        <v>7/2012</v>
      </c>
      <c r="BW2" s="1" t="str">
        <f>ReferenceData!$BT$456</f>
        <v>6/2012</v>
      </c>
      <c r="BX2" s="1" t="str">
        <f>ReferenceData!$BU$456</f>
        <v>5/2012</v>
      </c>
      <c r="BY2" s="1" t="str">
        <f>ReferenceData!$BV$456</f>
        <v>4/2012</v>
      </c>
      <c r="BZ2" s="1" t="str">
        <f>ReferenceData!$BW$456</f>
        <v>3/2012</v>
      </c>
      <c r="CA2" s="1" t="str">
        <f>ReferenceData!$BX$456</f>
        <v>2/2012</v>
      </c>
      <c r="CB2" s="1" t="str">
        <f>ReferenceData!$BY$456</f>
        <v>1/2012</v>
      </c>
      <c r="CC2" s="1" t="str">
        <f>ReferenceData!$BZ$456</f>
        <v>12/2011</v>
      </c>
      <c r="CD2" s="1" t="str">
        <f>ReferenceData!$CA$456</f>
        <v>11/2011</v>
      </c>
      <c r="CE2" s="1" t="str">
        <f>ReferenceData!$CB$456</f>
        <v>10/2011</v>
      </c>
      <c r="CF2" s="1" t="str">
        <f>ReferenceData!$CC$456</f>
        <v>9/2011</v>
      </c>
      <c r="CG2" s="1" t="str">
        <f>ReferenceData!$CD$456</f>
        <v>8/2011</v>
      </c>
      <c r="CH2" s="1" t="str">
        <f>ReferenceData!$CE$456</f>
        <v>7/2011</v>
      </c>
      <c r="CI2" s="1" t="str">
        <f>ReferenceData!$CF$456</f>
        <v>6/2011</v>
      </c>
      <c r="CJ2" s="1" t="str">
        <f>ReferenceData!$CG$456</f>
        <v>5/2011</v>
      </c>
      <c r="CK2" s="1" t="str">
        <f>ReferenceData!$CH$456</f>
        <v>4/2011</v>
      </c>
      <c r="CL2" t="str">
        <f>$C$456</f>
        <v>3/2018</v>
      </c>
      <c r="CM2" t="str">
        <f>$D$456</f>
        <v>2/2018</v>
      </c>
      <c r="CN2" t="str">
        <f>$E$456</f>
        <v>1/2018</v>
      </c>
      <c r="CO2" t="str">
        <f>$F$456</f>
        <v>12/2017</v>
      </c>
      <c r="CP2" t="str">
        <f>$G$456</f>
        <v>11/2017</v>
      </c>
      <c r="CQ2" t="str">
        <f>$H$456</f>
        <v>10/2017</v>
      </c>
      <c r="CR2" t="str">
        <f>$I$456</f>
        <v>9/2017</v>
      </c>
      <c r="CS2" t="str">
        <f>$J$456</f>
        <v>8/2017</v>
      </c>
      <c r="CT2" t="str">
        <f>$K$456</f>
        <v>7/2017</v>
      </c>
      <c r="CU2" t="str">
        <f>$L$456</f>
        <v>6/2017</v>
      </c>
      <c r="CV2" t="str">
        <f>$M$456</f>
        <v>5/2017</v>
      </c>
      <c r="CW2" t="str">
        <f>$N$456</f>
        <v>4/2017</v>
      </c>
      <c r="CX2" t="str">
        <f>$O$456</f>
        <v>3/2017</v>
      </c>
      <c r="CY2" t="str">
        <f>$P$456</f>
        <v>2/2017</v>
      </c>
      <c r="CZ2" t="str">
        <f>$Q$456</f>
        <v>1/2017</v>
      </c>
      <c r="DA2" t="str">
        <f>$R$456</f>
        <v>12/2016</v>
      </c>
      <c r="DB2" t="str">
        <f>$S$456</f>
        <v>11/2016</v>
      </c>
      <c r="DC2" t="str">
        <f>$T$456</f>
        <v>10/2016</v>
      </c>
      <c r="DD2" t="str">
        <f>$U$456</f>
        <v>9/2016</v>
      </c>
      <c r="DE2" t="str">
        <f>$V$456</f>
        <v>8/2016</v>
      </c>
      <c r="DF2" t="str">
        <f>$W$456</f>
        <v>7/2016</v>
      </c>
      <c r="DG2" t="str">
        <f>$X$456</f>
        <v>6/2016</v>
      </c>
      <c r="DH2" t="str">
        <f>$Y$456</f>
        <v>5/2016</v>
      </c>
      <c r="DI2" t="str">
        <f>$Z$456</f>
        <v>4/2016</v>
      </c>
      <c r="DJ2" t="str">
        <f>$AA$456</f>
        <v>3/2016</v>
      </c>
      <c r="DK2" t="str">
        <f>$AB$456</f>
        <v>2/2016</v>
      </c>
      <c r="DL2" t="str">
        <f>$AC$456</f>
        <v>1/2016</v>
      </c>
      <c r="DM2" t="str">
        <f>$AD$456</f>
        <v>12/2015</v>
      </c>
      <c r="DN2" t="str">
        <f>$AE$456</f>
        <v>11/2015</v>
      </c>
      <c r="DO2" t="str">
        <f>$AF$456</f>
        <v>10/2015</v>
      </c>
      <c r="DP2" t="str">
        <f>$AG$456</f>
        <v>9/2015</v>
      </c>
      <c r="DQ2" t="str">
        <f>$AH$456</f>
        <v>8/2015</v>
      </c>
      <c r="DR2" t="str">
        <f>$AI$456</f>
        <v>7/2015</v>
      </c>
      <c r="DS2" t="str">
        <f>$AJ$456</f>
        <v>6/2015</v>
      </c>
      <c r="DT2" t="str">
        <f>$AK$456</f>
        <v>5/2015</v>
      </c>
      <c r="DU2" t="str">
        <f>$AL$456</f>
        <v>4/2015</v>
      </c>
      <c r="DV2" t="str">
        <f>$AM$456</f>
        <v>3/2015</v>
      </c>
      <c r="DW2" t="str">
        <f>$AN$456</f>
        <v>2/2015</v>
      </c>
      <c r="DX2" t="str">
        <f>$AO$456</f>
        <v>1/2015</v>
      </c>
      <c r="DY2" t="str">
        <f>$AP$456</f>
        <v>12/2014</v>
      </c>
      <c r="DZ2" t="str">
        <f>$AQ$456</f>
        <v>11/2014</v>
      </c>
      <c r="EA2" t="str">
        <f>$AR$456</f>
        <v>10/2014</v>
      </c>
      <c r="EB2" t="str">
        <f>$AS$456</f>
        <v>9/2014</v>
      </c>
      <c r="EC2" t="str">
        <f>$AT$456</f>
        <v>8/2014</v>
      </c>
      <c r="ED2" t="str">
        <f>$AU$456</f>
        <v>7/2014</v>
      </c>
      <c r="EE2" t="str">
        <f>$AV$456</f>
        <v>6/2014</v>
      </c>
      <c r="EF2" t="str">
        <f>$AW$456</f>
        <v>5/2014</v>
      </c>
      <c r="EG2" t="str">
        <f>$AX$456</f>
        <v>4/2014</v>
      </c>
      <c r="EH2" t="str">
        <f>$AY$456</f>
        <v>3/2014</v>
      </c>
      <c r="EI2" t="str">
        <f>$AZ$456</f>
        <v>2/2014</v>
      </c>
      <c r="EJ2" t="str">
        <f>$BA$456</f>
        <v>1/2014</v>
      </c>
      <c r="EK2" t="str">
        <f>$BB$456</f>
        <v>12/2013</v>
      </c>
      <c r="EL2" t="str">
        <f>$BC$456</f>
        <v>11/2013</v>
      </c>
      <c r="EM2" t="str">
        <f>$BD$456</f>
        <v>10/2013</v>
      </c>
      <c r="EN2" t="str">
        <f>$BE$456</f>
        <v>9/2013</v>
      </c>
      <c r="EO2" t="str">
        <f>$BF$456</f>
        <v>8/2013</v>
      </c>
      <c r="EP2" t="str">
        <f>$BG$456</f>
        <v>7/2013</v>
      </c>
      <c r="EQ2" t="str">
        <f>$BH$456</f>
        <v>6/2013</v>
      </c>
      <c r="ER2" t="str">
        <f>$BI$456</f>
        <v>5/2013</v>
      </c>
      <c r="ES2" t="str">
        <f>$BJ$456</f>
        <v>4/2013</v>
      </c>
      <c r="ET2" t="str">
        <f>$BK$456</f>
        <v>3/2013</v>
      </c>
      <c r="EU2" t="str">
        <f>$BL$456</f>
        <v>2/2013</v>
      </c>
      <c r="EV2" t="str">
        <f>$BM$456</f>
        <v>1/2013</v>
      </c>
      <c r="EW2" t="str">
        <f>$BN$456</f>
        <v>12/2012</v>
      </c>
      <c r="EX2" t="str">
        <f>$BO$456</f>
        <v>11/2012</v>
      </c>
      <c r="EY2" t="str">
        <f>$BP$456</f>
        <v>10/2012</v>
      </c>
      <c r="EZ2" t="str">
        <f>$BQ$456</f>
        <v>9/2012</v>
      </c>
      <c r="FA2" t="str">
        <f>$BR$456</f>
        <v>8/2012</v>
      </c>
      <c r="FB2" t="str">
        <f>$BS$456</f>
        <v>7/2012</v>
      </c>
      <c r="FC2" t="str">
        <f>$BT$456</f>
        <v>6/2012</v>
      </c>
      <c r="FD2" t="str">
        <f>$BU$456</f>
        <v>5/2012</v>
      </c>
      <c r="FE2" t="str">
        <f>$BV$456</f>
        <v>4/2012</v>
      </c>
      <c r="FF2" t="str">
        <f>$BW$456</f>
        <v>3/2012</v>
      </c>
      <c r="FG2" t="str">
        <f>$BX$456</f>
        <v>2/2012</v>
      </c>
      <c r="FH2" t="str">
        <f>$BY$456</f>
        <v>1/2012</v>
      </c>
      <c r="FI2" t="str">
        <f>$BZ$456</f>
        <v>12/2011</v>
      </c>
      <c r="FJ2" t="str">
        <f>$CA$456</f>
        <v>11/2011</v>
      </c>
      <c r="FK2" t="str">
        <f>$CB$456</f>
        <v>10/2011</v>
      </c>
      <c r="FL2" t="str">
        <f>$CC$456</f>
        <v>9/2011</v>
      </c>
      <c r="FM2" t="str">
        <f>$CD$456</f>
        <v>8/2011</v>
      </c>
      <c r="FN2" t="str">
        <f>$CE$456</f>
        <v>7/2011</v>
      </c>
      <c r="FO2" t="str">
        <f>$CF$456</f>
        <v>6/2011</v>
      </c>
      <c r="FP2" t="str">
        <f>$CG$456</f>
        <v>5/2011</v>
      </c>
      <c r="FQ2" t="str">
        <f>$CH$456</f>
        <v>4/2011</v>
      </c>
    </row>
    <row r="3" spans="1:173">
      <c r="A3" t="str">
        <f>"P/FFO TTM"</f>
        <v>P/FFO TTM</v>
      </c>
      <c r="B3" t="str">
        <f>"BRFREITV Index"</f>
        <v>BRFREITV Index</v>
      </c>
      <c r="E3" t="str">
        <f>"Median"</f>
        <v>Median</v>
      </c>
      <c r="F3">
        <f ca="1">IF(ISERROR(IF(MEDIAN($F$4:$F$10) = 0, "", MEDIAN($F$4:$F$10))), "", (IF(MEDIAN($F$4:$F$10) = 0, "", MEDIAN($F$4:$F$10))))</f>
        <v>18.787974349999999</v>
      </c>
      <c r="G3">
        <f ca="1">IF(ISERROR(IF(MEDIAN($G$4:$G$10) = 0, "", MEDIAN($G$4:$G$10))), "", (IF(MEDIAN($G$4:$G$10) = 0, "", MEDIAN($G$4:$G$10))))</f>
        <v>17.794303800000002</v>
      </c>
      <c r="H3">
        <f ca="1">IF(ISERROR(IF(MEDIAN($H$4:$H$10) = 0, "", MEDIAN($H$4:$H$10))), "", (IF(MEDIAN($H$4:$H$10) = 0, "", MEDIAN($H$4:$H$10))))</f>
        <v>19.496835440000002</v>
      </c>
      <c r="I3">
        <f ca="1">IF(ISERROR(IF(MEDIAN($I$4:$I$10) = 0, "", MEDIAN($I$4:$I$10))), "", (IF(MEDIAN($I$4:$I$10) = 0, "", MEDIAN($I$4:$I$10))))</f>
        <v>20.269435609999999</v>
      </c>
      <c r="J3">
        <f ca="1">IF(ISERROR(IF(MEDIAN($J$4:$J$10) = 0, "", MEDIAN($J$4:$J$10))), "", (IF(MEDIAN($J$4:$J$10) = 0, "", MEDIAN($J$4:$J$10))))</f>
        <v>21.023866290000001</v>
      </c>
      <c r="K3">
        <f ca="1">IF(ISERROR(IF(MEDIAN($K$4:$K$10) = 0, "", MEDIAN($K$4:$K$10))), "", (IF(MEDIAN($K$4:$K$10) = 0, "", MEDIAN($K$4:$K$10))))</f>
        <v>21.196721310000001</v>
      </c>
      <c r="L3">
        <f ca="1">IF(ISERROR(IF(MEDIAN($L$4:$L$10) = 0, "", MEDIAN($L$4:$L$10))), "", (IF(MEDIAN($L$4:$L$10) = 0, "", MEDIAN($L$4:$L$10))))</f>
        <v>20.78142077</v>
      </c>
      <c r="M3">
        <f ca="1">IF(ISERROR(IF(MEDIAN($M$4:$M$10) = 0, "", MEDIAN($M$4:$M$10))), "", (IF(MEDIAN($M$4:$M$10) = 0, "", MEDIAN($M$4:$M$10))))</f>
        <v>21.23128316</v>
      </c>
      <c r="N3">
        <f ca="1">IF(ISERROR(IF(MEDIAN($N$4:$N$10) = 0, "", MEDIAN($N$4:$N$10))), "", (IF(MEDIAN($N$4:$N$10) = 0, "", MEDIAN($N$4:$N$10))))</f>
        <v>21.378950509999999</v>
      </c>
      <c r="O3">
        <f ca="1">IF(ISERROR(IF(MEDIAN($O$4:$O$10) = 0, "", MEDIAN($O$4:$O$10))), "", (IF(MEDIAN($O$4:$O$10) = 0, "", MEDIAN($O$4:$O$10))))</f>
        <v>21.235483869999999</v>
      </c>
      <c r="P3">
        <f ca="1">IF(ISERROR(IF(MEDIAN($P$4:$P$10) = 0, "", MEDIAN($P$4:$P$10))), "", (IF(MEDIAN($P$4:$P$10) = 0, "", MEDIAN($P$4:$P$10))))</f>
        <v>20.151702790000002</v>
      </c>
      <c r="Q3">
        <f ca="1">IF(ISERROR(IF(MEDIAN($Q$4:$Q$10) = 0, "", MEDIAN($Q$4:$Q$10))), "", (IF(MEDIAN($Q$4:$Q$10) = 0, "", MEDIAN($Q$4:$Q$10))))</f>
        <v>19.993808049999998</v>
      </c>
      <c r="R3">
        <f ca="1">IF(ISERROR(IF(MEDIAN($R$4:$R$10) = 0, "", MEDIAN($R$4:$R$10))), "", (IF(MEDIAN($R$4:$R$10) = 0, "", MEDIAN($R$4:$R$10))))</f>
        <v>19.263157889999999</v>
      </c>
      <c r="S3">
        <f ca="1">IF(ISERROR(IF(MEDIAN($S$4:$S$10) = 0, "", MEDIAN($S$4:$S$10))), "", (IF(MEDIAN($S$4:$S$10) = 0, "", MEDIAN($S$4:$S$10))))</f>
        <v>20.29543481</v>
      </c>
      <c r="T3">
        <f ca="1">IF(ISERROR(IF(MEDIAN($T$4:$T$10) = 0, "", MEDIAN($T$4:$T$10))), "", (IF(MEDIAN($T$4:$T$10) = 0, "", MEDIAN($T$4:$T$10))))</f>
        <v>19.433573880000001</v>
      </c>
      <c r="U3">
        <f ca="1">IF(ISERROR(IF(MEDIAN($U$4:$U$10) = 0, "", MEDIAN($U$4:$U$10))), "", (IF(MEDIAN($U$4:$U$10) = 0, "", MEDIAN($U$4:$U$10))))</f>
        <v>20.28431402</v>
      </c>
      <c r="V3">
        <f ca="1">IF(ISERROR(IF(MEDIAN($V$4:$V$10) = 0, "", MEDIAN($V$4:$V$10))), "", (IF(MEDIAN($V$4:$V$10) = 0, "", MEDIAN($V$4:$V$10))))</f>
        <v>19.580841150000001</v>
      </c>
      <c r="W3">
        <f ca="1">IF(ISERROR(IF(MEDIAN($W$4:$W$10) = 0, "", MEDIAN($W$4:$W$10))), "", (IF(MEDIAN($W$4:$W$10) = 0, "", MEDIAN($W$4:$W$10))))</f>
        <v>19.835293589999999</v>
      </c>
      <c r="X3">
        <f ca="1">IF(ISERROR(IF(MEDIAN($X$4:$X$10) = 0, "", MEDIAN($X$4:$X$10))), "", (IF(MEDIAN($X$4:$X$10) = 0, "", MEDIAN($X$4:$X$10))))</f>
        <v>20.63300426</v>
      </c>
      <c r="Y3">
        <f ca="1">IF(ISERROR(IF(MEDIAN($Y$4:$Y$10) = 0, "", MEDIAN($Y$4:$Y$10))), "", (IF(MEDIAN($Y$4:$Y$10) = 0, "", MEDIAN($Y$4:$Y$10))))</f>
        <v>20.502891330000001</v>
      </c>
      <c r="Z3">
        <f ca="1">IF(ISERROR(IF(MEDIAN($Z$4:$Z$10) = 0, "", MEDIAN($Z$4:$Z$10))), "", (IF(MEDIAN($Z$4:$Z$10) = 0, "", MEDIAN($Z$4:$Z$10))))</f>
        <v>21.489002330000002</v>
      </c>
      <c r="AA3">
        <f ca="1">IF(ISERROR(IF(MEDIAN($AA$4:$AA$10) = 0, "", MEDIAN($AA$4:$AA$10))), "", (IF(MEDIAN($AA$4:$AA$10) = 0, "", MEDIAN($AA$4:$AA$10))))</f>
        <v>21.694198069999999</v>
      </c>
      <c r="AB3">
        <f ca="1">IF(ISERROR(IF(MEDIAN($AB$4:$AB$10) = 0, "", MEDIAN($AB$4:$AB$10))), "", (IF(MEDIAN($AB$4:$AB$10) = 0, "", MEDIAN($AB$4:$AB$10))))</f>
        <v>21.60929578</v>
      </c>
      <c r="AC3">
        <f ca="1">IF(ISERROR(IF(MEDIAN($AC$4:$AC$10) = 0, "", MEDIAN($AC$4:$AC$10))), "", (IF(MEDIAN($AC$4:$AC$10) = 0, "", MEDIAN($AC$4:$AC$10))))</f>
        <v>20.94356393</v>
      </c>
      <c r="AD3">
        <f ca="1">IF(ISERROR(IF(MEDIAN($AD$4:$AD$10) = 0, "", MEDIAN($AD$4:$AD$10))), "", (IF(MEDIAN($AD$4:$AD$10) = 0, "", MEDIAN($AD$4:$AD$10))))</f>
        <v>23.08517178</v>
      </c>
      <c r="AE3">
        <f ca="1">IF(ISERROR(IF(MEDIAN($AE$4:$AE$10) = 0, "", MEDIAN($AE$4:$AE$10))), "", (IF(MEDIAN($AE$4:$AE$10) = 0, "", MEDIAN($AE$4:$AE$10))))</f>
        <v>20.589706469999999</v>
      </c>
      <c r="AF3">
        <f ca="1">IF(ISERROR(IF(MEDIAN($AF$4:$AF$10) = 0, "", MEDIAN($AF$4:$AF$10))), "", (IF(MEDIAN($AF$4:$AF$10) = 0, "", MEDIAN($AF$4:$AF$10))))</f>
        <v>21.30560668</v>
      </c>
      <c r="AG3">
        <f ca="1">IF(ISERROR(IF(MEDIAN($AG$4:$AG$10) = 0, "", MEDIAN($AG$4:$AG$10))), "", (IF(MEDIAN($AG$4:$AG$10) = 0, "", MEDIAN($AG$4:$AG$10))))</f>
        <v>22.532923740000001</v>
      </c>
      <c r="AH3">
        <f ca="1">IF(ISERROR(IF(MEDIAN($AH$4:$AH$10) = 0, "", MEDIAN($AH$4:$AH$10))), "", (IF(MEDIAN($AH$4:$AH$10) = 0, "", MEDIAN($AH$4:$AH$10))))</f>
        <v>22.270653299999999</v>
      </c>
      <c r="AI3">
        <f ca="1">IF(ISERROR(IF(MEDIAN($AI$4:$AI$10) = 0, "", MEDIAN($AI$4:$AI$10))), "", (IF(MEDIAN($AI$4:$AI$10) = 0, "", MEDIAN($AI$4:$AI$10))))</f>
        <v>20.792379100000002</v>
      </c>
      <c r="AJ3">
        <f ca="1">IF(ISERROR(IF(MEDIAN($AJ$4:$AJ$10) = 0, "", MEDIAN($AJ$4:$AJ$10))), "", (IF(MEDIAN($AJ$4:$AJ$10) = 0, "", MEDIAN($AJ$4:$AJ$10))))</f>
        <v>20.804446649999999</v>
      </c>
      <c r="AK3">
        <f ca="1">IF(ISERROR(IF(MEDIAN($AK$4:$AK$10) = 0, "", MEDIAN($AK$4:$AK$10))), "", (IF(MEDIAN($AK$4:$AK$10) = 0, "", MEDIAN($AK$4:$AK$10))))</f>
        <v>18.862362124999997</v>
      </c>
      <c r="AL3">
        <f ca="1">IF(ISERROR(IF(MEDIAN($AL$4:$AL$10) = 0, "", MEDIAN($AL$4:$AL$10))), "", (IF(MEDIAN($AL$4:$AL$10) = 0, "", MEDIAN($AL$4:$AL$10))))</f>
        <v>20.124428514999998</v>
      </c>
      <c r="AM3">
        <f ca="1">IF(ISERROR(IF(MEDIAN($AM$4:$AM$10) = 0, "", MEDIAN($AM$4:$AM$10))), "", (IF(MEDIAN($AM$4:$AM$10) = 0, "", MEDIAN($AM$4:$AM$10))))</f>
        <v>18.748727209999998</v>
      </c>
      <c r="AN3">
        <f ca="1">IF(ISERROR(IF(MEDIAN($AN$4:$AN$10) = 0, "", MEDIAN($AN$4:$AN$10))), "", (IF(MEDIAN($AN$4:$AN$10) = 0, "", MEDIAN($AN$4:$AN$10))))</f>
        <v>20.232608219999999</v>
      </c>
      <c r="AO3">
        <f ca="1">IF(ISERROR(IF(MEDIAN($AO$4:$AO$10) = 0, "", MEDIAN($AO$4:$AO$10))), "", (IF(MEDIAN($AO$4:$AO$10) = 0, "", MEDIAN($AO$4:$AO$10))))</f>
        <v>20.040339045</v>
      </c>
      <c r="AP3">
        <f ca="1">IF(ISERROR(IF(MEDIAN($AP$4:$AP$10) = 0, "", MEDIAN($AP$4:$AP$10))), "", (IF(MEDIAN($AP$4:$AP$10) = 0, "", MEDIAN($AP$4:$AP$10))))</f>
        <v>21.093714694999999</v>
      </c>
      <c r="AQ3">
        <f ca="1">IF(ISERROR(IF(MEDIAN($AQ$4:$AQ$10) = 0, "", MEDIAN($AQ$4:$AQ$10))), "", (IF(MEDIAN($AQ$4:$AQ$10) = 0, "", MEDIAN($AQ$4:$AQ$10))))</f>
        <v>20.711104445</v>
      </c>
      <c r="AR3">
        <f ca="1">IF(ISERROR(IF(MEDIAN($AR$4:$AR$10) = 0, "", MEDIAN($AR$4:$AR$10))), "", (IF(MEDIAN($AR$4:$AR$10) = 0, "", MEDIAN($AR$4:$AR$10))))</f>
        <v>21.558364155</v>
      </c>
      <c r="AS3">
        <f ca="1">IF(ISERROR(IF(MEDIAN($AS$4:$AS$10) = 0, "", MEDIAN($AS$4:$AS$10))), "", (IF(MEDIAN($AS$4:$AS$10) = 0, "", MEDIAN($AS$4:$AS$10))))</f>
        <v>20.241705809999999</v>
      </c>
      <c r="AT3">
        <f ca="1">IF(ISERROR(IF(MEDIAN($AT$4:$AT$10) = 0, "", MEDIAN($AT$4:$AT$10))), "", (IF(MEDIAN($AT$4:$AT$10) = 0, "", MEDIAN($AT$4:$AT$10))))</f>
        <v>20.468996404999999</v>
      </c>
      <c r="AU3">
        <f ca="1">IF(ISERROR(IF(MEDIAN($AU$4:$AU$10) = 0, "", MEDIAN($AU$4:$AU$10))), "", (IF(MEDIAN($AU$4:$AU$10) = 0, "", MEDIAN($AU$4:$AU$10))))</f>
        <v>20.114097819999998</v>
      </c>
      <c r="AV3">
        <f ca="1">IF(ISERROR(IF(MEDIAN($AV$4:$AV$10) = 0, "", MEDIAN($AV$4:$AV$10))), "", (IF(MEDIAN($AV$4:$AV$10) = 0, "", MEDIAN($AV$4:$AV$10))))</f>
        <v>18.09832415</v>
      </c>
      <c r="AW3">
        <f ca="1">IF(ISERROR(IF(MEDIAN($AW$4:$AW$10) = 0, "", MEDIAN($AW$4:$AW$10))), "", (IF(MEDIAN($AW$4:$AW$10) = 0, "", MEDIAN($AW$4:$AW$10))))</f>
        <v>20.48792795</v>
      </c>
      <c r="AX3">
        <f ca="1">IF(ISERROR(IF(MEDIAN($AX$4:$AX$10) = 0, "", MEDIAN($AX$4:$AX$10))), "", (IF(MEDIAN($AX$4:$AX$10) = 0, "", MEDIAN($AX$4:$AX$10))))</f>
        <v>19.875907265000002</v>
      </c>
      <c r="AY3">
        <f ca="1">IF(ISERROR(IF(MEDIAN($AY$4:$AY$10) = 0, "", MEDIAN($AY$4:$AY$10))), "", (IF(MEDIAN($AY$4:$AY$10) = 0, "", MEDIAN($AY$4:$AY$10))))</f>
        <v>19.444080800000002</v>
      </c>
      <c r="AZ3">
        <f ca="1">IF(ISERROR(IF(MEDIAN($AZ$4:$AZ$10) = 0, "", MEDIAN($AZ$4:$AZ$10))), "", (IF(MEDIAN($AZ$4:$AZ$10) = 0, "", MEDIAN($AZ$4:$AZ$10))))</f>
        <v>19.339308385000002</v>
      </c>
      <c r="BA3">
        <f ca="1">IF(ISERROR(IF(MEDIAN($BA$4:$BA$10) = 0, "", MEDIAN($BA$4:$BA$10))), "", (IF(MEDIAN($BA$4:$BA$10) = 0, "", MEDIAN($BA$4:$BA$10))))</f>
        <v>18.712038114999999</v>
      </c>
      <c r="BB3">
        <f ca="1">IF(ISERROR(IF(MEDIAN($BB$4:$BB$10) = 0, "", MEDIAN($BB$4:$BB$10))), "", (IF(MEDIAN($BB$4:$BB$10) = 0, "", MEDIAN($BB$4:$BB$10))))</f>
        <v>18.317714420000001</v>
      </c>
      <c r="BC3">
        <f ca="1">IF(ISERROR(IF(MEDIAN($BC$4:$BC$10) = 0, "", MEDIAN($BC$4:$BC$10))), "", (IF(MEDIAN($BC$4:$BC$10) = 0, "", MEDIAN($BC$4:$BC$10))))</f>
        <v>19.138627085</v>
      </c>
      <c r="BD3">
        <f ca="1">IF(ISERROR(IF(MEDIAN($BD$4:$BD$10) = 0, "", MEDIAN($BD$4:$BD$10))), "", (IF(MEDIAN($BD$4:$BD$10) = 0, "", MEDIAN($BD$4:$BD$10))))</f>
        <v>17.959628549999998</v>
      </c>
      <c r="BE3">
        <f ca="1">IF(ISERROR(IF(MEDIAN($BE$4:$BE$10) = 0, "", MEDIAN($BE$4:$BE$10))), "", (IF(MEDIAN($BE$4:$BE$10) = 0, "", MEDIAN($BE$4:$BE$10))))</f>
        <v>16.714285709999999</v>
      </c>
      <c r="BF3">
        <f ca="1">IF(ISERROR(IF(MEDIAN($BF$4:$BF$10) = 0, "", MEDIAN($BF$4:$BF$10))), "", (IF(MEDIAN($BF$4:$BF$10) = 0, "", MEDIAN($BF$4:$BF$10))))</f>
        <v>16.621428569999999</v>
      </c>
      <c r="BG3">
        <f ca="1">IF(ISERROR(IF(MEDIAN($BG$4:$BG$10) = 0, "", MEDIAN($BG$4:$BG$10))), "", (IF(MEDIAN($BG$4:$BG$10) = 0, "", MEDIAN($BG$4:$BG$10))))</f>
        <v>17.72142857</v>
      </c>
      <c r="BH3">
        <f ca="1">IF(ISERROR(IF(MEDIAN($BH$4:$BH$10) = 0, "", MEDIAN($BH$4:$BH$10))), "", (IF(MEDIAN($BH$4:$BH$10) = 0, "", MEDIAN($BH$4:$BH$10))))</f>
        <v>16.928571430000002</v>
      </c>
      <c r="BI3">
        <f ca="1">IF(ISERROR(IF(MEDIAN($BI$4:$BI$10) = 0, "", MEDIAN($BI$4:$BI$10))), "", (IF(MEDIAN($BI$4:$BI$10) = 0, "", MEDIAN($BI$4:$BI$10))))</f>
        <v>16.610294119999999</v>
      </c>
      <c r="BJ3">
        <f ca="1">IF(ISERROR(IF(MEDIAN($BJ$4:$BJ$10) = 0, "", MEDIAN($BJ$4:$BJ$10))), "", (IF(MEDIAN($BJ$4:$BJ$10) = 0, "", MEDIAN($BJ$4:$BJ$10))))</f>
        <v>18.41176471</v>
      </c>
      <c r="BK3">
        <f ca="1">IF(ISERROR(IF(MEDIAN($BK$4:$BK$10) = 0, "", MEDIAN($BK$4:$BK$10))), "", (IF(MEDIAN($BK$4:$BK$10) = 0, "", MEDIAN($BK$4:$BK$10))))</f>
        <v>18.742647059999999</v>
      </c>
      <c r="BL3">
        <f ca="1">IF(ISERROR(IF(MEDIAN($BL$4:$BL$10) = 0, "", MEDIAN($BL$4:$BL$10))), "", (IF(MEDIAN($BL$4:$BL$10) = 0, "", MEDIAN($BL$4:$BL$10))))</f>
        <v>18.462121209999999</v>
      </c>
      <c r="BM3">
        <f ca="1">IF(ISERROR(IF(MEDIAN($BM$4:$BM$10) = 0, "", MEDIAN($BM$4:$BM$10))), "", (IF(MEDIAN($BM$4:$BM$10) = 0, "", MEDIAN($BM$4:$BM$10))))</f>
        <v>19.2393617</v>
      </c>
      <c r="BN3">
        <f ca="1">IF(ISERROR(IF(MEDIAN($BN$4:$BN$10) = 0, "", MEDIAN($BN$4:$BN$10))), "", (IF(MEDIAN($BN$4:$BN$10) = 0, "", MEDIAN($BN$4:$BN$10))))</f>
        <v>18.325757580000001</v>
      </c>
      <c r="BO3">
        <f ca="1">IF(ISERROR(IF(MEDIAN($BO$4:$BO$10) = 0, "", MEDIAN($BO$4:$BO$10))), "", (IF(MEDIAN($BO$4:$BO$10) = 0, "", MEDIAN($BO$4:$BO$10))))</f>
        <v>18.075757580000001</v>
      </c>
      <c r="BP3">
        <f ca="1">IF(ISERROR(IF(MEDIAN($BP$4:$BP$10) = 0, "", MEDIAN($BP$4:$BP$10))), "", (IF(MEDIAN($BP$4:$BP$10) = 0, "", MEDIAN($BP$4:$BP$10))))</f>
        <v>18.098484849999998</v>
      </c>
      <c r="BQ3">
        <f ca="1">IF(ISERROR(IF(MEDIAN($BQ$4:$BQ$10) = 0, "", MEDIAN($BQ$4:$BQ$10))), "", (IF(MEDIAN($BQ$4:$BQ$10) = 0, "", MEDIAN($BQ$4:$BQ$10))))</f>
        <v>18.280645159999999</v>
      </c>
      <c r="BR3">
        <f ca="1">IF(ISERROR(IF(MEDIAN($BR$4:$BR$10) = 0, "", MEDIAN($BR$4:$BR$10))), "", (IF(MEDIAN($BR$4:$BR$10) = 0, "", MEDIAN($BR$4:$BR$10))))</f>
        <v>18.825214899999999</v>
      </c>
      <c r="BS3">
        <f ca="1">IF(ISERROR(IF(MEDIAN($BS$4:$BS$10) = 0, "", MEDIAN($BS$4:$BS$10))), "", (IF(MEDIAN($BS$4:$BS$10) = 0, "", MEDIAN($BS$4:$BS$10))))</f>
        <v>18.80515759</v>
      </c>
      <c r="BT3">
        <f ca="1">IF(ISERROR(IF(MEDIAN($BT$4:$BT$10) = 0, "", MEDIAN($BT$4:$BT$10))), "", (IF(MEDIAN($BT$4:$BT$10) = 0, "", MEDIAN($BT$4:$BT$10))))</f>
        <v>18.478510029999999</v>
      </c>
      <c r="BU3">
        <f ca="1">IF(ISERROR(IF(MEDIAN($BU$4:$BU$10) = 0, "", MEDIAN($BU$4:$BU$10))), "", (IF(MEDIAN($BU$4:$BU$10) = 0, "", MEDIAN($BU$4:$BU$10))))</f>
        <v>20.849849849999998</v>
      </c>
      <c r="BV3">
        <f ca="1">IF(ISERROR(IF(MEDIAN($BV$4:$BV$10) = 0, "", MEDIAN($BV$4:$BV$10))), "", (IF(MEDIAN($BV$4:$BV$10) = 0, "", MEDIAN($BV$4:$BV$10))))</f>
        <v>21.414414409999999</v>
      </c>
      <c r="BW3">
        <f ca="1">IF(ISERROR(IF(MEDIAN($BW$4:$BW$10) = 0, "", MEDIAN($BW$4:$BW$10))), "", (IF(MEDIAN($BW$4:$BW$10) = 0, "", MEDIAN($BW$4:$BW$10))))</f>
        <v>20.321321319999999</v>
      </c>
      <c r="BX3">
        <f ca="1">IF(ISERROR(IF(MEDIAN($BX$4:$BX$10) = 0, "", MEDIAN($BX$4:$BX$10))), "", (IF(MEDIAN($BX$4:$BX$10) = 0, "", MEDIAN($BX$4:$BX$10))))</f>
        <v>22.926056339999999</v>
      </c>
      <c r="BY3">
        <f ca="1">IF(ISERROR(IF(MEDIAN($BY$4:$BY$10) = 0, "", MEDIAN($BY$4:$BY$10))), "", (IF(MEDIAN($BY$4:$BY$10) = 0, "", MEDIAN($BY$4:$BY$10))))</f>
        <v>23.827464790000001</v>
      </c>
      <c r="BZ3">
        <f ca="1">IF(ISERROR(IF(MEDIAN($BZ$4:$BZ$10) = 0, "", MEDIAN($BZ$4:$BZ$10))), "", (IF(MEDIAN($BZ$4:$BZ$10) = 0, "", MEDIAN($BZ$4:$BZ$10))))</f>
        <v>23.151408450000002</v>
      </c>
      <c r="CA3">
        <f ca="1">IF(ISERROR(IF(MEDIAN($CA$4:$CA$10) = 0, "", MEDIAN($CA$4:$CA$10))), "", (IF(MEDIAN($CA$4:$CA$10) = 0, "", MEDIAN($CA$4:$CA$10))))</f>
        <v>22.710622709999999</v>
      </c>
      <c r="CB3">
        <f ca="1">IF(ISERROR(IF(MEDIAN($CB$4:$CB$10) = 0, "", MEDIAN($CB$4:$CB$10))), "", (IF(MEDIAN($CB$4:$CB$10) = 0, "", MEDIAN($CB$4:$CB$10))))</f>
        <v>23.62637363</v>
      </c>
      <c r="CC3">
        <f ca="1">IF(ISERROR(IF(MEDIAN($CC$4:$CC$10) = 0, "", MEDIAN($CC$4:$CC$10))), "", (IF(MEDIAN($CC$4:$CC$10) = 0, "", MEDIAN($CC$4:$CC$10))))</f>
        <v>22.798534799999999</v>
      </c>
      <c r="CD3">
        <f ca="1">IF(ISERROR(IF(MEDIAN($CD$4:$CD$10) = 0, "", MEDIAN($CD$4:$CD$10))), "", (IF(MEDIAN($CD$4:$CD$10) = 0, "", MEDIAN($CD$4:$CD$10))))</f>
        <v>22.034351149999999</v>
      </c>
      <c r="CE3">
        <f ca="1">IF(ISERROR(IF(MEDIAN($CE$4:$CE$10) = 0, "", MEDIAN($CE$4:$CE$10))), "", (IF(MEDIAN($CE$4:$CE$10) = 0, "", MEDIAN($CE$4:$CE$10))))</f>
        <v>23.145038169999999</v>
      </c>
      <c r="CF3">
        <f ca="1">IF(ISERROR(IF(MEDIAN($CF$4:$CF$10) = 0, "", MEDIAN($CF$4:$CF$10))), "", (IF(MEDIAN($CF$4:$CF$10) = 0, "", MEDIAN($CF$4:$CF$10))))</f>
        <v>21.09160305</v>
      </c>
      <c r="CG3">
        <f ca="1">IF(ISERROR(IF(MEDIAN($CG$4:$CG$10) = 0, "", MEDIAN($CG$4:$CG$10))), "", (IF(MEDIAN($CG$4:$CG$10) = 0, "", MEDIAN($CG$4:$CG$10))))</f>
        <v>26.728000000000002</v>
      </c>
      <c r="CH3">
        <f ca="1">IF(ISERROR(IF(MEDIAN($CH$4:$CH$10) = 0, "", MEDIAN($CH$4:$CH$10))), "", (IF(MEDIAN($CH$4:$CH$10) = 0, "", MEDIAN($CH$4:$CH$10))))</f>
        <v>26.40496976</v>
      </c>
      <c r="CI3">
        <f ca="1">IF(ISERROR(IF(MEDIAN($CI$4:$CI$10) = 0, "", MEDIAN($CI$4:$CI$10))), "", (IF(MEDIAN($CI$4:$CI$10) = 0, "", MEDIAN($CI$4:$CI$10))))</f>
        <v>25.448</v>
      </c>
      <c r="CJ3">
        <f ca="1">IF(ISERROR(IF(MEDIAN($CJ$4:$CJ$10) = 0, "", MEDIAN($CJ$4:$CJ$10))), "", (IF(MEDIAN($CJ$4:$CJ$10) = 0, "", MEDIAN($CJ$4:$CJ$10))))</f>
        <v>23.289855070000002</v>
      </c>
      <c r="CK3">
        <f ca="1">IF(ISERROR(IF(MEDIAN($CK$4:$CK$10) = 0, "", MEDIAN($CK$4:$CK$10))), "", (IF(MEDIAN($CK$4:$CK$10) = 0, "", MEDIAN($CK$4:$CK$10))))</f>
        <v>23.116071430000002</v>
      </c>
      <c r="CL3">
        <f>18.78797435</f>
        <v>18.787974349999999</v>
      </c>
      <c r="CM3">
        <f>17.7943038</f>
        <v>17.794303800000002</v>
      </c>
      <c r="CN3">
        <f>19.49683544</f>
        <v>19.496835440000002</v>
      </c>
      <c r="CO3">
        <f>20.26943561</f>
        <v>20.269435609999999</v>
      </c>
      <c r="CP3">
        <f>21.02386629</f>
        <v>21.023866290000001</v>
      </c>
      <c r="CQ3">
        <f>21.19672131</f>
        <v>21.196721310000001</v>
      </c>
      <c r="CR3">
        <f>20.78142077</f>
        <v>20.78142077</v>
      </c>
      <c r="CS3">
        <f>21.23128316</f>
        <v>21.23128316</v>
      </c>
      <c r="CT3">
        <f>21.37895051</f>
        <v>21.378950509999999</v>
      </c>
      <c r="CU3">
        <f>21.23548387</f>
        <v>21.235483869999999</v>
      </c>
      <c r="CV3">
        <f>20.15170279</f>
        <v>20.151702790000002</v>
      </c>
      <c r="CW3">
        <f>19.99380805</f>
        <v>19.993808049999998</v>
      </c>
      <c r="CX3">
        <f>19.26315789</f>
        <v>19.263157889999999</v>
      </c>
      <c r="CY3">
        <f>20.29543481</f>
        <v>20.29543481</v>
      </c>
      <c r="CZ3">
        <f>19.43357388</f>
        <v>19.433573880000001</v>
      </c>
      <c r="DA3">
        <f>20.28431402</f>
        <v>20.28431402</v>
      </c>
      <c r="DB3">
        <f>19.58084115</f>
        <v>19.580841150000001</v>
      </c>
      <c r="DC3">
        <f>19.83529359</f>
        <v>19.835293589999999</v>
      </c>
      <c r="DD3">
        <f>20.63300426</f>
        <v>20.63300426</v>
      </c>
      <c r="DE3">
        <f>20.50289133</f>
        <v>20.502891330000001</v>
      </c>
      <c r="DF3">
        <f>21.48900233</f>
        <v>21.489002330000002</v>
      </c>
      <c r="DG3">
        <f>21.69419807</f>
        <v>21.694198069999999</v>
      </c>
      <c r="DH3">
        <f>21.60929578</f>
        <v>21.60929578</v>
      </c>
      <c r="DI3">
        <f>20.94356393</f>
        <v>20.94356393</v>
      </c>
      <c r="DJ3">
        <f>23.08517178</f>
        <v>23.08517178</v>
      </c>
      <c r="DK3">
        <f>20.58970647</f>
        <v>20.589706469999999</v>
      </c>
      <c r="DL3">
        <f>21.30560668</f>
        <v>21.30560668</v>
      </c>
      <c r="DM3">
        <f>22.53292374</f>
        <v>22.532923740000001</v>
      </c>
      <c r="DN3">
        <f>22.2706533</f>
        <v>22.270653299999999</v>
      </c>
      <c r="DO3">
        <f>20.7923791</f>
        <v>20.792379100000002</v>
      </c>
      <c r="DP3">
        <f>20.80444665</f>
        <v>20.804446649999999</v>
      </c>
      <c r="DQ3">
        <f>18.86236213</f>
        <v>18.862362130000001</v>
      </c>
      <c r="DR3">
        <f>20.12442851</f>
        <v>20.124428510000001</v>
      </c>
      <c r="DS3">
        <f>18.74872721</f>
        <v>18.748727209999998</v>
      </c>
      <c r="DT3">
        <f>20.23260822</f>
        <v>20.232608219999999</v>
      </c>
      <c r="DU3">
        <f>20.04033904</f>
        <v>20.040339039999999</v>
      </c>
      <c r="DV3">
        <f>21.0937147</f>
        <v>21.0937147</v>
      </c>
      <c r="DW3">
        <f>20.71110445</f>
        <v>20.711104450000001</v>
      </c>
      <c r="DX3">
        <f>21.55836415</f>
        <v>21.558364149999999</v>
      </c>
      <c r="DY3">
        <f>20.24170581</f>
        <v>20.241705809999999</v>
      </c>
      <c r="DZ3">
        <f>20.4689964</f>
        <v>20.468996400000002</v>
      </c>
      <c r="EA3">
        <f>20.11409782</f>
        <v>20.114097820000001</v>
      </c>
      <c r="EB3">
        <f>18.09832415</f>
        <v>18.09832415</v>
      </c>
      <c r="EC3">
        <f>20.48792795</f>
        <v>20.48792795</v>
      </c>
      <c r="ED3">
        <f>19.87590727</f>
        <v>19.875907269999999</v>
      </c>
      <c r="EE3">
        <f>19.4440808</f>
        <v>19.444080799999998</v>
      </c>
      <c r="EF3">
        <f>19.33930838</f>
        <v>19.339308379999999</v>
      </c>
      <c r="EG3">
        <f>18.71203812</f>
        <v>18.712038119999999</v>
      </c>
      <c r="EH3">
        <f>18.31771442</f>
        <v>18.317714420000001</v>
      </c>
      <c r="EI3">
        <f>19.13862709</f>
        <v>19.13862709</v>
      </c>
      <c r="EJ3">
        <f>17.95962855</f>
        <v>17.959628550000001</v>
      </c>
      <c r="EK3">
        <f>16.71428571</f>
        <v>16.714285709999999</v>
      </c>
      <c r="EL3">
        <f>16.62142857</f>
        <v>16.621428569999999</v>
      </c>
      <c r="EM3">
        <f>17.72142857</f>
        <v>17.72142857</v>
      </c>
      <c r="EN3">
        <f>16.92857143</f>
        <v>16.928571430000002</v>
      </c>
      <c r="EO3">
        <f>16.61029412</f>
        <v>16.610294119999999</v>
      </c>
      <c r="EP3">
        <f>18.41176471</f>
        <v>18.41176471</v>
      </c>
      <c r="EQ3">
        <f>18.74264706</f>
        <v>18.742647059999999</v>
      </c>
      <c r="ER3">
        <f>18.46212121</f>
        <v>18.462121209999999</v>
      </c>
      <c r="ES3">
        <f>19.2393617</f>
        <v>19.2393617</v>
      </c>
      <c r="ET3">
        <f>18.32575758</f>
        <v>18.325757580000001</v>
      </c>
      <c r="EU3">
        <f>18.07575758</f>
        <v>18.075757580000001</v>
      </c>
      <c r="EV3">
        <f>18.09848485</f>
        <v>18.098484849999998</v>
      </c>
      <c r="EW3">
        <f>18.28064516</f>
        <v>18.280645159999999</v>
      </c>
      <c r="EX3">
        <f>18.8252149</f>
        <v>18.825214899999999</v>
      </c>
      <c r="EY3">
        <f>18.80515759</f>
        <v>18.80515759</v>
      </c>
      <c r="EZ3">
        <f>18.47851003</f>
        <v>18.478510029999999</v>
      </c>
      <c r="FA3">
        <f>20.84984985</f>
        <v>20.849849849999998</v>
      </c>
      <c r="FB3">
        <f>21.41441441</f>
        <v>21.414414409999999</v>
      </c>
      <c r="FC3">
        <f>20.32132132</f>
        <v>20.321321319999999</v>
      </c>
      <c r="FD3">
        <f>22.92605634</f>
        <v>22.926056339999999</v>
      </c>
      <c r="FE3">
        <f>23.82746479</f>
        <v>23.827464790000001</v>
      </c>
      <c r="FF3">
        <f>23.15140845</f>
        <v>23.151408450000002</v>
      </c>
      <c r="FG3">
        <f>22.71062271</f>
        <v>22.710622709999999</v>
      </c>
      <c r="FH3">
        <f>23.62637363</f>
        <v>23.62637363</v>
      </c>
      <c r="FI3">
        <f>22.7985348</f>
        <v>22.798534799999999</v>
      </c>
      <c r="FJ3">
        <f>22.03435115</f>
        <v>22.034351149999999</v>
      </c>
      <c r="FK3">
        <f>23.14503817</f>
        <v>23.145038169999999</v>
      </c>
      <c r="FL3">
        <f>21.09160305</f>
        <v>21.09160305</v>
      </c>
      <c r="FM3">
        <f>26.728</f>
        <v>26.728000000000002</v>
      </c>
      <c r="FN3">
        <f>26.40496976</f>
        <v>26.40496976</v>
      </c>
      <c r="FO3">
        <f>25.448</f>
        <v>25.448</v>
      </c>
      <c r="FP3">
        <f>23.28985507</f>
        <v>23.289855070000002</v>
      </c>
      <c r="FQ3">
        <f>23.11607143</f>
        <v>23.116071430000002</v>
      </c>
    </row>
    <row r="4" spans="1:173">
      <c r="A4" t="str">
        <f>"    公寓投资与管理"</f>
        <v xml:space="preserve">    公寓投资与管理</v>
      </c>
      <c r="B4" t="str">
        <f>"AIV US Equity"</f>
        <v>AIV US Equity</v>
      </c>
      <c r="C4" t="str">
        <f t="shared" ref="C4:C10" si="0">"RR857"</f>
        <v>RR857</v>
      </c>
      <c r="D4" t="str">
        <f t="shared" ref="D4:D10" si="1">"PX_TO_FFO_RATIO"</f>
        <v>PX_TO_FFO_RATIO</v>
      </c>
      <c r="E4" t="str">
        <f t="shared" ref="E4:E10" si="2">"动态"</f>
        <v>动态</v>
      </c>
      <c r="F4">
        <f ca="1">IF(AND(ISNUMBER($F$254),$B$252=1),$F$254,HLOOKUP(INDIRECT(ADDRESS(2,COLUMN())),OFFSET($CL$2,0,0,ROW()-1,84),ROW()-1,FALSE))</f>
        <v>16.34285714</v>
      </c>
      <c r="G4">
        <f ca="1">IF(AND(ISNUMBER($G$254),$B$252=1),$G$254,HLOOKUP(INDIRECT(ADDRESS(2,COLUMN())),OFFSET($CL$2,0,0,ROW()-1,84),ROW()-1,FALSE))</f>
        <v>15.77959184</v>
      </c>
      <c r="H4">
        <f ca="1">IF(AND(ISNUMBER($H$254),$B$252=1),$H$254,HLOOKUP(INDIRECT(ADDRESS(2,COLUMN())),OFFSET($CL$2,0,0,ROW()-1,84),ROW()-1,FALSE))</f>
        <v>17.077551020000001</v>
      </c>
      <c r="I4">
        <f ca="1">IF(AND(ISNUMBER($I$254),$B$252=1),$I$254,HLOOKUP(INDIRECT(ADDRESS(2,COLUMN())),OFFSET($CL$2,0,0,ROW()-1,84),ROW()-1,FALSE))</f>
        <v>17.840816329999999</v>
      </c>
      <c r="J4">
        <f ca="1">IF(AND(ISNUMBER($J$254),$B$252=1),$J$254,HLOOKUP(INDIRECT(ADDRESS(2,COLUMN())),OFFSET($CL$2,0,0,ROW()-1,84),ROW()-1,FALSE))</f>
        <v>18.219008259999999</v>
      </c>
      <c r="K4">
        <f ca="1">IF(AND(ISNUMBER($K$254),$B$252=1),$K$254,HLOOKUP(INDIRECT(ADDRESS(2,COLUMN())),OFFSET($CL$2,0,0,ROW()-1,84),ROW()-1,FALSE))</f>
        <v>18.173553720000001</v>
      </c>
      <c r="L4">
        <f ca="1">IF(AND(ISNUMBER($L$254),$B$252=1),$L$254,HLOOKUP(INDIRECT(ADDRESS(2,COLUMN())),OFFSET($CL$2,0,0,ROW()-1,84),ROW()-1,FALSE))</f>
        <v>18.123966939999999</v>
      </c>
      <c r="M4">
        <f ca="1">IF(AND(ISNUMBER($M$254),$B$252=1),$M$254,HLOOKUP(INDIRECT(ADDRESS(2,COLUMN())),OFFSET($CL$2,0,0,ROW()-1,84),ROW()-1,FALSE))</f>
        <v>19.454935620000001</v>
      </c>
      <c r="N4">
        <f ca="1">IF(AND(ISNUMBER($N$254),$B$252=1),$N$254,HLOOKUP(INDIRECT(ADDRESS(2,COLUMN())),OFFSET($CL$2,0,0,ROW()-1,84),ROW()-1,FALSE))</f>
        <v>19.54935622</v>
      </c>
      <c r="O4">
        <f ca="1">IF(AND(ISNUMBER($O$254),$B$252=1),$O$254,HLOOKUP(INDIRECT(ADDRESS(2,COLUMN())),OFFSET($CL$2,0,0,ROW()-1,84),ROW()-1,FALSE))</f>
        <v>18.442060089999998</v>
      </c>
      <c r="P4">
        <f ca="1">IF(AND(ISNUMBER($P$254),$B$252=1),$P$254,HLOOKUP(INDIRECT(ADDRESS(2,COLUMN())),OFFSET($CL$2,0,0,ROW()-1,84),ROW()-1,FALSE))</f>
        <v>18.58008658</v>
      </c>
      <c r="Q4">
        <f ca="1">IF(AND(ISNUMBER($Q$254),$B$252=1),$Q$254,HLOOKUP(INDIRECT(ADDRESS(2,COLUMN())),OFFSET($CL$2,0,0,ROW()-1,84),ROW()-1,FALSE))</f>
        <v>18.93506494</v>
      </c>
      <c r="R4">
        <f ca="1">IF(AND(ISNUMBER($R$254),$B$252=1),$R$254,HLOOKUP(INDIRECT(ADDRESS(2,COLUMN())),OFFSET($CL$2,0,0,ROW()-1,84),ROW()-1,FALSE))</f>
        <v>19.1991342</v>
      </c>
      <c r="S4">
        <f ca="1">IF(AND(ISNUMBER($S$254),$B$252=1),$S$254,HLOOKUP(INDIRECT(ADDRESS(2,COLUMN())),OFFSET($CL$2,0,0,ROW()-1,84),ROW()-1,FALSE))</f>
        <v>20.23043478</v>
      </c>
      <c r="T4">
        <f ca="1">IF(AND(ISNUMBER($T$254),$B$252=1),$T$254,HLOOKUP(INDIRECT(ADDRESS(2,COLUMN())),OFFSET($CL$2,0,0,ROW()-1,84),ROW()-1,FALSE))</f>
        <v>19.160869569999999</v>
      </c>
      <c r="U4">
        <f ca="1">IF(AND(ISNUMBER($U$254),$B$252=1),$U$254,HLOOKUP(INDIRECT(ADDRESS(2,COLUMN())),OFFSET($CL$2,0,0,ROW()-1,84),ROW()-1,FALSE))</f>
        <v>19.760869570000001</v>
      </c>
      <c r="V4">
        <f ca="1">IF(AND(ISNUMBER($V$254),$B$252=1),$V$254,HLOOKUP(INDIRECT(ADDRESS(2,COLUMN())),OFFSET($CL$2,0,0,ROW()-1,84),ROW()-1,FALSE))</f>
        <v>18.46491228</v>
      </c>
      <c r="W4">
        <f ca="1">IF(AND(ISNUMBER($W$254),$B$252=1),$W$254,HLOOKUP(INDIRECT(ADDRESS(2,COLUMN())),OFFSET($CL$2,0,0,ROW()-1,84),ROW()-1,FALSE))</f>
        <v>19.328947370000002</v>
      </c>
      <c r="X4">
        <f ca="1">IF(AND(ISNUMBER($X$254),$B$252=1),$X$254,HLOOKUP(INDIRECT(ADDRESS(2,COLUMN())),OFFSET($CL$2,0,0,ROW()-1,84),ROW()-1,FALSE))</f>
        <v>20.135964909999998</v>
      </c>
      <c r="Y4">
        <f ca="1">IF(AND(ISNUMBER($Y$254),$B$252=1),$Y$254,HLOOKUP(INDIRECT(ADDRESS(2,COLUMN())),OFFSET($CL$2,0,0,ROW()-1,84),ROW()-1,FALSE))</f>
        <v>19.558441559999999</v>
      </c>
      <c r="Z4">
        <f ca="1">IF(AND(ISNUMBER($Z$254),$B$252=1),$Z$254,HLOOKUP(INDIRECT(ADDRESS(2,COLUMN())),OFFSET($CL$2,0,0,ROW()-1,84),ROW()-1,FALSE))</f>
        <v>19.900432899999998</v>
      </c>
      <c r="AA4">
        <f ca="1">IF(AND(ISNUMBER($AA$254),$B$252=1),$AA$254,HLOOKUP(INDIRECT(ADDRESS(2,COLUMN())),OFFSET($CL$2,0,0,ROW()-1,84),ROW()-1,FALSE))</f>
        <v>19.116883120000001</v>
      </c>
      <c r="AB4">
        <f ca="1">IF(AND(ISNUMBER($AB$254),$B$252=1),$AB$254,HLOOKUP(INDIRECT(ADDRESS(2,COLUMN())),OFFSET($CL$2,0,0,ROW()-1,84),ROW()-1,FALSE))</f>
        <v>18.706140349999998</v>
      </c>
      <c r="AC4">
        <f ca="1">IF(AND(ISNUMBER($AC$254),$B$252=1),$AC$254,HLOOKUP(INDIRECT(ADDRESS(2,COLUMN())),OFFSET($CL$2,0,0,ROW()-1,84),ROW()-1,FALSE))</f>
        <v>17.57017544</v>
      </c>
      <c r="AD4">
        <f ca="1">IF(AND(ISNUMBER($AD$254),$B$252=1),$AD$254,HLOOKUP(INDIRECT(ADDRESS(2,COLUMN())),OFFSET($CL$2,0,0,ROW()-1,84),ROW()-1,FALSE))</f>
        <v>18.34210526</v>
      </c>
      <c r="AE4">
        <f ca="1">IF(AND(ISNUMBER($AE$254),$B$252=1),$AE$254,HLOOKUP(INDIRECT(ADDRESS(2,COLUMN())),OFFSET($CL$2,0,0,ROW()-1,84),ROW()-1,FALSE))</f>
        <v>16.49099099</v>
      </c>
      <c r="AF4">
        <f ca="1">IF(AND(ISNUMBER($AF$254),$B$252=1),$AF$254,HLOOKUP(INDIRECT(ADDRESS(2,COLUMN())),OFFSET($CL$2,0,0,ROW()-1,84),ROW()-1,FALSE))</f>
        <v>17.635135139999999</v>
      </c>
      <c r="AG4">
        <f ca="1">IF(AND(ISNUMBER($AG$254),$B$252=1),$AG$254,HLOOKUP(INDIRECT(ADDRESS(2,COLUMN())),OFFSET($CL$2,0,0,ROW()-1,84),ROW()-1,FALSE))</f>
        <v>18.031531529999999</v>
      </c>
      <c r="AH4">
        <f ca="1">IF(AND(ISNUMBER($AH$254),$B$252=1),$AH$254,HLOOKUP(INDIRECT(ADDRESS(2,COLUMN())),OFFSET($CL$2,0,0,ROW()-1,84),ROW()-1,FALSE))</f>
        <v>17.481651379999999</v>
      </c>
      <c r="AI4">
        <f ca="1">IF(AND(ISNUMBER($AI$254),$B$252=1),$AI$254,HLOOKUP(INDIRECT(ADDRESS(2,COLUMN())),OFFSET($CL$2,0,0,ROW()-1,84),ROW()-1,FALSE))</f>
        <v>17.977064219999999</v>
      </c>
      <c r="AJ4">
        <f ca="1">IF(AND(ISNUMBER($AJ$254),$B$252=1),$AJ$254,HLOOKUP(INDIRECT(ADDRESS(2,COLUMN())),OFFSET($CL$2,0,0,ROW()-1,84),ROW()-1,FALSE))</f>
        <v>16.981651379999999</v>
      </c>
      <c r="AK4">
        <f ca="1">IF(AND(ISNUMBER($AK$254),$B$252=1),$AK$254,HLOOKUP(INDIRECT(ADDRESS(2,COLUMN())),OFFSET($CL$2,0,0,ROW()-1,84),ROW()-1,FALSE))</f>
        <v>16.995283019999999</v>
      </c>
      <c r="AL4">
        <f ca="1">IF(AND(ISNUMBER($AL$254),$B$252=1),$AL$254,HLOOKUP(INDIRECT(ADDRESS(2,COLUMN())),OFFSET($CL$2,0,0,ROW()-1,84),ROW()-1,FALSE))</f>
        <v>18.433962260000001</v>
      </c>
      <c r="AM4">
        <f ca="1">IF(AND(ISNUMBER($AM$254),$B$252=1),$AM$254,HLOOKUP(INDIRECT(ADDRESS(2,COLUMN())),OFFSET($CL$2,0,0,ROW()-1,84),ROW()-1,FALSE))</f>
        <v>17.419811320000001</v>
      </c>
      <c r="AN4">
        <f ca="1">IF(AND(ISNUMBER($AN$254),$B$252=1),$AN$254,HLOOKUP(INDIRECT(ADDRESS(2,COLUMN())),OFFSET($CL$2,0,0,ROW()-1,84),ROW()-1,FALSE))</f>
        <v>18.23557692</v>
      </c>
      <c r="AO4">
        <f ca="1">IF(AND(ISNUMBER($AO$254),$B$252=1),$AO$254,HLOOKUP(INDIRECT(ADDRESS(2,COLUMN())),OFFSET($CL$2,0,0,ROW()-1,84),ROW()-1,FALSE))</f>
        <v>18.13942308</v>
      </c>
      <c r="AP4">
        <f ca="1">IF(AND(ISNUMBER($AP$254),$B$252=1),$AP$254,HLOOKUP(INDIRECT(ADDRESS(2,COLUMN())),OFFSET($CL$2,0,0,ROW()-1,84),ROW()-1,FALSE))</f>
        <v>18.92307692</v>
      </c>
      <c r="AQ4">
        <f ca="1">IF(AND(ISNUMBER($AQ$254),$B$252=1),$AQ$254,HLOOKUP(INDIRECT(ADDRESS(2,COLUMN())),OFFSET($CL$2,0,0,ROW()-1,84),ROW()-1,FALSE))</f>
        <v>18.20289855</v>
      </c>
      <c r="AR4">
        <f ca="1">IF(AND(ISNUMBER($AR$254),$B$252=1),$AR$254,HLOOKUP(INDIRECT(ADDRESS(2,COLUMN())),OFFSET($CL$2,0,0,ROW()-1,84),ROW()-1,FALSE))</f>
        <v>19.256038650000001</v>
      </c>
      <c r="AS4">
        <f ca="1">IF(AND(ISNUMBER($AS$254),$B$252=1),$AS$254,HLOOKUP(INDIRECT(ADDRESS(2,COLUMN())),OFFSET($CL$2,0,0,ROW()-1,84),ROW()-1,FALSE))</f>
        <v>17.9468599</v>
      </c>
      <c r="AT4">
        <f ca="1">IF(AND(ISNUMBER($AT$254),$B$252=1),$AT$254,HLOOKUP(INDIRECT(ADDRESS(2,COLUMN())),OFFSET($CL$2,0,0,ROW()-1,84),ROW()-1,FALSE))</f>
        <v>17.73809524</v>
      </c>
      <c r="AU4">
        <f ca="1">IF(AND(ISNUMBER($AU$254),$B$252=1),$AU$254,HLOOKUP(INDIRECT(ADDRESS(2,COLUMN())),OFFSET($CL$2,0,0,ROW()-1,84),ROW()-1,FALSE))</f>
        <v>17.042857139999999</v>
      </c>
      <c r="AV4">
        <f ca="1">IF(AND(ISNUMBER($AV$254),$B$252=1),$AV$254,HLOOKUP(INDIRECT(ADDRESS(2,COLUMN())),OFFSET($CL$2,0,0,ROW()-1,84),ROW()-1,FALSE))</f>
        <v>15.15238095</v>
      </c>
      <c r="AW4">
        <f ca="1">IF(AND(ISNUMBER($AW$254),$B$252=1),$AW$254,HLOOKUP(INDIRECT(ADDRESS(2,COLUMN())),OFFSET($CL$2,0,0,ROW()-1,84),ROW()-1,FALSE))</f>
        <v>16.397129190000001</v>
      </c>
      <c r="AX4">
        <f ca="1">IF(AND(ISNUMBER($AX$254),$B$252=1),$AX$254,HLOOKUP(INDIRECT(ADDRESS(2,COLUMN())),OFFSET($CL$2,0,0,ROW()-1,84),ROW()-1,FALSE))</f>
        <v>16.35406699</v>
      </c>
      <c r="AY4">
        <f ca="1">IF(AND(ISNUMBER($AY$254),$B$252=1),$AY$254,HLOOKUP(INDIRECT(ADDRESS(2,COLUMN())),OFFSET($CL$2,0,0,ROW()-1,84),ROW()-1,FALSE))</f>
        <v>15.440191390000001</v>
      </c>
      <c r="AZ4">
        <f ca="1">IF(AND(ISNUMBER($AZ$254),$B$252=1),$AZ$254,HLOOKUP(INDIRECT(ADDRESS(2,COLUMN())),OFFSET($CL$2,0,0,ROW()-1,84),ROW()-1,FALSE))</f>
        <v>15.2815534</v>
      </c>
      <c r="BA4">
        <f ca="1">IF(AND(ISNUMBER($BA$254),$B$252=1),$BA$254,HLOOKUP(INDIRECT(ADDRESS(2,COLUMN())),OFFSET($CL$2,0,0,ROW()-1,84),ROW()-1,FALSE))</f>
        <v>14.96601942</v>
      </c>
      <c r="BB4">
        <f ca="1">IF(AND(ISNUMBER($BB$254),$B$252=1),$BB$254,HLOOKUP(INDIRECT(ADDRESS(2,COLUMN())),OFFSET($CL$2,0,0,ROW()-1,84),ROW()-1,FALSE))</f>
        <v>14.669902909999999</v>
      </c>
      <c r="BC4">
        <f ca="1">IF(AND(ISNUMBER($BC$254),$B$252=1),$BC$254,HLOOKUP(INDIRECT(ADDRESS(2,COLUMN())),OFFSET($CL$2,0,0,ROW()-1,84),ROW()-1,FALSE))</f>
        <v>14.65196078</v>
      </c>
      <c r="BD4">
        <f ca="1">IF(AND(ISNUMBER($BD$254),$B$252=1),$BD$254,HLOOKUP(INDIRECT(ADDRESS(2,COLUMN())),OFFSET($CL$2,0,0,ROW()-1,84),ROW()-1,FALSE))</f>
        <v>13.710784309999999</v>
      </c>
      <c r="BE4">
        <f ca="1">IF(AND(ISNUMBER($BE$254),$B$252=1),$BE$254,HLOOKUP(INDIRECT(ADDRESS(2,COLUMN())),OFFSET($CL$2,0,0,ROW()-1,84),ROW()-1,FALSE))</f>
        <v>12.70098039</v>
      </c>
      <c r="BF4">
        <f ca="1">IF(AND(ISNUMBER($BF$254),$B$252=1),$BF$254,HLOOKUP(INDIRECT(ADDRESS(2,COLUMN())),OFFSET($CL$2,0,0,ROW()-1,84),ROW()-1,FALSE))</f>
        <v>12.61809045</v>
      </c>
      <c r="BG4">
        <f ca="1">IF(AND(ISNUMBER($BG$254),$B$252=1),$BG$254,HLOOKUP(INDIRECT(ADDRESS(2,COLUMN())),OFFSET($CL$2,0,0,ROW()-1,84),ROW()-1,FALSE))</f>
        <v>14.06030151</v>
      </c>
      <c r="BH4">
        <f ca="1">IF(AND(ISNUMBER($BH$254),$B$252=1),$BH$254,HLOOKUP(INDIRECT(ADDRESS(2,COLUMN())),OFFSET($CL$2,0,0,ROW()-1,84),ROW()-1,FALSE))</f>
        <v>14.040201010000001</v>
      </c>
      <c r="BI4">
        <f ca="1">IF(AND(ISNUMBER($BI$254),$B$252=1),$BI$254,HLOOKUP(INDIRECT(ADDRESS(2,COLUMN())),OFFSET($CL$2,0,0,ROW()-1,84),ROW()-1,FALSE))</f>
        <v>14.721925130000001</v>
      </c>
      <c r="BJ4">
        <f ca="1">IF(AND(ISNUMBER($BJ$254),$B$252=1),$BJ$254,HLOOKUP(INDIRECT(ADDRESS(2,COLUMN())),OFFSET($CL$2,0,0,ROW()-1,84),ROW()-1,FALSE))</f>
        <v>15.71122995</v>
      </c>
      <c r="BK4">
        <f ca="1">IF(AND(ISNUMBER($BK$254),$B$252=1),$BK$254,HLOOKUP(INDIRECT(ADDRESS(2,COLUMN())),OFFSET($CL$2,0,0,ROW()-1,84),ROW()-1,FALSE))</f>
        <v>16.064171120000001</v>
      </c>
      <c r="BL4">
        <f ca="1">IF(AND(ISNUMBER($BL$254),$B$252=1),$BL$254,HLOOKUP(INDIRECT(ADDRESS(2,COLUMN())),OFFSET($CL$2,0,0,ROW()-1,84),ROW()-1,FALSE))</f>
        <v>17.19318182</v>
      </c>
      <c r="BM4">
        <f ca="1">IF(AND(ISNUMBER($BM$254),$B$252=1),$BM$254,HLOOKUP(INDIRECT(ADDRESS(2,COLUMN())),OFFSET($CL$2,0,0,ROW()-1,84),ROW()-1,FALSE))</f>
        <v>17.676136360000001</v>
      </c>
      <c r="BN4">
        <f ca="1">IF(AND(ISNUMBER($BN$254),$B$252=1),$BN$254,HLOOKUP(INDIRECT(ADDRESS(2,COLUMN())),OFFSET($CL$2,0,0,ROW()-1,84),ROW()-1,FALSE))</f>
        <v>17.420454549999999</v>
      </c>
      <c r="BO4">
        <f ca="1">IF(AND(ISNUMBER($BO$254),$B$252=1),$BO$254,HLOOKUP(INDIRECT(ADDRESS(2,COLUMN())),OFFSET($CL$2,0,0,ROW()-1,84),ROW()-1,FALSE))</f>
        <v>17.63095238</v>
      </c>
      <c r="BP4">
        <f ca="1">IF(AND(ISNUMBER($BP$254),$B$252=1),$BP$254,HLOOKUP(INDIRECT(ADDRESS(2,COLUMN())),OFFSET($CL$2,0,0,ROW()-1,84),ROW()-1,FALSE))</f>
        <v>16.23809524</v>
      </c>
      <c r="BQ4">
        <f ca="1">IF(AND(ISNUMBER($BQ$254),$B$252=1),$BQ$254,HLOOKUP(INDIRECT(ADDRESS(2,COLUMN())),OFFSET($CL$2,0,0,ROW()-1,84),ROW()-1,FALSE))</f>
        <v>16.10714286</v>
      </c>
      <c r="BR4">
        <f ca="1">IF(AND(ISNUMBER($BR$254),$B$252=1),$BR$254,HLOOKUP(INDIRECT(ADDRESS(2,COLUMN())),OFFSET($CL$2,0,0,ROW()-1,84),ROW()-1,FALSE))</f>
        <v>15.767295600000001</v>
      </c>
      <c r="BS4">
        <f ca="1">IF(AND(ISNUMBER($BS$254),$B$252=1),$BS$254,HLOOKUP(INDIRECT(ADDRESS(2,COLUMN())),OFFSET($CL$2,0,0,ROW()-1,84),ROW()-1,FALSE))</f>
        <v>16.786163519999999</v>
      </c>
      <c r="BT4">
        <f ca="1">IF(AND(ISNUMBER($BT$254),$B$252=1),$BT$254,HLOOKUP(INDIRECT(ADDRESS(2,COLUMN())),OFFSET($CL$2,0,0,ROW()-1,84),ROW()-1,FALSE))</f>
        <v>16.345911950000001</v>
      </c>
      <c r="BU4">
        <f ca="1">IF(AND(ISNUMBER($BU$254),$B$252=1),$BU$254,HLOOKUP(INDIRECT(ADDRESS(2,COLUMN())),OFFSET($CL$2,0,0,ROW()-1,84),ROW()-1,FALSE))</f>
        <v>16.345679010000001</v>
      </c>
      <c r="BV4">
        <f ca="1">IF(AND(ISNUMBER($BV$254),$B$252=1),$BV$254,HLOOKUP(INDIRECT(ADDRESS(2,COLUMN())),OFFSET($CL$2,0,0,ROW()-1,84),ROW()-1,FALSE))</f>
        <v>16.93209877</v>
      </c>
      <c r="BW4">
        <f ca="1">IF(AND(ISNUMBER($BW$254),$B$252=1),$BW$254,HLOOKUP(INDIRECT(ADDRESS(2,COLUMN())),OFFSET($CL$2,0,0,ROW()-1,84),ROW()-1,FALSE))</f>
        <v>16.685185189999999</v>
      </c>
      <c r="BX4">
        <f ca="1">IF(AND(ISNUMBER($BX$254),$B$252=1),$BX$254,HLOOKUP(INDIRECT(ADDRESS(2,COLUMN())),OFFSET($CL$2,0,0,ROW()-1,84),ROW()-1,FALSE))</f>
        <v>17.69281046</v>
      </c>
      <c r="BY4">
        <f ca="1">IF(AND(ISNUMBER($BY$254),$B$252=1),$BY$254,HLOOKUP(INDIRECT(ADDRESS(2,COLUMN())),OFFSET($CL$2,0,0,ROW()-1,84),ROW()-1,FALSE))</f>
        <v>17.745098039999998</v>
      </c>
      <c r="BZ4">
        <f ca="1">IF(AND(ISNUMBER($BZ$254),$B$252=1),$BZ$254,HLOOKUP(INDIRECT(ADDRESS(2,COLUMN())),OFFSET($CL$2,0,0,ROW()-1,84),ROW()-1,FALSE))</f>
        <v>17.261437910000001</v>
      </c>
      <c r="CA4">
        <f ca="1">IF(AND(ISNUMBER($CA$254),$B$252=1),$CA$254,HLOOKUP(INDIRECT(ADDRESS(2,COLUMN())),OFFSET($CL$2,0,0,ROW()-1,84),ROW()-1,FALSE))</f>
        <v>16.34210526</v>
      </c>
      <c r="CB4">
        <f ca="1">IF(AND(ISNUMBER($CB$254),$B$252=1),$CB$254,HLOOKUP(INDIRECT(ADDRESS(2,COLUMN())),OFFSET($CL$2,0,0,ROW()-1,84),ROW()-1,FALSE))</f>
        <v>16.15789474</v>
      </c>
      <c r="CC4">
        <f ca="1">IF(AND(ISNUMBER($CC$254),$B$252=1),$CC$254,HLOOKUP(INDIRECT(ADDRESS(2,COLUMN())),OFFSET($CL$2,0,0,ROW()-1,84),ROW()-1,FALSE))</f>
        <v>15.07236842</v>
      </c>
      <c r="CD4">
        <f ca="1">IF(AND(ISNUMBER($CD$254),$B$252=1),$CD$254,HLOOKUP(INDIRECT(ADDRESS(2,COLUMN())),OFFSET($CL$2,0,0,ROW()-1,84),ROW()-1,FALSE))</f>
        <v>15.125</v>
      </c>
      <c r="CE4">
        <f ca="1">IF(AND(ISNUMBER($CE$254),$B$252=1),$CE$254,HLOOKUP(INDIRECT(ADDRESS(2,COLUMN())),OFFSET($CL$2,0,0,ROW()-1,84),ROW()-1,FALSE))</f>
        <v>17.131944440000002</v>
      </c>
      <c r="CF4">
        <f ca="1">IF(AND(ISNUMBER($CF$254),$B$252=1),$CF$254,HLOOKUP(INDIRECT(ADDRESS(2,COLUMN())),OFFSET($CL$2,0,0,ROW()-1,84),ROW()-1,FALSE))</f>
        <v>15.36111111</v>
      </c>
      <c r="CG4">
        <f ca="1">IF(AND(ISNUMBER($CG$254),$B$252=1),$CG$254,HLOOKUP(INDIRECT(ADDRESS(2,COLUMN())),OFFSET($CL$2,0,0,ROW()-1,84),ROW()-1,FALSE))</f>
        <v>18.324137929999999</v>
      </c>
      <c r="CH4">
        <f ca="1">IF(AND(ISNUMBER($CH$254),$B$252=1),$CH$254,HLOOKUP(INDIRECT(ADDRESS(2,COLUMN())),OFFSET($CL$2,0,0,ROW()-1,84),ROW()-1,FALSE))</f>
        <v>18.82758621</v>
      </c>
      <c r="CI4">
        <f ca="1">IF(AND(ISNUMBER($CI$254),$B$252=1),$CI$254,HLOOKUP(INDIRECT(ADDRESS(2,COLUMN())),OFFSET($CL$2,0,0,ROW()-1,84),ROW()-1,FALSE))</f>
        <v>17.606896549999998</v>
      </c>
      <c r="CJ4">
        <f ca="1">IF(AND(ISNUMBER($CJ$254),$B$252=1),$CJ$254,HLOOKUP(INDIRECT(ADDRESS(2,COLUMN())),OFFSET($CL$2,0,0,ROW()-1,84),ROW()-1,FALSE))</f>
        <v>17.13461538</v>
      </c>
      <c r="CK4">
        <f ca="1">IF(AND(ISNUMBER($CK$254),$B$252=1),$CK$254,HLOOKUP(INDIRECT(ADDRESS(2,COLUMN())),OFFSET($CL$2,0,0,ROW()-1,84),ROW()-1,FALSE))</f>
        <v>17.282051280000001</v>
      </c>
      <c r="CL4">
        <f>16.34285714</f>
        <v>16.34285714</v>
      </c>
      <c r="CM4">
        <f>15.77959184</f>
        <v>15.77959184</v>
      </c>
      <c r="CN4">
        <f>17.07755102</f>
        <v>17.077551020000001</v>
      </c>
      <c r="CO4">
        <f>17.84081633</f>
        <v>17.840816329999999</v>
      </c>
      <c r="CP4">
        <f>18.21900826</f>
        <v>18.219008259999999</v>
      </c>
      <c r="CQ4">
        <f>18.17355372</f>
        <v>18.173553720000001</v>
      </c>
      <c r="CR4">
        <f>18.12396694</f>
        <v>18.123966939999999</v>
      </c>
      <c r="CS4">
        <f>19.45493562</f>
        <v>19.454935620000001</v>
      </c>
      <c r="CT4">
        <f>19.54935622</f>
        <v>19.54935622</v>
      </c>
      <c r="CU4">
        <f>18.44206009</f>
        <v>18.442060089999998</v>
      </c>
      <c r="CV4">
        <f>18.58008658</f>
        <v>18.58008658</v>
      </c>
      <c r="CW4">
        <f>18.93506494</f>
        <v>18.93506494</v>
      </c>
      <c r="CX4">
        <f>19.1991342</f>
        <v>19.1991342</v>
      </c>
      <c r="CY4">
        <f>20.23043478</f>
        <v>20.23043478</v>
      </c>
      <c r="CZ4">
        <f>19.16086957</f>
        <v>19.160869569999999</v>
      </c>
      <c r="DA4">
        <f>19.76086957</f>
        <v>19.760869570000001</v>
      </c>
      <c r="DB4">
        <f>18.46491228</f>
        <v>18.46491228</v>
      </c>
      <c r="DC4">
        <f>19.32894737</f>
        <v>19.328947370000002</v>
      </c>
      <c r="DD4">
        <f>20.13596491</f>
        <v>20.135964909999998</v>
      </c>
      <c r="DE4">
        <f>19.55844156</f>
        <v>19.558441559999999</v>
      </c>
      <c r="DF4">
        <f>19.9004329</f>
        <v>19.900432899999998</v>
      </c>
      <c r="DG4">
        <f>19.11688312</f>
        <v>19.116883120000001</v>
      </c>
      <c r="DH4">
        <f>18.70614035</f>
        <v>18.706140349999998</v>
      </c>
      <c r="DI4">
        <f>17.57017544</f>
        <v>17.57017544</v>
      </c>
      <c r="DJ4">
        <f>18.34210526</f>
        <v>18.34210526</v>
      </c>
      <c r="DK4">
        <f>16.49099099</f>
        <v>16.49099099</v>
      </c>
      <c r="DL4">
        <f>17.63513514</f>
        <v>17.635135139999999</v>
      </c>
      <c r="DM4">
        <f>18.03153153</f>
        <v>18.031531529999999</v>
      </c>
      <c r="DN4">
        <f>17.48165138</f>
        <v>17.481651379999999</v>
      </c>
      <c r="DO4">
        <f>17.97706422</f>
        <v>17.977064219999999</v>
      </c>
      <c r="DP4">
        <f>16.98165138</f>
        <v>16.981651379999999</v>
      </c>
      <c r="DQ4">
        <f>16.99528302</f>
        <v>16.995283019999999</v>
      </c>
      <c r="DR4">
        <f>18.43396226</f>
        <v>18.433962260000001</v>
      </c>
      <c r="DS4">
        <f>17.41981132</f>
        <v>17.419811320000001</v>
      </c>
      <c r="DT4">
        <f>18.23557692</f>
        <v>18.23557692</v>
      </c>
      <c r="DU4">
        <f>18.13942308</f>
        <v>18.13942308</v>
      </c>
      <c r="DV4">
        <f>18.92307692</f>
        <v>18.92307692</v>
      </c>
      <c r="DW4">
        <f>18.20289855</f>
        <v>18.20289855</v>
      </c>
      <c r="DX4">
        <f>19.25603865</f>
        <v>19.256038650000001</v>
      </c>
      <c r="DY4">
        <f>17.9468599</f>
        <v>17.9468599</v>
      </c>
      <c r="DZ4">
        <f>17.73809524</f>
        <v>17.73809524</v>
      </c>
      <c r="EA4">
        <f>17.04285714</f>
        <v>17.042857139999999</v>
      </c>
      <c r="EB4">
        <f>15.15238095</f>
        <v>15.15238095</v>
      </c>
      <c r="EC4">
        <f>16.39712919</f>
        <v>16.397129190000001</v>
      </c>
      <c r="ED4">
        <f>16.35406699</f>
        <v>16.35406699</v>
      </c>
      <c r="EE4">
        <f>15.44019139</f>
        <v>15.440191390000001</v>
      </c>
      <c r="EF4">
        <f>15.2815534</f>
        <v>15.2815534</v>
      </c>
      <c r="EG4">
        <f>14.96601942</f>
        <v>14.96601942</v>
      </c>
      <c r="EH4">
        <f>14.66990291</f>
        <v>14.669902909999999</v>
      </c>
      <c r="EI4">
        <f>14.65196078</f>
        <v>14.65196078</v>
      </c>
      <c r="EJ4">
        <f>13.71078431</f>
        <v>13.710784309999999</v>
      </c>
      <c r="EK4">
        <f>12.70098039</f>
        <v>12.70098039</v>
      </c>
      <c r="EL4">
        <f>12.61809045</f>
        <v>12.61809045</v>
      </c>
      <c r="EM4">
        <f>14.06030151</f>
        <v>14.06030151</v>
      </c>
      <c r="EN4">
        <f>14.04020101</f>
        <v>14.040201010000001</v>
      </c>
      <c r="EO4">
        <f>14.72192513</f>
        <v>14.721925130000001</v>
      </c>
      <c r="EP4">
        <f>15.71122995</f>
        <v>15.71122995</v>
      </c>
      <c r="EQ4">
        <f>16.06417112</f>
        <v>16.064171120000001</v>
      </c>
      <c r="ER4">
        <f>17.19318182</f>
        <v>17.19318182</v>
      </c>
      <c r="ES4">
        <f>17.67613636</f>
        <v>17.676136360000001</v>
      </c>
      <c r="ET4">
        <f>17.42045455</f>
        <v>17.420454549999999</v>
      </c>
      <c r="EU4">
        <f>17.63095238</f>
        <v>17.63095238</v>
      </c>
      <c r="EV4">
        <f>16.23809524</f>
        <v>16.23809524</v>
      </c>
      <c r="EW4">
        <f>16.10714286</f>
        <v>16.10714286</v>
      </c>
      <c r="EX4">
        <f>15.7672956</f>
        <v>15.767295600000001</v>
      </c>
      <c r="EY4">
        <f>16.78616352</f>
        <v>16.786163519999999</v>
      </c>
      <c r="EZ4">
        <f>16.34591195</f>
        <v>16.345911950000001</v>
      </c>
      <c r="FA4">
        <f>16.34567901</f>
        <v>16.345679010000001</v>
      </c>
      <c r="FB4">
        <f>16.93209877</f>
        <v>16.93209877</v>
      </c>
      <c r="FC4">
        <f>16.68518519</f>
        <v>16.685185189999999</v>
      </c>
      <c r="FD4">
        <f>17.69281046</f>
        <v>17.69281046</v>
      </c>
      <c r="FE4">
        <f>17.74509804</f>
        <v>17.745098039999998</v>
      </c>
      <c r="FF4">
        <f>17.26143791</f>
        <v>17.261437910000001</v>
      </c>
      <c r="FG4">
        <f>16.34210526</f>
        <v>16.34210526</v>
      </c>
      <c r="FH4">
        <f>16.15789474</f>
        <v>16.15789474</v>
      </c>
      <c r="FI4">
        <f>15.07236842</f>
        <v>15.07236842</v>
      </c>
      <c r="FJ4">
        <f>15.125</f>
        <v>15.125</v>
      </c>
      <c r="FK4">
        <f>17.13194444</f>
        <v>17.131944440000002</v>
      </c>
      <c r="FL4">
        <f>15.36111111</f>
        <v>15.36111111</v>
      </c>
      <c r="FM4">
        <f>18.32413793</f>
        <v>18.324137929999999</v>
      </c>
      <c r="FN4">
        <f>18.82758621</f>
        <v>18.82758621</v>
      </c>
      <c r="FO4">
        <f>17.60689655</f>
        <v>17.606896549999998</v>
      </c>
      <c r="FP4">
        <f>17.13461538</f>
        <v>17.13461538</v>
      </c>
      <c r="FQ4">
        <f>17.28205128</f>
        <v>17.282051280000001</v>
      </c>
    </row>
    <row r="5" spans="1:173">
      <c r="A5" t="str">
        <f>"    AvalonBay社区股份有限公司"</f>
        <v xml:space="preserve">    AvalonBay社区股份有限公司</v>
      </c>
      <c r="B5" t="str">
        <f>"AVB US Equity"</f>
        <v>AVB US Equity</v>
      </c>
      <c r="C5" t="str">
        <f t="shared" si="0"/>
        <v>RR857</v>
      </c>
      <c r="D5" t="str">
        <f t="shared" si="1"/>
        <v>PX_TO_FFO_RATIO</v>
      </c>
      <c r="E5" t="str">
        <f t="shared" si="2"/>
        <v>动态</v>
      </c>
      <c r="F5">
        <f ca="1">IF(AND(ISNUMBER($F$255),$B$252=1),$F$255,HLOOKUP(INDIRECT(ADDRESS(2,COLUMN())),OFFSET($CL$2,0,0,ROW()-1,84),ROW()-1,FALSE))</f>
        <v>19.099642339999999</v>
      </c>
      <c r="G5">
        <f ca="1">IF(AND(ISNUMBER($G$255),$B$252=1),$G$255,HLOOKUP(INDIRECT(ADDRESS(2,COLUMN())),OFFSET($CL$2,0,0,ROW()-1,84),ROW()-1,FALSE))</f>
        <v>18.44698649</v>
      </c>
      <c r="H5">
        <f ca="1">IF(AND(ISNUMBER($H$255),$B$252=1),$H$255,HLOOKUP(INDIRECT(ADDRESS(2,COLUMN())),OFFSET($CL$2,0,0,ROW()-1,84),ROW()-1,FALSE))</f>
        <v>20.147202270000001</v>
      </c>
      <c r="I5">
        <f ca="1">IF(AND(ISNUMBER($I$255),$B$252=1),$I$255,HLOOKUP(INDIRECT(ADDRESS(2,COLUMN())),OFFSET($CL$2,0,0,ROW()-1,84),ROW()-1,FALSE))</f>
        <v>21.094262659999998</v>
      </c>
      <c r="J5">
        <f ca="1">IF(AND(ISNUMBER($J$255),$B$252=1),$J$255,HLOOKUP(INDIRECT(ADDRESS(2,COLUMN())),OFFSET($CL$2,0,0,ROW()-1,84),ROW()-1,FALSE))</f>
        <v>21.654371019999999</v>
      </c>
      <c r="K5">
        <f ca="1">IF(AND(ISNUMBER($K$255),$B$252=1),$K$255,HLOOKUP(INDIRECT(ADDRESS(2,COLUMN())),OFFSET($CL$2,0,0,ROW()-1,84),ROW()-1,FALSE))</f>
        <v>21.654371019999999</v>
      </c>
      <c r="L5">
        <f ca="1">IF(AND(ISNUMBER($L$255),$B$252=1),$L$255,HLOOKUP(INDIRECT(ADDRESS(2,COLUMN())),OFFSET($CL$2,0,0,ROW()-1,84),ROW()-1,FALSE))</f>
        <v>21.30685974</v>
      </c>
      <c r="M5">
        <f ca="1">IF(AND(ISNUMBER($M$255),$B$252=1),$M$255,HLOOKUP(INDIRECT(ADDRESS(2,COLUMN())),OFFSET($CL$2,0,0,ROW()-1,84),ROW()-1,FALSE))</f>
        <v>23.061809289999999</v>
      </c>
      <c r="N5">
        <f ca="1">IF(AND(ISNUMBER($N$255),$B$252=1),$N$255,HLOOKUP(INDIRECT(ADDRESS(2,COLUMN())),OFFSET($CL$2,0,0,ROW()-1,84),ROW()-1,FALSE))</f>
        <v>23.629356080000001</v>
      </c>
      <c r="O5">
        <f ca="1">IF(AND(ISNUMBER($O$255),$B$252=1),$O$255,HLOOKUP(INDIRECT(ADDRESS(2,COLUMN())),OFFSET($CL$2,0,0,ROW()-1,84),ROW()-1,FALSE))</f>
        <v>23.607243860000001</v>
      </c>
      <c r="P5">
        <f ca="1">IF(AND(ISNUMBER($P$255),$B$252=1),$P$255,HLOOKUP(INDIRECT(ADDRESS(2,COLUMN())),OFFSET($CL$2,0,0,ROW()-1,84),ROW()-1,FALSE))</f>
        <v>23.236096679999999</v>
      </c>
      <c r="Q5">
        <f ca="1">IF(AND(ISNUMBER($Q$255),$B$252=1),$Q$255,HLOOKUP(INDIRECT(ADDRESS(2,COLUMN())),OFFSET($CL$2,0,0,ROW()-1,84),ROW()-1,FALSE))</f>
        <v>23.065993479999999</v>
      </c>
      <c r="R5">
        <f ca="1">IF(AND(ISNUMBER($R$255),$B$252=1),$R$255,HLOOKUP(INDIRECT(ADDRESS(2,COLUMN())),OFFSET($CL$2,0,0,ROW()-1,84),ROW()-1,FALSE))</f>
        <v>22.30781923</v>
      </c>
      <c r="S5">
        <f ca="1">IF(AND(ISNUMBER($S$255),$B$252=1),$S$255,HLOOKUP(INDIRECT(ADDRESS(2,COLUMN())),OFFSET($CL$2,0,0,ROW()-1,84),ROW()-1,FALSE))</f>
        <v>22.248591999999999</v>
      </c>
      <c r="T5">
        <f ca="1">IF(AND(ISNUMBER($T$255),$B$252=1),$T$255,HLOOKUP(INDIRECT(ADDRESS(2,COLUMN())),OFFSET($CL$2,0,0,ROW()-1,84),ROW()-1,FALSE))</f>
        <v>20.981083250000001</v>
      </c>
      <c r="U5">
        <f ca="1">IF(AND(ISNUMBER($U$255),$B$252=1),$U$255,HLOOKUP(INDIRECT(ADDRESS(2,COLUMN())),OFFSET($CL$2,0,0,ROW()-1,84),ROW()-1,FALSE))</f>
        <v>21.44595752</v>
      </c>
      <c r="V5">
        <f ca="1">IF(AND(ISNUMBER($V$255),$B$252=1),$V$255,HLOOKUP(INDIRECT(ADDRESS(2,COLUMN())),OFFSET($CL$2,0,0,ROW()-1,84),ROW()-1,FALSE))</f>
        <v>20.227653020000002</v>
      </c>
      <c r="W5">
        <f ca="1">IF(AND(ISNUMBER($W$255),$B$252=1),$W$255,HLOOKUP(INDIRECT(ADDRESS(2,COLUMN())),OFFSET($CL$2,0,0,ROW()-1,84),ROW()-1,FALSE))</f>
        <v>21.050335239999999</v>
      </c>
      <c r="X5">
        <f ca="1">IF(AND(ISNUMBER($X$255),$B$252=1),$X$255,HLOOKUP(INDIRECT(ADDRESS(2,COLUMN())),OFFSET($CL$2,0,0,ROW()-1,84),ROW()-1,FALSE))</f>
        <v>21.869328299999999</v>
      </c>
      <c r="Y5">
        <f ca="1">IF(AND(ISNUMBER($Y$255),$B$252=1),$Y$255,HLOOKUP(INDIRECT(ADDRESS(2,COLUMN())),OFFSET($CL$2,0,0,ROW()-1,84),ROW()-1,FALSE))</f>
        <v>21.749918319999999</v>
      </c>
      <c r="Z5">
        <f ca="1">IF(AND(ISNUMBER($Z$255),$B$252=1),$Z$255,HLOOKUP(INDIRECT(ADDRESS(2,COLUMN())),OFFSET($CL$2,0,0,ROW()-1,84),ROW()-1,FALSE))</f>
        <v>23.072237789999999</v>
      </c>
      <c r="AA5">
        <f ca="1">IF(AND(ISNUMBER($AA$255),$B$252=1),$AA$255,HLOOKUP(INDIRECT(ADDRESS(2,COLUMN())),OFFSET($CL$2,0,0,ROW()-1,84),ROW()-1,FALSE))</f>
        <v>22.418534739999998</v>
      </c>
      <c r="AB5">
        <f ca="1">IF(AND(ISNUMBER($AB$255),$B$252=1),$AB$255,HLOOKUP(INDIRECT(ADDRESS(2,COLUMN())),OFFSET($CL$2,0,0,ROW()-1,84),ROW()-1,FALSE))</f>
        <v>21.83260095</v>
      </c>
      <c r="AC5">
        <f ca="1">IF(AND(ISNUMBER($AC$255),$B$252=1),$AC$255,HLOOKUP(INDIRECT(ADDRESS(2,COLUMN())),OFFSET($CL$2,0,0,ROW()-1,84),ROW()-1,FALSE))</f>
        <v>21.457557940000001</v>
      </c>
      <c r="AD5">
        <f ca="1">IF(AND(ISNUMBER($AD$255),$B$252=1),$AD$255,HLOOKUP(INDIRECT(ADDRESS(2,COLUMN())),OFFSET($CL$2,0,0,ROW()-1,84),ROW()-1,FALSE))</f>
        <v>23.08517178</v>
      </c>
      <c r="AE5">
        <f ca="1">IF(AND(ISNUMBER($AE$255),$B$252=1),$AE$255,HLOOKUP(INDIRECT(ADDRESS(2,COLUMN())),OFFSET($CL$2,0,0,ROW()-1,84),ROW()-1,FALSE))</f>
        <v>21.32424241</v>
      </c>
      <c r="AF5">
        <f ca="1">IF(AND(ISNUMBER($AF$255),$B$252=1),$AF$255,HLOOKUP(INDIRECT(ADDRESS(2,COLUMN())),OFFSET($CL$2,0,0,ROW()-1,84),ROW()-1,FALSE))</f>
        <v>21.30560668</v>
      </c>
      <c r="AG5">
        <f ca="1">IF(AND(ISNUMBER($AG$255),$B$252=1),$AG$255,HLOOKUP(INDIRECT(ADDRESS(2,COLUMN())),OFFSET($CL$2,0,0,ROW()-1,84),ROW()-1,FALSE))</f>
        <v>22.875977370000001</v>
      </c>
      <c r="AH5">
        <f ca="1">IF(AND(ISNUMBER($AH$255),$B$252=1),$AH$255,HLOOKUP(INDIRECT(ADDRESS(2,COLUMN())),OFFSET($CL$2,0,0,ROW()-1,84),ROW()-1,FALSE))</f>
        <v>23.179848280000002</v>
      </c>
      <c r="AI5">
        <f ca="1">IF(AND(ISNUMBER($AI$255),$B$252=1),$AI$255,HLOOKUP(INDIRECT(ADDRESS(2,COLUMN())),OFFSET($CL$2,0,0,ROW()-1,84),ROW()-1,FALSE))</f>
        <v>22.292386140000001</v>
      </c>
      <c r="AJ5">
        <f ca="1">IF(AND(ISNUMBER($AJ$255),$B$252=1),$AJ$255,HLOOKUP(INDIRECT(ADDRESS(2,COLUMN())),OFFSET($CL$2,0,0,ROW()-1,84),ROW()-1,FALSE))</f>
        <v>22.291111050000001</v>
      </c>
      <c r="AK5">
        <f ca="1">IF(AND(ISNUMBER($AK$255),$B$252=1),$AK$255,HLOOKUP(INDIRECT(ADDRESS(2,COLUMN())),OFFSET($CL$2,0,0,ROW()-1,84),ROW()-1,FALSE))</f>
        <v>20.729441229999999</v>
      </c>
      <c r="AL5">
        <f ca="1">IF(AND(ISNUMBER($AL$255),$B$252=1),$AL$255,HLOOKUP(INDIRECT(ADDRESS(2,COLUMN())),OFFSET($CL$2,0,0,ROW()-1,84),ROW()-1,FALSE))</f>
        <v>21.64371684</v>
      </c>
      <c r="AM5">
        <f ca="1">IF(AND(ISNUMBER($AM$255),$B$252=1),$AM$255,HLOOKUP(INDIRECT(ADDRESS(2,COLUMN())),OFFSET($CL$2,0,0,ROW()-1,84),ROW()-1,FALSE))</f>
        <v>20.0776431</v>
      </c>
      <c r="AN5">
        <f ca="1">IF(AND(ISNUMBER($AN$255),$B$252=1),$AN$255,HLOOKUP(INDIRECT(ADDRESS(2,COLUMN())),OFFSET($CL$2,0,0,ROW()-1,84),ROW()-1,FALSE))</f>
        <v>22.229639519999999</v>
      </c>
      <c r="AO5">
        <f ca="1">IF(AND(ISNUMBER($AO$255),$B$252=1),$AO$255,HLOOKUP(INDIRECT(ADDRESS(2,COLUMN())),OFFSET($CL$2,0,0,ROW()-1,84),ROW()-1,FALSE))</f>
        <v>21.941255009999999</v>
      </c>
      <c r="AP5">
        <f ca="1">IF(AND(ISNUMBER($AP$255),$B$252=1),$AP$255,HLOOKUP(INDIRECT(ADDRESS(2,COLUMN())),OFFSET($CL$2,0,0,ROW()-1,84),ROW()-1,FALSE))</f>
        <v>23.264352469999999</v>
      </c>
      <c r="AQ5">
        <f ca="1">IF(AND(ISNUMBER($AQ$255),$B$252=1),$AQ$255,HLOOKUP(INDIRECT(ADDRESS(2,COLUMN())),OFFSET($CL$2,0,0,ROW()-1,84),ROW()-1,FALSE))</f>
        <v>23.21931034</v>
      </c>
      <c r="AR5">
        <f ca="1">IF(AND(ISNUMBER($AR$255),$B$252=1),$AR$255,HLOOKUP(INDIRECT(ADDRESS(2,COLUMN())),OFFSET($CL$2,0,0,ROW()-1,84),ROW()-1,FALSE))</f>
        <v>23.860689659999998</v>
      </c>
      <c r="AS5">
        <f ca="1">IF(AND(ISNUMBER($AS$255),$B$252=1),$AS$255,HLOOKUP(INDIRECT(ADDRESS(2,COLUMN())),OFFSET($CL$2,0,0,ROW()-1,84),ROW()-1,FALSE))</f>
        <v>22.536551719999999</v>
      </c>
      <c r="AT5">
        <f ca="1">IF(AND(ISNUMBER($AT$255),$B$252=1),$AT$255,HLOOKUP(INDIRECT(ADDRESS(2,COLUMN())),OFFSET($CL$2,0,0,ROW()-1,84),ROW()-1,FALSE))</f>
        <v>22.980147379999998</v>
      </c>
      <c r="AU5">
        <f ca="1">IF(AND(ISNUMBER($AU$255),$B$252=1),$AU$255,HLOOKUP(INDIRECT(ADDRESS(2,COLUMN())),OFFSET($CL$2,0,0,ROW()-1,84),ROW()-1,FALSE))</f>
        <v>22.272692129999999</v>
      </c>
      <c r="AV5">
        <f ca="1">IF(AND(ISNUMBER($AV$255),$B$252=1),$AV$255,HLOOKUP(INDIRECT(ADDRESS(2,COLUMN())),OFFSET($CL$2,0,0,ROW()-1,84),ROW()-1,FALSE))</f>
        <v>20.147467970000001</v>
      </c>
      <c r="AW5">
        <f ca="1">IF(AND(ISNUMBER($AW$255),$B$252=1),$AW$255,HLOOKUP(INDIRECT(ADDRESS(2,COLUMN())),OFFSET($CL$2,0,0,ROW()-1,84),ROW()-1,FALSE))</f>
        <v>25.52630825</v>
      </c>
      <c r="AX5">
        <f ca="1">IF(AND(ISNUMBER($AX$255),$B$252=1),$AX$255,HLOOKUP(INDIRECT(ADDRESS(2,COLUMN())),OFFSET($CL$2,0,0,ROW()-1,84),ROW()-1,FALSE))</f>
        <v>24.529109179999999</v>
      </c>
      <c r="AY5">
        <f ca="1">IF(AND(ISNUMBER($AY$255),$B$252=1),$AY$255,HLOOKUP(INDIRECT(ADDRESS(2,COLUMN())),OFFSET($CL$2,0,0,ROW()-1,84),ROW()-1,FALSE))</f>
        <v>23.553444320000001</v>
      </c>
      <c r="AZ5">
        <f ca="1">IF(AND(ISNUMBER($AZ$255),$B$252=1),$AZ$255,HLOOKUP(INDIRECT(ADDRESS(2,COLUMN())),OFFSET($CL$2,0,0,ROW()-1,84),ROW()-1,FALSE))</f>
        <v>24.135136339999999</v>
      </c>
      <c r="BA5">
        <f ca="1">IF(AND(ISNUMBER($BA$255),$B$252=1),$BA$255,HLOOKUP(INDIRECT(ADDRESS(2,COLUMN())),OFFSET($CL$2,0,0,ROW()-1,84),ROW()-1,FALSE))</f>
        <v>23.235003299999999</v>
      </c>
      <c r="BB5">
        <f ca="1">IF(AND(ISNUMBER($BB$255),$B$252=1),$BB$255,HLOOKUP(INDIRECT(ADDRESS(2,COLUMN())),OFFSET($CL$2,0,0,ROW()-1,84),ROW()-1,FALSE))</f>
        <v>22.345079699999999</v>
      </c>
      <c r="BC5">
        <f ca="1">IF(AND(ISNUMBER($BC$255),$B$252=1),$BC$255,HLOOKUP(INDIRECT(ADDRESS(2,COLUMN())),OFFSET($CL$2,0,0,ROW()-1,84),ROW()-1,FALSE))</f>
        <v>25.707063850000001</v>
      </c>
      <c r="BD5">
        <f ca="1">IF(AND(ISNUMBER($BD$255),$B$252=1),$BD$255,HLOOKUP(INDIRECT(ADDRESS(2,COLUMN())),OFFSET($CL$2,0,0,ROW()-1,84),ROW()-1,FALSE))</f>
        <v>24.616751069999999</v>
      </c>
      <c r="BE5">
        <f ca="1">IF(AND(ISNUMBER($BE$255),$B$252=1),$BE$255,HLOOKUP(INDIRECT(ADDRESS(2,COLUMN())),OFFSET($CL$2,0,0,ROW()-1,84),ROW()-1,FALSE))</f>
        <v>23.566303470000001</v>
      </c>
      <c r="BF5">
        <f ca="1">IF(AND(ISNUMBER($BF$255),$B$252=1),$BF$255,HLOOKUP(INDIRECT(ADDRESS(2,COLUMN())),OFFSET($CL$2,0,0,ROW()-1,84),ROW()-1,FALSE))</f>
        <v>24.805506090000002</v>
      </c>
      <c r="BG5">
        <f ca="1">IF(AND(ISNUMBER($BG$255),$B$252=1),$BG$255,HLOOKUP(INDIRECT(ADDRESS(2,COLUMN())),OFFSET($CL$2,0,0,ROW()-1,84),ROW()-1,FALSE))</f>
        <v>26.163364850000001</v>
      </c>
      <c r="BH5">
        <f ca="1">IF(AND(ISNUMBER($BH$255),$B$252=1),$BH$255,HLOOKUP(INDIRECT(ADDRESS(2,COLUMN())),OFFSET($CL$2,0,0,ROW()-1,84),ROW()-1,FALSE))</f>
        <v>26.590180230000001</v>
      </c>
      <c r="BI5">
        <f ca="1">IF(AND(ISNUMBER($BI$255),$B$252=1),$BI$255,HLOOKUP(INDIRECT(ADDRESS(2,COLUMN())),OFFSET($CL$2,0,0,ROW()-1,84),ROW()-1,FALSE))</f>
        <v>24.597598959999999</v>
      </c>
      <c r="BJ5">
        <f ca="1">IF(AND(ISNUMBER($BJ$255),$B$252=1),$BJ$255,HLOOKUP(INDIRECT(ADDRESS(2,COLUMN())),OFFSET($CL$2,0,0,ROW()-1,84),ROW()-1,FALSE))</f>
        <v>26.868757420000001</v>
      </c>
      <c r="BK5">
        <f ca="1">IF(AND(ISNUMBER($BK$255),$B$252=1),$BK$255,HLOOKUP(INDIRECT(ADDRESS(2,COLUMN())),OFFSET($CL$2,0,0,ROW()-1,84),ROW()-1,FALSE))</f>
        <v>26.783390449999999</v>
      </c>
      <c r="BL5">
        <f ca="1">IF(AND(ISNUMBER($BL$255),$B$252=1),$BL$255,HLOOKUP(INDIRECT(ADDRESS(2,COLUMN())),OFFSET($CL$2,0,0,ROW()-1,84),ROW()-1,FALSE))</f>
        <v>27.507943319999999</v>
      </c>
      <c r="BM5">
        <f ca="1">IF(AND(ISNUMBER($BM$255),$B$252=1),$BM$255,HLOOKUP(INDIRECT(ADDRESS(2,COLUMN())),OFFSET($CL$2,0,0,ROW()-1,84),ROW()-1,FALSE))</f>
        <v>27.586738870000001</v>
      </c>
      <c r="BN5">
        <f ca="1">IF(AND(ISNUMBER($BN$255),$B$252=1),$BN$255,HLOOKUP(INDIRECT(ADDRESS(2,COLUMN())),OFFSET($CL$2,0,0,ROW()-1,84),ROW()-1,FALSE))</f>
        <v>26.26587653</v>
      </c>
      <c r="BO5">
        <f ca="1">IF(AND(ISNUMBER($BO$255),$B$252=1),$BO$255,HLOOKUP(INDIRECT(ADDRESS(2,COLUMN())),OFFSET($CL$2,0,0,ROW()-1,84),ROW()-1,FALSE))</f>
        <v>23.45279296</v>
      </c>
      <c r="BP5">
        <f ca="1">IF(AND(ISNUMBER($BP$255),$B$252=1),$BP$255,HLOOKUP(INDIRECT(ADDRESS(2,COLUMN())),OFFSET($CL$2,0,0,ROW()-1,84),ROW()-1,FALSE))</f>
        <v>24.384667140000001</v>
      </c>
      <c r="BQ5">
        <f ca="1">IF(AND(ISNUMBER($BQ$255),$B$252=1),$BQ$255,HLOOKUP(INDIRECT(ADDRESS(2,COLUMN())),OFFSET($CL$2,0,0,ROW()-1,84),ROW()-1,FALSE))</f>
        <v>25.474358710000001</v>
      </c>
      <c r="BR5">
        <f ca="1">IF(AND(ISNUMBER($BR$255),$B$252=1),$BR$255,HLOOKUP(INDIRECT(ADDRESS(2,COLUMN())),OFFSET($CL$2,0,0,ROW()-1,84),ROW()-1,FALSE))</f>
        <v>25.148742819999999</v>
      </c>
      <c r="BS5">
        <f ca="1">IF(AND(ISNUMBER($BS$255),$B$252=1),$BS$255,HLOOKUP(INDIRECT(ADDRESS(2,COLUMN())),OFFSET($CL$2,0,0,ROW()-1,84),ROW()-1,FALSE))</f>
        <v>25.868150669999999</v>
      </c>
      <c r="BT5">
        <f ca="1">IF(AND(ISNUMBER($BT$255),$B$252=1),$BT$255,HLOOKUP(INDIRECT(ADDRESS(2,COLUMN())),OFFSET($CL$2,0,0,ROW()-1,84),ROW()-1,FALSE))</f>
        <v>25.950205149999999</v>
      </c>
      <c r="BU5">
        <f ca="1">IF(AND(ISNUMBER($BU$255),$B$252=1),$BU$255,HLOOKUP(INDIRECT(ADDRESS(2,COLUMN())),OFFSET($CL$2,0,0,ROW()-1,84),ROW()-1,FALSE))</f>
        <v>28.490567630000001</v>
      </c>
      <c r="BV5">
        <f ca="1">IF(AND(ISNUMBER($BV$255),$B$252=1),$BV$255,HLOOKUP(INDIRECT(ADDRESS(2,COLUMN())),OFFSET($CL$2,0,0,ROW()-1,84),ROW()-1,FALSE))</f>
        <v>29.611910640000001</v>
      </c>
      <c r="BW5">
        <f ca="1">IF(AND(ISNUMBER($BW$255),$B$252=1),$BW$255,HLOOKUP(INDIRECT(ADDRESS(2,COLUMN())),OFFSET($CL$2,0,0,ROW()-1,84),ROW()-1,FALSE))</f>
        <v>28.482514900000002</v>
      </c>
      <c r="BX5">
        <f ca="1">IF(AND(ISNUMBER($BX$255),$B$252=1),$BX$255,HLOOKUP(INDIRECT(ADDRESS(2,COLUMN())),OFFSET($CL$2,0,0,ROW()-1,84),ROW()-1,FALSE))</f>
        <v>29.329119729999999</v>
      </c>
      <c r="BY5">
        <f ca="1">IF(AND(ISNUMBER($BY$255),$B$252=1),$BY$255,HLOOKUP(INDIRECT(ADDRESS(2,COLUMN())),OFFSET($CL$2,0,0,ROW()-1,84),ROW()-1,FALSE))</f>
        <v>30.51487663</v>
      </c>
      <c r="BZ5">
        <f ca="1">IF(AND(ISNUMBER($BZ$255),$B$252=1),$BZ$255,HLOOKUP(INDIRECT(ADDRESS(2,COLUMN())),OFFSET($CL$2,0,0,ROW()-1,84),ROW()-1,FALSE))</f>
        <v>29.664909300000001</v>
      </c>
      <c r="CA5">
        <f ca="1">IF(AND(ISNUMBER($CA$255),$B$252=1),$CA$255,HLOOKUP(INDIRECT(ADDRESS(2,COLUMN())),OFFSET($CL$2,0,0,ROW()-1,84),ROW()-1,FALSE))</f>
        <v>28.4059481</v>
      </c>
      <c r="CB5">
        <f ca="1">IF(AND(ISNUMBER($CB$255),$B$252=1),$CB$255,HLOOKUP(INDIRECT(ADDRESS(2,COLUMN())),OFFSET($CL$2,0,0,ROW()-1,84),ROW()-1,FALSE))</f>
        <v>29.794809910000001</v>
      </c>
      <c r="CC5">
        <f ca="1">IF(AND(ISNUMBER($CC$255),$B$252=1),$CC$255,HLOOKUP(INDIRECT(ADDRESS(2,COLUMN())),OFFSET($CL$2,0,0,ROW()-1,84),ROW()-1,FALSE))</f>
        <v>28.609677040000001</v>
      </c>
      <c r="CD5">
        <f ca="1">IF(AND(ISNUMBER($CD$255),$B$252=1),$CD$255,HLOOKUP(INDIRECT(ADDRESS(2,COLUMN())),OFFSET($CL$2,0,0,ROW()-1,84),ROW()-1,FALSE))</f>
        <v>28.469018940000002</v>
      </c>
      <c r="CE5">
        <f ca="1">IF(AND(ISNUMBER($CE$255),$B$252=1),$CE$255,HLOOKUP(INDIRECT(ADDRESS(2,COLUMN())),OFFSET($CL$2,0,0,ROW()-1,84),ROW()-1,FALSE))</f>
        <v>30.48476685</v>
      </c>
      <c r="CF5">
        <f ca="1">IF(AND(ISNUMBER($CF$255),$B$252=1),$CF$255,HLOOKUP(INDIRECT(ADDRESS(2,COLUMN())),OFFSET($CL$2,0,0,ROW()-1,84),ROW()-1,FALSE))</f>
        <v>26.006340479999999</v>
      </c>
      <c r="CG5">
        <f ca="1">IF(AND(ISNUMBER($CG$255),$B$252=1),$CG$255,HLOOKUP(INDIRECT(ADDRESS(2,COLUMN())),OFFSET($CL$2,0,0,ROW()-1,84),ROW()-1,FALSE))</f>
        <v>32.43672128</v>
      </c>
      <c r="CH5">
        <f ca="1">IF(AND(ISNUMBER($CH$255),$B$252=1),$CH$255,HLOOKUP(INDIRECT(ADDRESS(2,COLUMN())),OFFSET($CL$2,0,0,ROW()-1,84),ROW()-1,FALSE))</f>
        <v>31.915850039999999</v>
      </c>
      <c r="CI5">
        <f ca="1">IF(AND(ISNUMBER($CI$255),$B$252=1),$CI$255,HLOOKUP(INDIRECT(ADDRESS(2,COLUMN())),OFFSET($CL$2,0,0,ROW()-1,84),ROW()-1,FALSE))</f>
        <v>30.538752110000001</v>
      </c>
      <c r="CJ5">
        <f ca="1">IF(AND(ISNUMBER($CJ$255),$B$252=1),$CJ$255,HLOOKUP(INDIRECT(ADDRESS(2,COLUMN())),OFFSET($CL$2,0,0,ROW()-1,84),ROW()-1,FALSE))</f>
        <v>32.343243309999998</v>
      </c>
      <c r="CK5">
        <f ca="1">IF(AND(ISNUMBER($CK$255),$B$252=1),$CK$255,HLOOKUP(INDIRECT(ADDRESS(2,COLUMN())),OFFSET($CL$2,0,0,ROW()-1,84),ROW()-1,FALSE))</f>
        <v>30.77311216</v>
      </c>
      <c r="CL5">
        <f>19.09964234</f>
        <v>19.099642339999999</v>
      </c>
      <c r="CM5">
        <f>18.44698649</f>
        <v>18.44698649</v>
      </c>
      <c r="CN5">
        <f>20.14720227</f>
        <v>20.147202270000001</v>
      </c>
      <c r="CO5">
        <f>21.09426266</f>
        <v>21.094262659999998</v>
      </c>
      <c r="CP5">
        <f>21.65437102</f>
        <v>21.654371019999999</v>
      </c>
      <c r="CQ5">
        <f>21.65437102</f>
        <v>21.654371019999999</v>
      </c>
      <c r="CR5">
        <f>21.30685974</f>
        <v>21.30685974</v>
      </c>
      <c r="CS5">
        <f>23.06180929</f>
        <v>23.061809289999999</v>
      </c>
      <c r="CT5">
        <f>23.62935608</f>
        <v>23.629356080000001</v>
      </c>
      <c r="CU5">
        <f>23.60724386</f>
        <v>23.607243860000001</v>
      </c>
      <c r="CV5">
        <f>23.23609668</f>
        <v>23.236096679999999</v>
      </c>
      <c r="CW5">
        <f>23.06599348</f>
        <v>23.065993479999999</v>
      </c>
      <c r="CX5">
        <f>22.30781923</f>
        <v>22.30781923</v>
      </c>
      <c r="CY5">
        <f>22.248592</f>
        <v>22.248591999999999</v>
      </c>
      <c r="CZ5">
        <f>20.98108325</f>
        <v>20.981083250000001</v>
      </c>
      <c r="DA5">
        <f>21.44595752</f>
        <v>21.44595752</v>
      </c>
      <c r="DB5">
        <f>20.22765302</f>
        <v>20.227653020000002</v>
      </c>
      <c r="DC5">
        <f>21.05033524</f>
        <v>21.050335239999999</v>
      </c>
      <c r="DD5">
        <f>21.8693283</f>
        <v>21.869328299999999</v>
      </c>
      <c r="DE5">
        <f>21.74991832</f>
        <v>21.749918319999999</v>
      </c>
      <c r="DF5">
        <f>23.07223779</f>
        <v>23.072237789999999</v>
      </c>
      <c r="DG5">
        <f>22.41853474</f>
        <v>22.418534739999998</v>
      </c>
      <c r="DH5">
        <f>21.83260095</f>
        <v>21.83260095</v>
      </c>
      <c r="DI5">
        <f>21.45755794</f>
        <v>21.457557940000001</v>
      </c>
      <c r="DJ5">
        <f>23.08517178</f>
        <v>23.08517178</v>
      </c>
      <c r="DK5">
        <f>21.32424241</f>
        <v>21.32424241</v>
      </c>
      <c r="DL5">
        <f>21.30560668</f>
        <v>21.30560668</v>
      </c>
      <c r="DM5">
        <f>22.87597737</f>
        <v>22.875977370000001</v>
      </c>
      <c r="DN5">
        <f>23.17984828</f>
        <v>23.179848280000002</v>
      </c>
      <c r="DO5">
        <f>22.29238614</f>
        <v>22.292386140000001</v>
      </c>
      <c r="DP5">
        <f>22.29111105</f>
        <v>22.291111050000001</v>
      </c>
      <c r="DQ5">
        <f>20.72944123</f>
        <v>20.729441229999999</v>
      </c>
      <c r="DR5">
        <f>21.64371684</f>
        <v>21.64371684</v>
      </c>
      <c r="DS5">
        <f>20.0776431</f>
        <v>20.0776431</v>
      </c>
      <c r="DT5">
        <f>22.22963952</f>
        <v>22.229639519999999</v>
      </c>
      <c r="DU5">
        <f>21.94125501</f>
        <v>21.941255009999999</v>
      </c>
      <c r="DV5">
        <f>23.26435247</f>
        <v>23.264352469999999</v>
      </c>
      <c r="DW5">
        <f>23.21931034</f>
        <v>23.21931034</v>
      </c>
      <c r="DX5">
        <f>23.86068966</f>
        <v>23.860689659999998</v>
      </c>
      <c r="DY5">
        <f>22.53655172</f>
        <v>22.536551719999999</v>
      </c>
      <c r="DZ5">
        <f>22.98014738</f>
        <v>22.980147379999998</v>
      </c>
      <c r="EA5">
        <f>22.27269213</f>
        <v>22.272692129999999</v>
      </c>
      <c r="EB5">
        <f>20.14746797</f>
        <v>20.147467970000001</v>
      </c>
      <c r="EC5">
        <f>25.52630825</f>
        <v>25.52630825</v>
      </c>
      <c r="ED5">
        <f>24.52910918</f>
        <v>24.529109179999999</v>
      </c>
      <c r="EE5">
        <f>23.55344432</f>
        <v>23.553444320000001</v>
      </c>
      <c r="EF5">
        <f>24.13513634</f>
        <v>24.135136339999999</v>
      </c>
      <c r="EG5">
        <f>23.2350033</f>
        <v>23.235003299999999</v>
      </c>
      <c r="EH5">
        <f>22.3450797</f>
        <v>22.345079699999999</v>
      </c>
      <c r="EI5">
        <f>25.70706385</f>
        <v>25.707063850000001</v>
      </c>
      <c r="EJ5">
        <f>24.61675107</f>
        <v>24.616751069999999</v>
      </c>
      <c r="EK5">
        <f>23.56630347</f>
        <v>23.566303470000001</v>
      </c>
      <c r="EL5">
        <f>24.80550609</f>
        <v>24.805506090000002</v>
      </c>
      <c r="EM5">
        <f>26.16336485</f>
        <v>26.163364850000001</v>
      </c>
      <c r="EN5">
        <f>26.59018023</f>
        <v>26.590180230000001</v>
      </c>
      <c r="EO5">
        <f>24.59759896</f>
        <v>24.597598959999999</v>
      </c>
      <c r="EP5">
        <f>26.86875742</f>
        <v>26.868757420000001</v>
      </c>
      <c r="EQ5">
        <f>26.78339045</f>
        <v>26.783390449999999</v>
      </c>
      <c r="ER5">
        <f>27.50794332</f>
        <v>27.507943319999999</v>
      </c>
      <c r="ES5">
        <f>27.58673887</f>
        <v>27.586738870000001</v>
      </c>
      <c r="ET5">
        <f>26.26587653</f>
        <v>26.26587653</v>
      </c>
      <c r="EU5">
        <f>23.45279296</f>
        <v>23.45279296</v>
      </c>
      <c r="EV5">
        <f>24.38466714</f>
        <v>24.384667140000001</v>
      </c>
      <c r="EW5">
        <f>25.47435871</f>
        <v>25.474358710000001</v>
      </c>
      <c r="EX5">
        <f>25.14874282</f>
        <v>25.148742819999999</v>
      </c>
      <c r="EY5">
        <f>25.86815067</f>
        <v>25.868150669999999</v>
      </c>
      <c r="EZ5">
        <f>25.95020515</f>
        <v>25.950205149999999</v>
      </c>
      <c r="FA5">
        <f>28.49056763</f>
        <v>28.490567630000001</v>
      </c>
      <c r="FB5">
        <f>29.61191064</f>
        <v>29.611910640000001</v>
      </c>
      <c r="FC5">
        <f>28.4825149</f>
        <v>28.482514900000002</v>
      </c>
      <c r="FD5">
        <f>29.32911973</f>
        <v>29.329119729999999</v>
      </c>
      <c r="FE5">
        <f>30.51487663</f>
        <v>30.51487663</v>
      </c>
      <c r="FF5">
        <f>29.6649093</f>
        <v>29.664909300000001</v>
      </c>
      <c r="FG5">
        <f>28.4059481</f>
        <v>28.4059481</v>
      </c>
      <c r="FH5">
        <f>29.79480991</f>
        <v>29.794809910000001</v>
      </c>
      <c r="FI5">
        <f>28.60967704</f>
        <v>28.609677040000001</v>
      </c>
      <c r="FJ5">
        <f>28.46901894</f>
        <v>28.469018940000002</v>
      </c>
      <c r="FK5">
        <f>30.48476685</f>
        <v>30.48476685</v>
      </c>
      <c r="FL5">
        <f>26.00634048</f>
        <v>26.006340479999999</v>
      </c>
      <c r="FM5">
        <f>32.43672128</f>
        <v>32.43672128</v>
      </c>
      <c r="FN5">
        <f>31.91585004</f>
        <v>31.915850039999999</v>
      </c>
      <c r="FO5">
        <f>30.53875211</f>
        <v>30.538752110000001</v>
      </c>
      <c r="FP5">
        <f>32.34324331</f>
        <v>32.343243309999998</v>
      </c>
      <c r="FQ5">
        <f>30.77311216</f>
        <v>30.77311216</v>
      </c>
    </row>
    <row r="6" spans="1:173">
      <c r="A6" t="str">
        <f>"    Camden 房地产信托公司"</f>
        <v xml:space="preserve">    Camden 房地产信托公司</v>
      </c>
      <c r="B6" t="str">
        <f>"CPT US Equity"</f>
        <v>CPT US Equity</v>
      </c>
      <c r="C6" t="str">
        <f t="shared" si="0"/>
        <v>RR857</v>
      </c>
      <c r="D6" t="str">
        <f t="shared" si="1"/>
        <v>PX_TO_FFO_RATIO</v>
      </c>
      <c r="E6" t="str">
        <f t="shared" si="2"/>
        <v>动态</v>
      </c>
      <c r="F6">
        <f ca="1">IF(AND(ISNUMBER($F$256),$B$252=1),$F$256,HLOOKUP(INDIRECT(ADDRESS(2,COLUMN())),OFFSET($CL$2,0,0,ROW()-1,84),ROW()-1,FALSE))</f>
        <v>18.262693160000001</v>
      </c>
      <c r="G6">
        <f ca="1">IF(AND(ISNUMBER($G$256),$B$252=1),$G$256,HLOOKUP(INDIRECT(ADDRESS(2,COLUMN())),OFFSET($CL$2,0,0,ROW()-1,84),ROW()-1,FALSE))</f>
        <v>17.59602649</v>
      </c>
      <c r="H6">
        <f ca="1">IF(AND(ISNUMBER($H$256),$B$252=1),$H$256,HLOOKUP(INDIRECT(ADDRESS(2,COLUMN())),OFFSET($CL$2,0,0,ROW()-1,84),ROW()-1,FALSE))</f>
        <v>19.108167770000001</v>
      </c>
      <c r="I6">
        <f ca="1">IF(AND(ISNUMBER($I$256),$B$252=1),$I$256,HLOOKUP(INDIRECT(ADDRESS(2,COLUMN())),OFFSET($CL$2,0,0,ROW()-1,84),ROW()-1,FALSE))</f>
        <v>20.32229581</v>
      </c>
      <c r="J6">
        <f ca="1">IF(AND(ISNUMBER($J$256),$B$252=1),$J$256,HLOOKUP(INDIRECT(ADDRESS(2,COLUMN())),OFFSET($CL$2,0,0,ROW()-1,84),ROW()-1,FALSE))</f>
        <v>20.284444440000001</v>
      </c>
      <c r="K6">
        <f ca="1">IF(AND(ISNUMBER($K$256),$B$252=1),$K$256,HLOOKUP(INDIRECT(ADDRESS(2,COLUMN())),OFFSET($CL$2,0,0,ROW()-1,84),ROW()-1,FALSE))</f>
        <v>20.275555560000001</v>
      </c>
      <c r="L6">
        <f ca="1">IF(AND(ISNUMBER($L$256),$B$252=1),$L$256,HLOOKUP(INDIRECT(ADDRESS(2,COLUMN())),OFFSET($CL$2,0,0,ROW()-1,84),ROW()-1,FALSE))</f>
        <v>20.32222222</v>
      </c>
      <c r="M6">
        <f ca="1">IF(AND(ISNUMBER($M$256),$B$252=1),$M$256,HLOOKUP(INDIRECT(ADDRESS(2,COLUMN())),OFFSET($CL$2,0,0,ROW()-1,84),ROW()-1,FALSE))</f>
        <v>19.79646018</v>
      </c>
      <c r="N6">
        <f ca="1">IF(AND(ISNUMBER($N$256),$B$252=1),$N$256,HLOOKUP(INDIRECT(ADDRESS(2,COLUMN())),OFFSET($CL$2,0,0,ROW()-1,84),ROW()-1,FALSE))</f>
        <v>19.84513274</v>
      </c>
      <c r="O6">
        <f ca="1">IF(AND(ISNUMBER($O$256),$B$252=1),$O$256,HLOOKUP(INDIRECT(ADDRESS(2,COLUMN())),OFFSET($CL$2,0,0,ROW()-1,84),ROW()-1,FALSE))</f>
        <v>18.918141590000001</v>
      </c>
      <c r="P6">
        <f ca="1">IF(AND(ISNUMBER($P$256),$B$252=1),$P$256,HLOOKUP(INDIRECT(ADDRESS(2,COLUMN())),OFFSET($CL$2,0,0,ROW()-1,84),ROW()-1,FALSE))</f>
        <v>18.43141593</v>
      </c>
      <c r="Q6">
        <f ca="1">IF(AND(ISNUMBER($Q$256),$B$252=1),$Q$256,HLOOKUP(INDIRECT(ADDRESS(2,COLUMN())),OFFSET($CL$2,0,0,ROW()-1,84),ROW()-1,FALSE))</f>
        <v>18.214601770000002</v>
      </c>
      <c r="R6">
        <f ca="1">IF(AND(ISNUMBER($R$256),$B$252=1),$R$256,HLOOKUP(INDIRECT(ADDRESS(2,COLUMN())),OFFSET($CL$2,0,0,ROW()-1,84),ROW()-1,FALSE))</f>
        <v>17.800884960000001</v>
      </c>
      <c r="S6">
        <f ca="1">IF(AND(ISNUMBER($S$256),$B$252=1),$S$256,HLOOKUP(INDIRECT(ADDRESS(2,COLUMN())),OFFSET($CL$2,0,0,ROW()-1,84),ROW()-1,FALSE))</f>
        <v>18.282937369999999</v>
      </c>
      <c r="T6">
        <f ca="1">IF(AND(ISNUMBER($T$256),$B$252=1),$T$256,HLOOKUP(INDIRECT(ADDRESS(2,COLUMN())),OFFSET($CL$2,0,0,ROW()-1,84),ROW()-1,FALSE))</f>
        <v>18.049676030000001</v>
      </c>
      <c r="U6">
        <f ca="1">IF(AND(ISNUMBER($U$256),$B$252=1),$U$256,HLOOKUP(INDIRECT(ADDRESS(2,COLUMN())),OFFSET($CL$2,0,0,ROW()-1,84),ROW()-1,FALSE))</f>
        <v>18.15766739</v>
      </c>
      <c r="V6">
        <f ca="1">IF(AND(ISNUMBER($V$256),$B$252=1),$V$256,HLOOKUP(INDIRECT(ADDRESS(2,COLUMN())),OFFSET($CL$2,0,0,ROW()-1,84),ROW()-1,FALSE))</f>
        <v>16.818376069999999</v>
      </c>
      <c r="W6">
        <f ca="1">IF(AND(ISNUMBER($W$256),$B$252=1),$W$256,HLOOKUP(INDIRECT(ADDRESS(2,COLUMN())),OFFSET($CL$2,0,0,ROW()-1,84),ROW()-1,FALSE))</f>
        <v>17.401709400000001</v>
      </c>
      <c r="X6">
        <f ca="1">IF(AND(ISNUMBER($X$256),$B$252=1),$X$256,HLOOKUP(INDIRECT(ADDRESS(2,COLUMN())),OFFSET($CL$2,0,0,ROW()-1,84),ROW()-1,FALSE))</f>
        <v>17.893162390000001</v>
      </c>
      <c r="Y6">
        <f ca="1">IF(AND(ISNUMBER($Y$256),$B$252=1),$Y$256,HLOOKUP(INDIRECT(ADDRESS(2,COLUMN())),OFFSET($CL$2,0,0,ROW()-1,84),ROW()-1,FALSE))</f>
        <v>18.714285709999999</v>
      </c>
      <c r="Z6">
        <f ca="1">IF(AND(ISNUMBER($Z$256),$B$252=1),$Z$256,HLOOKUP(INDIRECT(ADDRESS(2,COLUMN())),OFFSET($CL$2,0,0,ROW()-1,84),ROW()-1,FALSE))</f>
        <v>19.102345419999999</v>
      </c>
      <c r="AA6">
        <f ca="1">IF(AND(ISNUMBER($AA$256),$B$252=1),$AA$256,HLOOKUP(INDIRECT(ADDRESS(2,COLUMN())),OFFSET($CL$2,0,0,ROW()-1,84),ROW()-1,FALSE))</f>
        <v>18.852878459999999</v>
      </c>
      <c r="AB6">
        <f ca="1">IF(AND(ISNUMBER($AB$256),$B$252=1),$AB$256,HLOOKUP(INDIRECT(ADDRESS(2,COLUMN())),OFFSET($CL$2,0,0,ROW()-1,84),ROW()-1,FALSE))</f>
        <v>18.285407729999999</v>
      </c>
      <c r="AC6">
        <f ca="1">IF(AND(ISNUMBER($AC$256),$B$252=1),$AC$256,HLOOKUP(INDIRECT(ADDRESS(2,COLUMN())),OFFSET($CL$2,0,0,ROW()-1,84),ROW()-1,FALSE))</f>
        <v>17.32403433</v>
      </c>
      <c r="AD6">
        <f ca="1">IF(AND(ISNUMBER($AD$256),$B$252=1),$AD$256,HLOOKUP(INDIRECT(ADDRESS(2,COLUMN())),OFFSET($CL$2,0,0,ROW()-1,84),ROW()-1,FALSE))</f>
        <v>18.045064379999999</v>
      </c>
      <c r="AE6">
        <f ca="1">IF(AND(ISNUMBER($AE$256),$B$252=1),$AE$256,HLOOKUP(INDIRECT(ADDRESS(2,COLUMN())),OFFSET($CL$2,0,0,ROW()-1,84),ROW()-1,FALSE))</f>
        <v>16.462555070000001</v>
      </c>
      <c r="AF6">
        <f ca="1">IF(AND(ISNUMBER($AF$256),$B$252=1),$AF$256,HLOOKUP(INDIRECT(ADDRESS(2,COLUMN())),OFFSET($CL$2,0,0,ROW()-1,84),ROW()-1,FALSE))</f>
        <v>16.8061674</v>
      </c>
      <c r="AG6">
        <f ca="1">IF(AND(ISNUMBER($AG$256),$B$252=1),$AG$256,HLOOKUP(INDIRECT(ADDRESS(2,COLUMN())),OFFSET($CL$2,0,0,ROW()-1,84),ROW()-1,FALSE))</f>
        <v>16.907488990000001</v>
      </c>
      <c r="AH6">
        <f ca="1">IF(AND(ISNUMBER($AH$256),$B$252=1),$AH$256,HLOOKUP(INDIRECT(ADDRESS(2,COLUMN())),OFFSET($CL$2,0,0,ROW()-1,84),ROW()-1,FALSE))</f>
        <v>17.639722859999999</v>
      </c>
      <c r="AI6">
        <f ca="1">IF(AND(ISNUMBER($AI$256),$B$252=1),$AI$256,HLOOKUP(INDIRECT(ADDRESS(2,COLUMN())),OFFSET($CL$2,0,0,ROW()-1,84),ROW()-1,FALSE))</f>
        <v>17.041570440000001</v>
      </c>
      <c r="AJ6">
        <f ca="1">IF(AND(ISNUMBER($AJ$256),$B$252=1),$AJ$256,HLOOKUP(INDIRECT(ADDRESS(2,COLUMN())),OFFSET($CL$2,0,0,ROW()-1,84),ROW()-1,FALSE))</f>
        <v>17.066974600000002</v>
      </c>
      <c r="AK6">
        <f ca="1">IF(AND(ISNUMBER($AK$256),$B$252=1),$AK$256,HLOOKUP(INDIRECT(ADDRESS(2,COLUMN())),OFFSET($CL$2,0,0,ROW()-1,84),ROW()-1,FALSE))</f>
        <v>16.82943925</v>
      </c>
      <c r="AL6">
        <f ca="1">IF(AND(ISNUMBER($AL$256),$B$252=1),$AL$256,HLOOKUP(INDIRECT(ADDRESS(2,COLUMN())),OFFSET($CL$2,0,0,ROW()-1,84),ROW()-1,FALSE))</f>
        <v>18.60514019</v>
      </c>
      <c r="AM6">
        <f ca="1">IF(AND(ISNUMBER($AM$256),$B$252=1),$AM$256,HLOOKUP(INDIRECT(ADDRESS(2,COLUMN())),OFFSET($CL$2,0,0,ROW()-1,84),ROW()-1,FALSE))</f>
        <v>17.35514019</v>
      </c>
      <c r="AN6">
        <f ca="1">IF(AND(ISNUMBER($AN$256),$B$252=1),$AN$256,HLOOKUP(INDIRECT(ADDRESS(2,COLUMN())),OFFSET($CL$2,0,0,ROW()-1,84),ROW()-1,FALSE))</f>
        <v>17.809976249999998</v>
      </c>
      <c r="AO6">
        <f ca="1">IF(AND(ISNUMBER($AO$256),$B$252=1),$AO$256,HLOOKUP(INDIRECT(ADDRESS(2,COLUMN())),OFFSET($CL$2,0,0,ROW()-1,84),ROW()-1,FALSE))</f>
        <v>17.833729219999999</v>
      </c>
      <c r="AP6">
        <f ca="1">IF(AND(ISNUMBER($AP$256),$B$252=1),$AP$256,HLOOKUP(INDIRECT(ADDRESS(2,COLUMN())),OFFSET($CL$2,0,0,ROW()-1,84),ROW()-1,FALSE))</f>
        <v>18.55819477</v>
      </c>
      <c r="AQ6">
        <f ca="1">IF(AND(ISNUMBER($AQ$256),$B$252=1),$AQ$256,HLOOKUP(INDIRECT(ADDRESS(2,COLUMN())),OFFSET($CL$2,0,0,ROW()-1,84),ROW()-1,FALSE))</f>
        <v>17.413875600000001</v>
      </c>
      <c r="AR6">
        <f ca="1">IF(AND(ISNUMBER($AR$256),$B$252=1),$AR$256,HLOOKUP(INDIRECT(ADDRESS(2,COLUMN())),OFFSET($CL$2,0,0,ROW()-1,84),ROW()-1,FALSE))</f>
        <v>18.433014350000001</v>
      </c>
      <c r="AS6">
        <f ca="1">IF(AND(ISNUMBER($AS$256),$B$252=1),$AS$256,HLOOKUP(INDIRECT(ADDRESS(2,COLUMN())),OFFSET($CL$2,0,0,ROW()-1,84),ROW()-1,FALSE))</f>
        <v>17.665071770000001</v>
      </c>
      <c r="AT6">
        <f ca="1">IF(AND(ISNUMBER($AT$256),$B$252=1),$AT$256,HLOOKUP(INDIRECT(ADDRESS(2,COLUMN())),OFFSET($CL$2,0,0,ROW()-1,84),ROW()-1,FALSE))</f>
        <v>17.957845429999999</v>
      </c>
      <c r="AU6">
        <f ca="1">IF(AND(ISNUMBER($AU$256),$B$252=1),$AU$256,HLOOKUP(INDIRECT(ADDRESS(2,COLUMN())),OFFSET($CL$2,0,0,ROW()-1,84),ROW()-1,FALSE))</f>
        <v>17.95550351</v>
      </c>
      <c r="AV6">
        <f ca="1">IF(AND(ISNUMBER($AV$256),$B$252=1),$AV$256,HLOOKUP(INDIRECT(ADDRESS(2,COLUMN())),OFFSET($CL$2,0,0,ROW()-1,84),ROW()-1,FALSE))</f>
        <v>16.049180329999999</v>
      </c>
      <c r="AW6">
        <f ca="1">IF(AND(ISNUMBER($AW$256),$B$252=1),$AW$256,HLOOKUP(INDIRECT(ADDRESS(2,COLUMN())),OFFSET($CL$2,0,0,ROW()-1,84),ROW()-1,FALSE))</f>
        <v>17.73459716</v>
      </c>
      <c r="AX6">
        <f ca="1">IF(AND(ISNUMBER($AX$256),$B$252=1),$AX$256,HLOOKUP(INDIRECT(ADDRESS(2,COLUMN())),OFFSET($CL$2,0,0,ROW()-1,84),ROW()-1,FALSE))</f>
        <v>17.146919430000001</v>
      </c>
      <c r="AY6">
        <f ca="1">IF(AND(ISNUMBER($AY$256),$B$252=1),$AY$256,HLOOKUP(INDIRECT(ADDRESS(2,COLUMN())),OFFSET($CL$2,0,0,ROW()-1,84),ROW()-1,FALSE))</f>
        <v>16.860189569999999</v>
      </c>
      <c r="AZ6">
        <f ca="1">IF(AND(ISNUMBER($AZ$256),$B$252=1),$AZ$256,HLOOKUP(INDIRECT(ADDRESS(2,COLUMN())),OFFSET($CL$2,0,0,ROW()-1,84),ROW()-1,FALSE))</f>
        <v>16.763723150000001</v>
      </c>
      <c r="BA6">
        <f ca="1">IF(AND(ISNUMBER($BA$256),$B$252=1),$BA$256,HLOOKUP(INDIRECT(ADDRESS(2,COLUMN())),OFFSET($CL$2,0,0,ROW()-1,84),ROW()-1,FALSE))</f>
        <v>16.34606205</v>
      </c>
      <c r="BB6">
        <f ca="1">IF(AND(ISNUMBER($BB$256),$B$252=1),$BB$256,HLOOKUP(INDIRECT(ADDRESS(2,COLUMN())),OFFSET($CL$2,0,0,ROW()-1,84),ROW()-1,FALSE))</f>
        <v>16.07159905</v>
      </c>
      <c r="BC6">
        <f ca="1">IF(AND(ISNUMBER($BC$256),$B$252=1),$BC$256,HLOOKUP(INDIRECT(ADDRESS(2,COLUMN())),OFFSET($CL$2,0,0,ROW()-1,84),ROW()-1,FALSE))</f>
        <v>16.228710459999999</v>
      </c>
      <c r="BD6">
        <f ca="1">IF(AND(ISNUMBER($BD$256),$B$252=1),$BD$256,HLOOKUP(INDIRECT(ADDRESS(2,COLUMN())),OFFSET($CL$2,0,0,ROW()-1,84),ROW()-1,FALSE))</f>
        <v>15.041362530000001</v>
      </c>
      <c r="BE6">
        <f ca="1">IF(AND(ISNUMBER($BE$256),$B$252=1),$BE$256,HLOOKUP(INDIRECT(ADDRESS(2,COLUMN())),OFFSET($CL$2,0,0,ROW()-1,84),ROW()-1,FALSE))</f>
        <v>13.83941606</v>
      </c>
      <c r="BF6">
        <f ca="1">IF(AND(ISNUMBER($BF$256),$B$252=1),$BF$256,HLOOKUP(INDIRECT(ADDRESS(2,COLUMN())),OFFSET($CL$2,0,0,ROW()-1,84),ROW()-1,FALSE))</f>
        <v>14.48</v>
      </c>
      <c r="BG6">
        <f ca="1">IF(AND(ISNUMBER($BG$256),$B$252=1),$BG$256,HLOOKUP(INDIRECT(ADDRESS(2,COLUMN())),OFFSET($CL$2,0,0,ROW()-1,84),ROW()-1,FALSE))</f>
        <v>16.05</v>
      </c>
      <c r="BH6">
        <f ca="1">IF(AND(ISNUMBER($BH$256),$B$252=1),$BH$256,HLOOKUP(INDIRECT(ADDRESS(2,COLUMN())),OFFSET($CL$2,0,0,ROW()-1,84),ROW()-1,FALSE))</f>
        <v>15.36</v>
      </c>
      <c r="BI6">
        <f ca="1">IF(AND(ISNUMBER($BI$256),$B$252=1),$BI$256,HLOOKUP(INDIRECT(ADDRESS(2,COLUMN())),OFFSET($CL$2,0,0,ROW()-1,84),ROW()-1,FALSE))</f>
        <v>15.88431877</v>
      </c>
      <c r="BJ6">
        <f ca="1">IF(AND(ISNUMBER($BJ$256),$B$252=1),$BJ$256,HLOOKUP(INDIRECT(ADDRESS(2,COLUMN())),OFFSET($CL$2,0,0,ROW()-1,84),ROW()-1,FALSE))</f>
        <v>18.133676090000002</v>
      </c>
      <c r="BK6">
        <f ca="1">IF(AND(ISNUMBER($BK$256),$B$252=1),$BK$256,HLOOKUP(INDIRECT(ADDRESS(2,COLUMN())),OFFSET($CL$2,0,0,ROW()-1,84),ROW()-1,FALSE))</f>
        <v>17.773778920000002</v>
      </c>
      <c r="BL6">
        <f ca="1">IF(AND(ISNUMBER($BL$256),$B$252=1),$BL$256,HLOOKUP(INDIRECT(ADDRESS(2,COLUMN())),OFFSET($CL$2,0,0,ROW()-1,84),ROW()-1,FALSE))</f>
        <v>18.41755319</v>
      </c>
      <c r="BM6">
        <f ca="1">IF(AND(ISNUMBER($BM$256),$B$252=1),$BM$256,HLOOKUP(INDIRECT(ADDRESS(2,COLUMN())),OFFSET($CL$2,0,0,ROW()-1,84),ROW()-1,FALSE))</f>
        <v>19.2393617</v>
      </c>
      <c r="BN6">
        <f ca="1">IF(AND(ISNUMBER($BN$256),$B$252=1),$BN$256,HLOOKUP(INDIRECT(ADDRESS(2,COLUMN())),OFFSET($CL$2,0,0,ROW()-1,84),ROW()-1,FALSE))</f>
        <v>18.265957449999998</v>
      </c>
      <c r="BO6">
        <f ca="1">IF(AND(ISNUMBER($BO$256),$B$252=1),$BO$256,HLOOKUP(INDIRECT(ADDRESS(2,COLUMN())),OFFSET($CL$2,0,0,ROW()-1,84),ROW()-1,FALSE))</f>
        <v>19.099447510000001</v>
      </c>
      <c r="BP6">
        <f ca="1">IF(AND(ISNUMBER($BP$256),$B$252=1),$BP$256,HLOOKUP(INDIRECT(ADDRESS(2,COLUMN())),OFFSET($CL$2,0,0,ROW()-1,84),ROW()-1,FALSE))</f>
        <v>19.168508289999998</v>
      </c>
      <c r="BQ6">
        <f ca="1">IF(AND(ISNUMBER($BQ$256),$B$252=1),$BQ$256,HLOOKUP(INDIRECT(ADDRESS(2,COLUMN())),OFFSET($CL$2,0,0,ROW()-1,84),ROW()-1,FALSE))</f>
        <v>18.842541440000002</v>
      </c>
      <c r="BR6">
        <f ca="1">IF(AND(ISNUMBER($BR$256),$B$252=1),$BR$256,HLOOKUP(INDIRECT(ADDRESS(2,COLUMN())),OFFSET($CL$2,0,0,ROW()-1,84),ROW()-1,FALSE))</f>
        <v>18.825214899999999</v>
      </c>
      <c r="BS6">
        <f ca="1">IF(AND(ISNUMBER($BS$256),$B$252=1),$BS$256,HLOOKUP(INDIRECT(ADDRESS(2,COLUMN())),OFFSET($CL$2,0,0,ROW()-1,84),ROW()-1,FALSE))</f>
        <v>18.80515759</v>
      </c>
      <c r="BT6">
        <f ca="1">IF(AND(ISNUMBER($BT$256),$B$252=1),$BT$256,HLOOKUP(INDIRECT(ADDRESS(2,COLUMN())),OFFSET($CL$2,0,0,ROW()-1,84),ROW()-1,FALSE))</f>
        <v>18.478510029999999</v>
      </c>
      <c r="BU6">
        <f ca="1">IF(AND(ISNUMBER($BU$256),$B$252=1),$BU$256,HLOOKUP(INDIRECT(ADDRESS(2,COLUMN())),OFFSET($CL$2,0,0,ROW()-1,84),ROW()-1,FALSE))</f>
        <v>20.849849849999998</v>
      </c>
      <c r="BV6">
        <f ca="1">IF(AND(ISNUMBER($BV$256),$B$252=1),$BV$256,HLOOKUP(INDIRECT(ADDRESS(2,COLUMN())),OFFSET($CL$2,0,0,ROW()-1,84),ROW()-1,FALSE))</f>
        <v>21.414414409999999</v>
      </c>
      <c r="BW6">
        <f ca="1">IF(AND(ISNUMBER($BW$256),$B$252=1),$BW$256,HLOOKUP(INDIRECT(ADDRESS(2,COLUMN())),OFFSET($CL$2,0,0,ROW()-1,84),ROW()-1,FALSE))</f>
        <v>20.321321319999999</v>
      </c>
      <c r="BX6">
        <f ca="1">IF(AND(ISNUMBER($BX$256),$B$252=1),$BX$256,HLOOKUP(INDIRECT(ADDRESS(2,COLUMN())),OFFSET($CL$2,0,0,ROW()-1,84),ROW()-1,FALSE))</f>
        <v>22.926056339999999</v>
      </c>
      <c r="BY6">
        <f ca="1">IF(AND(ISNUMBER($BY$256),$B$252=1),$BY$256,HLOOKUP(INDIRECT(ADDRESS(2,COLUMN())),OFFSET($CL$2,0,0,ROW()-1,84),ROW()-1,FALSE))</f>
        <v>23.827464790000001</v>
      </c>
      <c r="BZ6">
        <f ca="1">IF(AND(ISNUMBER($BZ$256),$B$252=1),$BZ$256,HLOOKUP(INDIRECT(ADDRESS(2,COLUMN())),OFFSET($CL$2,0,0,ROW()-1,84),ROW()-1,FALSE))</f>
        <v>23.151408450000002</v>
      </c>
      <c r="CA6">
        <f ca="1">IF(AND(ISNUMBER($CA$256),$B$252=1),$CA$256,HLOOKUP(INDIRECT(ADDRESS(2,COLUMN())),OFFSET($CL$2,0,0,ROW()-1,84),ROW()-1,FALSE))</f>
        <v>22.710622709999999</v>
      </c>
      <c r="CB6">
        <f ca="1">IF(AND(ISNUMBER($CB$256),$B$252=1),$CB$256,HLOOKUP(INDIRECT(ADDRESS(2,COLUMN())),OFFSET($CL$2,0,0,ROW()-1,84),ROW()-1,FALSE))</f>
        <v>23.62637363</v>
      </c>
      <c r="CC6">
        <f ca="1">IF(AND(ISNUMBER($CC$256),$B$252=1),$CC$256,HLOOKUP(INDIRECT(ADDRESS(2,COLUMN())),OFFSET($CL$2,0,0,ROW()-1,84),ROW()-1,FALSE))</f>
        <v>22.798534799999999</v>
      </c>
      <c r="CD6">
        <f ca="1">IF(AND(ISNUMBER($CD$256),$B$252=1),$CD$256,HLOOKUP(INDIRECT(ADDRESS(2,COLUMN())),OFFSET($CL$2,0,0,ROW()-1,84),ROW()-1,FALSE))</f>
        <v>22.034351149999999</v>
      </c>
      <c r="CE6">
        <f ca="1">IF(AND(ISNUMBER($CE$256),$B$252=1),$CE$256,HLOOKUP(INDIRECT(ADDRESS(2,COLUMN())),OFFSET($CL$2,0,0,ROW()-1,84),ROW()-1,FALSE))</f>
        <v>23.145038169999999</v>
      </c>
      <c r="CF6">
        <f ca="1">IF(AND(ISNUMBER($CF$256),$B$252=1),$CF$256,HLOOKUP(INDIRECT(ADDRESS(2,COLUMN())),OFFSET($CL$2,0,0,ROW()-1,84),ROW()-1,FALSE))</f>
        <v>21.09160305</v>
      </c>
      <c r="CG6">
        <f ca="1">IF(AND(ISNUMBER($CG$256),$B$252=1),$CG$256,HLOOKUP(INDIRECT(ADDRESS(2,COLUMN())),OFFSET($CL$2,0,0,ROW()-1,84),ROW()-1,FALSE))</f>
        <v>26.728000000000002</v>
      </c>
      <c r="CH6">
        <f ca="1">IF(AND(ISNUMBER($CH$256),$B$252=1),$CH$256,HLOOKUP(INDIRECT(ADDRESS(2,COLUMN())),OFFSET($CL$2,0,0,ROW()-1,84),ROW()-1,FALSE))</f>
        <v>26.827999999999999</v>
      </c>
      <c r="CI6">
        <f ca="1">IF(AND(ISNUMBER($CI$256),$B$252=1),$CI$256,HLOOKUP(INDIRECT(ADDRESS(2,COLUMN())),OFFSET($CL$2,0,0,ROW()-1,84),ROW()-1,FALSE))</f>
        <v>25.448</v>
      </c>
      <c r="CJ6">
        <f ca="1">IF(AND(ISNUMBER($CJ$256),$B$252=1),$CJ$256,HLOOKUP(INDIRECT(ADDRESS(2,COLUMN())),OFFSET($CL$2,0,0,ROW()-1,84),ROW()-1,FALSE))</f>
        <v>23.289855070000002</v>
      </c>
      <c r="CK6">
        <f ca="1">IF(AND(ISNUMBER($CK$256),$B$252=1),$CK$256,HLOOKUP(INDIRECT(ADDRESS(2,COLUMN())),OFFSET($CL$2,0,0,ROW()-1,84),ROW()-1,FALSE))</f>
        <v>22.735507250000001</v>
      </c>
      <c r="CL6">
        <f>18.26269316</f>
        <v>18.262693160000001</v>
      </c>
      <c r="CM6">
        <f>17.59602649</f>
        <v>17.59602649</v>
      </c>
      <c r="CN6">
        <f>19.10816777</f>
        <v>19.108167770000001</v>
      </c>
      <c r="CO6">
        <f>20.32229581</f>
        <v>20.32229581</v>
      </c>
      <c r="CP6">
        <f>20.28444444</f>
        <v>20.284444440000001</v>
      </c>
      <c r="CQ6">
        <f>20.27555556</f>
        <v>20.275555560000001</v>
      </c>
      <c r="CR6">
        <f>20.32222222</f>
        <v>20.32222222</v>
      </c>
      <c r="CS6">
        <f>19.79646018</f>
        <v>19.79646018</v>
      </c>
      <c r="CT6">
        <f>19.84513274</f>
        <v>19.84513274</v>
      </c>
      <c r="CU6">
        <f>18.91814159</f>
        <v>18.918141590000001</v>
      </c>
      <c r="CV6">
        <f>18.43141593</f>
        <v>18.43141593</v>
      </c>
      <c r="CW6">
        <f>18.21460177</f>
        <v>18.214601770000002</v>
      </c>
      <c r="CX6">
        <f>17.80088496</f>
        <v>17.800884960000001</v>
      </c>
      <c r="CY6">
        <f>18.28293737</f>
        <v>18.282937369999999</v>
      </c>
      <c r="CZ6">
        <f>18.04967603</f>
        <v>18.049676030000001</v>
      </c>
      <c r="DA6">
        <f>18.15766739</f>
        <v>18.15766739</v>
      </c>
      <c r="DB6">
        <f>16.81837607</f>
        <v>16.818376069999999</v>
      </c>
      <c r="DC6">
        <f>17.4017094</f>
        <v>17.401709400000001</v>
      </c>
      <c r="DD6">
        <f>17.89316239</f>
        <v>17.893162390000001</v>
      </c>
      <c r="DE6">
        <f>18.71428571</f>
        <v>18.714285709999999</v>
      </c>
      <c r="DF6">
        <f>19.10234542</f>
        <v>19.102345419999999</v>
      </c>
      <c r="DG6">
        <f>18.85287846</f>
        <v>18.852878459999999</v>
      </c>
      <c r="DH6">
        <f>18.28540773</f>
        <v>18.285407729999999</v>
      </c>
      <c r="DI6">
        <f>17.32403433</f>
        <v>17.32403433</v>
      </c>
      <c r="DJ6">
        <f>18.04506438</f>
        <v>18.045064379999999</v>
      </c>
      <c r="DK6">
        <f>16.46255507</f>
        <v>16.462555070000001</v>
      </c>
      <c r="DL6">
        <f>16.8061674</f>
        <v>16.8061674</v>
      </c>
      <c r="DM6">
        <f>16.90748899</f>
        <v>16.907488990000001</v>
      </c>
      <c r="DN6">
        <f>17.63972286</f>
        <v>17.639722859999999</v>
      </c>
      <c r="DO6">
        <f>17.04157044</f>
        <v>17.041570440000001</v>
      </c>
      <c r="DP6">
        <f>17.0669746</f>
        <v>17.066974600000002</v>
      </c>
      <c r="DQ6">
        <f>16.82943925</f>
        <v>16.82943925</v>
      </c>
      <c r="DR6">
        <f>18.60514019</f>
        <v>18.60514019</v>
      </c>
      <c r="DS6">
        <f>17.35514019</f>
        <v>17.35514019</v>
      </c>
      <c r="DT6">
        <f>17.80997625</f>
        <v>17.809976249999998</v>
      </c>
      <c r="DU6">
        <f>17.83372922</f>
        <v>17.833729219999999</v>
      </c>
      <c r="DV6">
        <f>18.55819477</f>
        <v>18.55819477</v>
      </c>
      <c r="DW6">
        <f>17.4138756</f>
        <v>17.413875600000001</v>
      </c>
      <c r="DX6">
        <f>18.43301435</f>
        <v>18.433014350000001</v>
      </c>
      <c r="DY6">
        <f>17.66507177</f>
        <v>17.665071770000001</v>
      </c>
      <c r="DZ6">
        <f>17.95784543</f>
        <v>17.957845429999999</v>
      </c>
      <c r="EA6">
        <f>17.95550351</f>
        <v>17.95550351</v>
      </c>
      <c r="EB6">
        <f>16.04918033</f>
        <v>16.049180329999999</v>
      </c>
      <c r="EC6">
        <f>17.73459716</f>
        <v>17.73459716</v>
      </c>
      <c r="ED6">
        <f>17.14691943</f>
        <v>17.146919430000001</v>
      </c>
      <c r="EE6">
        <f>16.86018957</f>
        <v>16.860189569999999</v>
      </c>
      <c r="EF6">
        <f>16.76372315</f>
        <v>16.763723150000001</v>
      </c>
      <c r="EG6">
        <f>16.34606205</f>
        <v>16.34606205</v>
      </c>
      <c r="EH6">
        <f>16.07159905</f>
        <v>16.07159905</v>
      </c>
      <c r="EI6">
        <f>16.22871046</f>
        <v>16.228710459999999</v>
      </c>
      <c r="EJ6">
        <f>15.04136253</f>
        <v>15.041362530000001</v>
      </c>
      <c r="EK6">
        <f>13.83941606</f>
        <v>13.83941606</v>
      </c>
      <c r="EL6">
        <f>14.48</f>
        <v>14.48</v>
      </c>
      <c r="EM6">
        <f>16.05</f>
        <v>16.05</v>
      </c>
      <c r="EN6">
        <f>15.36</f>
        <v>15.36</v>
      </c>
      <c r="EO6">
        <f>15.88431877</f>
        <v>15.88431877</v>
      </c>
      <c r="EP6">
        <f>18.13367609</f>
        <v>18.133676090000002</v>
      </c>
      <c r="EQ6">
        <f>17.77377892</f>
        <v>17.773778920000002</v>
      </c>
      <c r="ER6">
        <f>18.41755319</f>
        <v>18.41755319</v>
      </c>
      <c r="ES6">
        <f>19.2393617</f>
        <v>19.2393617</v>
      </c>
      <c r="ET6">
        <f>18.26595745</f>
        <v>18.265957449999998</v>
      </c>
      <c r="EU6">
        <f>19.09944751</f>
        <v>19.099447510000001</v>
      </c>
      <c r="EV6">
        <f>19.16850829</f>
        <v>19.168508289999998</v>
      </c>
      <c r="EW6">
        <f>18.84254144</f>
        <v>18.842541440000002</v>
      </c>
      <c r="EX6">
        <f>18.8252149</f>
        <v>18.825214899999999</v>
      </c>
      <c r="EY6">
        <f>18.80515759</f>
        <v>18.80515759</v>
      </c>
      <c r="EZ6">
        <f>18.47851003</f>
        <v>18.478510029999999</v>
      </c>
      <c r="FA6">
        <f>20.84984985</f>
        <v>20.849849849999998</v>
      </c>
      <c r="FB6">
        <f>21.41441441</f>
        <v>21.414414409999999</v>
      </c>
      <c r="FC6">
        <f>20.32132132</f>
        <v>20.321321319999999</v>
      </c>
      <c r="FD6">
        <f>22.92605634</f>
        <v>22.926056339999999</v>
      </c>
      <c r="FE6">
        <f>23.82746479</f>
        <v>23.827464790000001</v>
      </c>
      <c r="FF6">
        <f>23.15140845</f>
        <v>23.151408450000002</v>
      </c>
      <c r="FG6">
        <f>22.71062271</f>
        <v>22.710622709999999</v>
      </c>
      <c r="FH6">
        <f>23.62637363</f>
        <v>23.62637363</v>
      </c>
      <c r="FI6">
        <f>22.7985348</f>
        <v>22.798534799999999</v>
      </c>
      <c r="FJ6">
        <f>22.03435115</f>
        <v>22.034351149999999</v>
      </c>
      <c r="FK6">
        <f>23.14503817</f>
        <v>23.145038169999999</v>
      </c>
      <c r="FL6">
        <f>21.09160305</f>
        <v>21.09160305</v>
      </c>
      <c r="FM6">
        <f>26.728</f>
        <v>26.728000000000002</v>
      </c>
      <c r="FN6">
        <f>26.828</f>
        <v>26.827999999999999</v>
      </c>
      <c r="FO6">
        <f>25.448</f>
        <v>25.448</v>
      </c>
      <c r="FP6">
        <f>23.28985507</f>
        <v>23.289855070000002</v>
      </c>
      <c r="FQ6">
        <f>22.73550725</f>
        <v>22.735507250000001</v>
      </c>
    </row>
    <row r="7" spans="1:173">
      <c r="A7" t="str">
        <f>"    公寓物业权益信托"</f>
        <v xml:space="preserve">    公寓物业权益信托</v>
      </c>
      <c r="B7" t="str">
        <f>"EQR US Equity"</f>
        <v>EQR US Equity</v>
      </c>
      <c r="C7" t="str">
        <f t="shared" si="0"/>
        <v>RR857</v>
      </c>
      <c r="D7" t="str">
        <f t="shared" si="1"/>
        <v>PX_TO_FFO_RATIO</v>
      </c>
      <c r="E7" t="str">
        <f t="shared" si="2"/>
        <v>动态</v>
      </c>
      <c r="F7">
        <f ca="1">IF(AND(ISNUMBER($F$257),$B$252=1),$F$257,HLOOKUP(INDIRECT(ADDRESS(2,COLUMN())),OFFSET($CL$2,0,0,ROW()-1,84),ROW()-1,FALSE))</f>
        <v>18.787974349999999</v>
      </c>
      <c r="G7">
        <f ca="1">IF(AND(ISNUMBER($G$257),$B$252=1),$G$257,HLOOKUP(INDIRECT(ADDRESS(2,COLUMN())),OFFSET($CL$2,0,0,ROW()-1,84),ROW()-1,FALSE))</f>
        <v>17.794303800000002</v>
      </c>
      <c r="H7">
        <f ca="1">IF(AND(ISNUMBER($H$257),$B$252=1),$H$257,HLOOKUP(INDIRECT(ADDRESS(2,COLUMN())),OFFSET($CL$2,0,0,ROW()-1,84),ROW()-1,FALSE))</f>
        <v>19.496835440000002</v>
      </c>
      <c r="I7">
        <f ca="1">IF(AND(ISNUMBER($I$257),$B$252=1),$I$257,HLOOKUP(INDIRECT(ADDRESS(2,COLUMN())),OFFSET($CL$2,0,0,ROW()-1,84),ROW()-1,FALSE))</f>
        <v>20.18037975</v>
      </c>
      <c r="J7">
        <f ca="1">IF(AND(ISNUMBER($J$257),$B$252=1),$J$257,HLOOKUP(INDIRECT(ADDRESS(2,COLUMN())),OFFSET($CL$2,0,0,ROW()-1,84),ROW()-1,FALSE))</f>
        <v>21.28025478</v>
      </c>
      <c r="K7">
        <f ca="1">IF(AND(ISNUMBER($K$257),$B$252=1),$K$257,HLOOKUP(INDIRECT(ADDRESS(2,COLUMN())),OFFSET($CL$2,0,0,ROW()-1,84),ROW()-1,FALSE))</f>
        <v>21.42038217</v>
      </c>
      <c r="L7">
        <f ca="1">IF(AND(ISNUMBER($L$257),$B$252=1),$L$257,HLOOKUP(INDIRECT(ADDRESS(2,COLUMN())),OFFSET($CL$2,0,0,ROW()-1,84),ROW()-1,FALSE))</f>
        <v>20.996815290000001</v>
      </c>
      <c r="M7">
        <f ca="1">IF(AND(ISNUMBER($M$257),$B$252=1),$M$257,HLOOKUP(INDIRECT(ADDRESS(2,COLUMN())),OFFSET($CL$2,0,0,ROW()-1,84),ROW()-1,FALSE))</f>
        <v>21.661290319999999</v>
      </c>
      <c r="N7">
        <f ca="1">IF(AND(ISNUMBER($N$257),$B$252=1),$N$257,HLOOKUP(INDIRECT(ADDRESS(2,COLUMN())),OFFSET($CL$2,0,0,ROW()-1,84),ROW()-1,FALSE))</f>
        <v>21.954838710000001</v>
      </c>
      <c r="O7">
        <f ca="1">IF(AND(ISNUMBER($O$257),$B$252=1),$O$257,HLOOKUP(INDIRECT(ADDRESS(2,COLUMN())),OFFSET($CL$2,0,0,ROW()-1,84),ROW()-1,FALSE))</f>
        <v>21.235483869999999</v>
      </c>
      <c r="P7">
        <f ca="1">IF(AND(ISNUMBER($P$257),$B$252=1),$P$257,HLOOKUP(INDIRECT(ADDRESS(2,COLUMN())),OFFSET($CL$2,0,0,ROW()-1,84),ROW()-1,FALSE))</f>
        <v>20.151702790000002</v>
      </c>
      <c r="Q7">
        <f ca="1">IF(AND(ISNUMBER($Q$257),$B$252=1),$Q$257,HLOOKUP(INDIRECT(ADDRESS(2,COLUMN())),OFFSET($CL$2,0,0,ROW()-1,84),ROW()-1,FALSE))</f>
        <v>19.993808049999998</v>
      </c>
      <c r="R7">
        <f ca="1">IF(AND(ISNUMBER($R$257),$B$252=1),$R$257,HLOOKUP(INDIRECT(ADDRESS(2,COLUMN())),OFFSET($CL$2,0,0,ROW()-1,84),ROW()-1,FALSE))</f>
        <v>19.263157889999999</v>
      </c>
      <c r="S7">
        <f ca="1">IF(AND(ISNUMBER($S$257),$B$252=1),$S$257,HLOOKUP(INDIRECT(ADDRESS(2,COLUMN())),OFFSET($CL$2,0,0,ROW()-1,84),ROW()-1,FALSE))</f>
        <v>21.452380949999998</v>
      </c>
      <c r="T7">
        <f ca="1">IF(AND(ISNUMBER($T$257),$B$252=1),$T$257,HLOOKUP(INDIRECT(ADDRESS(2,COLUMN())),OFFSET($CL$2,0,0,ROW()-1,84),ROW()-1,FALSE))</f>
        <v>20.670068029999999</v>
      </c>
      <c r="U7">
        <f ca="1">IF(AND(ISNUMBER($U$257),$B$252=1),$U$257,HLOOKUP(INDIRECT(ADDRESS(2,COLUMN())),OFFSET($CL$2,0,0,ROW()-1,84),ROW()-1,FALSE))</f>
        <v>21.891156460000001</v>
      </c>
      <c r="V7">
        <f ca="1">IF(AND(ISNUMBER($V$257),$B$252=1),$V$257,HLOOKUP(INDIRECT(ADDRESS(2,COLUMN())),OFFSET($CL$2,0,0,ROW()-1,84),ROW()-1,FALSE))</f>
        <v>19.593547350000001</v>
      </c>
      <c r="W7">
        <f ca="1">IF(AND(ISNUMBER($W$257),$B$252=1),$W$257,HLOOKUP(INDIRECT(ADDRESS(2,COLUMN())),OFFSET($CL$2,0,0,ROW()-1,84),ROW()-1,FALSE))</f>
        <v>20.161665540000001</v>
      </c>
      <c r="X7">
        <f ca="1">IF(AND(ISNUMBER($X$257),$B$252=1),$X$257,HLOOKUP(INDIRECT(ADDRESS(2,COLUMN())),OFFSET($CL$2,0,0,ROW()-1,84),ROW()-1,FALSE))</f>
        <v>21.004047679999999</v>
      </c>
      <c r="Y7">
        <f ca="1">IF(AND(ISNUMBER($Y$257),$B$252=1),$Y$257,HLOOKUP(INDIRECT(ADDRESS(2,COLUMN())),OFFSET($CL$2,0,0,ROW()-1,84),ROW()-1,FALSE))</f>
        <v>20.502891330000001</v>
      </c>
      <c r="Z7">
        <f ca="1">IF(AND(ISNUMBER($Z$257),$B$252=1),$Z$257,HLOOKUP(INDIRECT(ADDRESS(2,COLUMN())),OFFSET($CL$2,0,0,ROW()-1,84),ROW()-1,FALSE))</f>
        <v>21.489002330000002</v>
      </c>
      <c r="AA7">
        <f ca="1">IF(AND(ISNUMBER($AA$257),$B$252=1),$AA$257,HLOOKUP(INDIRECT(ADDRESS(2,COLUMN())),OFFSET($CL$2,0,0,ROW()-1,84),ROW()-1,FALSE))</f>
        <v>21.770296819999999</v>
      </c>
      <c r="AB7">
        <f ca="1">IF(AND(ISNUMBER($AB$257),$B$252=1),$AB$257,HLOOKUP(INDIRECT(ADDRESS(2,COLUMN())),OFFSET($CL$2,0,0,ROW()-1,84),ROW()-1,FALSE))</f>
        <v>21.89323151</v>
      </c>
      <c r="AC7">
        <f ca="1">IF(AND(ISNUMBER($AC$257),$B$252=1),$AC$257,HLOOKUP(INDIRECT(ADDRESS(2,COLUMN())),OFFSET($CL$2,0,0,ROW()-1,84),ROW()-1,FALSE))</f>
        <v>21.532614779999999</v>
      </c>
      <c r="AD7">
        <f ca="1">IF(AND(ISNUMBER($AD$257),$B$252=1),$AD$257,HLOOKUP(INDIRECT(ADDRESS(2,COLUMN())),OFFSET($CL$2,0,0,ROW()-1,84),ROW()-1,FALSE))</f>
        <v>23.73427482</v>
      </c>
      <c r="AE7">
        <f ca="1">IF(AND(ISNUMBER($AE$257),$B$252=1),$AE$257,HLOOKUP(INDIRECT(ADDRESS(2,COLUMN())),OFFSET($CL$2,0,0,ROW()-1,84),ROW()-1,FALSE))</f>
        <v>21.397480389999998</v>
      </c>
      <c r="AF7">
        <f ca="1">IF(AND(ISNUMBER($AF$257),$B$252=1),$AF$257,HLOOKUP(INDIRECT(ADDRESS(2,COLUMN())),OFFSET($CL$2,0,0,ROW()-1,84),ROW()-1,FALSE))</f>
        <v>22.144338340000001</v>
      </c>
      <c r="AG7">
        <f ca="1">IF(AND(ISNUMBER($AG$257),$B$252=1),$AG$257,HLOOKUP(INDIRECT(ADDRESS(2,COLUMN())),OFFSET($CL$2,0,0,ROW()-1,84),ROW()-1,FALSE))</f>
        <v>23.436977110000001</v>
      </c>
      <c r="AH7">
        <f ca="1">IF(AND(ISNUMBER($AH$257),$B$252=1),$AH$257,HLOOKUP(INDIRECT(ADDRESS(2,COLUMN())),OFFSET($CL$2,0,0,ROW()-1,84),ROW()-1,FALSE))</f>
        <v>23.28126404</v>
      </c>
      <c r="AI7">
        <f ca="1">IF(AND(ISNUMBER($AI$257),$B$252=1),$AI$257,HLOOKUP(INDIRECT(ADDRESS(2,COLUMN())),OFFSET($CL$2,0,0,ROW()-1,84),ROW()-1,FALSE))</f>
        <v>22.552083880000001</v>
      </c>
      <c r="AJ7">
        <f ca="1">IF(AND(ISNUMBER($AJ$257),$B$252=1),$AJ$257,HLOOKUP(INDIRECT(ADDRESS(2,COLUMN())),OFFSET($CL$2,0,0,ROW()-1,84),ROW()-1,FALSE))</f>
        <v>21.910405340000001</v>
      </c>
      <c r="AK7">
        <f ca="1">IF(AND(ISNUMBER($AK$257),$B$252=1),$AK$257,HLOOKUP(INDIRECT(ADDRESS(2,COLUMN())),OFFSET($CL$2,0,0,ROW()-1,84),ROW()-1,FALSE))</f>
        <v>21.159341869999999</v>
      </c>
      <c r="AL7">
        <f ca="1">IF(AND(ISNUMBER($AL$257),$B$252=1),$AL$257,HLOOKUP(INDIRECT(ADDRESS(2,COLUMN())),OFFSET($CL$2,0,0,ROW()-1,84),ROW()-1,FALSE))</f>
        <v>22.216566530000001</v>
      </c>
      <c r="AM7">
        <f ca="1">IF(AND(ISNUMBER($AM$257),$B$252=1),$AM$257,HLOOKUP(INDIRECT(ADDRESS(2,COLUMN())),OFFSET($CL$2,0,0,ROW()-1,84),ROW()-1,FALSE))</f>
        <v>20.838610790000001</v>
      </c>
      <c r="AN7">
        <f ca="1">IF(AND(ISNUMBER($AN$257),$B$252=1),$AN$257,HLOOKUP(INDIRECT(ADDRESS(2,COLUMN())),OFFSET($CL$2,0,0,ROW()-1,84),ROW()-1,FALSE))</f>
        <v>22.9382716</v>
      </c>
      <c r="AO7">
        <f ca="1">IF(AND(ISNUMBER($AO$257),$B$252=1),$AO$257,HLOOKUP(INDIRECT(ADDRESS(2,COLUMN())),OFFSET($CL$2,0,0,ROW()-1,84),ROW()-1,FALSE))</f>
        <v>22.796296300000002</v>
      </c>
      <c r="AP7">
        <f ca="1">IF(AND(ISNUMBER($AP$257),$B$252=1),$AP$257,HLOOKUP(INDIRECT(ADDRESS(2,COLUMN())),OFFSET($CL$2,0,0,ROW()-1,84),ROW()-1,FALSE))</f>
        <v>24.0308642</v>
      </c>
      <c r="AQ7">
        <f ca="1">IF(AND(ISNUMBER($AQ$257),$B$252=1),$AQ$257,HLOOKUP(INDIRECT(ADDRESS(2,COLUMN())),OFFSET($CL$2,0,0,ROW()-1,84),ROW()-1,FALSE))</f>
        <v>24.376582280000001</v>
      </c>
      <c r="AR7">
        <f ca="1">IF(AND(ISNUMBER($AR$257),$B$252=1),$AR$257,HLOOKUP(INDIRECT(ADDRESS(2,COLUMN())),OFFSET($CL$2,0,0,ROW()-1,84),ROW()-1,FALSE))</f>
        <v>24.560126579999999</v>
      </c>
      <c r="AS7">
        <f ca="1">IF(AND(ISNUMBER($AS$257),$B$252=1),$AS$257,HLOOKUP(INDIRECT(ADDRESS(2,COLUMN())),OFFSET($CL$2,0,0,ROW()-1,84),ROW()-1,FALSE))</f>
        <v>22.734177219999999</v>
      </c>
      <c r="AT7">
        <f ca="1">IF(AND(ISNUMBER($AT$257),$B$252=1),$AT$257,HLOOKUP(INDIRECT(ADDRESS(2,COLUMN())),OFFSET($CL$2,0,0,ROW()-1,84),ROW()-1,FALSE))</f>
        <v>23.932432429999999</v>
      </c>
      <c r="AU7">
        <f ca="1">IF(AND(ISNUMBER($AU$257),$B$252=1),$AU$257,HLOOKUP(INDIRECT(ADDRESS(2,COLUMN())),OFFSET($CL$2,0,0,ROW()-1,84),ROW()-1,FALSE))</f>
        <v>23.5</v>
      </c>
      <c r="AV7">
        <f ca="1">IF(AND(ISNUMBER($AV$257),$B$252=1),$AV$257,HLOOKUP(INDIRECT(ADDRESS(2,COLUMN())),OFFSET($CL$2,0,0,ROW()-1,84),ROW()-1,FALSE))</f>
        <v>20.804054050000001</v>
      </c>
      <c r="AW7">
        <f ca="1">IF(AND(ISNUMBER($AW$257),$B$252=1),$AW$257,HLOOKUP(INDIRECT(ADDRESS(2,COLUMN())),OFFSET($CL$2,0,0,ROW()-1,84),ROW()-1,FALSE))</f>
        <v>23.241258739999999</v>
      </c>
      <c r="AX7">
        <f ca="1">IF(AND(ISNUMBER($AX$257),$B$252=1),$AX$257,HLOOKUP(INDIRECT(ADDRESS(2,COLUMN())),OFFSET($CL$2,0,0,ROW()-1,84),ROW()-1,FALSE))</f>
        <v>22.6048951</v>
      </c>
      <c r="AY7">
        <f ca="1">IF(AND(ISNUMBER($AY$257),$B$252=1),$AY$257,HLOOKUP(INDIRECT(ADDRESS(2,COLUMN())),OFFSET($CL$2,0,0,ROW()-1,84),ROW()-1,FALSE))</f>
        <v>22.027972030000001</v>
      </c>
      <c r="AZ7">
        <f ca="1">IF(AND(ISNUMBER($AZ$257),$B$252=1),$AZ$257,HLOOKUP(INDIRECT(ADDRESS(2,COLUMN())),OFFSET($CL$2,0,0,ROW()-1,84),ROW()-1,FALSE))</f>
        <v>21.914893620000001</v>
      </c>
      <c r="BA7">
        <f ca="1">IF(AND(ISNUMBER($BA$257),$B$252=1),$BA$257,HLOOKUP(INDIRECT(ADDRESS(2,COLUMN())),OFFSET($CL$2,0,0,ROW()-1,84),ROW()-1,FALSE))</f>
        <v>21.07801418</v>
      </c>
      <c r="BB7">
        <f ca="1">IF(AND(ISNUMBER($BB$257),$B$252=1),$BB$257,HLOOKUP(INDIRECT(ADDRESS(2,COLUMN())),OFFSET($CL$2,0,0,ROW()-1,84),ROW()-1,FALSE))</f>
        <v>20.56382979</v>
      </c>
      <c r="BC7">
        <f ca="1">IF(AND(ISNUMBER($BC$257),$B$252=1),$BC$257,HLOOKUP(INDIRECT(ADDRESS(2,COLUMN())),OFFSET($CL$2,0,0,ROW()-1,84),ROW()-1,FALSE))</f>
        <v>25.094420599999999</v>
      </c>
      <c r="BD7">
        <f ca="1">IF(AND(ISNUMBER($BD$257),$B$252=1),$BD$257,HLOOKUP(INDIRECT(ADDRESS(2,COLUMN())),OFFSET($CL$2,0,0,ROW()-1,84),ROW()-1,FALSE))</f>
        <v>23.768240339999998</v>
      </c>
      <c r="BE7">
        <f ca="1">IF(AND(ISNUMBER($BE$257),$B$252=1),$BE$257,HLOOKUP(INDIRECT(ADDRESS(2,COLUMN())),OFFSET($CL$2,0,0,ROW()-1,84),ROW()-1,FALSE))</f>
        <v>22.261802580000001</v>
      </c>
      <c r="BF7">
        <f ca="1">IF(AND(ISNUMBER($BF$257),$B$252=1),$BF$257,HLOOKUP(INDIRECT(ADDRESS(2,COLUMN())),OFFSET($CL$2,0,0,ROW()-1,84),ROW()-1,FALSE))</f>
        <v>19.823076919999998</v>
      </c>
      <c r="BG7">
        <f ca="1">IF(AND(ISNUMBER($BG$257),$B$252=1),$BG$257,HLOOKUP(INDIRECT(ADDRESS(2,COLUMN())),OFFSET($CL$2,0,0,ROW()-1,84),ROW()-1,FALSE))</f>
        <v>20.138461540000002</v>
      </c>
      <c r="BH7">
        <f ca="1">IF(AND(ISNUMBER($BH$257),$B$252=1),$BH$257,HLOOKUP(INDIRECT(ADDRESS(2,COLUMN())),OFFSET($CL$2,0,0,ROW()-1,84),ROW()-1,FALSE))</f>
        <v>20.603846149999999</v>
      </c>
      <c r="BI7">
        <f ca="1">IF(AND(ISNUMBER($BI$257),$B$252=1),$BI$257,HLOOKUP(INDIRECT(ADDRESS(2,COLUMN())),OFFSET($CL$2,0,0,ROW()-1,84),ROW()-1,FALSE))</f>
        <v>18.466192169999999</v>
      </c>
      <c r="BJ7">
        <f ca="1">IF(AND(ISNUMBER($BJ$257),$B$252=1),$BJ$257,HLOOKUP(INDIRECT(ADDRESS(2,COLUMN())),OFFSET($CL$2,0,0,ROW()-1,84),ROW()-1,FALSE))</f>
        <v>19.928825620000001</v>
      </c>
      <c r="BK7">
        <f ca="1">IF(AND(ISNUMBER($BK$257),$B$252=1),$BK$257,HLOOKUP(INDIRECT(ADDRESS(2,COLUMN())),OFFSET($CL$2,0,0,ROW()-1,84),ROW()-1,FALSE))</f>
        <v>20.661921710000001</v>
      </c>
      <c r="BL7">
        <f ca="1">IF(AND(ISNUMBER($BL$257),$B$252=1),$BL$257,HLOOKUP(INDIRECT(ADDRESS(2,COLUMN())),OFFSET($CL$2,0,0,ROW()-1,84),ROW()-1,FALSE))</f>
        <v>20.790441179999998</v>
      </c>
      <c r="BM7">
        <f ca="1">IF(AND(ISNUMBER($BM$257),$B$252=1),$BM$257,HLOOKUP(INDIRECT(ADDRESS(2,COLUMN())),OFFSET($CL$2,0,0,ROW()-1,84),ROW()-1,FALSE))</f>
        <v>21.345588240000001</v>
      </c>
      <c r="BN7">
        <f ca="1">IF(AND(ISNUMBER($BN$257),$B$252=1),$BN$257,HLOOKUP(INDIRECT(ADDRESS(2,COLUMN())),OFFSET($CL$2,0,0,ROW()-1,84),ROW()-1,FALSE))</f>
        <v>20.242647059999999</v>
      </c>
      <c r="BO7">
        <f ca="1">IF(AND(ISNUMBER($BO$257),$B$252=1),$BO$257,HLOOKUP(INDIRECT(ADDRESS(2,COLUMN())),OFFSET($CL$2,0,0,ROW()-1,84),ROW()-1,FALSE))</f>
        <v>17.754838710000001</v>
      </c>
      <c r="BP7">
        <f ca="1">IF(AND(ISNUMBER($BP$257),$B$252=1),$BP$257,HLOOKUP(INDIRECT(ADDRESS(2,COLUMN())),OFFSET($CL$2,0,0,ROW()-1,84),ROW()-1,FALSE))</f>
        <v>17.867741939999998</v>
      </c>
      <c r="BQ7">
        <f ca="1">IF(AND(ISNUMBER($BQ$257),$B$252=1),$BQ$257,HLOOKUP(INDIRECT(ADDRESS(2,COLUMN())),OFFSET($CL$2,0,0,ROW()-1,84),ROW()-1,FALSE))</f>
        <v>18.280645159999999</v>
      </c>
      <c r="BR7">
        <f ca="1">IF(AND(ISNUMBER($BR$257),$B$252=1),$BR$257,HLOOKUP(INDIRECT(ADDRESS(2,COLUMN())),OFFSET($CL$2,0,0,ROW()-1,84),ROW()-1,FALSE))</f>
        <v>19.824999999999999</v>
      </c>
      <c r="BS7">
        <f ca="1">IF(AND(ISNUMBER($BS$257),$B$252=1),$BS$257,HLOOKUP(INDIRECT(ADDRESS(2,COLUMN())),OFFSET($CL$2,0,0,ROW()-1,84),ROW()-1,FALSE))</f>
        <v>20.503571430000001</v>
      </c>
      <c r="BT7">
        <f ca="1">IF(AND(ISNUMBER($BT$257),$B$252=1),$BT$257,HLOOKUP(INDIRECT(ADDRESS(2,COLUMN())),OFFSET($CL$2,0,0,ROW()-1,84),ROW()-1,FALSE))</f>
        <v>20.54642857</v>
      </c>
      <c r="BU7">
        <f ca="1">IF(AND(ISNUMBER($BU$257),$B$252=1),$BU$257,HLOOKUP(INDIRECT(ADDRESS(2,COLUMN())),OFFSET($CL$2,0,0,ROW()-1,84),ROW()-1,FALSE))</f>
        <v>24.063745019999999</v>
      </c>
      <c r="BV7">
        <f ca="1">IF(AND(ISNUMBER($BV$257),$B$252=1),$BV$257,HLOOKUP(INDIRECT(ADDRESS(2,COLUMN())),OFFSET($CL$2,0,0,ROW()-1,84),ROW()-1,FALSE))</f>
        <v>25.22310757</v>
      </c>
      <c r="BW7">
        <f ca="1">IF(AND(ISNUMBER($BW$257),$B$252=1),$BW$257,HLOOKUP(INDIRECT(ADDRESS(2,COLUMN())),OFFSET($CL$2,0,0,ROW()-1,84),ROW()-1,FALSE))</f>
        <v>24.84462151</v>
      </c>
      <c r="BX7">
        <f ca="1">IF(AND(ISNUMBER($BX$257),$B$252=1),$BX$257,HLOOKUP(INDIRECT(ADDRESS(2,COLUMN())),OFFSET($CL$2,0,0,ROW()-1,84),ROW()-1,FALSE))</f>
        <v>24.938775509999999</v>
      </c>
      <c r="BY7">
        <f ca="1">IF(AND(ISNUMBER($BY$257),$B$252=1),$BY$257,HLOOKUP(INDIRECT(ADDRESS(2,COLUMN())),OFFSET($CL$2,0,0,ROW()-1,84),ROW()-1,FALSE))</f>
        <v>25.077551020000001</v>
      </c>
      <c r="BZ7">
        <f ca="1">IF(AND(ISNUMBER($BZ$257),$B$252=1),$BZ$257,HLOOKUP(INDIRECT(ADDRESS(2,COLUMN())),OFFSET($CL$2,0,0,ROW()-1,84),ROW()-1,FALSE))</f>
        <v>25.559183669999999</v>
      </c>
      <c r="CA7">
        <f ca="1">IF(AND(ISNUMBER($CA$257),$B$252=1),$CA$257,HLOOKUP(INDIRECT(ADDRESS(2,COLUMN())),OFFSET($CL$2,0,0,ROW()-1,84),ROW()-1,FALSE))</f>
        <v>23.605809130000001</v>
      </c>
      <c r="CB7">
        <f ca="1">IF(AND(ISNUMBER($CB$257),$B$252=1),$CB$257,HLOOKUP(INDIRECT(ADDRESS(2,COLUMN())),OFFSET($CL$2,0,0,ROW()-1,84),ROW()-1,FALSE))</f>
        <v>24.709543570000001</v>
      </c>
      <c r="CC7">
        <f ca="1">IF(AND(ISNUMBER($CC$257),$B$252=1),$CC$257,HLOOKUP(INDIRECT(ADDRESS(2,COLUMN())),OFFSET($CL$2,0,0,ROW()-1,84),ROW()-1,FALSE))</f>
        <v>23.66390041</v>
      </c>
      <c r="CD7">
        <f ca="1">IF(AND(ISNUMBER($CD$257),$B$252=1),$CD$257,HLOOKUP(INDIRECT(ADDRESS(2,COLUMN())),OFFSET($CL$2,0,0,ROW()-1,84),ROW()-1,FALSE))</f>
        <v>24.860360360000001</v>
      </c>
      <c r="CE7">
        <f ca="1">IF(AND(ISNUMBER($CE$257),$B$252=1),$CE$257,HLOOKUP(INDIRECT(ADDRESS(2,COLUMN())),OFFSET($CL$2,0,0,ROW()-1,84),ROW()-1,FALSE))</f>
        <v>26.432432429999999</v>
      </c>
      <c r="CF7">
        <f ca="1">IF(AND(ISNUMBER($CF$257),$B$252=1),$CF$257,HLOOKUP(INDIRECT(ADDRESS(2,COLUMN())),OFFSET($CL$2,0,0,ROW()-1,84),ROW()-1,FALSE))</f>
        <v>23.364864860000001</v>
      </c>
      <c r="CG7">
        <f ca="1">IF(AND(ISNUMBER($CG$257),$B$252=1),$CG$257,HLOOKUP(INDIRECT(ADDRESS(2,COLUMN())),OFFSET($CL$2,0,0,ROW()-1,84),ROW()-1,FALSE))</f>
        <v>28.588785049999998</v>
      </c>
      <c r="CH7">
        <f ca="1">IF(AND(ISNUMBER($CH$257),$B$252=1),$CH$257,HLOOKUP(INDIRECT(ADDRESS(2,COLUMN())),OFFSET($CL$2,0,0,ROW()-1,84),ROW()-1,FALSE))</f>
        <v>28.88785047</v>
      </c>
      <c r="CI7">
        <f ca="1">IF(AND(ISNUMBER($CI$257),$B$252=1),$CI$257,HLOOKUP(INDIRECT(ADDRESS(2,COLUMN())),OFFSET($CL$2,0,0,ROW()-1,84),ROW()-1,FALSE))</f>
        <v>28.037383179999999</v>
      </c>
      <c r="CJ7">
        <f ca="1">IF(AND(ISNUMBER($CJ$257),$B$252=1),$CJ$257,HLOOKUP(INDIRECT(ADDRESS(2,COLUMN())),OFFSET($CL$2,0,0,ROW()-1,84),ROW()-1,FALSE))</f>
        <v>28.892523359999998</v>
      </c>
      <c r="CK7">
        <f ca="1">IF(AND(ISNUMBER($CK$257),$B$252=1),$CK$257,HLOOKUP(INDIRECT(ADDRESS(2,COLUMN())),OFFSET($CL$2,0,0,ROW()-1,84),ROW()-1,FALSE))</f>
        <v>27.915887850000001</v>
      </c>
      <c r="CL7">
        <f>18.78797435</f>
        <v>18.787974349999999</v>
      </c>
      <c r="CM7">
        <f>17.7943038</f>
        <v>17.794303800000002</v>
      </c>
      <c r="CN7">
        <f>19.49683544</f>
        <v>19.496835440000002</v>
      </c>
      <c r="CO7">
        <f>20.18037975</f>
        <v>20.18037975</v>
      </c>
      <c r="CP7">
        <f>21.28025478</f>
        <v>21.28025478</v>
      </c>
      <c r="CQ7">
        <f>21.42038217</f>
        <v>21.42038217</v>
      </c>
      <c r="CR7">
        <f>20.99681529</f>
        <v>20.996815290000001</v>
      </c>
      <c r="CS7">
        <f>21.66129032</f>
        <v>21.661290319999999</v>
      </c>
      <c r="CT7">
        <f>21.95483871</f>
        <v>21.954838710000001</v>
      </c>
      <c r="CU7">
        <f>21.23548387</f>
        <v>21.235483869999999</v>
      </c>
      <c r="CV7">
        <f>20.15170279</f>
        <v>20.151702790000002</v>
      </c>
      <c r="CW7">
        <f>19.99380805</f>
        <v>19.993808049999998</v>
      </c>
      <c r="CX7">
        <f>19.26315789</f>
        <v>19.263157889999999</v>
      </c>
      <c r="CY7">
        <f>21.45238095</f>
        <v>21.452380949999998</v>
      </c>
      <c r="CZ7">
        <f>20.67006803</f>
        <v>20.670068029999999</v>
      </c>
      <c r="DA7">
        <f>21.89115646</f>
        <v>21.891156460000001</v>
      </c>
      <c r="DB7">
        <f>19.59354735</f>
        <v>19.593547350000001</v>
      </c>
      <c r="DC7">
        <f>20.16166554</f>
        <v>20.161665540000001</v>
      </c>
      <c r="DD7">
        <f>21.00404768</f>
        <v>21.004047679999999</v>
      </c>
      <c r="DE7">
        <f>20.50289133</f>
        <v>20.502891330000001</v>
      </c>
      <c r="DF7">
        <f>21.48900233</f>
        <v>21.489002330000002</v>
      </c>
      <c r="DG7">
        <f>21.77029682</f>
        <v>21.770296819999999</v>
      </c>
      <c r="DH7">
        <f>21.89323151</f>
        <v>21.89323151</v>
      </c>
      <c r="DI7">
        <f>21.53261478</f>
        <v>21.532614779999999</v>
      </c>
      <c r="DJ7">
        <f>23.73427482</f>
        <v>23.73427482</v>
      </c>
      <c r="DK7">
        <f>21.39748039</f>
        <v>21.397480389999998</v>
      </c>
      <c r="DL7">
        <f>22.14433834</f>
        <v>22.144338340000001</v>
      </c>
      <c r="DM7">
        <f>23.43697711</f>
        <v>23.436977110000001</v>
      </c>
      <c r="DN7">
        <f>23.28126404</f>
        <v>23.28126404</v>
      </c>
      <c r="DO7">
        <f>22.55208388</f>
        <v>22.552083880000001</v>
      </c>
      <c r="DP7">
        <f>21.91040534</f>
        <v>21.910405340000001</v>
      </c>
      <c r="DQ7">
        <f>21.15934187</f>
        <v>21.159341869999999</v>
      </c>
      <c r="DR7">
        <f>22.21656653</f>
        <v>22.216566530000001</v>
      </c>
      <c r="DS7">
        <f>20.83861079</f>
        <v>20.838610790000001</v>
      </c>
      <c r="DT7">
        <f>22.9382716</f>
        <v>22.9382716</v>
      </c>
      <c r="DU7">
        <f>22.7962963</f>
        <v>22.796296300000002</v>
      </c>
      <c r="DV7">
        <f>24.0308642</f>
        <v>24.0308642</v>
      </c>
      <c r="DW7">
        <f>24.37658228</f>
        <v>24.376582280000001</v>
      </c>
      <c r="DX7">
        <f>24.56012658</f>
        <v>24.560126579999999</v>
      </c>
      <c r="DY7">
        <f>22.73417722</f>
        <v>22.734177219999999</v>
      </c>
      <c r="DZ7">
        <f>23.93243243</f>
        <v>23.932432429999999</v>
      </c>
      <c r="EA7">
        <f>23.5</f>
        <v>23.5</v>
      </c>
      <c r="EB7">
        <f>20.80405405</f>
        <v>20.804054050000001</v>
      </c>
      <c r="EC7">
        <f>23.24125874</f>
        <v>23.241258739999999</v>
      </c>
      <c r="ED7">
        <f>22.6048951</f>
        <v>22.6048951</v>
      </c>
      <c r="EE7">
        <f>22.02797203</f>
        <v>22.027972030000001</v>
      </c>
      <c r="EF7">
        <f>21.91489362</f>
        <v>21.914893620000001</v>
      </c>
      <c r="EG7">
        <f>21.07801418</f>
        <v>21.07801418</v>
      </c>
      <c r="EH7">
        <f>20.56382979</f>
        <v>20.56382979</v>
      </c>
      <c r="EI7">
        <f>25.0944206</f>
        <v>25.094420599999999</v>
      </c>
      <c r="EJ7">
        <f>23.76824034</f>
        <v>23.768240339999998</v>
      </c>
      <c r="EK7">
        <f>22.26180258</f>
        <v>22.261802580000001</v>
      </c>
      <c r="EL7">
        <f>19.82307692</f>
        <v>19.823076919999998</v>
      </c>
      <c r="EM7">
        <f>20.13846154</f>
        <v>20.138461540000002</v>
      </c>
      <c r="EN7">
        <f>20.60384615</f>
        <v>20.603846149999999</v>
      </c>
      <c r="EO7">
        <f>18.46619217</f>
        <v>18.466192169999999</v>
      </c>
      <c r="EP7">
        <f>19.92882562</f>
        <v>19.928825620000001</v>
      </c>
      <c r="EQ7">
        <f>20.66192171</f>
        <v>20.661921710000001</v>
      </c>
      <c r="ER7">
        <f>20.79044118</f>
        <v>20.790441179999998</v>
      </c>
      <c r="ES7">
        <f>21.34558824</f>
        <v>21.345588240000001</v>
      </c>
      <c r="ET7">
        <f>20.24264706</f>
        <v>20.242647059999999</v>
      </c>
      <c r="EU7">
        <f>17.75483871</f>
        <v>17.754838710000001</v>
      </c>
      <c r="EV7">
        <f>17.86774194</f>
        <v>17.867741939999998</v>
      </c>
      <c r="EW7">
        <f>18.28064516</f>
        <v>18.280645159999999</v>
      </c>
      <c r="EX7">
        <f>19.825</f>
        <v>19.824999999999999</v>
      </c>
      <c r="EY7">
        <f>20.50357143</f>
        <v>20.503571430000001</v>
      </c>
      <c r="EZ7">
        <f>20.54642857</f>
        <v>20.54642857</v>
      </c>
      <c r="FA7">
        <f>24.06374502</f>
        <v>24.063745019999999</v>
      </c>
      <c r="FB7">
        <f>25.22310757</f>
        <v>25.22310757</v>
      </c>
      <c r="FC7">
        <f>24.84462151</f>
        <v>24.84462151</v>
      </c>
      <c r="FD7">
        <f>24.93877551</f>
        <v>24.938775509999999</v>
      </c>
      <c r="FE7">
        <f>25.07755102</f>
        <v>25.077551020000001</v>
      </c>
      <c r="FF7">
        <f>25.55918367</f>
        <v>25.559183669999999</v>
      </c>
      <c r="FG7">
        <f>23.60580913</f>
        <v>23.605809130000001</v>
      </c>
      <c r="FH7">
        <f>24.70954357</f>
        <v>24.709543570000001</v>
      </c>
      <c r="FI7">
        <f>23.66390041</f>
        <v>23.66390041</v>
      </c>
      <c r="FJ7">
        <f>24.86036036</f>
        <v>24.860360360000001</v>
      </c>
      <c r="FK7">
        <f>26.43243243</f>
        <v>26.432432429999999</v>
      </c>
      <c r="FL7">
        <f>23.36486486</f>
        <v>23.364864860000001</v>
      </c>
      <c r="FM7">
        <f>28.58878505</f>
        <v>28.588785049999998</v>
      </c>
      <c r="FN7">
        <f>28.88785047</f>
        <v>28.88785047</v>
      </c>
      <c r="FO7">
        <f>28.03738318</f>
        <v>28.037383179999999</v>
      </c>
      <c r="FP7">
        <f>28.89252336</f>
        <v>28.892523359999998</v>
      </c>
      <c r="FQ7">
        <f>27.91588785</f>
        <v>27.915887850000001</v>
      </c>
    </row>
    <row r="8" spans="1:173">
      <c r="A8" t="str">
        <f>"    埃塞克斯房地产信托公司"</f>
        <v xml:space="preserve">    埃塞克斯房地产信托公司</v>
      </c>
      <c r="B8" t="str">
        <f>"ESS US Equity"</f>
        <v>ESS US Equity</v>
      </c>
      <c r="C8" t="str">
        <f t="shared" si="0"/>
        <v>RR857</v>
      </c>
      <c r="D8" t="str">
        <f t="shared" si="1"/>
        <v>PX_TO_FFO_RATIO</v>
      </c>
      <c r="E8" t="str">
        <f t="shared" si="2"/>
        <v>动态</v>
      </c>
      <c r="F8">
        <f ca="1">IF(AND(ISNUMBER($F$258),$B$252=1),$F$258,HLOOKUP(INDIRECT(ADDRESS(2,COLUMN())),OFFSET($CL$2,0,0,ROW()-1,84),ROW()-1,FALSE))</f>
        <v>19.990633500000001</v>
      </c>
      <c r="G8">
        <f ca="1">IF(AND(ISNUMBER($G$258),$B$252=1),$G$258,HLOOKUP(INDIRECT(ADDRESS(2,COLUMN())),OFFSET($CL$2,0,0,ROW()-1,84),ROW()-1,FALSE))</f>
        <v>18.796485780000001</v>
      </c>
      <c r="H8">
        <f ca="1">IF(AND(ISNUMBER($H$258),$B$252=1),$H$258,HLOOKUP(INDIRECT(ADDRESS(2,COLUMN())),OFFSET($CL$2,0,0,ROW()-1,84),ROW()-1,FALSE))</f>
        <v>19.56487181</v>
      </c>
      <c r="I8">
        <f ca="1">IF(AND(ISNUMBER($I$258),$B$252=1),$I$258,HLOOKUP(INDIRECT(ADDRESS(2,COLUMN())),OFFSET($CL$2,0,0,ROW()-1,84),ROW()-1,FALSE))</f>
        <v>20.269435609999999</v>
      </c>
      <c r="J8">
        <f ca="1">IF(AND(ISNUMBER($J$258),$B$252=1),$J$258,HLOOKUP(INDIRECT(ADDRESS(2,COLUMN())),OFFSET($CL$2,0,0,ROW()-1,84),ROW()-1,FALSE))</f>
        <v>21.023866290000001</v>
      </c>
      <c r="K8">
        <f ca="1">IF(AND(ISNUMBER($K$258),$B$252=1),$K$258,HLOOKUP(INDIRECT(ADDRESS(2,COLUMN())),OFFSET($CL$2,0,0,ROW()-1,84),ROW()-1,FALSE))</f>
        <v>22.338123929999998</v>
      </c>
      <c r="L8">
        <f ca="1">IF(AND(ISNUMBER($L$258),$B$252=1),$L$258,HLOOKUP(INDIRECT(ADDRESS(2,COLUMN())),OFFSET($CL$2,0,0,ROW()-1,84),ROW()-1,FALSE))</f>
        <v>21.6231133</v>
      </c>
      <c r="M8">
        <f ca="1">IF(AND(ISNUMBER($M$258),$B$252=1),$M$258,HLOOKUP(INDIRECT(ADDRESS(2,COLUMN())),OFFSET($CL$2,0,0,ROW()-1,84),ROW()-1,FALSE))</f>
        <v>22.963140429999999</v>
      </c>
      <c r="N8">
        <f ca="1">IF(AND(ISNUMBER($N$258),$B$252=1),$N$258,HLOOKUP(INDIRECT(ADDRESS(2,COLUMN())),OFFSET($CL$2,0,0,ROW()-1,84),ROW()-1,FALSE))</f>
        <v>22.594480019999999</v>
      </c>
      <c r="O8">
        <f ca="1">IF(AND(ISNUMBER($O$258),$B$252=1),$O$258,HLOOKUP(INDIRECT(ADDRESS(2,COLUMN())),OFFSET($CL$2,0,0,ROW()-1,84),ROW()-1,FALSE))</f>
        <v>22.212005640000001</v>
      </c>
      <c r="P8">
        <f ca="1">IF(AND(ISNUMBER($P$258),$B$252=1),$P$258,HLOOKUP(INDIRECT(ADDRESS(2,COLUMN())),OFFSET($CL$2,0,0,ROW()-1,84),ROW()-1,FALSE))</f>
        <v>22.489064679999998</v>
      </c>
      <c r="Q8">
        <f ca="1">IF(AND(ISNUMBER($Q$258),$B$252=1),$Q$258,HLOOKUP(INDIRECT(ADDRESS(2,COLUMN())),OFFSET($CL$2,0,0,ROW()-1,84),ROW()-1,FALSE))</f>
        <v>21.399274649999999</v>
      </c>
      <c r="R8">
        <f ca="1">IF(AND(ISNUMBER($R$258),$B$252=1),$R$258,HLOOKUP(INDIRECT(ADDRESS(2,COLUMN())),OFFSET($CL$2,0,0,ROW()-1,84),ROW()-1,FALSE))</f>
        <v>20.266593279999999</v>
      </c>
      <c r="S8">
        <f ca="1">IF(AND(ISNUMBER($S$258),$B$252=1),$S$258,HLOOKUP(INDIRECT(ADDRESS(2,COLUMN())),OFFSET($CL$2,0,0,ROW()-1,84),ROW()-1,FALSE))</f>
        <v>21.11709334</v>
      </c>
      <c r="T8">
        <f ca="1">IF(AND(ISNUMBER($T$258),$B$252=1),$T$258,HLOOKUP(INDIRECT(ADDRESS(2,COLUMN())),OFFSET($CL$2,0,0,ROW()-1,84),ROW()-1,FALSE))</f>
        <v>20.181355069999999</v>
      </c>
      <c r="U8">
        <f ca="1">IF(AND(ISNUMBER($U$258),$B$252=1),$U$258,HLOOKUP(INDIRECT(ADDRESS(2,COLUMN())),OFFSET($CL$2,0,0,ROW()-1,84),ROW()-1,FALSE))</f>
        <v>20.919148700000001</v>
      </c>
      <c r="V8">
        <f ca="1">IF(AND(ISNUMBER($V$258),$B$252=1),$V$258,HLOOKUP(INDIRECT(ADDRESS(2,COLUMN())),OFFSET($CL$2,0,0,ROW()-1,84),ROW()-1,FALSE))</f>
        <v>20.004841849999998</v>
      </c>
      <c r="W8">
        <f ca="1">IF(AND(ISNUMBER($W$258),$B$252=1),$W$258,HLOOKUP(INDIRECT(ADDRESS(2,COLUMN())),OFFSET($CL$2,0,0,ROW()-1,84),ROW()-1,FALSE))</f>
        <v>19.835293589999999</v>
      </c>
      <c r="X8">
        <f ca="1">IF(AND(ISNUMBER($X$258),$B$252=1),$X$258,HLOOKUP(INDIRECT(ADDRESS(2,COLUMN())),OFFSET($CL$2,0,0,ROW()-1,84),ROW()-1,FALSE))</f>
        <v>20.63300426</v>
      </c>
      <c r="Y8">
        <f ca="1">IF(AND(ISNUMBER($Y$258),$B$252=1),$Y$258,HLOOKUP(INDIRECT(ADDRESS(2,COLUMN())),OFFSET($CL$2,0,0,ROW()-1,84),ROW()-1,FALSE))</f>
        <v>21.600036750000001</v>
      </c>
      <c r="Z8">
        <f ca="1">IF(AND(ISNUMBER($Z$258),$B$252=1),$Z$258,HLOOKUP(INDIRECT(ADDRESS(2,COLUMN())),OFFSET($CL$2,0,0,ROW()-1,84),ROW()-1,FALSE))</f>
        <v>22.244899140000001</v>
      </c>
      <c r="AA8">
        <f ca="1">IF(AND(ISNUMBER($AA$258),$B$252=1),$AA$258,HLOOKUP(INDIRECT(ADDRESS(2,COLUMN())),OFFSET($CL$2,0,0,ROW()-1,84),ROW()-1,FALSE))</f>
        <v>21.694198069999999</v>
      </c>
      <c r="AB8">
        <f ca="1">IF(AND(ISNUMBER($AB$258),$B$252=1),$AB$258,HLOOKUP(INDIRECT(ADDRESS(2,COLUMN())),OFFSET($CL$2,0,0,ROW()-1,84),ROW()-1,FALSE))</f>
        <v>22.53923983</v>
      </c>
      <c r="AC8">
        <f ca="1">IF(AND(ISNUMBER($AC$258),$B$252=1),$AC$258,HLOOKUP(INDIRECT(ADDRESS(2,COLUMN())),OFFSET($CL$2,0,0,ROW()-1,84),ROW()-1,FALSE))</f>
        <v>21.866722800000002</v>
      </c>
      <c r="AD8">
        <f ca="1">IF(AND(ISNUMBER($AD$258),$B$252=1),$AD$258,HLOOKUP(INDIRECT(ADDRESS(2,COLUMN())),OFFSET($CL$2,0,0,ROW()-1,84),ROW()-1,FALSE))</f>
        <v>23.196878170000002</v>
      </c>
      <c r="AE8">
        <f ca="1">IF(AND(ISNUMBER($AE$258),$B$252=1),$AE$258,HLOOKUP(INDIRECT(ADDRESS(2,COLUMN())),OFFSET($CL$2,0,0,ROW()-1,84),ROW()-1,FALSE))</f>
        <v>21.54964476</v>
      </c>
      <c r="AF8">
        <f ca="1">IF(AND(ISNUMBER($AF$258),$B$252=1),$AF$258,HLOOKUP(INDIRECT(ADDRESS(2,COLUMN())),OFFSET($CL$2,0,0,ROW()-1,84),ROW()-1,FALSE))</f>
        <v>21.944021379999999</v>
      </c>
      <c r="AG8">
        <f ca="1">IF(AND(ISNUMBER($AG$258),$B$252=1),$AG$258,HLOOKUP(INDIRECT(ADDRESS(2,COLUMN())),OFFSET($CL$2,0,0,ROW()-1,84),ROW()-1,FALSE))</f>
        <v>24.652142829999999</v>
      </c>
      <c r="AH8">
        <f ca="1">IF(AND(ISNUMBER($AH$258),$B$252=1),$AH$258,HLOOKUP(INDIRECT(ADDRESS(2,COLUMN())),OFFSET($CL$2,0,0,ROW()-1,84),ROW()-1,FALSE))</f>
        <v>24.357341479999999</v>
      </c>
      <c r="AI8">
        <f ca="1">IF(AND(ISNUMBER($AI$258),$B$252=1),$AI$258,HLOOKUP(INDIRECT(ADDRESS(2,COLUMN())),OFFSET($CL$2,0,0,ROW()-1,84),ROW()-1,FALSE))</f>
        <v>23.265013029999999</v>
      </c>
      <c r="AJ8">
        <f ca="1">IF(AND(ISNUMBER($AJ$258),$B$252=1),$AJ$258,HLOOKUP(INDIRECT(ADDRESS(2,COLUMN())),OFFSET($CL$2,0,0,ROW()-1,84),ROW()-1,FALSE))</f>
        <v>23.579519189999999</v>
      </c>
      <c r="AK8">
        <f ca="1">IF(AND(ISNUMBER($AK$258),$B$252=1),$AK$258,HLOOKUP(INDIRECT(ADDRESS(2,COLUMN())),OFFSET($CL$2,0,0,ROW()-1,84),ROW()-1,FALSE))</f>
        <v>23.778043230000002</v>
      </c>
      <c r="AL8">
        <f ca="1">IF(AND(ISNUMBER($AL$258),$B$252=1),$AL$258,HLOOKUP(INDIRECT(ADDRESS(2,COLUMN())),OFFSET($CL$2,0,0,ROW()-1,84),ROW()-1,FALSE))</f>
        <v>24.9180864</v>
      </c>
      <c r="AM8">
        <f ca="1">IF(AND(ISNUMBER($AM$258),$B$252=1),$AM$258,HLOOKUP(INDIRECT(ADDRESS(2,COLUMN())),OFFSET($CL$2,0,0,ROW()-1,84),ROW()-1,FALSE))</f>
        <v>23.54316554</v>
      </c>
      <c r="AN8">
        <f ca="1">IF(AND(ISNUMBER($AN$258),$B$252=1),$AN$258,HLOOKUP(INDIRECT(ADDRESS(2,COLUMN())),OFFSET($CL$2,0,0,ROW()-1,84),ROW()-1,FALSE))</f>
        <v>26.626476180000001</v>
      </c>
      <c r="AO8">
        <f ca="1">IF(AND(ISNUMBER($AO$258),$B$252=1),$AO$258,HLOOKUP(INDIRECT(ADDRESS(2,COLUMN())),OFFSET($CL$2,0,0,ROW()-1,84),ROW()-1,FALSE))</f>
        <v>26.546340799999999</v>
      </c>
      <c r="AP8">
        <f ca="1">IF(AND(ISNUMBER($AP$258),$B$252=1),$AP$258,HLOOKUP(INDIRECT(ADDRESS(2,COLUMN())),OFFSET($CL$2,0,0,ROW()-1,84),ROW()-1,FALSE))</f>
        <v>27.497200939999999</v>
      </c>
      <c r="AQ8">
        <f ca="1">IF(AND(ISNUMBER($AQ$258),$B$252=1),$AQ$258,HLOOKUP(INDIRECT(ADDRESS(2,COLUMN())),OFFSET($CL$2,0,0,ROW()-1,84),ROW()-1,FALSE))</f>
        <v>28.62363466</v>
      </c>
      <c r="AR8">
        <f ca="1">IF(AND(ISNUMBER($AR$258),$B$252=1),$AR$258,HLOOKUP(INDIRECT(ADDRESS(2,COLUMN())),OFFSET($CL$2,0,0,ROW()-1,84),ROW()-1,FALSE))</f>
        <v>29.089478100000001</v>
      </c>
      <c r="AS8">
        <f ca="1">IF(AND(ISNUMBER($AS$258),$B$252=1),$AS$258,HLOOKUP(INDIRECT(ADDRESS(2,COLUMN())),OFFSET($CL$2,0,0,ROW()-1,84),ROW()-1,FALSE))</f>
        <v>26.58653473</v>
      </c>
      <c r="AT8">
        <f ca="1">IF(AND(ISNUMBER($AT$258),$B$252=1),$AT$258,HLOOKUP(INDIRECT(ADDRESS(2,COLUMN())),OFFSET($CL$2,0,0,ROW()-1,84),ROW()-1,FALSE))</f>
        <v>27.830346670000001</v>
      </c>
      <c r="AU8">
        <f ca="1">IF(AND(ISNUMBER($AU$258),$B$252=1),$AU$258,HLOOKUP(INDIRECT(ADDRESS(2,COLUMN())),OFFSET($CL$2,0,0,ROW()-1,84),ROW()-1,FALSE))</f>
        <v>27.74097497</v>
      </c>
      <c r="AV8">
        <f ca="1">IF(AND(ISNUMBER($AV$258),$B$252=1),$AV$258,HLOOKUP(INDIRECT(ADDRESS(2,COLUMN())),OFFSET($CL$2,0,0,ROW()-1,84),ROW()-1,FALSE))</f>
        <v>24.577216870000001</v>
      </c>
      <c r="AW8">
        <f ca="1">IF(AND(ISNUMBER($AW$258),$B$252=1),$AW$258,HLOOKUP(INDIRECT(ADDRESS(2,COLUMN())),OFFSET($CL$2,0,0,ROW()-1,84),ROW()-1,FALSE))</f>
        <v>27.239051440000001</v>
      </c>
      <c r="AX8">
        <f ca="1">IF(AND(ISNUMBER($AX$258),$B$252=1),$AX$258,HLOOKUP(INDIRECT(ADDRESS(2,COLUMN())),OFFSET($CL$2,0,0,ROW()-1,84),ROW()-1,FALSE))</f>
        <v>26.69272153</v>
      </c>
      <c r="AY8">
        <f ca="1">IF(AND(ISNUMBER($AY$258),$B$252=1),$AY$258,HLOOKUP(INDIRECT(ADDRESS(2,COLUMN())),OFFSET($CL$2,0,0,ROW()-1,84),ROW()-1,FALSE))</f>
        <v>26.036562419999999</v>
      </c>
      <c r="AZ8">
        <f ca="1">IF(AND(ISNUMBER($AZ$258),$B$252=1),$AZ$258,HLOOKUP(INDIRECT(ADDRESS(2,COLUMN())),OFFSET($CL$2,0,0,ROW()-1,84),ROW()-1,FALSE))</f>
        <v>24.804212440000001</v>
      </c>
      <c r="BA8">
        <f ca="1">IF(AND(ISNUMBER($BA$258),$B$252=1),$BA$258,HLOOKUP(INDIRECT(ADDRESS(2,COLUMN())),OFFSET($CL$2,0,0,ROW()-1,84),ROW()-1,FALSE))</f>
        <v>23.748772370000001</v>
      </c>
      <c r="BB8">
        <f ca="1">IF(AND(ISNUMBER($BB$258),$B$252=1),$BB$258,HLOOKUP(INDIRECT(ADDRESS(2,COLUMN())),OFFSET($CL$2,0,0,ROW()-1,84),ROW()-1,FALSE))</f>
        <v>23.30877722</v>
      </c>
      <c r="BC8">
        <f ca="1">IF(AND(ISNUMBER($BC$258),$B$252=1),$BC$258,HLOOKUP(INDIRECT(ADDRESS(2,COLUMN())),OFFSET($CL$2,0,0,ROW()-1,84),ROW()-1,FALSE))</f>
        <v>22.048543710000001</v>
      </c>
      <c r="BD8">
        <f ca="1">IF(AND(ISNUMBER($BD$258),$B$252=1),$BD$258,HLOOKUP(INDIRECT(ADDRESS(2,COLUMN())),OFFSET($CL$2,0,0,ROW()-1,84),ROW()-1,FALSE))</f>
        <v>20.877894569999999</v>
      </c>
      <c r="BE8">
        <f ca="1">IF(AND(ISNUMBER($BE$258),$B$252=1),$BE$258,HLOOKUP(INDIRECT(ADDRESS(2,COLUMN())),OFFSET($CL$2,0,0,ROW()-1,84),ROW()-1,FALSE))</f>
        <v>18.918902889999998</v>
      </c>
      <c r="BF8">
        <f ca="1">IF(AND(ISNUMBER($BF$258),$B$252=1),$BF$258,HLOOKUP(INDIRECT(ADDRESS(2,COLUMN())),OFFSET($CL$2,0,0,ROW()-1,84),ROW()-1,FALSE))</f>
        <v>20.223975769999999</v>
      </c>
      <c r="BG8">
        <f ca="1">IF(AND(ISNUMBER($BG$258),$B$252=1),$BG$258,HLOOKUP(INDIRECT(ADDRESS(2,COLUMN())),OFFSET($CL$2,0,0,ROW()-1,84),ROW()-1,FALSE))</f>
        <v>21.448258339999999</v>
      </c>
      <c r="BH8">
        <f ca="1">IF(AND(ISNUMBER($BH$258),$B$252=1),$BH$258,HLOOKUP(INDIRECT(ADDRESS(2,COLUMN())),OFFSET($CL$2,0,0,ROW()-1,84),ROW()-1,FALSE))</f>
        <v>19.676445699999999</v>
      </c>
      <c r="BI8">
        <f ca="1">IF(AND(ISNUMBER($BI$258),$B$252=1),$BI$258,HLOOKUP(INDIRECT(ADDRESS(2,COLUMN())),OFFSET($CL$2,0,0,ROW()-1,84),ROW()-1,FALSE))</f>
        <v>19.718467990000001</v>
      </c>
      <c r="BJ8">
        <f ca="1">IF(AND(ISNUMBER($BJ$258),$B$252=1),$BJ$258,HLOOKUP(INDIRECT(ADDRESS(2,COLUMN())),OFFSET($CL$2,0,0,ROW()-1,84),ROW()-1,FALSE))</f>
        <v>22.192392040000001</v>
      </c>
      <c r="BK8">
        <f ca="1">IF(AND(ISNUMBER($BK$258),$B$252=1),$BK$258,HLOOKUP(INDIRECT(ADDRESS(2,COLUMN())),OFFSET($CL$2,0,0,ROW()-1,84),ROW()-1,FALSE))</f>
        <v>21.866296380000001</v>
      </c>
      <c r="BL8">
        <f ca="1">IF(AND(ISNUMBER($BL$258),$B$252=1),$BL$258,HLOOKUP(INDIRECT(ADDRESS(2,COLUMN())),OFFSET($CL$2,0,0,ROW()-1,84),ROW()-1,FALSE))</f>
        <v>22.285378779999998</v>
      </c>
      <c r="BM8">
        <f ca="1">IF(AND(ISNUMBER($BM$258),$B$252=1),$BM$258,HLOOKUP(INDIRECT(ADDRESS(2,COLUMN())),OFFSET($CL$2,0,0,ROW()-1,84),ROW()-1,FALSE))</f>
        <v>22.27261511</v>
      </c>
      <c r="BN8">
        <f ca="1">IF(AND(ISNUMBER($BN$258),$B$252=1),$BN$258,HLOOKUP(INDIRECT(ADDRESS(2,COLUMN())),OFFSET($CL$2,0,0,ROW()-1,84),ROW()-1,FALSE))</f>
        <v>21.3550486</v>
      </c>
      <c r="BO8">
        <f ca="1">IF(AND(ISNUMBER($BO$258),$B$252=1),$BO$258,HLOOKUP(INDIRECT(ADDRESS(2,COLUMN())),OFFSET($CL$2,0,0,ROW()-1,84),ROW()-1,FALSE))</f>
        <v>22.20000417</v>
      </c>
      <c r="BP8">
        <f ca="1">IF(AND(ISNUMBER($BP$258),$B$252=1),$BP$258,HLOOKUP(INDIRECT(ADDRESS(2,COLUMN())),OFFSET($CL$2,0,0,ROW()-1,84),ROW()-1,FALSE))</f>
        <v>22.913730059999999</v>
      </c>
      <c r="BQ8">
        <f ca="1">IF(AND(ISNUMBER($BQ$258),$B$252=1),$BQ$258,HLOOKUP(INDIRECT(ADDRESS(2,COLUMN())),OFFSET($CL$2,0,0,ROW()-1,84),ROW()-1,FALSE))</f>
        <v>21.851336409999998</v>
      </c>
      <c r="BR8">
        <f ca="1">IF(AND(ISNUMBER($BR$258),$B$252=1),$BR$258,HLOOKUP(INDIRECT(ADDRESS(2,COLUMN())),OFFSET($CL$2,0,0,ROW()-1,84),ROW()-1,FALSE))</f>
        <v>21.46369932</v>
      </c>
      <c r="BS8">
        <f ca="1">IF(AND(ISNUMBER($BS$258),$B$252=1),$BS$258,HLOOKUP(INDIRECT(ADDRESS(2,COLUMN())),OFFSET($CL$2,0,0,ROW()-1,84),ROW()-1,FALSE))</f>
        <v>22.916612560000001</v>
      </c>
      <c r="BT8">
        <f ca="1">IF(AND(ISNUMBER($BT$258),$B$252=1),$BT$258,HLOOKUP(INDIRECT(ADDRESS(2,COLUMN())),OFFSET($CL$2,0,0,ROW()-1,84),ROW()-1,FALSE))</f>
        <v>22.6477243</v>
      </c>
      <c r="BU8">
        <f ca="1">IF(AND(ISNUMBER($BU$258),$B$252=1),$BU$258,HLOOKUP(INDIRECT(ADDRESS(2,COLUMN())),OFFSET($CL$2,0,0,ROW()-1,84),ROW()-1,FALSE))</f>
        <v>24.108980590000002</v>
      </c>
      <c r="BV8">
        <f ca="1">IF(AND(ISNUMBER($BV$258),$B$252=1),$BV$258,HLOOKUP(INDIRECT(ADDRESS(2,COLUMN())),OFFSET($CL$2,0,0,ROW()-1,84),ROW()-1,FALSE))</f>
        <v>24.962423909999998</v>
      </c>
      <c r="BW8">
        <f ca="1">IF(AND(ISNUMBER($BW$258),$B$252=1),$BW$258,HLOOKUP(INDIRECT(ADDRESS(2,COLUMN())),OFFSET($CL$2,0,0,ROW()-1,84),ROW()-1,FALSE))</f>
        <v>24.416727810000001</v>
      </c>
      <c r="BX8">
        <f ca="1">IF(AND(ISNUMBER($BX$258),$B$252=1),$BX$258,HLOOKUP(INDIRECT(ADDRESS(2,COLUMN())),OFFSET($CL$2,0,0,ROW()-1,84),ROW()-1,FALSE))</f>
        <v>25.372390330000002</v>
      </c>
      <c r="BY8">
        <f ca="1">IF(AND(ISNUMBER($BY$258),$B$252=1),$BY$258,HLOOKUP(INDIRECT(ADDRESS(2,COLUMN())),OFFSET($CL$2,0,0,ROW()-1,84),ROW()-1,FALSE))</f>
        <v>26.638817629999998</v>
      </c>
      <c r="BZ8">
        <f ca="1">IF(AND(ISNUMBER($BZ$258),$B$252=1),$BZ$258,HLOOKUP(INDIRECT(ADDRESS(2,COLUMN())),OFFSET($CL$2,0,0,ROW()-1,84),ROW()-1,FALSE))</f>
        <v>25.549454069999999</v>
      </c>
      <c r="CA8">
        <f ca="1">IF(AND(ISNUMBER($CA$258),$B$252=1),$CA$258,HLOOKUP(INDIRECT(ADDRESS(2,COLUMN())),OFFSET($CL$2,0,0,ROW()-1,84),ROW()-1,FALSE))</f>
        <v>24.38821282</v>
      </c>
      <c r="CB8">
        <f ca="1">IF(AND(ISNUMBER($CB$258),$B$252=1),$CB$258,HLOOKUP(INDIRECT(ADDRESS(2,COLUMN())),OFFSET($CL$2,0,0,ROW()-1,84),ROW()-1,FALSE))</f>
        <v>25.08681082</v>
      </c>
      <c r="CC8">
        <f ca="1">IF(AND(ISNUMBER($CC$258),$B$252=1),$CC$258,HLOOKUP(INDIRECT(ADDRESS(2,COLUMN())),OFFSET($CL$2,0,0,ROW()-1,84),ROW()-1,FALSE))</f>
        <v>24.47880408</v>
      </c>
      <c r="CD8">
        <f ca="1">IF(AND(ISNUMBER($CD$258),$B$252=1),$CD$258,HLOOKUP(INDIRECT(ADDRESS(2,COLUMN())),OFFSET($CL$2,0,0,ROW()-1,84),ROW()-1,FALSE))</f>
        <v>24.169271129999998</v>
      </c>
      <c r="CE8">
        <f ca="1">IF(AND(ISNUMBER($CE$258),$B$252=1),$CE$258,HLOOKUP(INDIRECT(ADDRESS(2,COLUMN())),OFFSET($CL$2,0,0,ROW()-1,84),ROW()-1,FALSE))</f>
        <v>25.972187779999999</v>
      </c>
      <c r="CF8">
        <f ca="1">IF(AND(ISNUMBER($CF$258),$B$252=1),$CF$258,HLOOKUP(INDIRECT(ADDRESS(2,COLUMN())),OFFSET($CL$2,0,0,ROW()-1,84),ROW()-1,FALSE))</f>
        <v>21.838760310000001</v>
      </c>
      <c r="CG8">
        <f ca="1">IF(AND(ISNUMBER($CG$258),$B$252=1),$CG$258,HLOOKUP(INDIRECT(ADDRESS(2,COLUMN())),OFFSET($CL$2,0,0,ROW()-1,84),ROW()-1,FALSE))</f>
        <v>27.00508271</v>
      </c>
      <c r="CH8">
        <f ca="1">IF(AND(ISNUMBER($CH$258),$B$252=1),$CH$258,HLOOKUP(INDIRECT(ADDRESS(2,COLUMN())),OFFSET($CL$2,0,0,ROW()-1,84),ROW()-1,FALSE))</f>
        <v>26.40496976</v>
      </c>
      <c r="CI8">
        <f ca="1">IF(AND(ISNUMBER($CI$258),$B$252=1),$CI$258,HLOOKUP(INDIRECT(ADDRESS(2,COLUMN())),OFFSET($CL$2,0,0,ROW()-1,84),ROW()-1,FALSE))</f>
        <v>25.45118523</v>
      </c>
      <c r="CJ8">
        <f ca="1">IF(AND(ISNUMBER($CJ$258),$B$252=1),$CJ$258,HLOOKUP(INDIRECT(ADDRESS(2,COLUMN())),OFFSET($CL$2,0,0,ROW()-1,84),ROW()-1,FALSE))</f>
        <v>25.777202989999999</v>
      </c>
      <c r="CK8">
        <f ca="1">IF(AND(ISNUMBER($CK$258),$B$252=1),$CK$258,HLOOKUP(INDIRECT(ADDRESS(2,COLUMN())),OFFSET($CL$2,0,0,ROW()-1,84),ROW()-1,FALSE))</f>
        <v>25.37820988</v>
      </c>
      <c r="CL8">
        <f>19.9906335</f>
        <v>19.990633500000001</v>
      </c>
      <c r="CM8">
        <f>18.79648578</f>
        <v>18.796485780000001</v>
      </c>
      <c r="CN8">
        <f>19.56487181</f>
        <v>19.56487181</v>
      </c>
      <c r="CO8">
        <f>20.26943561</f>
        <v>20.269435609999999</v>
      </c>
      <c r="CP8">
        <f>21.02386629</f>
        <v>21.023866290000001</v>
      </c>
      <c r="CQ8">
        <f>22.33812393</f>
        <v>22.338123929999998</v>
      </c>
      <c r="CR8">
        <f>21.6231133</f>
        <v>21.6231133</v>
      </c>
      <c r="CS8">
        <f>22.96314043</f>
        <v>22.963140429999999</v>
      </c>
      <c r="CT8">
        <f>22.59448002</f>
        <v>22.594480019999999</v>
      </c>
      <c r="CU8">
        <f>22.21200564</f>
        <v>22.212005640000001</v>
      </c>
      <c r="CV8">
        <f>22.48906468</f>
        <v>22.489064679999998</v>
      </c>
      <c r="CW8">
        <f>21.39927465</f>
        <v>21.399274649999999</v>
      </c>
      <c r="CX8">
        <f>20.26659328</f>
        <v>20.266593279999999</v>
      </c>
      <c r="CY8">
        <f>21.11709334</f>
        <v>21.11709334</v>
      </c>
      <c r="CZ8">
        <f>20.18135507</f>
        <v>20.181355069999999</v>
      </c>
      <c r="DA8">
        <f>20.9191487</f>
        <v>20.919148700000001</v>
      </c>
      <c r="DB8">
        <f>20.00484185</f>
        <v>20.004841849999998</v>
      </c>
      <c r="DC8">
        <f>19.83529359</f>
        <v>19.835293589999999</v>
      </c>
      <c r="DD8">
        <f>20.63300426</f>
        <v>20.63300426</v>
      </c>
      <c r="DE8">
        <f>21.60003675</f>
        <v>21.600036750000001</v>
      </c>
      <c r="DF8">
        <f>22.24489914</f>
        <v>22.244899140000001</v>
      </c>
      <c r="DG8">
        <f>21.69419807</f>
        <v>21.694198069999999</v>
      </c>
      <c r="DH8">
        <f>22.53923983</f>
        <v>22.53923983</v>
      </c>
      <c r="DI8">
        <f>21.8667228</f>
        <v>21.866722800000002</v>
      </c>
      <c r="DJ8">
        <f>23.19687817</f>
        <v>23.196878170000002</v>
      </c>
      <c r="DK8">
        <f>21.54964476</f>
        <v>21.54964476</v>
      </c>
      <c r="DL8">
        <f>21.94402138</f>
        <v>21.944021379999999</v>
      </c>
      <c r="DM8">
        <f>24.65214283</f>
        <v>24.652142829999999</v>
      </c>
      <c r="DN8">
        <f>24.35734148</f>
        <v>24.357341479999999</v>
      </c>
      <c r="DO8">
        <f>23.26501303</f>
        <v>23.265013029999999</v>
      </c>
      <c r="DP8">
        <f>23.57951919</f>
        <v>23.579519189999999</v>
      </c>
      <c r="DQ8">
        <f>23.77804323</f>
        <v>23.778043230000002</v>
      </c>
      <c r="DR8">
        <f>24.9180864</f>
        <v>24.9180864</v>
      </c>
      <c r="DS8">
        <f>23.54316554</f>
        <v>23.54316554</v>
      </c>
      <c r="DT8">
        <f>26.62647618</f>
        <v>26.626476180000001</v>
      </c>
      <c r="DU8">
        <f>26.5463408</f>
        <v>26.546340799999999</v>
      </c>
      <c r="DV8">
        <f>27.49720094</f>
        <v>27.497200939999999</v>
      </c>
      <c r="DW8">
        <f>28.62363466</f>
        <v>28.62363466</v>
      </c>
      <c r="DX8">
        <f>29.0894781</f>
        <v>29.089478100000001</v>
      </c>
      <c r="DY8">
        <f>26.58653473</f>
        <v>26.58653473</v>
      </c>
      <c r="DZ8">
        <f>27.83034667</f>
        <v>27.830346670000001</v>
      </c>
      <c r="EA8">
        <f>27.74097497</f>
        <v>27.74097497</v>
      </c>
      <c r="EB8">
        <f>24.57721687</f>
        <v>24.577216870000001</v>
      </c>
      <c r="EC8">
        <f>27.23905144</f>
        <v>27.239051440000001</v>
      </c>
      <c r="ED8">
        <f>26.69272153</f>
        <v>26.69272153</v>
      </c>
      <c r="EE8">
        <f>26.03656242</f>
        <v>26.036562419999999</v>
      </c>
      <c r="EF8">
        <f>24.80421244</f>
        <v>24.804212440000001</v>
      </c>
      <c r="EG8">
        <f>23.74877237</f>
        <v>23.748772370000001</v>
      </c>
      <c r="EH8">
        <f>23.30877722</f>
        <v>23.30877722</v>
      </c>
      <c r="EI8">
        <f>22.04854371</f>
        <v>22.048543710000001</v>
      </c>
      <c r="EJ8">
        <f>20.87789457</f>
        <v>20.877894569999999</v>
      </c>
      <c r="EK8">
        <f>18.91890289</f>
        <v>18.918902889999998</v>
      </c>
      <c r="EL8">
        <f>20.22397577</f>
        <v>20.223975769999999</v>
      </c>
      <c r="EM8">
        <f>21.44825834</f>
        <v>21.448258339999999</v>
      </c>
      <c r="EN8">
        <f>19.6764457</f>
        <v>19.676445699999999</v>
      </c>
      <c r="EO8">
        <f>19.71846799</f>
        <v>19.718467990000001</v>
      </c>
      <c r="EP8">
        <f>22.19239204</f>
        <v>22.192392040000001</v>
      </c>
      <c r="EQ8">
        <f>21.86629638</f>
        <v>21.866296380000001</v>
      </c>
      <c r="ER8">
        <f>22.28537878</f>
        <v>22.285378779999998</v>
      </c>
      <c r="ES8">
        <f>22.27261511</f>
        <v>22.27261511</v>
      </c>
      <c r="ET8">
        <f>21.3550486</f>
        <v>21.3550486</v>
      </c>
      <c r="EU8">
        <f>22.20000417</f>
        <v>22.20000417</v>
      </c>
      <c r="EV8">
        <f>22.91373006</f>
        <v>22.913730059999999</v>
      </c>
      <c r="EW8">
        <f>21.85133641</f>
        <v>21.851336409999998</v>
      </c>
      <c r="EX8">
        <f>21.46369932</f>
        <v>21.46369932</v>
      </c>
      <c r="EY8">
        <f>22.91661256</f>
        <v>22.916612560000001</v>
      </c>
      <c r="EZ8">
        <f>22.6477243</f>
        <v>22.6477243</v>
      </c>
      <c r="FA8">
        <f>24.10898059</f>
        <v>24.108980590000002</v>
      </c>
      <c r="FB8">
        <f>24.96242391</f>
        <v>24.962423909999998</v>
      </c>
      <c r="FC8">
        <f>24.41672781</f>
        <v>24.416727810000001</v>
      </c>
      <c r="FD8">
        <f>25.37239033</f>
        <v>25.372390330000002</v>
      </c>
      <c r="FE8">
        <f>26.63881763</f>
        <v>26.638817629999998</v>
      </c>
      <c r="FF8">
        <f>25.54945407</f>
        <v>25.549454069999999</v>
      </c>
      <c r="FG8">
        <f>24.38821282</f>
        <v>24.38821282</v>
      </c>
      <c r="FH8">
        <f>25.08681082</f>
        <v>25.08681082</v>
      </c>
      <c r="FI8">
        <f>24.47880408</f>
        <v>24.47880408</v>
      </c>
      <c r="FJ8">
        <f>24.16927113</f>
        <v>24.169271129999998</v>
      </c>
      <c r="FK8">
        <f>25.97218778</f>
        <v>25.972187779999999</v>
      </c>
      <c r="FL8">
        <f>21.83876031</f>
        <v>21.838760310000001</v>
      </c>
      <c r="FM8">
        <f>27.00508271</f>
        <v>27.00508271</v>
      </c>
      <c r="FN8">
        <f>26.40496976</f>
        <v>26.40496976</v>
      </c>
      <c r="FO8">
        <f>25.45118523</f>
        <v>25.45118523</v>
      </c>
      <c r="FP8">
        <f>25.77720299</f>
        <v>25.777202989999999</v>
      </c>
      <c r="FQ8">
        <f>25.37820988</f>
        <v>25.37820988</v>
      </c>
    </row>
    <row r="9" spans="1:173">
      <c r="A9" t="str">
        <f>"    Mid-America Apartment Communities股份有限公司"</f>
        <v xml:space="preserve">    Mid-America Apartment Communities股份有限公司</v>
      </c>
      <c r="B9" t="str">
        <f>"MAA US Equity"</f>
        <v>MAA US Equity</v>
      </c>
      <c r="C9" t="str">
        <f t="shared" si="0"/>
        <v>RR857</v>
      </c>
      <c r="D9" t="str">
        <f t="shared" si="1"/>
        <v>PX_TO_FFO_RATIO</v>
      </c>
      <c r="E9" t="str">
        <f t="shared" si="2"/>
        <v>动态</v>
      </c>
      <c r="F9">
        <f ca="1">IF(AND(ISNUMBER($F$259),$B$252=1),$F$259,HLOOKUP(INDIRECT(ADDRESS(2,COLUMN())),OFFSET($CL$2,0,0,ROW()-1,84),ROW()-1,FALSE))</f>
        <v>15.04040404</v>
      </c>
      <c r="G9">
        <f ca="1">IF(AND(ISNUMBER($G$259),$B$252=1),$G$259,HLOOKUP(INDIRECT(ADDRESS(2,COLUMN())),OFFSET($CL$2,0,0,ROW()-1,84),ROW()-1,FALSE))</f>
        <v>14.44781145</v>
      </c>
      <c r="H9">
        <f ca="1">IF(AND(ISNUMBER($H$259),$B$252=1),$H$259,HLOOKUP(INDIRECT(ADDRESS(2,COLUMN())),OFFSET($CL$2,0,0,ROW()-1,84),ROW()-1,FALSE))</f>
        <v>16.055555559999998</v>
      </c>
      <c r="I9">
        <f ca="1">IF(AND(ISNUMBER($I$259),$B$252=1),$I$259,HLOOKUP(INDIRECT(ADDRESS(2,COLUMN())),OFFSET($CL$2,0,0,ROW()-1,84),ROW()-1,FALSE))</f>
        <v>16.929292929999999</v>
      </c>
      <c r="J9">
        <f ca="1">IF(AND(ISNUMBER($J$259),$B$252=1),$J$259,HLOOKUP(INDIRECT(ADDRESS(2,COLUMN())),OFFSET($CL$2,0,0,ROW()-1,84),ROW()-1,FALSE))</f>
        <v>18.391382409999999</v>
      </c>
      <c r="K9">
        <f ca="1">IF(AND(ISNUMBER($K$259),$B$252=1),$K$259,HLOOKUP(INDIRECT(ADDRESS(2,COLUMN())),OFFSET($CL$2,0,0,ROW()-1,84),ROW()-1,FALSE))</f>
        <v>18.375224419999999</v>
      </c>
      <c r="L9">
        <f ca="1">IF(AND(ISNUMBER($L$259),$B$252=1),$L$259,HLOOKUP(INDIRECT(ADDRESS(2,COLUMN())),OFFSET($CL$2,0,0,ROW()-1,84),ROW()-1,FALSE))</f>
        <v>19.188509870000001</v>
      </c>
      <c r="M9">
        <f ca="1">IF(AND(ISNUMBER($M$259),$B$252=1),$M$259,HLOOKUP(INDIRECT(ADDRESS(2,COLUMN())),OFFSET($CL$2,0,0,ROW()-1,84),ROW()-1,FALSE))</f>
        <v>19.216606500000001</v>
      </c>
      <c r="N9">
        <f ca="1">IF(AND(ISNUMBER($N$259),$B$252=1),$N$259,HLOOKUP(INDIRECT(ADDRESS(2,COLUMN())),OFFSET($CL$2,0,0,ROW()-1,84),ROW()-1,FALSE))</f>
        <v>18.687725629999999</v>
      </c>
      <c r="O9">
        <f ca="1">IF(AND(ISNUMBER($O$259),$B$252=1),$O$259,HLOOKUP(INDIRECT(ADDRESS(2,COLUMN())),OFFSET($CL$2,0,0,ROW()-1,84),ROW()-1,FALSE))</f>
        <v>19.021660650000001</v>
      </c>
      <c r="P9">
        <f ca="1">IF(AND(ISNUMBER($P$259),$B$252=1),$P$259,HLOOKUP(INDIRECT(ADDRESS(2,COLUMN())),OFFSET($CL$2,0,0,ROW()-1,84),ROW()-1,FALSE))</f>
        <v>18.20357143</v>
      </c>
      <c r="Q9">
        <f ca="1">IF(AND(ISNUMBER($Q$259),$B$252=1),$Q$259,HLOOKUP(INDIRECT(ADDRESS(2,COLUMN())),OFFSET($CL$2,0,0,ROW()-1,84),ROW()-1,FALSE))</f>
        <v>17.71607143</v>
      </c>
      <c r="R9">
        <f ca="1">IF(AND(ISNUMBER($R$259),$B$252=1),$R$259,HLOOKUP(INDIRECT(ADDRESS(2,COLUMN())),OFFSET($CL$2,0,0,ROW()-1,84),ROW()-1,FALSE))</f>
        <v>18.167857139999999</v>
      </c>
      <c r="S9">
        <f ca="1">IF(AND(ISNUMBER($S$259),$B$252=1),$S$259,HLOOKUP(INDIRECT(ADDRESS(2,COLUMN())),OFFSET($CL$2,0,0,ROW()-1,84),ROW()-1,FALSE))</f>
        <v>18.214539009999999</v>
      </c>
      <c r="T9">
        <f ca="1">IF(AND(ISNUMBER($T$259),$B$252=1),$T$259,HLOOKUP(INDIRECT(ADDRESS(2,COLUMN())),OFFSET($CL$2,0,0,ROW()-1,84),ROW()-1,FALSE))</f>
        <v>16.835106379999999</v>
      </c>
      <c r="U9">
        <f ca="1">IF(AND(ISNUMBER($U$259),$B$252=1),$U$259,HLOOKUP(INDIRECT(ADDRESS(2,COLUMN())),OFFSET($CL$2,0,0,ROW()-1,84),ROW()-1,FALSE))</f>
        <v>17.361702130000001</v>
      </c>
      <c r="V9">
        <f ca="1">IF(AND(ISNUMBER($V$259),$B$252=1),$V$259,HLOOKUP(INDIRECT(ADDRESS(2,COLUMN())),OFFSET($CL$2,0,0,ROW()-1,84),ROW()-1,FALSE))</f>
        <v>15.27158013</v>
      </c>
      <c r="W9">
        <f ca="1">IF(AND(ISNUMBER($W$259),$B$252=1),$W$259,HLOOKUP(INDIRECT(ADDRESS(2,COLUMN())),OFFSET($CL$2,0,0,ROW()-1,84),ROW()-1,FALSE))</f>
        <v>15.458245740000001</v>
      </c>
      <c r="X9">
        <f ca="1">IF(AND(ISNUMBER($X$259),$B$252=1),$X$259,HLOOKUP(INDIRECT(ADDRESS(2,COLUMN())),OFFSET($CL$2,0,0,ROW()-1,84),ROW()-1,FALSE))</f>
        <v>15.66491123</v>
      </c>
      <c r="Y9">
        <f ca="1">IF(AND(ISNUMBER($Y$259),$B$252=1),$Y$259,HLOOKUP(INDIRECT(ADDRESS(2,COLUMN())),OFFSET($CL$2,0,0,ROW()-1,84),ROW()-1,FALSE))</f>
        <v>15.74463637</v>
      </c>
      <c r="Z9">
        <f ca="1">IF(AND(ISNUMBER($Z$259),$B$252=1),$Z$259,HLOOKUP(INDIRECT(ADDRESS(2,COLUMN())),OFFSET($CL$2,0,0,ROW()-1,84),ROW()-1,FALSE))</f>
        <v>17.75982922</v>
      </c>
      <c r="AA9">
        <f ca="1">IF(AND(ISNUMBER($AA$259),$B$252=1),$AA$259,HLOOKUP(INDIRECT(ADDRESS(2,COLUMN())),OFFSET($CL$2,0,0,ROW()-1,84),ROW()-1,FALSE))</f>
        <v>17.823484520000001</v>
      </c>
      <c r="AB9">
        <f ca="1">IF(AND(ISNUMBER($AB$259),$B$252=1),$AB$259,HLOOKUP(INDIRECT(ADDRESS(2,COLUMN())),OFFSET($CL$2,0,0,ROW()-1,84),ROW()-1,FALSE))</f>
        <v>17.63172951</v>
      </c>
      <c r="AC9">
        <f ca="1">IF(AND(ISNUMBER($AC$259),$B$252=1),$AC$259,HLOOKUP(INDIRECT(ADDRESS(2,COLUMN())),OFFSET($CL$2,0,0,ROW()-1,84),ROW()-1,FALSE))</f>
        <v>16.38540471</v>
      </c>
      <c r="AD9">
        <f ca="1">IF(AND(ISNUMBER($AD$259),$B$252=1),$AD$259,HLOOKUP(INDIRECT(ADDRESS(2,COLUMN())),OFFSET($CL$2,0,0,ROW()-1,84),ROW()-1,FALSE))</f>
        <v>17.49819471</v>
      </c>
      <c r="AE9">
        <f ca="1">IF(AND(ISNUMBER($AE$259),$B$252=1),$AE$259,HLOOKUP(INDIRECT(ADDRESS(2,COLUMN())),OFFSET($CL$2,0,0,ROW()-1,84),ROW()-1,FALSE))</f>
        <v>15.83123488</v>
      </c>
      <c r="AF9">
        <f ca="1">IF(AND(ISNUMBER($AF$259),$B$252=1),$AF$259,HLOOKUP(INDIRECT(ADDRESS(2,COLUMN())),OFFSET($CL$2,0,0,ROW()-1,84),ROW()-1,FALSE))</f>
        <v>16.514192309999999</v>
      </c>
      <c r="AG9">
        <f ca="1">IF(AND(ISNUMBER($AG$259),$B$252=1),$AG$259,HLOOKUP(INDIRECT(ADDRESS(2,COLUMN())),OFFSET($CL$2,0,0,ROW()-1,84),ROW()-1,FALSE))</f>
        <v>15.984372240000001</v>
      </c>
      <c r="AH9">
        <f ca="1">IF(AND(ISNUMBER($AH$259),$B$252=1),$AH$259,HLOOKUP(INDIRECT(ADDRESS(2,COLUMN())),OFFSET($CL$2,0,0,ROW()-1,84),ROW()-1,FALSE))</f>
        <v>15.9822708</v>
      </c>
      <c r="AI9">
        <f ca="1">IF(AND(ISNUMBER($AI$259),$B$252=1),$AI$259,HLOOKUP(INDIRECT(ADDRESS(2,COLUMN())),OFFSET($CL$2,0,0,ROW()-1,84),ROW()-1,FALSE))</f>
        <v>15.3740927</v>
      </c>
      <c r="AJ9">
        <f ca="1">IF(AND(ISNUMBER($AJ$259),$B$252=1),$AJ$259,HLOOKUP(INDIRECT(ADDRESS(2,COLUMN())),OFFSET($CL$2,0,0,ROW()-1,84),ROW()-1,FALSE))</f>
        <v>14.77493801</v>
      </c>
      <c r="AK9">
        <f ca="1">IF(AND(ISNUMBER($AK$259),$B$252=1),$AK$259,HLOOKUP(INDIRECT(ADDRESS(2,COLUMN())),OFFSET($CL$2,0,0,ROW()-1,84),ROW()-1,FALSE))</f>
        <v>14.52271653</v>
      </c>
      <c r="AL9">
        <f ca="1">IF(AND(ISNUMBER($AL$259),$B$252=1),$AL$259,HLOOKUP(INDIRECT(ADDRESS(2,COLUMN())),OFFSET($CL$2,0,0,ROW()-1,84),ROW()-1,FALSE))</f>
        <v>14.8461006</v>
      </c>
      <c r="AM9">
        <f ca="1">IF(AND(ISNUMBER($AM$259),$B$252=1),$AM$259,HLOOKUP(INDIRECT(ADDRESS(2,COLUMN())),OFFSET($CL$2,0,0,ROW()-1,84),ROW()-1,FALSE))</f>
        <v>13.45462515</v>
      </c>
      <c r="AN9">
        <f ca="1">IF(AND(ISNUMBER($AN$259),$B$252=1),$AN$259,HLOOKUP(INDIRECT(ADDRESS(2,COLUMN())),OFFSET($CL$2,0,0,ROW()-1,84),ROW()-1,FALSE))</f>
        <v>14.69038462</v>
      </c>
      <c r="AO9">
        <f ca="1">IF(AND(ISNUMBER($AO$259),$B$252=1),$AO$259,HLOOKUP(INDIRECT(ADDRESS(2,COLUMN())),OFFSET($CL$2,0,0,ROW()-1,84),ROW()-1,FALSE))</f>
        <v>14.34807692</v>
      </c>
      <c r="AP9">
        <f ca="1">IF(AND(ISNUMBER($AP$259),$B$252=1),$AP$259,HLOOKUP(INDIRECT(ADDRESS(2,COLUMN())),OFFSET($CL$2,0,0,ROW()-1,84),ROW()-1,FALSE))</f>
        <v>14.859615379999999</v>
      </c>
      <c r="AQ9">
        <f ca="1">IF(AND(ISNUMBER($AQ$259),$B$252=1),$AQ$259,HLOOKUP(INDIRECT(ADDRESS(2,COLUMN())),OFFSET($CL$2,0,0,ROW()-1,84),ROW()-1,FALSE))</f>
        <v>14.23772102</v>
      </c>
      <c r="AR9">
        <f ca="1">IF(AND(ISNUMBER($AR$259),$B$252=1),$AR$259,HLOOKUP(INDIRECT(ADDRESS(2,COLUMN())),OFFSET($CL$2,0,0,ROW()-1,84),ROW()-1,FALSE))</f>
        <v>15.58349705</v>
      </c>
      <c r="AS9">
        <f ca="1">IF(AND(ISNUMBER($AS$259),$B$252=1),$AS$259,HLOOKUP(INDIRECT(ADDRESS(2,COLUMN())),OFFSET($CL$2,0,0,ROW()-1,84),ROW()-1,FALSE))</f>
        <v>14.6719057</v>
      </c>
      <c r="AT9">
        <f ca="1">IF(AND(ISNUMBER($AT$259),$B$252=1),$AT$259,HLOOKUP(INDIRECT(ADDRESS(2,COLUMN())),OFFSET($CL$2,0,0,ROW()-1,84),ROW()-1,FALSE))</f>
        <v>15.70575693</v>
      </c>
      <c r="AU9">
        <f ca="1">IF(AND(ISNUMBER($AU$259),$B$252=1),$AU$259,HLOOKUP(INDIRECT(ADDRESS(2,COLUMN())),OFFSET($CL$2,0,0,ROW()-1,84),ROW()-1,FALSE))</f>
        <v>15.06609808</v>
      </c>
      <c r="AV9">
        <f ca="1">IF(AND(ISNUMBER($AV$259),$B$252=1),$AV$259,HLOOKUP(INDIRECT(ADDRESS(2,COLUMN())),OFFSET($CL$2,0,0,ROW()-1,84),ROW()-1,FALSE))</f>
        <v>13.9978678</v>
      </c>
      <c r="AW9">
        <f ca="1">IF(AND(ISNUMBER($AW$259),$B$252=1),$AW$259,HLOOKUP(INDIRECT(ADDRESS(2,COLUMN())),OFFSET($CL$2,0,0,ROW()-1,84),ROW()-1,FALSE))</f>
        <v>16.035476719999998</v>
      </c>
      <c r="AX9">
        <f ca="1">IF(AND(ISNUMBER($AX$259),$B$252=1),$AX$259,HLOOKUP(INDIRECT(ADDRESS(2,COLUMN())),OFFSET($CL$2,0,0,ROW()-1,84),ROW()-1,FALSE))</f>
        <v>15.50332594</v>
      </c>
      <c r="AY9">
        <f ca="1">IF(AND(ISNUMBER($AY$259),$B$252=1),$AY$259,HLOOKUP(INDIRECT(ADDRESS(2,COLUMN())),OFFSET($CL$2,0,0,ROW()-1,84),ROW()-1,FALSE))</f>
        <v>16.197339249999999</v>
      </c>
      <c r="AZ9">
        <f ca="1">IF(AND(ISNUMBER($AZ$259),$B$252=1),$AZ$259,HLOOKUP(INDIRECT(ADDRESS(2,COLUMN())),OFFSET($CL$2,0,0,ROW()-1,84),ROW()-1,FALSE))</f>
        <v>16.258426969999999</v>
      </c>
      <c r="BA9">
        <f ca="1">IF(AND(ISNUMBER($BA$259),$B$252=1),$BA$259,HLOOKUP(INDIRECT(ADDRESS(2,COLUMN())),OFFSET($CL$2,0,0,ROW()-1,84),ROW()-1,FALSE))</f>
        <v>15.651685390000001</v>
      </c>
      <c r="BB9">
        <f ca="1">IF(AND(ISNUMBER($BB$259),$B$252=1),$BB$259,HLOOKUP(INDIRECT(ADDRESS(2,COLUMN())),OFFSET($CL$2,0,0,ROW()-1,84),ROW()-1,FALSE))</f>
        <v>15.341573029999999</v>
      </c>
      <c r="BC9">
        <f ca="1">IF(AND(ISNUMBER($BC$259),$B$252=1),$BC$259,HLOOKUP(INDIRECT(ADDRESS(2,COLUMN())),OFFSET($CL$2,0,0,ROW()-1,84),ROW()-1,FALSE))</f>
        <v>15.13199105</v>
      </c>
      <c r="BD9">
        <f ca="1">IF(AND(ISNUMBER($BD$259),$B$252=1),$BD$259,HLOOKUP(INDIRECT(ADDRESS(2,COLUMN())),OFFSET($CL$2,0,0,ROW()-1,84),ROW()-1,FALSE))</f>
        <v>14.43847875</v>
      </c>
      <c r="BE9">
        <f ca="1">IF(AND(ISNUMBER($BE$259),$B$252=1),$BE$259,HLOOKUP(INDIRECT(ADDRESS(2,COLUMN())),OFFSET($CL$2,0,0,ROW()-1,84),ROW()-1,FALSE))</f>
        <v>13.58836689</v>
      </c>
      <c r="BF9">
        <f ca="1">IF(AND(ISNUMBER($BF$259),$B$252=1),$BF$259,HLOOKUP(INDIRECT(ADDRESS(2,COLUMN())),OFFSET($CL$2,0,0,ROW()-1,84),ROW()-1,FALSE))</f>
        <v>12.721165940000001</v>
      </c>
      <c r="BG9">
        <f ca="1">IF(AND(ISNUMBER($BG$259),$B$252=1),$BG$259,HLOOKUP(INDIRECT(ADDRESS(2,COLUMN())),OFFSET($CL$2,0,0,ROW()-1,84),ROW()-1,FALSE))</f>
        <v>14.0220023</v>
      </c>
      <c r="BH9">
        <f ca="1">IF(AND(ISNUMBER($BH$259),$B$252=1),$BH$259,HLOOKUP(INDIRECT(ADDRESS(2,COLUMN())),OFFSET($CL$2,0,0,ROW()-1,84),ROW()-1,FALSE))</f>
        <v>13.198420840000001</v>
      </c>
      <c r="BI9">
        <f ca="1">IF(AND(ISNUMBER($BI$259),$B$252=1),$BI$259,HLOOKUP(INDIRECT(ADDRESS(2,COLUMN())),OFFSET($CL$2,0,0,ROW()-1,84),ROW()-1,FALSE))</f>
        <v>13.076261580000001</v>
      </c>
      <c r="BJ9">
        <f ca="1">IF(AND(ISNUMBER($BJ$259),$B$252=1),$BJ$259,HLOOKUP(INDIRECT(ADDRESS(2,COLUMN())),OFFSET($CL$2,0,0,ROW()-1,84),ROW()-1,FALSE))</f>
        <v>14.325356299999999</v>
      </c>
      <c r="BK9">
        <f ca="1">IF(AND(ISNUMBER($BK$259),$B$252=1),$BK$259,HLOOKUP(INDIRECT(ADDRESS(2,COLUMN())),OFFSET($CL$2,0,0,ROW()-1,84),ROW()-1,FALSE))</f>
        <v>14.372011799999999</v>
      </c>
      <c r="BL9">
        <f ca="1">IF(AND(ISNUMBER($BL$259),$B$252=1),$BL$259,HLOOKUP(INDIRECT(ADDRESS(2,COLUMN())),OFFSET($CL$2,0,0,ROW()-1,84),ROW()-1,FALSE))</f>
        <v>14.44505957</v>
      </c>
      <c r="BM9">
        <f ca="1">IF(AND(ISNUMBER($BM$259),$B$252=1),$BM$259,HLOOKUP(INDIRECT(ADDRESS(2,COLUMN())),OFFSET($CL$2,0,0,ROW()-1,84),ROW()-1,FALSE))</f>
        <v>14.606575619999999</v>
      </c>
      <c r="BN9">
        <f ca="1">IF(AND(ISNUMBER($BN$259),$B$252=1),$BN$259,HLOOKUP(INDIRECT(ADDRESS(2,COLUMN())),OFFSET($CL$2,0,0,ROW()-1,84),ROW()-1,FALSE))</f>
        <v>14.67670758</v>
      </c>
      <c r="BO9">
        <f ca="1">IF(AND(ISNUMBER($BO$259),$B$252=1),$BO$259,HLOOKUP(INDIRECT(ADDRESS(2,COLUMN())),OFFSET($CL$2,0,0,ROW()-1,84),ROW()-1,FALSE))</f>
        <v>15.17676539</v>
      </c>
      <c r="BP9">
        <f ca="1">IF(AND(ISNUMBER($BP$259),$B$252=1),$BP$259,HLOOKUP(INDIRECT(ADDRESS(2,COLUMN())),OFFSET($CL$2,0,0,ROW()-1,84),ROW()-1,FALSE))</f>
        <v>14.28722859</v>
      </c>
      <c r="BQ9">
        <f ca="1">IF(AND(ISNUMBER($BQ$259),$B$252=1),$BQ$259,HLOOKUP(INDIRECT(ADDRESS(2,COLUMN())),OFFSET($CL$2,0,0,ROW()-1,84),ROW()-1,FALSE))</f>
        <v>14.151721759999999</v>
      </c>
      <c r="BR9">
        <f ca="1">IF(AND(ISNUMBER($BR$259),$B$252=1),$BR$259,HLOOKUP(INDIRECT(ADDRESS(2,COLUMN())),OFFSET($CL$2,0,0,ROW()-1,84),ROW()-1,FALSE))</f>
        <v>14.06772009</v>
      </c>
      <c r="BS9">
        <f ca="1">IF(AND(ISNUMBER($BS$259),$B$252=1),$BS$259,HLOOKUP(INDIRECT(ADDRESS(2,COLUMN())),OFFSET($CL$2,0,0,ROW()-1,84),ROW()-1,FALSE))</f>
        <v>14.60722348</v>
      </c>
      <c r="BT9">
        <f ca="1">IF(AND(ISNUMBER($BT$259),$B$252=1),$BT$259,HLOOKUP(INDIRECT(ADDRESS(2,COLUMN())),OFFSET($CL$2,0,0,ROW()-1,84),ROW()-1,FALSE))</f>
        <v>14.74266366</v>
      </c>
      <c r="BU9">
        <f ca="1">IF(AND(ISNUMBER($BU$259),$B$252=1),$BU$259,HLOOKUP(INDIRECT(ADDRESS(2,COLUMN())),OFFSET($CL$2,0,0,ROW()-1,84),ROW()-1,FALSE))</f>
        <v>15.74074074</v>
      </c>
      <c r="BV9">
        <f ca="1">IF(AND(ISNUMBER($BV$259),$B$252=1),$BV$259,HLOOKUP(INDIRECT(ADDRESS(2,COLUMN())),OFFSET($CL$2,0,0,ROW()-1,84),ROW()-1,FALSE))</f>
        <v>16.025462959999999</v>
      </c>
      <c r="BW9">
        <f ca="1">IF(AND(ISNUMBER($BW$259),$B$252=1),$BW$259,HLOOKUP(INDIRECT(ADDRESS(2,COLUMN())),OFFSET($CL$2,0,0,ROW()-1,84),ROW()-1,FALSE))</f>
        <v>15.7962963</v>
      </c>
      <c r="BX9">
        <f ca="1">IF(AND(ISNUMBER($BX$259),$B$252=1),$BX$259,HLOOKUP(INDIRECT(ADDRESS(2,COLUMN())),OFFSET($CL$2,0,0,ROW()-1,84),ROW()-1,FALSE))</f>
        <v>16.356796119999998</v>
      </c>
      <c r="BY9">
        <f ca="1">IF(AND(ISNUMBER($BY$259),$B$252=1),$BY$259,HLOOKUP(INDIRECT(ADDRESS(2,COLUMN())),OFFSET($CL$2,0,0,ROW()-1,84),ROW()-1,FALSE))</f>
        <v>16.521844659999999</v>
      </c>
      <c r="BZ9">
        <f ca="1">IF(AND(ISNUMBER($BZ$259),$B$252=1),$BZ$259,HLOOKUP(INDIRECT(ADDRESS(2,COLUMN())),OFFSET($CL$2,0,0,ROW()-1,84),ROW()-1,FALSE))</f>
        <v>16.269417480000001</v>
      </c>
      <c r="CA9">
        <f ca="1">IF(AND(ISNUMBER($CA$259),$B$252=1),$CA$259,HLOOKUP(INDIRECT(ADDRESS(2,COLUMN())),OFFSET($CL$2,0,0,ROW()-1,84),ROW()-1,FALSE))</f>
        <v>15.67085427</v>
      </c>
      <c r="CB9">
        <f ca="1">IF(AND(ISNUMBER($CB$259),$B$252=1),$CB$259,HLOOKUP(INDIRECT(ADDRESS(2,COLUMN())),OFFSET($CL$2,0,0,ROW()-1,84),ROW()-1,FALSE))</f>
        <v>16.060301509999999</v>
      </c>
      <c r="CC9">
        <f ca="1">IF(AND(ISNUMBER($CC$259),$B$252=1),$CC$259,HLOOKUP(INDIRECT(ADDRESS(2,COLUMN())),OFFSET($CL$2,0,0,ROW()-1,84),ROW()-1,FALSE))</f>
        <v>15.716080399999999</v>
      </c>
      <c r="CD9">
        <f ca="1">IF(AND(ISNUMBER($CD$259),$B$252=1),$CD$259,HLOOKUP(INDIRECT(ADDRESS(2,COLUMN())),OFFSET($CL$2,0,0,ROW()-1,84),ROW()-1,FALSE))</f>
        <v>14.849740929999999</v>
      </c>
      <c r="CE9">
        <f ca="1">IF(AND(ISNUMBER($CE$259),$B$252=1),$CE$259,HLOOKUP(INDIRECT(ADDRESS(2,COLUMN())),OFFSET($CL$2,0,0,ROW()-1,84),ROW()-1,FALSE))</f>
        <v>16.165803109999999</v>
      </c>
      <c r="CF9">
        <f ca="1">IF(AND(ISNUMBER($CF$259),$B$252=1),$CF$259,HLOOKUP(INDIRECT(ADDRESS(2,COLUMN())),OFFSET($CL$2,0,0,ROW()-1,84),ROW()-1,FALSE))</f>
        <v>15.60103627</v>
      </c>
      <c r="CG9">
        <f ca="1">IF(AND(ISNUMBER($CG$259),$B$252=1),$CG$259,HLOOKUP(INDIRECT(ADDRESS(2,COLUMN())),OFFSET($CL$2,0,0,ROW()-1,84),ROW()-1,FALSE))</f>
        <v>19.318918920000002</v>
      </c>
      <c r="CH9">
        <f ca="1">IF(AND(ISNUMBER($CH$259),$B$252=1),$CH$259,HLOOKUP(INDIRECT(ADDRESS(2,COLUMN())),OFFSET($CL$2,0,0,ROW()-1,84),ROW()-1,FALSE))</f>
        <v>19.132432430000001</v>
      </c>
      <c r="CI9">
        <f ca="1">IF(AND(ISNUMBER($CI$259),$B$252=1),$CI$259,HLOOKUP(INDIRECT(ADDRESS(2,COLUMN())),OFFSET($CL$2,0,0,ROW()-1,84),ROW()-1,FALSE))</f>
        <v>18.235135140000001</v>
      </c>
      <c r="CJ9">
        <f ca="1">IF(AND(ISNUMBER($CJ$259),$B$252=1),$CJ$259,HLOOKUP(INDIRECT(ADDRESS(2,COLUMN())),OFFSET($CL$2,0,0,ROW()-1,84),ROW()-1,FALSE))</f>
        <v>19.201680669999998</v>
      </c>
      <c r="CK9">
        <f ca="1">IF(AND(ISNUMBER($CK$259),$B$252=1),$CK$259,HLOOKUP(INDIRECT(ADDRESS(2,COLUMN())),OFFSET($CL$2,0,0,ROW()-1,84),ROW()-1,FALSE))</f>
        <v>18.725490199999999</v>
      </c>
      <c r="CL9">
        <f>15.04040404</f>
        <v>15.04040404</v>
      </c>
      <c r="CM9">
        <f>14.44781145</f>
        <v>14.44781145</v>
      </c>
      <c r="CN9">
        <f>16.05555556</f>
        <v>16.055555559999998</v>
      </c>
      <c r="CO9">
        <f>16.92929293</f>
        <v>16.929292929999999</v>
      </c>
      <c r="CP9">
        <f>18.39138241</f>
        <v>18.391382409999999</v>
      </c>
      <c r="CQ9">
        <f>18.37522442</f>
        <v>18.375224419999999</v>
      </c>
      <c r="CR9">
        <f>19.18850987</f>
        <v>19.188509870000001</v>
      </c>
      <c r="CS9">
        <f>19.2166065</f>
        <v>19.216606500000001</v>
      </c>
      <c r="CT9">
        <f>18.68772563</f>
        <v>18.687725629999999</v>
      </c>
      <c r="CU9">
        <f>19.02166065</f>
        <v>19.021660650000001</v>
      </c>
      <c r="CV9">
        <f>18.20357143</f>
        <v>18.20357143</v>
      </c>
      <c r="CW9">
        <f>17.71607143</f>
        <v>17.71607143</v>
      </c>
      <c r="CX9">
        <f>18.16785714</f>
        <v>18.167857139999999</v>
      </c>
      <c r="CY9">
        <f>18.21453901</f>
        <v>18.214539009999999</v>
      </c>
      <c r="CZ9">
        <f>16.83510638</f>
        <v>16.835106379999999</v>
      </c>
      <c r="DA9">
        <f>17.36170213</f>
        <v>17.361702130000001</v>
      </c>
      <c r="DB9">
        <f>15.27158013</f>
        <v>15.27158013</v>
      </c>
      <c r="DC9">
        <f>15.45824574</f>
        <v>15.458245740000001</v>
      </c>
      <c r="DD9">
        <f>15.66491123</f>
        <v>15.66491123</v>
      </c>
      <c r="DE9">
        <f>15.74463637</f>
        <v>15.74463637</v>
      </c>
      <c r="DF9">
        <f>17.75982922</f>
        <v>17.75982922</v>
      </c>
      <c r="DG9">
        <f>17.82348452</f>
        <v>17.823484520000001</v>
      </c>
      <c r="DH9">
        <f>17.63172951</f>
        <v>17.63172951</v>
      </c>
      <c r="DI9">
        <f>16.38540471</f>
        <v>16.38540471</v>
      </c>
      <c r="DJ9">
        <f>17.49819471</f>
        <v>17.49819471</v>
      </c>
      <c r="DK9">
        <f>15.83123488</f>
        <v>15.83123488</v>
      </c>
      <c r="DL9">
        <f>16.51419231</f>
        <v>16.514192309999999</v>
      </c>
      <c r="DM9">
        <f>15.98437224</f>
        <v>15.984372240000001</v>
      </c>
      <c r="DN9">
        <f>15.9822708</f>
        <v>15.9822708</v>
      </c>
      <c r="DO9">
        <f>15.3740927</f>
        <v>15.3740927</v>
      </c>
      <c r="DP9">
        <f>14.77493801</f>
        <v>14.77493801</v>
      </c>
      <c r="DQ9">
        <f>14.52271653</f>
        <v>14.52271653</v>
      </c>
      <c r="DR9">
        <f>14.8461006</f>
        <v>14.8461006</v>
      </c>
      <c r="DS9">
        <f>13.45462515</f>
        <v>13.45462515</v>
      </c>
      <c r="DT9">
        <f>14.69038462</f>
        <v>14.69038462</v>
      </c>
      <c r="DU9">
        <f>14.34807692</f>
        <v>14.34807692</v>
      </c>
      <c r="DV9">
        <f>14.85961538</f>
        <v>14.859615379999999</v>
      </c>
      <c r="DW9">
        <f>14.23772102</f>
        <v>14.23772102</v>
      </c>
      <c r="DX9">
        <f>15.58349705</f>
        <v>15.58349705</v>
      </c>
      <c r="DY9">
        <f>14.6719057</f>
        <v>14.6719057</v>
      </c>
      <c r="DZ9">
        <f>15.70575693</f>
        <v>15.70575693</v>
      </c>
      <c r="EA9">
        <f>15.06609808</f>
        <v>15.06609808</v>
      </c>
      <c r="EB9">
        <f>13.9978678</f>
        <v>13.9978678</v>
      </c>
      <c r="EC9">
        <f>16.03547672</f>
        <v>16.035476719999998</v>
      </c>
      <c r="ED9">
        <f>15.50332594</f>
        <v>15.50332594</v>
      </c>
      <c r="EE9">
        <f>16.19733925</f>
        <v>16.197339249999999</v>
      </c>
      <c r="EF9">
        <f>16.25842697</f>
        <v>16.258426969999999</v>
      </c>
      <c r="EG9">
        <f>15.65168539</f>
        <v>15.651685390000001</v>
      </c>
      <c r="EH9">
        <f>15.34157303</f>
        <v>15.341573029999999</v>
      </c>
      <c r="EI9">
        <f>15.13199105</f>
        <v>15.13199105</v>
      </c>
      <c r="EJ9">
        <f>14.43847875</f>
        <v>14.43847875</v>
      </c>
      <c r="EK9">
        <f>13.58836689</f>
        <v>13.58836689</v>
      </c>
      <c r="EL9">
        <f>12.72116594</f>
        <v>12.721165940000001</v>
      </c>
      <c r="EM9">
        <f>14.0220023</f>
        <v>14.0220023</v>
      </c>
      <c r="EN9">
        <f>13.19842084</f>
        <v>13.198420840000001</v>
      </c>
      <c r="EO9">
        <f>13.07626158</f>
        <v>13.076261580000001</v>
      </c>
      <c r="EP9">
        <f>14.3253563</f>
        <v>14.325356299999999</v>
      </c>
      <c r="EQ9">
        <f>14.3720118</f>
        <v>14.372011799999999</v>
      </c>
      <c r="ER9">
        <f>14.44505957</f>
        <v>14.44505957</v>
      </c>
      <c r="ES9">
        <f>14.60657562</f>
        <v>14.606575619999999</v>
      </c>
      <c r="ET9">
        <f>14.67670758</f>
        <v>14.67670758</v>
      </c>
      <c r="EU9">
        <f>15.17676539</f>
        <v>15.17676539</v>
      </c>
      <c r="EV9">
        <f>14.28722859</f>
        <v>14.28722859</v>
      </c>
      <c r="EW9">
        <f>14.15172176</f>
        <v>14.151721759999999</v>
      </c>
      <c r="EX9">
        <f>14.06772009</f>
        <v>14.06772009</v>
      </c>
      <c r="EY9">
        <f>14.60722348</f>
        <v>14.60722348</v>
      </c>
      <c r="EZ9">
        <f>14.74266366</f>
        <v>14.74266366</v>
      </c>
      <c r="FA9">
        <f>15.74074074</f>
        <v>15.74074074</v>
      </c>
      <c r="FB9">
        <f>16.02546296</f>
        <v>16.025462959999999</v>
      </c>
      <c r="FC9">
        <f>15.7962963</f>
        <v>15.7962963</v>
      </c>
      <c r="FD9">
        <f>16.35679612</f>
        <v>16.356796119999998</v>
      </c>
      <c r="FE9">
        <f>16.52184466</f>
        <v>16.521844659999999</v>
      </c>
      <c r="FF9">
        <f>16.26941748</f>
        <v>16.269417480000001</v>
      </c>
      <c r="FG9">
        <f>15.67085427</f>
        <v>15.67085427</v>
      </c>
      <c r="FH9">
        <f>16.06030151</f>
        <v>16.060301509999999</v>
      </c>
      <c r="FI9">
        <f>15.7160804</f>
        <v>15.716080399999999</v>
      </c>
      <c r="FJ9">
        <f>14.84974093</f>
        <v>14.849740929999999</v>
      </c>
      <c r="FK9">
        <f>16.16580311</f>
        <v>16.165803109999999</v>
      </c>
      <c r="FL9">
        <f>15.60103627</f>
        <v>15.60103627</v>
      </c>
      <c r="FM9">
        <f>19.31891892</f>
        <v>19.318918920000002</v>
      </c>
      <c r="FN9">
        <f>19.13243243</f>
        <v>19.132432430000001</v>
      </c>
      <c r="FO9">
        <f>18.23513514</f>
        <v>18.235135140000001</v>
      </c>
      <c r="FP9">
        <f>19.20168067</f>
        <v>19.201680669999998</v>
      </c>
      <c r="FQ9">
        <f>18.7254902</f>
        <v>18.725490199999999</v>
      </c>
    </row>
    <row r="10" spans="1:173">
      <c r="A10" t="str">
        <f>"    UDR 公司"</f>
        <v xml:space="preserve">    UDR 公司</v>
      </c>
      <c r="B10" t="str">
        <f>"UDR US Equity"</f>
        <v>UDR US Equity</v>
      </c>
      <c r="C10" t="str">
        <f t="shared" si="0"/>
        <v>RR857</v>
      </c>
      <c r="D10" t="str">
        <f t="shared" si="1"/>
        <v>PX_TO_FFO_RATIO</v>
      </c>
      <c r="E10" t="str">
        <f t="shared" si="2"/>
        <v>动态</v>
      </c>
      <c r="F10">
        <f ca="1">IF(AND(ISNUMBER($F$260),$B$252=1),$F$260,HLOOKUP(INDIRECT(ADDRESS(2,COLUMN())),OFFSET($CL$2,0,0,ROW()-1,84),ROW()-1,FALSE))</f>
        <v>19.456043869999998</v>
      </c>
      <c r="G10">
        <f ca="1">IF(AND(ISNUMBER($G$260),$B$252=1),$G$260,HLOOKUP(INDIRECT(ADDRESS(2,COLUMN())),OFFSET($CL$2,0,0,ROW()-1,84),ROW()-1,FALSE))</f>
        <v>18.472527469999999</v>
      </c>
      <c r="H10">
        <f ca="1">IF(AND(ISNUMBER($H$260),$B$252=1),$H$260,HLOOKUP(INDIRECT(ADDRESS(2,COLUMN())),OFFSET($CL$2,0,0,ROW()-1,84),ROW()-1,FALSE))</f>
        <v>20.071428569999998</v>
      </c>
      <c r="I10">
        <f ca="1">IF(AND(ISNUMBER($I$260),$B$252=1),$I$260,HLOOKUP(INDIRECT(ADDRESS(2,COLUMN())),OFFSET($CL$2,0,0,ROW()-1,84),ROW()-1,FALSE))</f>
        <v>21.164835159999999</v>
      </c>
      <c r="J10">
        <f ca="1">IF(AND(ISNUMBER($J$260),$B$252=1),$J$260,HLOOKUP(INDIRECT(ADDRESS(2,COLUMN())),OFFSET($CL$2,0,0,ROW()-1,84),ROW()-1,FALSE))</f>
        <v>21.491803279999999</v>
      </c>
      <c r="K10">
        <f ca="1">IF(AND(ISNUMBER($K$260),$B$252=1),$K$260,HLOOKUP(INDIRECT(ADDRESS(2,COLUMN())),OFFSET($CL$2,0,0,ROW()-1,84),ROW()-1,FALSE))</f>
        <v>21.196721310000001</v>
      </c>
      <c r="L10">
        <f ca="1">IF(AND(ISNUMBER($L$260),$B$252=1),$L$260,HLOOKUP(INDIRECT(ADDRESS(2,COLUMN())),OFFSET($CL$2,0,0,ROW()-1,84),ROW()-1,FALSE))</f>
        <v>20.78142077</v>
      </c>
      <c r="M10">
        <f ca="1">IF(AND(ISNUMBER($M$260),$B$252=1),$M$260,HLOOKUP(INDIRECT(ADDRESS(2,COLUMN())),OFFSET($CL$2,0,0,ROW()-1,84),ROW()-1,FALSE))</f>
        <v>21.23128316</v>
      </c>
      <c r="N10">
        <f ca="1">IF(AND(ISNUMBER($N$260),$B$252=1),$N$260,HLOOKUP(INDIRECT(ADDRESS(2,COLUMN())),OFFSET($CL$2,0,0,ROW()-1,84),ROW()-1,FALSE))</f>
        <v>21.378950509999999</v>
      </c>
      <c r="O10">
        <f ca="1">IF(AND(ISNUMBER($O$260),$B$252=1),$O$260,HLOOKUP(INDIRECT(ADDRESS(2,COLUMN())),OFFSET($CL$2,0,0,ROW()-1,84),ROW()-1,FALSE))</f>
        <v>21.313320579999999</v>
      </c>
      <c r="P10">
        <f ca="1">IF(AND(ISNUMBER($P$260),$B$252=1),$P$260,HLOOKUP(INDIRECT(ADDRESS(2,COLUMN())),OFFSET($CL$2,0,0,ROW()-1,84),ROW()-1,FALSE))</f>
        <v>21.232555040000001</v>
      </c>
      <c r="Q10">
        <f ca="1">IF(AND(ISNUMBER($Q$260),$B$252=1),$Q$260,HLOOKUP(INDIRECT(ADDRESS(2,COLUMN())),OFFSET($CL$2,0,0,ROW()-1,84),ROW()-1,FALSE))</f>
        <v>20.534151909999999</v>
      </c>
      <c r="R10">
        <f ca="1">IF(AND(ISNUMBER($R$260),$B$252=1),$R$260,HLOOKUP(INDIRECT(ADDRESS(2,COLUMN())),OFFSET($CL$2,0,0,ROW()-1,84),ROW()-1,FALSE))</f>
        <v>19.940234289999999</v>
      </c>
      <c r="S10">
        <f ca="1">IF(AND(ISNUMBER($S$260),$B$252=1),$S$260,HLOOKUP(INDIRECT(ADDRESS(2,COLUMN())),OFFSET($CL$2,0,0,ROW()-1,84),ROW()-1,FALSE))</f>
        <v>20.29543481</v>
      </c>
      <c r="T10">
        <f ca="1">IF(AND(ISNUMBER($T$260),$B$252=1),$T$260,HLOOKUP(INDIRECT(ADDRESS(2,COLUMN())),OFFSET($CL$2,0,0,ROW()-1,84),ROW()-1,FALSE))</f>
        <v>19.433573880000001</v>
      </c>
      <c r="U10">
        <f ca="1">IF(AND(ISNUMBER($U$260),$B$252=1),$U$260,HLOOKUP(INDIRECT(ADDRESS(2,COLUMN())),OFFSET($CL$2,0,0,ROW()-1,84),ROW()-1,FALSE))</f>
        <v>20.28431402</v>
      </c>
      <c r="V10">
        <f ca="1">IF(AND(ISNUMBER($V$260),$B$252=1),$V$260,HLOOKUP(INDIRECT(ADDRESS(2,COLUMN())),OFFSET($CL$2,0,0,ROW()-1,84),ROW()-1,FALSE))</f>
        <v>19.580841150000001</v>
      </c>
      <c r="W10">
        <f ca="1">IF(AND(ISNUMBER($W$260),$B$252=1),$W$260,HLOOKUP(INDIRECT(ADDRESS(2,COLUMN())),OFFSET($CL$2,0,0,ROW()-1,84),ROW()-1,FALSE))</f>
        <v>20.11580537</v>
      </c>
      <c r="X10">
        <f ca="1">IF(AND(ISNUMBER($X$260),$B$252=1),$X$260,HLOOKUP(INDIRECT(ADDRESS(2,COLUMN())),OFFSET($CL$2,0,0,ROW()-1,84),ROW()-1,FALSE))</f>
        <v>20.702540330000001</v>
      </c>
      <c r="Y10">
        <f ca="1">IF(AND(ISNUMBER($Y$260),$B$252=1),$Y$260,HLOOKUP(INDIRECT(ADDRESS(2,COLUMN())),OFFSET($CL$2,0,0,ROW()-1,84),ROW()-1,FALSE))</f>
        <v>21.282352939999999</v>
      </c>
      <c r="Z10">
        <f ca="1">IF(AND(ISNUMBER($Z$260),$B$252=1),$Z$260,HLOOKUP(INDIRECT(ADDRESS(2,COLUMN())),OFFSET($CL$2,0,0,ROW()-1,84),ROW()-1,FALSE))</f>
        <v>21.9</v>
      </c>
      <c r="AA10">
        <f ca="1">IF(AND(ISNUMBER($AA$260),$B$252=1),$AA$260,HLOOKUP(INDIRECT(ADDRESS(2,COLUMN())),OFFSET($CL$2,0,0,ROW()-1,84),ROW()-1,FALSE))</f>
        <v>21.717647060000001</v>
      </c>
      <c r="AB10">
        <f ca="1">IF(AND(ISNUMBER($AB$260),$B$252=1),$AB$260,HLOOKUP(INDIRECT(ADDRESS(2,COLUMN())),OFFSET($CL$2,0,0,ROW()-1,84),ROW()-1,FALSE))</f>
        <v>21.60929578</v>
      </c>
      <c r="AC10">
        <f ca="1">IF(AND(ISNUMBER($AC$260),$B$252=1),$AC$260,HLOOKUP(INDIRECT(ADDRESS(2,COLUMN())),OFFSET($CL$2,0,0,ROW()-1,84),ROW()-1,FALSE))</f>
        <v>20.94356393</v>
      </c>
      <c r="AD10">
        <f ca="1">IF(AND(ISNUMBER($AD$260),$B$252=1),$AD$260,HLOOKUP(INDIRECT(ADDRESS(2,COLUMN())),OFFSET($CL$2,0,0,ROW()-1,84),ROW()-1,FALSE))</f>
        <v>23.108691820000001</v>
      </c>
      <c r="AE10">
        <f ca="1">IF(AND(ISNUMBER($AE$260),$B$252=1),$AE$260,HLOOKUP(INDIRECT(ADDRESS(2,COLUMN())),OFFSET($CL$2,0,0,ROW()-1,84),ROW()-1,FALSE))</f>
        <v>20.589706469999999</v>
      </c>
      <c r="AF10">
        <f ca="1">IF(AND(ISNUMBER($AF$260),$B$252=1),$AF$260,HLOOKUP(INDIRECT(ADDRESS(2,COLUMN())),OFFSET($CL$2,0,0,ROW()-1,84),ROW()-1,FALSE))</f>
        <v>21.345402069999999</v>
      </c>
      <c r="AG10">
        <f ca="1">IF(AND(ISNUMBER($AG$260),$B$252=1),$AG$260,HLOOKUP(INDIRECT(ADDRESS(2,COLUMN())),OFFSET($CL$2,0,0,ROW()-1,84),ROW()-1,FALSE))</f>
        <v>22.532923740000001</v>
      </c>
      <c r="AH10">
        <f ca="1">IF(AND(ISNUMBER($AH$260),$B$252=1),$AH$260,HLOOKUP(INDIRECT(ADDRESS(2,COLUMN())),OFFSET($CL$2,0,0,ROW()-1,84),ROW()-1,FALSE))</f>
        <v>22.270653299999999</v>
      </c>
      <c r="AI10">
        <f ca="1">IF(AND(ISNUMBER($AI$260),$B$252=1),$AI$260,HLOOKUP(INDIRECT(ADDRESS(2,COLUMN())),OFFSET($CL$2,0,0,ROW()-1,84),ROW()-1,FALSE))</f>
        <v>20.792379100000002</v>
      </c>
      <c r="AJ10">
        <f ca="1">IF(AND(ISNUMBER($AJ$260),$B$252=1),$AJ$260,HLOOKUP(INDIRECT(ADDRESS(2,COLUMN())),OFFSET($CL$2,0,0,ROW()-1,84),ROW()-1,FALSE))</f>
        <v>20.804446649999999</v>
      </c>
      <c r="AK10" t="str">
        <f ca="1">IF(AND(ISNUMBER($AK$260),$B$252=1),$AK$260,HLOOKUP(INDIRECT(ADDRESS(2,COLUMN())),OFFSET($CL$2,0,0,ROW()-1,84),ROW()-1,FALSE))</f>
        <v/>
      </c>
      <c r="AL10" t="str">
        <f ca="1">IF(AND(ISNUMBER($AL$260),$B$252=1),$AL$260,HLOOKUP(INDIRECT(ADDRESS(2,COLUMN())),OFFSET($CL$2,0,0,ROW()-1,84),ROW()-1,FALSE))</f>
        <v/>
      </c>
      <c r="AM10" t="str">
        <f ca="1">IF(AND(ISNUMBER($AM$260),$B$252=1),$AM$260,HLOOKUP(INDIRECT(ADDRESS(2,COLUMN())),OFFSET($CL$2,0,0,ROW()-1,84),ROW()-1,FALSE))</f>
        <v/>
      </c>
      <c r="AN10" t="str">
        <f ca="1">IF(AND(ISNUMBER($AN$260),$B$252=1),$AN$260,HLOOKUP(INDIRECT(ADDRESS(2,COLUMN())),OFFSET($CL$2,0,0,ROW()-1,84),ROW()-1,FALSE))</f>
        <v/>
      </c>
      <c r="AO10" t="str">
        <f ca="1">IF(AND(ISNUMBER($AO$260),$B$252=1),$AO$260,HLOOKUP(INDIRECT(ADDRESS(2,COLUMN())),OFFSET($CL$2,0,0,ROW()-1,84),ROW()-1,FALSE))</f>
        <v/>
      </c>
      <c r="AP10" t="str">
        <f ca="1">IF(AND(ISNUMBER($AP$260),$B$252=1),$AP$260,HLOOKUP(INDIRECT(ADDRESS(2,COLUMN())),OFFSET($CL$2,0,0,ROW()-1,84),ROW()-1,FALSE))</f>
        <v/>
      </c>
      <c r="AQ10" t="str">
        <f ca="1">IF(AND(ISNUMBER($AQ$260),$B$252=1),$AQ$260,HLOOKUP(INDIRECT(ADDRESS(2,COLUMN())),OFFSET($CL$2,0,0,ROW()-1,84),ROW()-1,FALSE))</f>
        <v/>
      </c>
      <c r="AR10" t="str">
        <f ca="1">IF(AND(ISNUMBER($AR$260),$B$252=1),$AR$260,HLOOKUP(INDIRECT(ADDRESS(2,COLUMN())),OFFSET($CL$2,0,0,ROW()-1,84),ROW()-1,FALSE))</f>
        <v/>
      </c>
      <c r="AS10" t="str">
        <f ca="1">IF(AND(ISNUMBER($AS$260),$B$252=1),$AS$260,HLOOKUP(INDIRECT(ADDRESS(2,COLUMN())),OFFSET($CL$2,0,0,ROW()-1,84),ROW()-1,FALSE))</f>
        <v/>
      </c>
      <c r="AT10" t="str">
        <f ca="1">IF(AND(ISNUMBER($AT$260),$B$252=1),$AT$260,HLOOKUP(INDIRECT(ADDRESS(2,COLUMN())),OFFSET($CL$2,0,0,ROW()-1,84),ROW()-1,FALSE))</f>
        <v/>
      </c>
      <c r="AU10" t="str">
        <f ca="1">IF(AND(ISNUMBER($AU$260),$B$252=1),$AU$260,HLOOKUP(INDIRECT(ADDRESS(2,COLUMN())),OFFSET($CL$2,0,0,ROW()-1,84),ROW()-1,FALSE))</f>
        <v/>
      </c>
      <c r="AV10" t="str">
        <f ca="1">IF(AND(ISNUMBER($AV$260),$B$252=1),$AV$260,HLOOKUP(INDIRECT(ADDRESS(2,COLUMN())),OFFSET($CL$2,0,0,ROW()-1,84),ROW()-1,FALSE))</f>
        <v/>
      </c>
      <c r="AW10" t="str">
        <f ca="1">IF(AND(ISNUMBER($AW$260),$B$252=1),$AW$260,HLOOKUP(INDIRECT(ADDRESS(2,COLUMN())),OFFSET($CL$2,0,0,ROW()-1,84),ROW()-1,FALSE))</f>
        <v/>
      </c>
      <c r="AX10" t="str">
        <f ca="1">IF(AND(ISNUMBER($AX$260),$B$252=1),$AX$260,HLOOKUP(INDIRECT(ADDRESS(2,COLUMN())),OFFSET($CL$2,0,0,ROW()-1,84),ROW()-1,FALSE))</f>
        <v/>
      </c>
      <c r="AY10" t="str">
        <f ca="1">IF(AND(ISNUMBER($AY$260),$B$252=1),$AY$260,HLOOKUP(INDIRECT(ADDRESS(2,COLUMN())),OFFSET($CL$2,0,0,ROW()-1,84),ROW()-1,FALSE))</f>
        <v/>
      </c>
      <c r="AZ10" t="str">
        <f ca="1">IF(AND(ISNUMBER($AZ$260),$B$252=1),$AZ$260,HLOOKUP(INDIRECT(ADDRESS(2,COLUMN())),OFFSET($CL$2,0,0,ROW()-1,84),ROW()-1,FALSE))</f>
        <v/>
      </c>
      <c r="BA10" t="str">
        <f ca="1">IF(AND(ISNUMBER($BA$260),$B$252=1),$BA$260,HLOOKUP(INDIRECT(ADDRESS(2,COLUMN())),OFFSET($CL$2,0,0,ROW()-1,84),ROW()-1,FALSE))</f>
        <v/>
      </c>
      <c r="BB10" t="str">
        <f ca="1">IF(AND(ISNUMBER($BB$260),$B$252=1),$BB$260,HLOOKUP(INDIRECT(ADDRESS(2,COLUMN())),OFFSET($CL$2,0,0,ROW()-1,84),ROW()-1,FALSE))</f>
        <v/>
      </c>
      <c r="BC10" t="str">
        <f ca="1">IF(AND(ISNUMBER($BC$260),$B$252=1),$BC$260,HLOOKUP(INDIRECT(ADDRESS(2,COLUMN())),OFFSET($CL$2,0,0,ROW()-1,84),ROW()-1,FALSE))</f>
        <v/>
      </c>
      <c r="BD10" t="str">
        <f ca="1">IF(AND(ISNUMBER($BD$260),$B$252=1),$BD$260,HLOOKUP(INDIRECT(ADDRESS(2,COLUMN())),OFFSET($CL$2,0,0,ROW()-1,84),ROW()-1,FALSE))</f>
        <v/>
      </c>
      <c r="BE10">
        <f ca="1">IF(AND(ISNUMBER($BE$260),$B$252=1),$BE$260,HLOOKUP(INDIRECT(ADDRESS(2,COLUMN())),OFFSET($CL$2,0,0,ROW()-1,84),ROW()-1,FALSE))</f>
        <v>16.714285709999999</v>
      </c>
      <c r="BF10">
        <f ca="1">IF(AND(ISNUMBER($BF$260),$B$252=1),$BF$260,HLOOKUP(INDIRECT(ADDRESS(2,COLUMN())),OFFSET($CL$2,0,0,ROW()-1,84),ROW()-1,FALSE))</f>
        <v>16.621428569999999</v>
      </c>
      <c r="BG10">
        <f ca="1">IF(AND(ISNUMBER($BG$260),$B$252=1),$BG$260,HLOOKUP(INDIRECT(ADDRESS(2,COLUMN())),OFFSET($CL$2,0,0,ROW()-1,84),ROW()-1,FALSE))</f>
        <v>17.72142857</v>
      </c>
      <c r="BH10">
        <f ca="1">IF(AND(ISNUMBER($BH$260),$B$252=1),$BH$260,HLOOKUP(INDIRECT(ADDRESS(2,COLUMN())),OFFSET($CL$2,0,0,ROW()-1,84),ROW()-1,FALSE))</f>
        <v>16.928571430000002</v>
      </c>
      <c r="BI10">
        <f ca="1">IF(AND(ISNUMBER($BI$260),$B$252=1),$BI$260,HLOOKUP(INDIRECT(ADDRESS(2,COLUMN())),OFFSET($CL$2,0,0,ROW()-1,84),ROW()-1,FALSE))</f>
        <v>16.610294119999999</v>
      </c>
      <c r="BJ10">
        <f ca="1">IF(AND(ISNUMBER($BJ$260),$B$252=1),$BJ$260,HLOOKUP(INDIRECT(ADDRESS(2,COLUMN())),OFFSET($CL$2,0,0,ROW()-1,84),ROW()-1,FALSE))</f>
        <v>18.41176471</v>
      </c>
      <c r="BK10">
        <f ca="1">IF(AND(ISNUMBER($BK$260),$B$252=1),$BK$260,HLOOKUP(INDIRECT(ADDRESS(2,COLUMN())),OFFSET($CL$2,0,0,ROW()-1,84),ROW()-1,FALSE))</f>
        <v>18.742647059999999</v>
      </c>
      <c r="BL10">
        <f ca="1">IF(AND(ISNUMBER($BL$260),$B$252=1),$BL$260,HLOOKUP(INDIRECT(ADDRESS(2,COLUMN())),OFFSET($CL$2,0,0,ROW()-1,84),ROW()-1,FALSE))</f>
        <v>18.462121209999999</v>
      </c>
      <c r="BM10">
        <f ca="1">IF(AND(ISNUMBER($BM$260),$B$252=1),$BM$260,HLOOKUP(INDIRECT(ADDRESS(2,COLUMN())),OFFSET($CL$2,0,0,ROW()-1,84),ROW()-1,FALSE))</f>
        <v>18.621212119999999</v>
      </c>
      <c r="BN10">
        <f ca="1">IF(AND(ISNUMBER($BN$260),$B$252=1),$BN$260,HLOOKUP(INDIRECT(ADDRESS(2,COLUMN())),OFFSET($CL$2,0,0,ROW()-1,84),ROW()-1,FALSE))</f>
        <v>18.325757580000001</v>
      </c>
      <c r="BO10">
        <f ca="1">IF(AND(ISNUMBER($BO$260),$B$252=1),$BO$260,HLOOKUP(INDIRECT(ADDRESS(2,COLUMN())),OFFSET($CL$2,0,0,ROW()-1,84),ROW()-1,FALSE))</f>
        <v>18.075757580000001</v>
      </c>
      <c r="BP10">
        <f ca="1">IF(AND(ISNUMBER($BP$260),$B$252=1),$BP$260,HLOOKUP(INDIRECT(ADDRESS(2,COLUMN())),OFFSET($CL$2,0,0,ROW()-1,84),ROW()-1,FALSE))</f>
        <v>18.098484849999998</v>
      </c>
      <c r="BQ10">
        <f ca="1">IF(AND(ISNUMBER($BQ$260),$B$252=1),$BQ$260,HLOOKUP(INDIRECT(ADDRESS(2,COLUMN())),OFFSET($CL$2,0,0,ROW()-1,84),ROW()-1,FALSE))</f>
        <v>18.01515152</v>
      </c>
      <c r="BR10">
        <f ca="1">IF(AND(ISNUMBER($BR$260),$B$252=1),$BR$260,HLOOKUP(INDIRECT(ADDRESS(2,COLUMN())),OFFSET($CL$2,0,0,ROW()-1,84),ROW()-1,FALSE))</f>
        <v>16.91911765</v>
      </c>
      <c r="BS10">
        <f ca="1">IF(AND(ISNUMBER($BS$260),$B$252=1),$BS$260,HLOOKUP(INDIRECT(ADDRESS(2,COLUMN())),OFFSET($CL$2,0,0,ROW()-1,84),ROW()-1,FALSE))</f>
        <v>17.845588240000001</v>
      </c>
      <c r="BT10">
        <f ca="1">IF(AND(ISNUMBER($BT$260),$B$252=1),$BT$260,HLOOKUP(INDIRECT(ADDRESS(2,COLUMN())),OFFSET($CL$2,0,0,ROW()-1,84),ROW()-1,FALSE))</f>
        <v>18.25</v>
      </c>
      <c r="BU10">
        <f ca="1">IF(AND(ISNUMBER($BU$260),$B$252=1),$BU$260,HLOOKUP(INDIRECT(ADDRESS(2,COLUMN())),OFFSET($CL$2,0,0,ROW()-1,84),ROW()-1,FALSE))</f>
        <v>18.703703699999998</v>
      </c>
      <c r="BV10">
        <f ca="1">IF(AND(ISNUMBER($BV$260),$B$252=1),$BV$260,HLOOKUP(INDIRECT(ADDRESS(2,COLUMN())),OFFSET($CL$2,0,0,ROW()-1,84),ROW()-1,FALSE))</f>
        <v>19.711111110000001</v>
      </c>
      <c r="BW10">
        <f ca="1">IF(AND(ISNUMBER($BW$260),$B$252=1),$BW$260,HLOOKUP(INDIRECT(ADDRESS(2,COLUMN())),OFFSET($CL$2,0,0,ROW()-1,84),ROW()-1,FALSE))</f>
        <v>19.140740739999998</v>
      </c>
      <c r="BX10">
        <f ca="1">IF(AND(ISNUMBER($BX$260),$B$252=1),$BX$260,HLOOKUP(INDIRECT(ADDRESS(2,COLUMN())),OFFSET($CL$2,0,0,ROW()-1,84),ROW()-1,FALSE))</f>
        <v>19.473684209999998</v>
      </c>
      <c r="BY10">
        <f ca="1">IF(AND(ISNUMBER($BY$260),$B$252=1),$BY$260,HLOOKUP(INDIRECT(ADDRESS(2,COLUMN())),OFFSET($CL$2,0,0,ROW()-1,84),ROW()-1,FALSE))</f>
        <v>19.79699248</v>
      </c>
      <c r="BZ10">
        <f ca="1">IF(AND(ISNUMBER($BZ$260),$B$252=1),$BZ$260,HLOOKUP(INDIRECT(ADDRESS(2,COLUMN())),OFFSET($CL$2,0,0,ROW()-1,84),ROW()-1,FALSE))</f>
        <v>20.082706770000001</v>
      </c>
      <c r="CA10">
        <f ca="1">IF(AND(ISNUMBER($CA$260),$B$252=1),$CA$260,HLOOKUP(INDIRECT(ADDRESS(2,COLUMN())),OFFSET($CL$2,0,0,ROW()-1,84),ROW()-1,FALSE))</f>
        <v>19.546875</v>
      </c>
      <c r="CB10">
        <f ca="1">IF(AND(ISNUMBER($CB$260),$B$252=1),$CB$260,HLOOKUP(INDIRECT(ADDRESS(2,COLUMN())),OFFSET($CL$2,0,0,ROW()-1,84),ROW()-1,FALSE))</f>
        <v>20.328125</v>
      </c>
      <c r="CC10">
        <f ca="1">IF(AND(ISNUMBER($CC$260),$B$252=1),$CC$260,HLOOKUP(INDIRECT(ADDRESS(2,COLUMN())),OFFSET($CL$2,0,0,ROW()-1,84),ROW()-1,FALSE))</f>
        <v>19.609375</v>
      </c>
      <c r="CD10">
        <f ca="1">IF(AND(ISNUMBER($CD$260),$B$252=1),$CD$260,HLOOKUP(INDIRECT(ADDRESS(2,COLUMN())),OFFSET($CL$2,0,0,ROW()-1,84),ROW()-1,FALSE))</f>
        <v>19.421487599999999</v>
      </c>
      <c r="CE10">
        <f ca="1">IF(AND(ISNUMBER($CE$260),$B$252=1),$CE$260,HLOOKUP(INDIRECT(ADDRESS(2,COLUMN())),OFFSET($CL$2,0,0,ROW()-1,84),ROW()-1,FALSE))</f>
        <v>20.60330579</v>
      </c>
      <c r="CF10">
        <f ca="1">IF(AND(ISNUMBER($CF$260),$B$252=1),$CF$260,HLOOKUP(INDIRECT(ADDRESS(2,COLUMN())),OFFSET($CL$2,0,0,ROW()-1,84),ROW()-1,FALSE))</f>
        <v>18.29752066</v>
      </c>
      <c r="CG10">
        <f ca="1">IF(AND(ISNUMBER($CG$260),$B$252=1),$CG$260,HLOOKUP(INDIRECT(ADDRESS(2,COLUMN())),OFFSET($CL$2,0,0,ROW()-1,84),ROW()-1,FALSE))</f>
        <v>23.025862069999999</v>
      </c>
      <c r="CH10">
        <f ca="1">IF(AND(ISNUMBER($CH$260),$B$252=1),$CH$260,HLOOKUP(INDIRECT(ADDRESS(2,COLUMN())),OFFSET($CL$2,0,0,ROW()-1,84),ROW()-1,FALSE))</f>
        <v>22.681034480000001</v>
      </c>
      <c r="CI10">
        <f ca="1">IF(AND(ISNUMBER($CI$260),$B$252=1),$CI$260,HLOOKUP(INDIRECT(ADDRESS(2,COLUMN())),OFFSET($CL$2,0,0,ROW()-1,84),ROW()-1,FALSE))</f>
        <v>21.163793099999999</v>
      </c>
      <c r="CJ10">
        <f ca="1">IF(AND(ISNUMBER($CJ$260),$B$252=1),$CJ$260,HLOOKUP(INDIRECT(ADDRESS(2,COLUMN())),OFFSET($CL$2,0,0,ROW()-1,84),ROW()-1,FALSE))</f>
        <v>23.26785714</v>
      </c>
      <c r="CK10">
        <f ca="1">IF(AND(ISNUMBER($CK$260),$B$252=1),$CK$260,HLOOKUP(INDIRECT(ADDRESS(2,COLUMN())),OFFSET($CL$2,0,0,ROW()-1,84),ROW()-1,FALSE))</f>
        <v>23.116071430000002</v>
      </c>
      <c r="CL10">
        <f>19.45604387</f>
        <v>19.456043869999998</v>
      </c>
      <c r="CM10">
        <f>18.47252747</f>
        <v>18.472527469999999</v>
      </c>
      <c r="CN10">
        <f>20.07142857</f>
        <v>20.071428569999998</v>
      </c>
      <c r="CO10">
        <f>21.16483516</f>
        <v>21.164835159999999</v>
      </c>
      <c r="CP10">
        <f>21.49180328</f>
        <v>21.491803279999999</v>
      </c>
      <c r="CQ10">
        <f>21.19672131</f>
        <v>21.196721310000001</v>
      </c>
      <c r="CR10">
        <f>20.78142077</f>
        <v>20.78142077</v>
      </c>
      <c r="CS10">
        <f>21.23128316</f>
        <v>21.23128316</v>
      </c>
      <c r="CT10">
        <f>21.37895051</f>
        <v>21.378950509999999</v>
      </c>
      <c r="CU10">
        <f>21.31332058</f>
        <v>21.313320579999999</v>
      </c>
      <c r="CV10">
        <f>21.23255504</f>
        <v>21.232555040000001</v>
      </c>
      <c r="CW10">
        <f>20.53415191</f>
        <v>20.534151909999999</v>
      </c>
      <c r="CX10">
        <f>19.94023429</f>
        <v>19.940234289999999</v>
      </c>
      <c r="CY10">
        <f>20.29543481</f>
        <v>20.29543481</v>
      </c>
      <c r="CZ10">
        <f>19.43357388</f>
        <v>19.433573880000001</v>
      </c>
      <c r="DA10">
        <f>20.28431402</f>
        <v>20.28431402</v>
      </c>
      <c r="DB10">
        <f>19.58084115</f>
        <v>19.580841150000001</v>
      </c>
      <c r="DC10">
        <f>20.11580537</f>
        <v>20.11580537</v>
      </c>
      <c r="DD10">
        <f>20.70254033</f>
        <v>20.702540330000001</v>
      </c>
      <c r="DE10">
        <f>21.28235294</f>
        <v>21.282352939999999</v>
      </c>
      <c r="DF10">
        <f>21.9</f>
        <v>21.9</v>
      </c>
      <c r="DG10">
        <f>21.71764706</f>
        <v>21.717647060000001</v>
      </c>
      <c r="DH10">
        <f>21.60929578</f>
        <v>21.60929578</v>
      </c>
      <c r="DI10">
        <f>20.94356393</f>
        <v>20.94356393</v>
      </c>
      <c r="DJ10">
        <f>23.10869182</f>
        <v>23.108691820000001</v>
      </c>
      <c r="DK10">
        <f>20.58970647</f>
        <v>20.589706469999999</v>
      </c>
      <c r="DL10">
        <f>21.34540207</f>
        <v>21.345402069999999</v>
      </c>
      <c r="DM10">
        <f>22.53292374</f>
        <v>22.532923740000001</v>
      </c>
      <c r="DN10">
        <f>22.2706533</f>
        <v>22.270653299999999</v>
      </c>
      <c r="DO10">
        <f>20.7923791</f>
        <v>20.792379100000002</v>
      </c>
      <c r="DP10">
        <f>20.80444665</f>
        <v>20.804446649999999</v>
      </c>
      <c r="DQ10" t="str">
        <f>""</f>
        <v/>
      </c>
      <c r="DR10" t="str">
        <f>""</f>
        <v/>
      </c>
      <c r="DS10" t="str">
        <f>""</f>
        <v/>
      </c>
      <c r="DT10" t="str">
        <f>""</f>
        <v/>
      </c>
      <c r="DU10" t="str">
        <f>""</f>
        <v/>
      </c>
      <c r="DV10" t="str">
        <f>""</f>
        <v/>
      </c>
      <c r="DW10" t="str">
        <f>""</f>
        <v/>
      </c>
      <c r="DX10" t="str">
        <f>""</f>
        <v/>
      </c>
      <c r="DY10" t="str">
        <f>""</f>
        <v/>
      </c>
      <c r="DZ10" t="str">
        <f>""</f>
        <v/>
      </c>
      <c r="EA10" t="str">
        <f>""</f>
        <v/>
      </c>
      <c r="EB10" t="str">
        <f>""</f>
        <v/>
      </c>
      <c r="EC10" t="str">
        <f>""</f>
        <v/>
      </c>
      <c r="ED10" t="str">
        <f>""</f>
        <v/>
      </c>
      <c r="EE10" t="str">
        <f>""</f>
        <v/>
      </c>
      <c r="EF10" t="str">
        <f>""</f>
        <v/>
      </c>
      <c r="EG10" t="str">
        <f>""</f>
        <v/>
      </c>
      <c r="EH10" t="str">
        <f>""</f>
        <v/>
      </c>
      <c r="EI10" t="str">
        <f>""</f>
        <v/>
      </c>
      <c r="EJ10" t="str">
        <f>""</f>
        <v/>
      </c>
      <c r="EK10">
        <f>16.71428571</f>
        <v>16.714285709999999</v>
      </c>
      <c r="EL10">
        <f>16.62142857</f>
        <v>16.621428569999999</v>
      </c>
      <c r="EM10">
        <f>17.72142857</f>
        <v>17.72142857</v>
      </c>
      <c r="EN10">
        <f>16.92857143</f>
        <v>16.928571430000002</v>
      </c>
      <c r="EO10">
        <f>16.61029412</f>
        <v>16.610294119999999</v>
      </c>
      <c r="EP10">
        <f>18.41176471</f>
        <v>18.41176471</v>
      </c>
      <c r="EQ10">
        <f>18.74264706</f>
        <v>18.742647059999999</v>
      </c>
      <c r="ER10">
        <f>18.46212121</f>
        <v>18.462121209999999</v>
      </c>
      <c r="ES10">
        <f>18.62121212</f>
        <v>18.621212119999999</v>
      </c>
      <c r="ET10">
        <f>18.32575758</f>
        <v>18.325757580000001</v>
      </c>
      <c r="EU10">
        <f>18.07575758</f>
        <v>18.075757580000001</v>
      </c>
      <c r="EV10">
        <f>18.09848485</f>
        <v>18.098484849999998</v>
      </c>
      <c r="EW10">
        <f>18.01515152</f>
        <v>18.01515152</v>
      </c>
      <c r="EX10">
        <f>16.91911765</f>
        <v>16.91911765</v>
      </c>
      <c r="EY10">
        <f>17.84558824</f>
        <v>17.845588240000001</v>
      </c>
      <c r="EZ10">
        <f>18.25</f>
        <v>18.25</v>
      </c>
      <c r="FA10">
        <f>18.7037037</f>
        <v>18.703703699999998</v>
      </c>
      <c r="FB10">
        <f>19.71111111</f>
        <v>19.711111110000001</v>
      </c>
      <c r="FC10">
        <f>19.14074074</f>
        <v>19.140740739999998</v>
      </c>
      <c r="FD10">
        <f>19.47368421</f>
        <v>19.473684209999998</v>
      </c>
      <c r="FE10">
        <f>19.79699248</f>
        <v>19.79699248</v>
      </c>
      <c r="FF10">
        <f>20.08270677</f>
        <v>20.082706770000001</v>
      </c>
      <c r="FG10">
        <f>19.546875</f>
        <v>19.546875</v>
      </c>
      <c r="FH10">
        <f>20.328125</f>
        <v>20.328125</v>
      </c>
      <c r="FI10">
        <f>19.609375</f>
        <v>19.609375</v>
      </c>
      <c r="FJ10">
        <f>19.4214876</f>
        <v>19.421487599999999</v>
      </c>
      <c r="FK10">
        <f>20.60330579</f>
        <v>20.60330579</v>
      </c>
      <c r="FL10">
        <f>18.29752066</f>
        <v>18.29752066</v>
      </c>
      <c r="FM10">
        <f>23.02586207</f>
        <v>23.025862069999999</v>
      </c>
      <c r="FN10">
        <f>22.68103448</f>
        <v>22.681034480000001</v>
      </c>
      <c r="FO10">
        <f>21.1637931</f>
        <v>21.163793099999999</v>
      </c>
      <c r="FP10">
        <f>23.26785714</f>
        <v>23.26785714</v>
      </c>
      <c r="FQ10">
        <f>23.11607143</f>
        <v>23.116071430000002</v>
      </c>
    </row>
    <row r="11" spans="1:173">
      <c r="A11" t="str">
        <f>"价格/未来12个月FFO"</f>
        <v>价格/未来12个月FFO</v>
      </c>
      <c r="B11" t="str">
        <f>"BRFREITV Index"</f>
        <v>BRFREITV Index</v>
      </c>
      <c r="E11" t="str">
        <f>"Median"</f>
        <v>Median</v>
      </c>
      <c r="F11">
        <f ca="1">IF(ISERROR(IF(MEDIAN($F$12:$F$18) = 0, "", MEDIAN($F$12:$F$18))), "", (IF(MEDIAN($F$12:$F$18) = 0, "", MEDIAN($F$12:$F$18))))</f>
        <v>17.908273749999999</v>
      </c>
      <c r="G11">
        <f ca="1">IF(ISERROR(IF(MEDIAN($G$12:$G$18) = 0, "", MEDIAN($G$12:$G$18))), "", (IF(MEDIAN($G$12:$G$18) = 0, "", MEDIAN($G$12:$G$18))))</f>
        <v>17.141802240000001</v>
      </c>
      <c r="H11">
        <f ca="1">IF(ISERROR(IF(MEDIAN($H$12:$H$18) = 0, "", MEDIAN($H$12:$H$18))), "", (IF(MEDIAN($H$12:$H$18) = 0, "", MEDIAN($H$12:$H$18))))</f>
        <v>18.452351459999999</v>
      </c>
      <c r="I11">
        <f ca="1">IF(ISERROR(IF(MEDIAN($I$12:$I$18) = 0, "", MEDIAN($I$12:$I$18))), "", (IF(MEDIAN($I$12:$I$18) = 0, "", MEDIAN($I$12:$I$18))))</f>
        <v>19.383414420000001</v>
      </c>
      <c r="J11">
        <f ca="1">IF(ISERROR(IF(MEDIAN($J$12:$J$18) = 0, "", MEDIAN($J$12:$J$18))), "", (IF(MEDIAN($J$12:$J$18) = 0, "", MEDIAN($J$12:$J$18))))</f>
        <v>19.90548472</v>
      </c>
      <c r="K11">
        <f ca="1">IF(ISERROR(IF(MEDIAN($K$12:$K$18) = 0, "", MEDIAN($K$12:$K$18))), "", (IF(MEDIAN($K$12:$K$18) = 0, "", MEDIAN($K$12:$K$18))))</f>
        <v>19.944819840000001</v>
      </c>
      <c r="L11">
        <f ca="1">IF(ISERROR(IF(MEDIAN($L$12:$L$18) = 0, "", MEDIAN($L$12:$L$18))), "", (IF(MEDIAN($L$12:$L$18) = 0, "", MEDIAN($L$12:$L$18))))</f>
        <v>19.653746770000001</v>
      </c>
      <c r="M11">
        <f ca="1">IF(ISERROR(IF(MEDIAN($M$12:$M$18) = 0, "", MEDIAN($M$12:$M$18))), "", (IF(MEDIAN($M$12:$M$18) = 0, "", MEDIAN($M$12:$M$18))))</f>
        <v>20.141338959999999</v>
      </c>
      <c r="N11">
        <f ca="1">IF(ISERROR(IF(MEDIAN($N$12:$N$18) = 0, "", MEDIAN($N$12:$N$18))), "", (IF(MEDIAN($N$12:$N$18) = 0, "", MEDIAN($N$12:$N$18))))</f>
        <v>20.390461989999999</v>
      </c>
      <c r="O11">
        <f ca="1">IF(ISERROR(IF(MEDIAN($O$12:$O$18) = 0, "", MEDIAN($O$12:$O$18))), "", (IF(MEDIAN($O$12:$O$18) = 0, "", MEDIAN($O$12:$O$18))))</f>
        <v>20.440597950000001</v>
      </c>
      <c r="P11">
        <f ca="1">IF(ISERROR(IF(MEDIAN($P$12:$P$18) = 0, "", MEDIAN($P$12:$P$18))), "", (IF(MEDIAN($P$12:$P$18) = 0, "", MEDIAN($P$12:$P$18))))</f>
        <v>20.35491592</v>
      </c>
      <c r="Q11">
        <f ca="1">IF(ISERROR(IF(MEDIAN($Q$12:$Q$18) = 0, "", MEDIAN($Q$12:$Q$18))), "", (IF(MEDIAN($Q$12:$Q$18) = 0, "", MEDIAN($Q$12:$Q$18))))</f>
        <v>19.828843370000001</v>
      </c>
      <c r="R11">
        <f ca="1">IF(ISERROR(IF(MEDIAN($R$12:$R$18) = 0, "", MEDIAN($R$12:$R$18))), "", (IF(MEDIAN($R$12:$R$18) = 0, "", MEDIAN($R$12:$R$18))))</f>
        <v>19.330934289999998</v>
      </c>
      <c r="S11">
        <f ca="1">IF(ISERROR(IF(MEDIAN($S$12:$S$18) = 0, "", MEDIAN($S$12:$S$18))), "", (IF(MEDIAN($S$12:$S$18) = 0, "", MEDIAN($S$12:$S$18))))</f>
        <v>19.537851320000001</v>
      </c>
      <c r="T11">
        <f ca="1">IF(ISERROR(IF(MEDIAN($T$12:$T$18) = 0, "", MEDIAN($T$12:$T$18))), "", (IF(MEDIAN($T$12:$T$18) = 0, "", MEDIAN($T$12:$T$18))))</f>
        <v>18.65914051</v>
      </c>
      <c r="U11">
        <f ca="1">IF(ISERROR(IF(MEDIAN($U$12:$U$18) = 0, "", MEDIAN($U$12:$U$18))), "", (IF(MEDIAN($U$12:$U$18) = 0, "", MEDIAN($U$12:$U$18))))</f>
        <v>19.551404860000002</v>
      </c>
      <c r="V11">
        <f ca="1">IF(ISERROR(IF(MEDIAN($V$12:$V$18) = 0, "", MEDIAN($V$12:$V$18))), "", (IF(MEDIAN($V$12:$V$18) = 0, "", MEDIAN($V$12:$V$18))))</f>
        <v>18.273220899999998</v>
      </c>
      <c r="W11">
        <f ca="1">IF(ISERROR(IF(MEDIAN($W$12:$W$18) = 0, "", MEDIAN($W$12:$W$18))), "", (IF(MEDIAN($W$12:$W$18) = 0, "", MEDIAN($W$12:$W$18))))</f>
        <v>18.365203279999999</v>
      </c>
      <c r="X11">
        <f ca="1">IF(ISERROR(IF(MEDIAN($X$12:$X$18) = 0, "", MEDIAN($X$12:$X$18))), "", (IF(MEDIAN($X$12:$X$18) = 0, "", MEDIAN($X$12:$X$18))))</f>
        <v>19.173069890000001</v>
      </c>
      <c r="Y11">
        <f ca="1">IF(ISERROR(IF(MEDIAN($Y$12:$Y$18) = 0, "", MEDIAN($Y$12:$Y$18))), "", (IF(MEDIAN($Y$12:$Y$18) = 0, "", MEDIAN($Y$12:$Y$18))))</f>
        <v>19.54619125</v>
      </c>
      <c r="Z11">
        <f ca="1">IF(ISERROR(IF(MEDIAN($Z$12:$Z$18) = 0, "", MEDIAN($Z$12:$Z$18))), "", (IF(MEDIAN($Z$12:$Z$18) = 0, "", MEDIAN($Z$12:$Z$18))))</f>
        <v>20.204976200000001</v>
      </c>
      <c r="AA11">
        <f ca="1">IF(ISERROR(IF(MEDIAN($AA$12:$AA$18) = 0, "", MEDIAN($AA$12:$AA$18))), "", (IF(MEDIAN($AA$12:$AA$18) = 0, "", MEDIAN($AA$12:$AA$18))))</f>
        <v>20.000238530000001</v>
      </c>
      <c r="AB11">
        <f ca="1">IF(ISERROR(IF(MEDIAN($AB$12:$AB$18) = 0, "", MEDIAN($AB$12:$AB$18))), "", (IF(MEDIAN($AB$12:$AB$18) = 0, "", MEDIAN($AB$12:$AB$18))))</f>
        <v>19.709322069999999</v>
      </c>
      <c r="AC11">
        <f ca="1">IF(ISERROR(IF(MEDIAN($AC$12:$AC$18) = 0, "", MEDIAN($AC$12:$AC$18))), "", (IF(MEDIAN($AC$12:$AC$18) = 0, "", MEDIAN($AC$12:$AC$18))))</f>
        <v>19.208936749999999</v>
      </c>
      <c r="AD11">
        <f ca="1">IF(ISERROR(IF(MEDIAN($AD$12:$AD$18) = 0, "", MEDIAN($AD$12:$AD$18))), "", (IF(MEDIAN($AD$12:$AD$18) = 0, "", MEDIAN($AD$12:$AD$18))))</f>
        <v>20.830873839999999</v>
      </c>
      <c r="AE11">
        <f ca="1">IF(ISERROR(IF(MEDIAN($AE$12:$AE$18) = 0, "", MEDIAN($AE$12:$AE$18))), "", (IF(MEDIAN($AE$12:$AE$18) = 0, "", MEDIAN($AE$12:$AE$18))))</f>
        <v>18.739621469999999</v>
      </c>
      <c r="AF11">
        <f ca="1">IF(ISERROR(IF(MEDIAN($AF$12:$AF$18) = 0, "", MEDIAN($AF$12:$AF$18))), "", (IF(MEDIAN($AF$12:$AF$18) = 0, "", MEDIAN($AF$12:$AF$18))))</f>
        <v>19.401585499999999</v>
      </c>
      <c r="AG11">
        <f ca="1">IF(ISERROR(IF(MEDIAN($AG$12:$AG$18) = 0, "", MEDIAN($AG$12:$AG$18))), "", (IF(MEDIAN($AG$12:$AG$18) = 0, "", MEDIAN($AG$12:$AG$18))))</f>
        <v>21.00055897</v>
      </c>
      <c r="AH11">
        <f ca="1">IF(ISERROR(IF(MEDIAN($AH$12:$AH$18) = 0, "", MEDIAN($AH$12:$AH$18))), "", (IF(MEDIAN($AH$12:$AH$18) = 0, "", MEDIAN($AH$12:$AH$18))))</f>
        <v>20.764495329999999</v>
      </c>
      <c r="AI11">
        <f ca="1">IF(ISERROR(IF(MEDIAN($AI$12:$AI$18) = 0, "", MEDIAN($AI$12:$AI$18))), "", (IF(MEDIAN($AI$12:$AI$18) = 0, "", MEDIAN($AI$12:$AI$18))))</f>
        <v>19.555101579999999</v>
      </c>
      <c r="AJ11">
        <f ca="1">IF(ISERROR(IF(MEDIAN($AJ$12:$AJ$18) = 0, "", MEDIAN($AJ$12:$AJ$18))), "", (IF(MEDIAN($AJ$12:$AJ$18) = 0, "", MEDIAN($AJ$12:$AJ$18))))</f>
        <v>19.6885148</v>
      </c>
      <c r="AK11">
        <f ca="1">IF(ISERROR(IF(MEDIAN($AK$12:$AK$18) = 0, "", MEDIAN($AK$12:$AK$18))), "", (IF(MEDIAN($AK$12:$AK$18) = 0, "", MEDIAN($AK$12:$AK$18))))</f>
        <v>18.594788909999998</v>
      </c>
      <c r="AL11">
        <f ca="1">IF(ISERROR(IF(MEDIAN($AL$12:$AL$18) = 0, "", MEDIAN($AL$12:$AL$18))), "", (IF(MEDIAN($AL$12:$AL$18) = 0, "", MEDIAN($AL$12:$AL$18))))</f>
        <v>19.64871655</v>
      </c>
      <c r="AM11">
        <f ca="1">IF(ISERROR(IF(MEDIAN($AM$12:$AM$18) = 0, "", MEDIAN($AM$12:$AM$18))), "", (IF(MEDIAN($AM$12:$AM$18) = 0, "", MEDIAN($AM$12:$AM$18))))</f>
        <v>18.768445580000002</v>
      </c>
      <c r="AN11">
        <f ca="1">IF(ISERROR(IF(MEDIAN($AN$12:$AN$18) = 0, "", MEDIAN($AN$12:$AN$18))), "", (IF(MEDIAN($AN$12:$AN$18) = 0, "", MEDIAN($AN$12:$AN$18))))</f>
        <v>19.257944899999998</v>
      </c>
      <c r="AO11">
        <f ca="1">IF(ISERROR(IF(MEDIAN($AO$12:$AO$18) = 0, "", MEDIAN($AO$12:$AO$18))), "", (IF(MEDIAN($AO$12:$AO$18) = 0, "", MEDIAN($AO$12:$AO$18))))</f>
        <v>19.541293209999999</v>
      </c>
      <c r="AP11">
        <f ca="1">IF(ISERROR(IF(MEDIAN($AP$12:$AP$18) = 0, "", MEDIAN($AP$12:$AP$18))), "", (IF(MEDIAN($AP$12:$AP$18) = 0, "", MEDIAN($AP$12:$AP$18))))</f>
        <v>20.48379834</v>
      </c>
      <c r="AQ11">
        <f ca="1">IF(ISERROR(IF(MEDIAN($AQ$12:$AQ$18) = 0, "", MEDIAN($AQ$12:$AQ$18))), "", (IF(MEDIAN($AQ$12:$AQ$18) = 0, "", MEDIAN($AQ$12:$AQ$18))))</f>
        <v>19.37387872</v>
      </c>
      <c r="AR11">
        <f ca="1">IF(ISERROR(IF(MEDIAN($AR$12:$AR$18) = 0, "", MEDIAN($AR$12:$AR$18))), "", (IF(MEDIAN($AR$12:$AR$18) = 0, "", MEDIAN($AR$12:$AR$18))))</f>
        <v>20.183075120000002</v>
      </c>
      <c r="AS11">
        <f ca="1">IF(ISERROR(IF(MEDIAN($AS$12:$AS$18) = 0, "", MEDIAN($AS$12:$AS$18))), "", (IF(MEDIAN($AS$12:$AS$18) = 0, "", MEDIAN($AS$12:$AS$18))))</f>
        <v>18.811536650000001</v>
      </c>
      <c r="AT11">
        <f ca="1">IF(ISERROR(IF(MEDIAN($AT$12:$AT$18) = 0, "", MEDIAN($AT$12:$AT$18))), "", (IF(MEDIAN($AT$12:$AT$18) = 0, "", MEDIAN($AT$12:$AT$18))))</f>
        <v>18.887803219999999</v>
      </c>
      <c r="AU11">
        <f ca="1">IF(ISERROR(IF(MEDIAN($AU$12:$AU$18) = 0, "", MEDIAN($AU$12:$AU$18))), "", (IF(MEDIAN($AU$12:$AU$18) = 0, "", MEDIAN($AU$12:$AU$18))))</f>
        <v>18.835477740000002</v>
      </c>
      <c r="AV11">
        <f ca="1">IF(ISERROR(IF(MEDIAN($AV$12:$AV$18) = 0, "", MEDIAN($AV$12:$AV$18))), "", (IF(MEDIAN($AV$12:$AV$18) = 0, "", MEDIAN($AV$12:$AV$18))))</f>
        <v>17.047293069999998</v>
      </c>
      <c r="AW11">
        <f ca="1">IF(ISERROR(IF(MEDIAN($AW$12:$AW$18) = 0, "", MEDIAN($AW$12:$AW$18))), "", (IF(MEDIAN($AW$12:$AW$18) = 0, "", MEDIAN($AW$12:$AW$18))))</f>
        <v>18.892864660000001</v>
      </c>
      <c r="AX11">
        <f ca="1">IF(ISERROR(IF(MEDIAN($AX$12:$AX$18) = 0, "", MEDIAN($AX$12:$AX$18))), "", (IF(MEDIAN($AX$12:$AX$18) = 0, "", MEDIAN($AX$12:$AX$18))))</f>
        <v>18.40421534</v>
      </c>
      <c r="AY11">
        <f ca="1">IF(ISERROR(IF(MEDIAN($AY$12:$AY$18) = 0, "", MEDIAN($AY$12:$AY$18))), "", (IF(MEDIAN($AY$12:$AY$18) = 0, "", MEDIAN($AY$12:$AY$18))))</f>
        <v>18.40613338</v>
      </c>
      <c r="AZ11">
        <f ca="1">IF(ISERROR(IF(MEDIAN($AZ$12:$AZ$18) = 0, "", MEDIAN($AZ$12:$AZ$18))), "", (IF(MEDIAN($AZ$12:$AZ$18) = 0, "", MEDIAN($AZ$12:$AZ$18))))</f>
        <v>17.795596369999998</v>
      </c>
      <c r="BA11">
        <f ca="1">IF(ISERROR(IF(MEDIAN($BA$12:$BA$18) = 0, "", MEDIAN($BA$12:$BA$18))), "", (IF(MEDIAN($BA$12:$BA$18) = 0, "", MEDIAN($BA$12:$BA$18))))</f>
        <v>16.850943350000001</v>
      </c>
      <c r="BB11">
        <f ca="1">IF(ISERROR(IF(MEDIAN($BB$12:$BB$18) = 0, "", MEDIAN($BB$12:$BB$18))), "", (IF(MEDIAN($BB$12:$BB$18) = 0, "", MEDIAN($BB$12:$BB$18))))</f>
        <v>16.918110049999999</v>
      </c>
      <c r="BC11">
        <f ca="1">IF(ISERROR(IF(MEDIAN($BC$12:$BC$18) = 0, "", MEDIAN($BC$12:$BC$18))), "", (IF(MEDIAN($BC$12:$BC$18) = 0, "", MEDIAN($BC$12:$BC$18))))</f>
        <v>17.04218771</v>
      </c>
      <c r="BD11">
        <f ca="1">IF(ISERROR(IF(MEDIAN($BD$12:$BD$18) = 0, "", MEDIAN($BD$12:$BD$18))), "", (IF(MEDIAN($BD$12:$BD$18) = 0, "", MEDIAN($BD$12:$BD$18))))</f>
        <v>16.24591182</v>
      </c>
      <c r="BE11">
        <f ca="1">IF(ISERROR(IF(MEDIAN($BE$12:$BE$18) = 0, "", MEDIAN($BE$12:$BE$18))), "", (IF(MEDIAN($BE$12:$BE$18) = 0, "", MEDIAN($BE$12:$BE$18))))</f>
        <v>15.68816479</v>
      </c>
      <c r="BF11">
        <f ca="1">IF(ISERROR(IF(MEDIAN($BF$12:$BF$18) = 0, "", MEDIAN($BF$12:$BF$18))), "", (IF(MEDIAN($BF$12:$BF$18) = 0, "", MEDIAN($BF$12:$BF$18))))</f>
        <v>15.714070510000001</v>
      </c>
      <c r="BG11">
        <f ca="1">IF(ISERROR(IF(MEDIAN($BG$12:$BG$18) = 0, "", MEDIAN($BG$12:$BG$18))), "", (IF(MEDIAN($BG$12:$BG$18) = 0, "", MEDIAN($BG$12:$BG$18))))</f>
        <v>16.84563095</v>
      </c>
      <c r="BH11">
        <f ca="1">IF(ISERROR(IF(MEDIAN($BH$12:$BH$18) = 0, "", MEDIAN($BH$12:$BH$18))), "", (IF(MEDIAN($BH$12:$BH$18) = 0, "", MEDIAN($BH$12:$BH$18))))</f>
        <v>16.1880162</v>
      </c>
      <c r="BI11">
        <f ca="1">IF(ISERROR(IF(MEDIAN($BI$12:$BI$18) = 0, "", MEDIAN($BI$12:$BI$18))), "", (IF(MEDIAN($BI$12:$BI$18) = 0, "", MEDIAN($BI$12:$BI$18))))</f>
        <v>15.48028072</v>
      </c>
      <c r="BJ11">
        <f ca="1">IF(ISERROR(IF(MEDIAN($BJ$12:$BJ$18) = 0, "", MEDIAN($BJ$12:$BJ$18))), "", (IF(MEDIAN($BJ$12:$BJ$18) = 0, "", MEDIAN($BJ$12:$BJ$18))))</f>
        <v>17.206676850000001</v>
      </c>
      <c r="BK11">
        <f ca="1">IF(ISERROR(IF(MEDIAN($BK$12:$BK$18) = 0, "", MEDIAN($BK$12:$BK$18))), "", (IF(MEDIAN($BK$12:$BK$18) = 0, "", MEDIAN($BK$12:$BK$18))))</f>
        <v>17.75259831</v>
      </c>
      <c r="BL11">
        <f ca="1">IF(ISERROR(IF(MEDIAN($BL$12:$BL$18) = 0, "", MEDIAN($BL$12:$BL$18))), "", (IF(MEDIAN($BL$12:$BL$18) = 0, "", MEDIAN($BL$12:$BL$18))))</f>
        <v>17.100092839999999</v>
      </c>
      <c r="BM11">
        <f ca="1">IF(ISERROR(IF(MEDIAN($BM$12:$BM$18) = 0, "", MEDIAN($BM$12:$BM$18))), "", (IF(MEDIAN($BM$12:$BM$18) = 0, "", MEDIAN($BM$12:$BM$18))))</f>
        <v>17.699642829999998</v>
      </c>
      <c r="BN11">
        <f ca="1">IF(ISERROR(IF(MEDIAN($BN$12:$BN$18) = 0, "", MEDIAN($BN$12:$BN$18))), "", (IF(MEDIAN($BN$12:$BN$18) = 0, "", MEDIAN($BN$12:$BN$18))))</f>
        <v>17.174251999999999</v>
      </c>
      <c r="BO11">
        <f ca="1">IF(ISERROR(IF(MEDIAN($BO$12:$BO$18) = 0, "", MEDIAN($BO$12:$BO$18))), "", (IF(MEDIAN($BO$12:$BO$18) = 0, "", MEDIAN($BO$12:$BO$18))))</f>
        <v>17.212292900000001</v>
      </c>
      <c r="BP11">
        <f ca="1">IF(ISERROR(IF(MEDIAN($BP$12:$BP$18) = 0, "", MEDIAN($BP$12:$BP$18))), "", (IF(MEDIAN($BP$12:$BP$18) = 0, "", MEDIAN($BP$12:$BP$18))))</f>
        <v>17.4928718</v>
      </c>
      <c r="BQ11">
        <f ca="1">IF(ISERROR(IF(MEDIAN($BQ$12:$BQ$18) = 0, "", MEDIAN($BQ$12:$BQ$18))), "", (IF(MEDIAN($BQ$12:$BQ$18) = 0, "", MEDIAN($BQ$12:$BQ$18))))</f>
        <v>17.241328880000001</v>
      </c>
      <c r="BR11">
        <f ca="1">IF(ISERROR(IF(MEDIAN($BR$12:$BR$18) = 0, "", MEDIAN($BR$12:$BR$18))), "", (IF(MEDIAN($BR$12:$BR$18) = 0, "", MEDIAN($BR$12:$BR$18))))</f>
        <v>16.720077209999999</v>
      </c>
      <c r="BS11">
        <f ca="1">IF(ISERROR(IF(MEDIAN($BS$12:$BS$18) = 0, "", MEDIAN($BS$12:$BS$18))), "", (IF(MEDIAN($BS$12:$BS$18) = 0, "", MEDIAN($BS$12:$BS$18))))</f>
        <v>17.1516929</v>
      </c>
      <c r="BT11">
        <f ca="1">IF(ISERROR(IF(MEDIAN($BT$12:$BT$18) = 0, "", MEDIAN($BT$12:$BT$18))), "", (IF(MEDIAN($BT$12:$BT$18) = 0, "", MEDIAN($BT$12:$BT$18))))</f>
        <v>17.40326426</v>
      </c>
      <c r="BU11">
        <f ca="1">IF(ISERROR(IF(MEDIAN($BU$12:$BU$18) = 0, "", MEDIAN($BU$12:$BU$18))), "", (IF(MEDIAN($BU$12:$BU$18) = 0, "", MEDIAN($BU$12:$BU$18))))</f>
        <v>18.43398092</v>
      </c>
      <c r="BV11">
        <f ca="1">IF(ISERROR(IF(MEDIAN($BV$12:$BV$18) = 0, "", MEDIAN($BV$12:$BV$18))), "", (IF(MEDIAN($BV$12:$BV$18) = 0, "", MEDIAN($BV$12:$BV$18))))</f>
        <v>19.192443019999999</v>
      </c>
      <c r="BW11">
        <f ca="1">IF(ISERROR(IF(MEDIAN($BW$12:$BW$18) = 0, "", MEDIAN($BW$12:$BW$18))), "", (IF(MEDIAN($BW$12:$BW$18) = 0, "", MEDIAN($BW$12:$BW$18))))</f>
        <v>18.374798179999999</v>
      </c>
      <c r="BX11">
        <f ca="1">IF(ISERROR(IF(MEDIAN($BX$12:$BX$18) = 0, "", MEDIAN($BX$12:$BX$18))), "", (IF(MEDIAN($BX$12:$BX$18) = 0, "", MEDIAN($BX$12:$BX$18))))</f>
        <v>18.259587100000001</v>
      </c>
      <c r="BY11">
        <f ca="1">IF(ISERROR(IF(MEDIAN($BY$12:$BY$18) = 0, "", MEDIAN($BY$12:$BY$18))), "", (IF(MEDIAN($BY$12:$BY$18) = 0, "", MEDIAN($BY$12:$BY$18))))</f>
        <v>18.80935341</v>
      </c>
      <c r="BZ11">
        <f ca="1">IF(ISERROR(IF(MEDIAN($BZ$12:$BZ$18) = 0, "", MEDIAN($BZ$12:$BZ$18))), "", (IF(MEDIAN($BZ$12:$BZ$18) = 0, "", MEDIAN($BZ$12:$BZ$18))))</f>
        <v>18.56785344</v>
      </c>
      <c r="CA11">
        <f ca="1">IF(ISERROR(IF(MEDIAN($CA$12:$CA$18) = 0, "", MEDIAN($CA$12:$CA$18))), "", (IF(MEDIAN($CA$12:$CA$18) = 0, "", MEDIAN($CA$12:$CA$18))))</f>
        <v>17.66960396</v>
      </c>
      <c r="CB11">
        <f ca="1">IF(ISERROR(IF(MEDIAN($CB$12:$CB$18) = 0, "", MEDIAN($CB$12:$CB$18))), "", (IF(MEDIAN($CB$12:$CB$18) = 0, "", MEDIAN($CB$12:$CB$18))))</f>
        <v>18.73382865</v>
      </c>
      <c r="CC11">
        <f ca="1">IF(ISERROR(IF(MEDIAN($CC$12:$CC$18) = 0, "", MEDIAN($CC$12:$CC$18))), "", (IF(MEDIAN($CC$12:$CC$18) = 0, "", MEDIAN($CC$12:$CC$18))))</f>
        <v>18.233178880000001</v>
      </c>
      <c r="CD11">
        <f ca="1">IF(ISERROR(IF(MEDIAN($CD$12:$CD$18) = 0, "", MEDIAN($CD$12:$CD$18))), "", (IF(MEDIAN($CD$12:$CD$18) = 0, "", MEDIAN($CD$12:$CD$18))))</f>
        <v>17.208563059999999</v>
      </c>
      <c r="CE11">
        <f ca="1">IF(ISERROR(IF(MEDIAN($CE$12:$CE$18) = 0, "", MEDIAN($CE$12:$CE$18))), "", (IF(MEDIAN($CE$12:$CE$18) = 0, "", MEDIAN($CE$12:$CE$18))))</f>
        <v>18.474905809999999</v>
      </c>
      <c r="CF11">
        <f ca="1">IF(ISERROR(IF(MEDIAN($CF$12:$CF$18) = 0, "", MEDIAN($CF$12:$CF$18))), "", (IF(MEDIAN($CF$12:$CF$18) = 0, "", MEDIAN($CF$12:$CF$18))))</f>
        <v>17.172156619999999</v>
      </c>
      <c r="CG11">
        <f ca="1">IF(ISERROR(IF(MEDIAN($CG$12:$CG$18) = 0, "", MEDIAN($CG$12:$CG$18))), "", (IF(MEDIAN($CG$12:$CG$18) = 0, "", MEDIAN($CG$12:$CG$18))))</f>
        <v>21.11980505</v>
      </c>
      <c r="CH11">
        <f ca="1">IF(ISERROR(IF(MEDIAN($CH$12:$CH$18) = 0, "", MEDIAN($CH$12:$CH$18))), "", (IF(MEDIAN($CH$12:$CH$18) = 0, "", MEDIAN($CH$12:$CH$18))))</f>
        <v>21.770265040000002</v>
      </c>
      <c r="CI11">
        <f ca="1">IF(ISERROR(IF(MEDIAN($CI$12:$CI$18) = 0, "", MEDIAN($CI$12:$CI$18))), "", (IF(MEDIAN($CI$12:$CI$18) = 0, "", MEDIAN($CI$12:$CI$18))))</f>
        <v>21.064007109999999</v>
      </c>
      <c r="CJ11">
        <f ca="1">IF(ISERROR(IF(MEDIAN($CJ$12:$CJ$18) = 0, "", MEDIAN($CJ$12:$CJ$18))), "", (IF(MEDIAN($CJ$12:$CJ$18) = 0, "", MEDIAN($CJ$12:$CJ$18))))</f>
        <v>20.558601929999998</v>
      </c>
      <c r="CK11">
        <f ca="1">IF(ISERROR(IF(MEDIAN($CK$12:$CK$18) = 0, "", MEDIAN($CK$12:$CK$18))), "", (IF(MEDIAN($CK$12:$CK$18) = 0, "", MEDIAN($CK$12:$CK$18))))</f>
        <v>20.856503679999999</v>
      </c>
      <c r="CL11">
        <f>17.90827375</f>
        <v>17.908273749999999</v>
      </c>
      <c r="CM11">
        <f>17.14180224</f>
        <v>17.141802240000001</v>
      </c>
      <c r="CN11">
        <f>18.45235146</f>
        <v>18.452351459999999</v>
      </c>
      <c r="CO11">
        <f>19.38341442</f>
        <v>19.383414420000001</v>
      </c>
      <c r="CP11">
        <f>19.90548472</f>
        <v>19.90548472</v>
      </c>
      <c r="CQ11">
        <f>19.94481984</f>
        <v>19.944819840000001</v>
      </c>
      <c r="CR11">
        <f>19.65374677</f>
        <v>19.653746770000001</v>
      </c>
      <c r="CS11">
        <f>20.14133896</f>
        <v>20.141338959999999</v>
      </c>
      <c r="CT11">
        <f>20.39046199</f>
        <v>20.390461989999999</v>
      </c>
      <c r="CU11">
        <f>20.44059795</f>
        <v>20.440597950000001</v>
      </c>
      <c r="CV11">
        <f>20.35491592</f>
        <v>20.35491592</v>
      </c>
      <c r="CW11">
        <f>19.82884337</f>
        <v>19.828843370000001</v>
      </c>
      <c r="CX11">
        <f>19.33093429</f>
        <v>19.330934289999998</v>
      </c>
      <c r="CY11">
        <f>19.53785132</f>
        <v>19.537851320000001</v>
      </c>
      <c r="CZ11">
        <f>18.65914051</f>
        <v>18.65914051</v>
      </c>
      <c r="DA11">
        <f>19.55140486</f>
        <v>19.551404860000002</v>
      </c>
      <c r="DB11">
        <f>18.2732209</f>
        <v>18.273220899999998</v>
      </c>
      <c r="DC11">
        <f>18.36520328</f>
        <v>18.365203279999999</v>
      </c>
      <c r="DD11">
        <f>19.17306989</f>
        <v>19.173069890000001</v>
      </c>
      <c r="DE11">
        <f>19.54619125</f>
        <v>19.54619125</v>
      </c>
      <c r="DF11">
        <f>20.2049762</f>
        <v>20.204976200000001</v>
      </c>
      <c r="DG11">
        <f>20.00023853</f>
        <v>20.000238530000001</v>
      </c>
      <c r="DH11">
        <f>19.70932207</f>
        <v>19.709322069999999</v>
      </c>
      <c r="DI11">
        <f>19.20893675</f>
        <v>19.208936749999999</v>
      </c>
      <c r="DJ11">
        <f>20.83087384</f>
        <v>20.830873839999999</v>
      </c>
      <c r="DK11">
        <f>18.73962147</f>
        <v>18.739621469999999</v>
      </c>
      <c r="DL11">
        <f>19.4015855</f>
        <v>19.401585499999999</v>
      </c>
      <c r="DM11">
        <f>21.00055897</f>
        <v>21.00055897</v>
      </c>
      <c r="DN11">
        <f>20.76449533</f>
        <v>20.764495329999999</v>
      </c>
      <c r="DO11">
        <f>19.55510158</f>
        <v>19.555101579999999</v>
      </c>
      <c r="DP11">
        <f>19.6885148</f>
        <v>19.6885148</v>
      </c>
      <c r="DQ11">
        <f>18.59478891</f>
        <v>18.594788909999998</v>
      </c>
      <c r="DR11">
        <f>19.64871655</f>
        <v>19.64871655</v>
      </c>
      <c r="DS11">
        <f>18.76844558</f>
        <v>18.768445580000002</v>
      </c>
      <c r="DT11">
        <f>19.2579449</f>
        <v>19.257944899999998</v>
      </c>
      <c r="DU11">
        <f>19.54129321</f>
        <v>19.541293209999999</v>
      </c>
      <c r="DV11">
        <f>20.48379834</f>
        <v>20.48379834</v>
      </c>
      <c r="DW11">
        <f>19.37387872</f>
        <v>19.37387872</v>
      </c>
      <c r="DX11">
        <f>20.18307512</f>
        <v>20.183075120000002</v>
      </c>
      <c r="DY11">
        <f>18.81153665</f>
        <v>18.811536650000001</v>
      </c>
      <c r="DZ11">
        <f>18.88780322</f>
        <v>18.887803219999999</v>
      </c>
      <c r="EA11">
        <f>18.83547774</f>
        <v>18.835477740000002</v>
      </c>
      <c r="EB11">
        <f>17.04729307</f>
        <v>17.047293069999998</v>
      </c>
      <c r="EC11">
        <f>18.89286466</f>
        <v>18.892864660000001</v>
      </c>
      <c r="ED11">
        <f>18.40421534</f>
        <v>18.40421534</v>
      </c>
      <c r="EE11">
        <f>18.40613338</f>
        <v>18.40613338</v>
      </c>
      <c r="EF11">
        <f>17.79559637</f>
        <v>17.795596369999998</v>
      </c>
      <c r="EG11">
        <f>16.85094335</f>
        <v>16.850943350000001</v>
      </c>
      <c r="EH11">
        <f>16.91811005</f>
        <v>16.918110049999999</v>
      </c>
      <c r="EI11">
        <f>17.04218771</f>
        <v>17.04218771</v>
      </c>
      <c r="EJ11">
        <f>16.24591182</f>
        <v>16.24591182</v>
      </c>
      <c r="EK11">
        <f>15.68816479</f>
        <v>15.68816479</v>
      </c>
      <c r="EL11">
        <f>15.71407051</f>
        <v>15.714070510000001</v>
      </c>
      <c r="EM11">
        <f>16.84563095</f>
        <v>16.84563095</v>
      </c>
      <c r="EN11">
        <f>16.1880162</f>
        <v>16.1880162</v>
      </c>
      <c r="EO11">
        <f>15.48028072</f>
        <v>15.48028072</v>
      </c>
      <c r="EP11">
        <f>17.20667685</f>
        <v>17.206676850000001</v>
      </c>
      <c r="EQ11">
        <f>17.75259831</f>
        <v>17.75259831</v>
      </c>
      <c r="ER11">
        <f>17.10009284</f>
        <v>17.100092839999999</v>
      </c>
      <c r="ES11">
        <f>17.69964283</f>
        <v>17.699642829999998</v>
      </c>
      <c r="ET11">
        <f>17.174252</f>
        <v>17.174251999999999</v>
      </c>
      <c r="EU11">
        <f>17.2122929</f>
        <v>17.212292900000001</v>
      </c>
      <c r="EV11">
        <f>17.4928718</f>
        <v>17.4928718</v>
      </c>
      <c r="EW11">
        <f>17.24132888</f>
        <v>17.241328880000001</v>
      </c>
      <c r="EX11">
        <f>16.72007721</f>
        <v>16.720077209999999</v>
      </c>
      <c r="EY11">
        <f>17.1516929</f>
        <v>17.1516929</v>
      </c>
      <c r="EZ11">
        <f>17.40326426</f>
        <v>17.40326426</v>
      </c>
      <c r="FA11">
        <f>18.43398092</f>
        <v>18.43398092</v>
      </c>
      <c r="FB11">
        <f>19.19244302</f>
        <v>19.192443019999999</v>
      </c>
      <c r="FC11">
        <f>18.37479818</f>
        <v>18.374798179999999</v>
      </c>
      <c r="FD11">
        <f>18.2595871</f>
        <v>18.259587100000001</v>
      </c>
      <c r="FE11">
        <f>18.80935341</f>
        <v>18.80935341</v>
      </c>
      <c r="FF11">
        <f>18.56785344</f>
        <v>18.56785344</v>
      </c>
      <c r="FG11">
        <f>17.66960396</f>
        <v>17.66960396</v>
      </c>
      <c r="FH11">
        <f>18.73382865</f>
        <v>18.73382865</v>
      </c>
      <c r="FI11">
        <f>18.23317888</f>
        <v>18.233178880000001</v>
      </c>
      <c r="FJ11">
        <f>17.20856306</f>
        <v>17.208563059999999</v>
      </c>
      <c r="FK11">
        <f>18.47490581</f>
        <v>18.474905809999999</v>
      </c>
      <c r="FL11">
        <f>17.17215662</f>
        <v>17.172156619999999</v>
      </c>
      <c r="FM11">
        <f>21.11980505</f>
        <v>21.11980505</v>
      </c>
      <c r="FN11">
        <f>21.77026504</f>
        <v>21.770265040000002</v>
      </c>
      <c r="FO11">
        <f>21.06400711</f>
        <v>21.064007109999999</v>
      </c>
      <c r="FP11">
        <f>20.55860193</f>
        <v>20.558601929999998</v>
      </c>
      <c r="FQ11">
        <f>20.85650368</f>
        <v>20.856503679999999</v>
      </c>
    </row>
    <row r="12" spans="1:173">
      <c r="A12" t="str">
        <f>"    公寓投资与管理"</f>
        <v xml:space="preserve">    公寓投资与管理</v>
      </c>
      <c r="B12" t="str">
        <f>"AIV US Equity"</f>
        <v>AIV US Equity</v>
      </c>
      <c r="C12" t="str">
        <f t="shared" ref="C12:C18" si="3">"BE249"</f>
        <v>BE249</v>
      </c>
      <c r="D12" t="str">
        <f t="shared" ref="D12:D18" si="4">"BEST_PRICE_FFO_RATIO"</f>
        <v>BEST_PRICE_FFO_RATIO</v>
      </c>
      <c r="E12" t="str">
        <f t="shared" ref="E12:E18" si="5">"动态"</f>
        <v>动态</v>
      </c>
      <c r="F12">
        <f ca="1">IF(AND(ISNUMBER($F$261),$B$252=1),$F$261,HLOOKUP(INDIRECT(ADDRESS(2,COLUMN())),OFFSET($CL$2,0,0,ROW()-1,84),ROW()-1,FALSE))</f>
        <v>15.926009260000001</v>
      </c>
      <c r="G12">
        <f ca="1">IF(AND(ISNUMBER($G$261),$B$252=1),$G$261,HLOOKUP(INDIRECT(ADDRESS(2,COLUMN())),OFFSET($CL$2,0,0,ROW()-1,84),ROW()-1,FALSE))</f>
        <v>15.32221375</v>
      </c>
      <c r="H12">
        <f ca="1">IF(AND(ISNUMBER($H$261),$B$252=1),$H$261,HLOOKUP(INDIRECT(ADDRESS(2,COLUMN())),OFFSET($CL$2,0,0,ROW()-1,84),ROW()-1,FALSE))</f>
        <v>16.396215139999999</v>
      </c>
      <c r="I12">
        <f ca="1">IF(AND(ISNUMBER($I$261),$B$252=1),$I$261,HLOOKUP(INDIRECT(ADDRESS(2,COLUMN())),OFFSET($CL$2,0,0,ROW()-1,84),ROW()-1,FALSE))</f>
        <v>17.191649739999999</v>
      </c>
      <c r="J12">
        <f ca="1">IF(AND(ISNUMBER($J$261),$B$252=1),$J$261,HLOOKUP(INDIRECT(ADDRESS(2,COLUMN())),OFFSET($CL$2,0,0,ROW()-1,84),ROW()-1,FALSE))</f>
        <v>17.37501529</v>
      </c>
      <c r="K12">
        <f ca="1">IF(AND(ISNUMBER($K$261),$B$252=1),$K$261,HLOOKUP(INDIRECT(ADDRESS(2,COLUMN())),OFFSET($CL$2,0,0,ROW()-1,84),ROW()-1,FALSE))</f>
        <v>17.36704027</v>
      </c>
      <c r="L12">
        <f ca="1">IF(AND(ISNUMBER($L$261),$B$252=1),$L$261,HLOOKUP(INDIRECT(ADDRESS(2,COLUMN())),OFFSET($CL$2,0,0,ROW()-1,84),ROW()-1,FALSE))</f>
        <v>17.396132869999999</v>
      </c>
      <c r="M12">
        <f ca="1">IF(AND(ISNUMBER($M$261),$B$252=1),$M$261,HLOOKUP(INDIRECT(ADDRESS(2,COLUMN())),OFFSET($CL$2,0,0,ROW()-1,84),ROW()-1,FALSE))</f>
        <v>18.023252800000002</v>
      </c>
      <c r="N12">
        <f ca="1">IF(AND(ISNUMBER($N$261),$B$252=1),$N$261,HLOOKUP(INDIRECT(ADDRESS(2,COLUMN())),OFFSET($CL$2,0,0,ROW()-1,84),ROW()-1,FALSE))</f>
        <v>18.211068900000001</v>
      </c>
      <c r="O12">
        <f ca="1">IF(AND(ISNUMBER($O$261),$B$252=1),$O$261,HLOOKUP(INDIRECT(ADDRESS(2,COLUMN())),OFFSET($CL$2,0,0,ROW()-1,84),ROW()-1,FALSE))</f>
        <v>17.225896970000001</v>
      </c>
      <c r="P12">
        <f ca="1">IF(AND(ISNUMBER($P$261),$B$252=1),$P$261,HLOOKUP(INDIRECT(ADDRESS(2,COLUMN())),OFFSET($CL$2,0,0,ROW()-1,84),ROW()-1,FALSE))</f>
        <v>17.266172409999999</v>
      </c>
      <c r="Q12">
        <f ca="1">IF(AND(ISNUMBER($Q$261),$B$252=1),$Q$261,HLOOKUP(INDIRECT(ADDRESS(2,COLUMN())),OFFSET($CL$2,0,0,ROW()-1,84),ROW()-1,FALSE))</f>
        <v>17.552979669999999</v>
      </c>
      <c r="R12">
        <f ca="1">IF(AND(ISNUMBER($R$261),$B$252=1),$R$261,HLOOKUP(INDIRECT(ADDRESS(2,COLUMN())),OFFSET($CL$2,0,0,ROW()-1,84),ROW()-1,FALSE))</f>
        <v>17.8866707</v>
      </c>
      <c r="S12">
        <f ca="1">IF(AND(ISNUMBER($S$261),$B$252=1),$S$261,HLOOKUP(INDIRECT(ADDRESS(2,COLUMN())),OFFSET($CL$2,0,0,ROW()-1,84),ROW()-1,FALSE))</f>
        <v>18.853907920000001</v>
      </c>
      <c r="T12">
        <f ca="1">IF(AND(ISNUMBER($T$261),$B$252=1),$T$261,HLOOKUP(INDIRECT(ADDRESS(2,COLUMN())),OFFSET($CL$2,0,0,ROW()-1,84),ROW()-1,FALSE))</f>
        <v>17.89420544</v>
      </c>
      <c r="U12">
        <f ca="1">IF(AND(ISNUMBER($U$261),$B$252=1),$U$261,HLOOKUP(INDIRECT(ADDRESS(2,COLUMN())),OFFSET($CL$2,0,0,ROW()-1,84),ROW()-1,FALSE))</f>
        <v>18.53614975</v>
      </c>
      <c r="V12">
        <f ca="1">IF(AND(ISNUMBER($V$261),$B$252=1),$V$261,HLOOKUP(INDIRECT(ADDRESS(2,COLUMN())),OFFSET($CL$2,0,0,ROW()-1,84),ROW()-1,FALSE))</f>
        <v>17.23447805</v>
      </c>
      <c r="W12">
        <f ca="1">IF(AND(ISNUMBER($W$261),$B$252=1),$W$261,HLOOKUP(INDIRECT(ADDRESS(2,COLUMN())),OFFSET($CL$2,0,0,ROW()-1,84),ROW()-1,FALSE))</f>
        <v>18.007129419999998</v>
      </c>
      <c r="X12">
        <f ca="1">IF(AND(ISNUMBER($X$261),$B$252=1),$X$261,HLOOKUP(INDIRECT(ADDRESS(2,COLUMN())),OFFSET($CL$2,0,0,ROW()-1,84),ROW()-1,FALSE))</f>
        <v>18.73304091</v>
      </c>
      <c r="Y12">
        <f ca="1">IF(AND(ISNUMBER($Y$261),$B$252=1),$Y$261,HLOOKUP(INDIRECT(ADDRESS(2,COLUMN())),OFFSET($CL$2,0,0,ROW()-1,84),ROW()-1,FALSE))</f>
        <v>18.546798030000001</v>
      </c>
      <c r="Z12">
        <f ca="1">IF(AND(ISNUMBER($Z$261),$B$252=1),$Z$261,HLOOKUP(INDIRECT(ADDRESS(2,COLUMN())),OFFSET($CL$2,0,0,ROW()-1,84),ROW()-1,FALSE))</f>
        <v>19.076211000000001</v>
      </c>
      <c r="AA12">
        <f ca="1">IF(AND(ISNUMBER($AA$261),$B$252=1),$AA$261,HLOOKUP(INDIRECT(ADDRESS(2,COLUMN())),OFFSET($CL$2,0,0,ROW()-1,84),ROW()-1,FALSE))</f>
        <v>18.502585379999999</v>
      </c>
      <c r="AB12">
        <f ca="1">IF(AND(ISNUMBER($AB$261),$B$252=1),$AB$261,HLOOKUP(INDIRECT(ADDRESS(2,COLUMN())),OFFSET($CL$2,0,0,ROW()-1,84),ROW()-1,FALSE))</f>
        <v>17.920687359999999</v>
      </c>
      <c r="AC12">
        <f ca="1">IF(AND(ISNUMBER($AC$261),$B$252=1),$AC$261,HLOOKUP(INDIRECT(ADDRESS(2,COLUMN())),OFFSET($CL$2,0,0,ROW()-1,84),ROW()-1,FALSE))</f>
        <v>17.068877929999999</v>
      </c>
      <c r="AD12">
        <f ca="1">IF(AND(ISNUMBER($AD$261),$B$252=1),$AD$261,HLOOKUP(INDIRECT(ADDRESS(2,COLUMN())),OFFSET($CL$2,0,0,ROW()-1,84),ROW()-1,FALSE))</f>
        <v>17.865417919999999</v>
      </c>
      <c r="AE12">
        <f ca="1">IF(AND(ISNUMBER($AE$261),$B$252=1),$AE$261,HLOOKUP(INDIRECT(ADDRESS(2,COLUMN())),OFFSET($CL$2,0,0,ROW()-1,84),ROW()-1,FALSE))</f>
        <v>15.539655740000001</v>
      </c>
      <c r="AF12">
        <f ca="1">IF(AND(ISNUMBER($AF$261),$B$252=1),$AF$261,HLOOKUP(INDIRECT(ADDRESS(2,COLUMN())),OFFSET($CL$2,0,0,ROW()-1,84),ROW()-1,FALSE))</f>
        <v>16.34235623</v>
      </c>
      <c r="AG12">
        <f ca="1">IF(AND(ISNUMBER($AG$261),$B$252=1),$AG$261,HLOOKUP(INDIRECT(ADDRESS(2,COLUMN())),OFFSET($CL$2,0,0,ROW()-1,84),ROW()-1,FALSE))</f>
        <v>16.784067090000001</v>
      </c>
      <c r="AH12">
        <f ca="1">IF(AND(ISNUMBER($AH$261),$B$252=1),$AH$261,HLOOKUP(INDIRECT(ADDRESS(2,COLUMN())),OFFSET($CL$2,0,0,ROW()-1,84),ROW()-1,FALSE))</f>
        <v>16.074292419999999</v>
      </c>
      <c r="AI12">
        <f ca="1">IF(AND(ISNUMBER($AI$261),$B$252=1),$AI$261,HLOOKUP(INDIRECT(ADDRESS(2,COLUMN())),OFFSET($CL$2,0,0,ROW()-1,84),ROW()-1,FALSE))</f>
        <v>16.673430249999999</v>
      </c>
      <c r="AJ12">
        <f ca="1">IF(AND(ISNUMBER($AJ$261),$B$252=1),$AJ$261,HLOOKUP(INDIRECT(ADDRESS(2,COLUMN())),OFFSET($CL$2,0,0,ROW()-1,84),ROW()-1,FALSE))</f>
        <v>15.85293858</v>
      </c>
      <c r="AK12">
        <f ca="1">IF(AND(ISNUMBER($AK$261),$B$252=1),$AK$261,HLOOKUP(INDIRECT(ADDRESS(2,COLUMN())),OFFSET($CL$2,0,0,ROW()-1,84),ROW()-1,FALSE))</f>
        <v>15.528333050000001</v>
      </c>
      <c r="AL12">
        <f ca="1">IF(AND(ISNUMBER($AL$261),$B$252=1),$AL$261,HLOOKUP(INDIRECT(ADDRESS(2,COLUMN())),OFFSET($CL$2,0,0,ROW()-1,84),ROW()-1,FALSE))</f>
        <v>17.116472129999998</v>
      </c>
      <c r="AM12">
        <f ca="1">IF(AND(ISNUMBER($AM$261),$B$252=1),$AM$261,HLOOKUP(INDIRECT(ADDRESS(2,COLUMN())),OFFSET($CL$2,0,0,ROW()-1,84),ROW()-1,FALSE))</f>
        <v>16.255329870000001</v>
      </c>
      <c r="AN12">
        <f ca="1">IF(AND(ISNUMBER($AN$261),$B$252=1),$AN$261,HLOOKUP(INDIRECT(ADDRESS(2,COLUMN())),OFFSET($CL$2,0,0,ROW()-1,84),ROW()-1,FALSE))</f>
        <v>16.86302405</v>
      </c>
      <c r="AO12">
        <f ca="1">IF(AND(ISNUMBER($AO$261),$B$252=1),$AO$261,HLOOKUP(INDIRECT(ADDRESS(2,COLUMN())),OFFSET($CL$2,0,0,ROW()-1,84),ROW()-1,FALSE))</f>
        <v>16.898233390000001</v>
      </c>
      <c r="AP12">
        <f ca="1">IF(AND(ISNUMBER($AP$261),$B$252=1),$AP$261,HLOOKUP(INDIRECT(ADDRESS(2,COLUMN())),OFFSET($CL$2,0,0,ROW()-1,84),ROW()-1,FALSE))</f>
        <v>17.734150769999999</v>
      </c>
      <c r="AQ12">
        <f ca="1">IF(AND(ISNUMBER($AQ$261),$B$252=1),$AQ$261,HLOOKUP(INDIRECT(ADDRESS(2,COLUMN())),OFFSET($CL$2,0,0,ROW()-1,84),ROW()-1,FALSE))</f>
        <v>17.096039579999999</v>
      </c>
      <c r="AR12">
        <f ca="1">IF(AND(ISNUMBER($AR$261),$B$252=1),$AR$261,HLOOKUP(INDIRECT(ADDRESS(2,COLUMN())),OFFSET($CL$2,0,0,ROW()-1,84),ROW()-1,FALSE))</f>
        <v>18.173815300000001</v>
      </c>
      <c r="AS12">
        <f ca="1">IF(AND(ISNUMBER($AS$261),$B$252=1),$AS$261,HLOOKUP(INDIRECT(ADDRESS(2,COLUMN())),OFFSET($CL$2,0,0,ROW()-1,84),ROW()-1,FALSE))</f>
        <v>16.7302496</v>
      </c>
      <c r="AT12">
        <f ca="1">IF(AND(ISNUMBER($AT$261),$B$252=1),$AT$261,HLOOKUP(INDIRECT(ADDRESS(2,COLUMN())),OFFSET($CL$2,0,0,ROW()-1,84),ROW()-1,FALSE))</f>
        <v>16.835280210000001</v>
      </c>
      <c r="AU12">
        <f ca="1">IF(AND(ISNUMBER($AU$261),$B$252=1),$AU$261,HLOOKUP(INDIRECT(ADDRESS(2,COLUMN())),OFFSET($CL$2,0,0,ROW()-1,84),ROW()-1,FALSE))</f>
        <v>16.297842750000001</v>
      </c>
      <c r="AV12">
        <f ca="1">IF(AND(ISNUMBER($AV$261),$B$252=1),$AV$261,HLOOKUP(INDIRECT(ADDRESS(2,COLUMN())),OFFSET($CL$2,0,0,ROW()-1,84),ROW()-1,FALSE))</f>
        <v>14.53715762</v>
      </c>
      <c r="AW12">
        <f ca="1">IF(AND(ISNUMBER($AW$261),$B$252=1),$AW$261,HLOOKUP(INDIRECT(ADDRESS(2,COLUMN())),OFFSET($CL$2,0,0,ROW()-1,84),ROW()-1,FALSE))</f>
        <v>15.74666871</v>
      </c>
      <c r="AX12">
        <f ca="1">IF(AND(ISNUMBER($AX$261),$B$252=1),$AX$261,HLOOKUP(INDIRECT(ADDRESS(2,COLUMN())),OFFSET($CL$2,0,0,ROW()-1,84),ROW()-1,FALSE))</f>
        <v>15.891868779999999</v>
      </c>
      <c r="AY12">
        <f ca="1">IF(AND(ISNUMBER($AY$261),$B$252=1),$AY$261,HLOOKUP(INDIRECT(ADDRESS(2,COLUMN())),OFFSET($CL$2,0,0,ROW()-1,84),ROW()-1,FALSE))</f>
        <v>15.173325119999999</v>
      </c>
      <c r="AZ12">
        <f ca="1">IF(AND(ISNUMBER($AZ$261),$B$252=1),$AZ$261,HLOOKUP(INDIRECT(ADDRESS(2,COLUMN())),OFFSET($CL$2,0,0,ROW()-1,84),ROW()-1,FALSE))</f>
        <v>14.877748629999999</v>
      </c>
      <c r="BA12">
        <f ca="1">IF(AND(ISNUMBER($BA$261),$B$252=1),$BA$261,HLOOKUP(INDIRECT(ADDRESS(2,COLUMN())),OFFSET($CL$2,0,0,ROW()-1,84),ROW()-1,FALSE))</f>
        <v>14.548815899999999</v>
      </c>
      <c r="BB12">
        <f ca="1">IF(AND(ISNUMBER($BB$261),$B$252=1),$BB$261,HLOOKUP(INDIRECT(ADDRESS(2,COLUMN())),OFFSET($CL$2,0,0,ROW()-1,84),ROW()-1,FALSE))</f>
        <v>14.22415146</v>
      </c>
      <c r="BC12">
        <f ca="1">IF(AND(ISNUMBER($BC$261),$B$252=1),$BC$261,HLOOKUP(INDIRECT(ADDRESS(2,COLUMN())),OFFSET($CL$2,0,0,ROW()-1,84),ROW()-1,FALSE))</f>
        <v>14.03109033</v>
      </c>
      <c r="BD12">
        <f ca="1">IF(AND(ISNUMBER($BD$261),$B$252=1),$BD$261,HLOOKUP(INDIRECT(ADDRESS(2,COLUMN())),OFFSET($CL$2,0,0,ROW()-1,84),ROW()-1,FALSE))</f>
        <v>12.72026335</v>
      </c>
      <c r="BE12">
        <f ca="1">IF(AND(ISNUMBER($BE$261),$B$252=1),$BE$261,HLOOKUP(INDIRECT(ADDRESS(2,COLUMN())),OFFSET($CL$2,0,0,ROW()-1,84),ROW()-1,FALSE))</f>
        <v>11.941083089999999</v>
      </c>
      <c r="BF12">
        <f ca="1">IF(AND(ISNUMBER($BF$261),$B$252=1),$BF$261,HLOOKUP(INDIRECT(ADDRESS(2,COLUMN())),OFFSET($CL$2,0,0,ROW()-1,84),ROW()-1,FALSE))</f>
        <v>11.67226269</v>
      </c>
      <c r="BG12">
        <f ca="1">IF(AND(ISNUMBER($BG$261),$B$252=1),$BG$261,HLOOKUP(INDIRECT(ADDRESS(2,COLUMN())),OFFSET($CL$2,0,0,ROW()-1,84),ROW()-1,FALSE))</f>
        <v>12.876321519999999</v>
      </c>
      <c r="BH12">
        <f ca="1">IF(AND(ISNUMBER($BH$261),$B$252=1),$BH$261,HLOOKUP(INDIRECT(ADDRESS(2,COLUMN())),OFFSET($CL$2,0,0,ROW()-1,84),ROW()-1,FALSE))</f>
        <v>12.89771099</v>
      </c>
      <c r="BI12">
        <f ca="1">IF(AND(ISNUMBER($BI$261),$B$252=1),$BI$261,HLOOKUP(INDIRECT(ADDRESS(2,COLUMN())),OFFSET($CL$2,0,0,ROW()-1,84),ROW()-1,FALSE))</f>
        <v>12.781168340000001</v>
      </c>
      <c r="BJ12">
        <f ca="1">IF(AND(ISNUMBER($BJ$261),$B$252=1),$BJ$261,HLOOKUP(INDIRECT(ADDRESS(2,COLUMN())),OFFSET($CL$2,0,0,ROW()-1,84),ROW()-1,FALSE))</f>
        <v>13.79881342</v>
      </c>
      <c r="BK12">
        <f ca="1">IF(AND(ISNUMBER($BK$261),$B$252=1),$BK$261,HLOOKUP(INDIRECT(ADDRESS(2,COLUMN())),OFFSET($CL$2,0,0,ROW()-1,84),ROW()-1,FALSE))</f>
        <v>14.178866040000001</v>
      </c>
      <c r="BL12">
        <f ca="1">IF(AND(ISNUMBER($BL$261),$B$252=1),$BL$261,HLOOKUP(INDIRECT(ADDRESS(2,COLUMN())),OFFSET($CL$2,0,0,ROW()-1,84),ROW()-1,FALSE))</f>
        <v>14.374561509999999</v>
      </c>
      <c r="BM12">
        <f ca="1">IF(AND(ISNUMBER($BM$261),$B$252=1),$BM$261,HLOOKUP(INDIRECT(ADDRESS(2,COLUMN())),OFFSET($CL$2,0,0,ROW()-1,84),ROW()-1,FALSE))</f>
        <v>14.954664749999999</v>
      </c>
      <c r="BN12">
        <f ca="1">IF(AND(ISNUMBER($BN$261),$B$252=1),$BN$261,HLOOKUP(INDIRECT(ADDRESS(2,COLUMN())),OFFSET($CL$2,0,0,ROW()-1,84),ROW()-1,FALSE))</f>
        <v>14.8432554</v>
      </c>
      <c r="BO12">
        <f ca="1">IF(AND(ISNUMBER($BO$261),$B$252=1),$BO$261,HLOOKUP(INDIRECT(ADDRESS(2,COLUMN())),OFFSET($CL$2,0,0,ROW()-1,84),ROW()-1,FALSE))</f>
        <v>14.392801759999999</v>
      </c>
      <c r="BP12">
        <f ca="1">IF(AND(ISNUMBER($BP$261),$B$252=1),$BP$261,HLOOKUP(INDIRECT(ADDRESS(2,COLUMN())),OFFSET($CL$2,0,0,ROW()-1,84),ROW()-1,FALSE))</f>
        <v>13.249298</v>
      </c>
      <c r="BQ12">
        <f ca="1">IF(AND(ISNUMBER($BQ$261),$B$252=1),$BQ$261,HLOOKUP(INDIRECT(ADDRESS(2,COLUMN())),OFFSET($CL$2,0,0,ROW()-1,84),ROW()-1,FALSE))</f>
        <v>13.383955909999999</v>
      </c>
      <c r="BR12">
        <f ca="1">IF(AND(ISNUMBER($BR$261),$B$252=1),$BR$261,HLOOKUP(INDIRECT(ADDRESS(2,COLUMN())),OFFSET($CL$2,0,0,ROW()-1,84),ROW()-1,FALSE))</f>
        <v>12.522790280000001</v>
      </c>
      <c r="BS12">
        <f ca="1">IF(AND(ISNUMBER($BS$261),$B$252=1),$BS$261,HLOOKUP(INDIRECT(ADDRESS(2,COLUMN())),OFFSET($CL$2,0,0,ROW()-1,84),ROW()-1,FALSE))</f>
        <v>13.464529949999999</v>
      </c>
      <c r="BT12">
        <f ca="1">IF(AND(ISNUMBER($BT$261),$B$252=1),$BT$261,HLOOKUP(INDIRECT(ADDRESS(2,COLUMN())),OFFSET($CL$2,0,0,ROW()-1,84),ROW()-1,FALSE))</f>
        <v>13.396004230000001</v>
      </c>
      <c r="BU12">
        <f ca="1">IF(AND(ISNUMBER($BU$261),$B$252=1),$BU$261,HLOOKUP(INDIRECT(ADDRESS(2,COLUMN())),OFFSET($CL$2,0,0,ROW()-1,84),ROW()-1,FALSE))</f>
        <v>13.742250289999999</v>
      </c>
      <c r="BV12">
        <f ca="1">IF(AND(ISNUMBER($BV$261),$B$252=1),$BV$261,HLOOKUP(INDIRECT(ADDRESS(2,COLUMN())),OFFSET($CL$2,0,0,ROW()-1,84),ROW()-1,FALSE))</f>
        <v>14.42540999</v>
      </c>
      <c r="BW12">
        <f ca="1">IF(AND(ISNUMBER($BW$261),$B$252=1),$BW$261,HLOOKUP(INDIRECT(ADDRESS(2,COLUMN())),OFFSET($CL$2,0,0,ROW()-1,84),ROW()-1,FALSE))</f>
        <v>14.361558649999999</v>
      </c>
      <c r="BX12">
        <f ca="1">IF(AND(ISNUMBER($BX$261),$B$252=1),$BX$261,HLOOKUP(INDIRECT(ADDRESS(2,COLUMN())),OFFSET($CL$2,0,0,ROW()-1,84),ROW()-1,FALSE))</f>
        <v>14.553433679999999</v>
      </c>
      <c r="BY12">
        <f ca="1">IF(AND(ISNUMBER($BY$261),$B$252=1),$BY$261,HLOOKUP(INDIRECT(ADDRESS(2,COLUMN())),OFFSET($CL$2,0,0,ROW()-1,84),ROW()-1,FALSE))</f>
        <v>14.91215148</v>
      </c>
      <c r="BZ12">
        <f ca="1">IF(AND(ISNUMBER($BZ$261),$B$252=1),$BZ$261,HLOOKUP(INDIRECT(ADDRESS(2,COLUMN())),OFFSET($CL$2,0,0,ROW()-1,84),ROW()-1,FALSE))</f>
        <v>14.62484772</v>
      </c>
      <c r="CA12">
        <f ca="1">IF(AND(ISNUMBER($CA$261),$B$252=1),$CA$261,HLOOKUP(INDIRECT(ADDRESS(2,COLUMN())),OFFSET($CL$2,0,0,ROW()-1,84),ROW()-1,FALSE))</f>
        <v>13.882235550000001</v>
      </c>
      <c r="CB12">
        <f ca="1">IF(AND(ISNUMBER($CB$261),$B$252=1),$CB$261,HLOOKUP(INDIRECT(ADDRESS(2,COLUMN())),OFFSET($CL$2,0,0,ROW()-1,84),ROW()-1,FALSE))</f>
        <v>13.81386642</v>
      </c>
      <c r="CC12">
        <f ca="1">IF(AND(ISNUMBER($CC$261),$B$252=1),$CC$261,HLOOKUP(INDIRECT(ADDRESS(2,COLUMN())),OFFSET($CL$2,0,0,ROW()-1,84),ROW()-1,FALSE))</f>
        <v>12.96228632</v>
      </c>
      <c r="CD12">
        <f ca="1">IF(AND(ISNUMBER($CD$261),$B$252=1),$CD$261,HLOOKUP(INDIRECT(ADDRESS(2,COLUMN())),OFFSET($CL$2,0,0,ROW()-1,84),ROW()-1,FALSE))</f>
        <v>12.46017189</v>
      </c>
      <c r="CE12">
        <f ca="1">IF(AND(ISNUMBER($CE$261),$B$252=1),$CE$261,HLOOKUP(INDIRECT(ADDRESS(2,COLUMN())),OFFSET($CL$2,0,0,ROW()-1,84),ROW()-1,FALSE))</f>
        <v>14.09505242</v>
      </c>
      <c r="CF12">
        <f ca="1">IF(AND(ISNUMBER($CF$261),$B$252=1),$CF$261,HLOOKUP(INDIRECT(ADDRESS(2,COLUMN())),OFFSET($CL$2,0,0,ROW()-1,84),ROW()-1,FALSE))</f>
        <v>12.78797514</v>
      </c>
      <c r="CG12">
        <f ca="1">IF(AND(ISNUMBER($CG$261),$B$252=1),$CG$261,HLOOKUP(INDIRECT(ADDRESS(2,COLUMN())),OFFSET($CL$2,0,0,ROW()-1,84),ROW()-1,FALSE))</f>
        <v>15.57998536</v>
      </c>
      <c r="CH12">
        <f ca="1">IF(AND(ISNUMBER($CH$261),$B$252=1),$CH$261,HLOOKUP(INDIRECT(ADDRESS(2,COLUMN())),OFFSET($CL$2,0,0,ROW()-1,84),ROW()-1,FALSE))</f>
        <v>16.864664510000001</v>
      </c>
      <c r="CI12">
        <f ca="1">IF(AND(ISNUMBER($CI$261),$B$252=1),$CI$261,HLOOKUP(INDIRECT(ADDRESS(2,COLUMN())),OFFSET($CL$2,0,0,ROW()-1,84),ROW()-1,FALSE))</f>
        <v>15.842439369999999</v>
      </c>
      <c r="CJ12">
        <f ca="1">IF(AND(ISNUMBER($CJ$261),$B$252=1),$CJ$261,HLOOKUP(INDIRECT(ADDRESS(2,COLUMN())),OFFSET($CL$2,0,0,ROW()-1,84),ROW()-1,FALSE))</f>
        <v>16.679909110000001</v>
      </c>
      <c r="CK12">
        <f ca="1">IF(AND(ISNUMBER($CK$261),$B$252=1),$CK$261,HLOOKUP(INDIRECT(ADDRESS(2,COLUMN())),OFFSET($CL$2,0,0,ROW()-1,84),ROW()-1,FALSE))</f>
        <v>16.794489370000001</v>
      </c>
      <c r="CL12">
        <f>15.92600926</f>
        <v>15.926009260000001</v>
      </c>
      <c r="CM12">
        <f>15.32221375</f>
        <v>15.32221375</v>
      </c>
      <c r="CN12">
        <f>16.39621514</f>
        <v>16.396215139999999</v>
      </c>
      <c r="CO12">
        <f>17.19164974</f>
        <v>17.191649739999999</v>
      </c>
      <c r="CP12">
        <f>17.37501529</f>
        <v>17.37501529</v>
      </c>
      <c r="CQ12">
        <f>17.36704027</f>
        <v>17.36704027</v>
      </c>
      <c r="CR12">
        <f>17.39613287</f>
        <v>17.396132869999999</v>
      </c>
      <c r="CS12">
        <f>18.0232528</f>
        <v>18.023252800000002</v>
      </c>
      <c r="CT12">
        <f>18.2110689</f>
        <v>18.211068900000001</v>
      </c>
      <c r="CU12">
        <f>17.22589697</f>
        <v>17.225896970000001</v>
      </c>
      <c r="CV12">
        <f>17.26617241</f>
        <v>17.266172409999999</v>
      </c>
      <c r="CW12">
        <f>17.55297967</f>
        <v>17.552979669999999</v>
      </c>
      <c r="CX12">
        <f>17.8866707</f>
        <v>17.8866707</v>
      </c>
      <c r="CY12">
        <f>18.85390792</f>
        <v>18.853907920000001</v>
      </c>
      <c r="CZ12">
        <f>17.89420544</f>
        <v>17.89420544</v>
      </c>
      <c r="DA12">
        <f>18.53614975</f>
        <v>18.53614975</v>
      </c>
      <c r="DB12">
        <f>17.23447805</f>
        <v>17.23447805</v>
      </c>
      <c r="DC12">
        <f>18.00712942</f>
        <v>18.007129419999998</v>
      </c>
      <c r="DD12">
        <f>18.73304091</f>
        <v>18.73304091</v>
      </c>
      <c r="DE12">
        <f>18.54679803</f>
        <v>18.546798030000001</v>
      </c>
      <c r="DF12">
        <f>19.076211</f>
        <v>19.076211000000001</v>
      </c>
      <c r="DG12">
        <f>18.50258538</f>
        <v>18.502585379999999</v>
      </c>
      <c r="DH12">
        <f>17.92068736</f>
        <v>17.920687359999999</v>
      </c>
      <c r="DI12">
        <f>17.06887793</f>
        <v>17.068877929999999</v>
      </c>
      <c r="DJ12">
        <f>17.86541792</f>
        <v>17.865417919999999</v>
      </c>
      <c r="DK12">
        <f>15.53965574</f>
        <v>15.539655740000001</v>
      </c>
      <c r="DL12">
        <f>16.34235623</f>
        <v>16.34235623</v>
      </c>
      <c r="DM12">
        <f>16.78406709</f>
        <v>16.784067090000001</v>
      </c>
      <c r="DN12">
        <f>16.07429242</f>
        <v>16.074292419999999</v>
      </c>
      <c r="DO12">
        <f>16.67343025</f>
        <v>16.673430249999999</v>
      </c>
      <c r="DP12">
        <f>15.85293858</f>
        <v>15.85293858</v>
      </c>
      <c r="DQ12">
        <f>15.52833305</f>
        <v>15.528333050000001</v>
      </c>
      <c r="DR12">
        <f>17.11647213</f>
        <v>17.116472129999998</v>
      </c>
      <c r="DS12">
        <f>16.25532987</f>
        <v>16.255329870000001</v>
      </c>
      <c r="DT12">
        <f>16.86302405</f>
        <v>16.86302405</v>
      </c>
      <c r="DU12">
        <f>16.89823339</f>
        <v>16.898233390000001</v>
      </c>
      <c r="DV12">
        <f>17.73415077</f>
        <v>17.734150769999999</v>
      </c>
      <c r="DW12">
        <f>17.09603958</f>
        <v>17.096039579999999</v>
      </c>
      <c r="DX12">
        <f>18.1738153</f>
        <v>18.173815300000001</v>
      </c>
      <c r="DY12">
        <f>16.7302496</f>
        <v>16.7302496</v>
      </c>
      <c r="DZ12">
        <f>16.83528021</f>
        <v>16.835280210000001</v>
      </c>
      <c r="EA12">
        <f>16.29784275</f>
        <v>16.297842750000001</v>
      </c>
      <c r="EB12">
        <f>14.53715762</f>
        <v>14.53715762</v>
      </c>
      <c r="EC12">
        <f>15.74666871</f>
        <v>15.74666871</v>
      </c>
      <c r="ED12">
        <f>15.89186878</f>
        <v>15.891868779999999</v>
      </c>
      <c r="EE12">
        <f>15.17332512</f>
        <v>15.173325119999999</v>
      </c>
      <c r="EF12">
        <f>14.87774863</f>
        <v>14.877748629999999</v>
      </c>
      <c r="EG12">
        <f>14.5488159</f>
        <v>14.548815899999999</v>
      </c>
      <c r="EH12">
        <f>14.22415146</f>
        <v>14.22415146</v>
      </c>
      <c r="EI12">
        <f>14.03109033</f>
        <v>14.03109033</v>
      </c>
      <c r="EJ12">
        <f>12.72026335</f>
        <v>12.72026335</v>
      </c>
      <c r="EK12">
        <f>11.94108309</f>
        <v>11.941083089999999</v>
      </c>
      <c r="EL12">
        <f>11.67226269</f>
        <v>11.67226269</v>
      </c>
      <c r="EM12">
        <f>12.87632152</f>
        <v>12.876321519999999</v>
      </c>
      <c r="EN12">
        <f>12.89771099</f>
        <v>12.89771099</v>
      </c>
      <c r="EO12">
        <f>12.78116834</f>
        <v>12.781168340000001</v>
      </c>
      <c r="EP12">
        <f>13.79881342</f>
        <v>13.79881342</v>
      </c>
      <c r="EQ12">
        <f>14.17886604</f>
        <v>14.178866040000001</v>
      </c>
      <c r="ER12">
        <f>14.37456151</f>
        <v>14.374561509999999</v>
      </c>
      <c r="ES12">
        <f>14.95466475</f>
        <v>14.954664749999999</v>
      </c>
      <c r="ET12">
        <f>14.8432554</f>
        <v>14.8432554</v>
      </c>
      <c r="EU12">
        <f>14.39280176</f>
        <v>14.392801759999999</v>
      </c>
      <c r="EV12">
        <f>13.249298</f>
        <v>13.249298</v>
      </c>
      <c r="EW12">
        <f>13.38395591</f>
        <v>13.383955909999999</v>
      </c>
      <c r="EX12">
        <f>12.52279028</f>
        <v>12.522790280000001</v>
      </c>
      <c r="EY12">
        <f>13.46452995</f>
        <v>13.464529949999999</v>
      </c>
      <c r="EZ12">
        <f>13.39600423</f>
        <v>13.396004230000001</v>
      </c>
      <c r="FA12">
        <f>13.74225029</f>
        <v>13.742250289999999</v>
      </c>
      <c r="FB12">
        <f>14.42540999</f>
        <v>14.42540999</v>
      </c>
      <c r="FC12">
        <f>14.36155865</f>
        <v>14.361558649999999</v>
      </c>
      <c r="FD12">
        <f>14.55343368</f>
        <v>14.553433679999999</v>
      </c>
      <c r="FE12">
        <f>14.91215148</f>
        <v>14.91215148</v>
      </c>
      <c r="FF12">
        <f>14.62484772</f>
        <v>14.62484772</v>
      </c>
      <c r="FG12">
        <f>13.88223555</f>
        <v>13.882235550000001</v>
      </c>
      <c r="FH12">
        <f>13.81386642</f>
        <v>13.81386642</v>
      </c>
      <c r="FI12">
        <f>12.96228632</f>
        <v>12.96228632</v>
      </c>
      <c r="FJ12">
        <f>12.46017189</f>
        <v>12.46017189</v>
      </c>
      <c r="FK12">
        <f>14.09505242</f>
        <v>14.09505242</v>
      </c>
      <c r="FL12">
        <f>12.78797514</f>
        <v>12.78797514</v>
      </c>
      <c r="FM12">
        <f>15.57998536</f>
        <v>15.57998536</v>
      </c>
      <c r="FN12">
        <f>16.86466451</f>
        <v>16.864664510000001</v>
      </c>
      <c r="FO12">
        <f>15.84243937</f>
        <v>15.842439369999999</v>
      </c>
      <c r="FP12">
        <f>16.67990911</f>
        <v>16.679909110000001</v>
      </c>
      <c r="FQ12">
        <f>16.79448937</f>
        <v>16.794489370000001</v>
      </c>
    </row>
    <row r="13" spans="1:173">
      <c r="A13" t="str">
        <f>"    AvalonBay社区股份有限公司"</f>
        <v xml:space="preserve">    AvalonBay社区股份有限公司</v>
      </c>
      <c r="B13" t="str">
        <f>"AVB US Equity"</f>
        <v>AVB US Equity</v>
      </c>
      <c r="C13" t="str">
        <f t="shared" si="3"/>
        <v>BE249</v>
      </c>
      <c r="D13" t="str">
        <f t="shared" si="4"/>
        <v>BEST_PRICE_FFO_RATIO</v>
      </c>
      <c r="E13" t="str">
        <f t="shared" si="5"/>
        <v>动态</v>
      </c>
      <c r="F13">
        <f ca="1">IF(AND(ISNUMBER($F$262),$B$252=1),$F$262,HLOOKUP(INDIRECT(ADDRESS(2,COLUMN())),OFFSET($CL$2,0,0,ROW()-1,84),ROW()-1,FALSE))</f>
        <v>17.908273749999999</v>
      </c>
      <c r="G13">
        <f ca="1">IF(AND(ISNUMBER($G$262),$B$252=1),$G$262,HLOOKUP(INDIRECT(ADDRESS(2,COLUMN())),OFFSET($CL$2,0,0,ROW()-1,84),ROW()-1,FALSE))</f>
        <v>17.312302970000001</v>
      </c>
      <c r="H13">
        <f ca="1">IF(AND(ISNUMBER($H$262),$B$252=1),$H$262,HLOOKUP(INDIRECT(ADDRESS(2,COLUMN())),OFFSET($CL$2,0,0,ROW()-1,84),ROW()-1,FALSE))</f>
        <v>18.702769350000001</v>
      </c>
      <c r="I13">
        <f ca="1">IF(AND(ISNUMBER($I$262),$B$252=1),$I$262,HLOOKUP(INDIRECT(ADDRESS(2,COLUMN())),OFFSET($CL$2,0,0,ROW()-1,84),ROW()-1,FALSE))</f>
        <v>19.595445560000002</v>
      </c>
      <c r="J13">
        <f ca="1">IF(AND(ISNUMBER($J$262),$B$252=1),$J$262,HLOOKUP(INDIRECT(ADDRESS(2,COLUMN())),OFFSET($CL$2,0,0,ROW()-1,84),ROW()-1,FALSE))</f>
        <v>20.043566590000001</v>
      </c>
      <c r="K13">
        <f ca="1">IF(AND(ISNUMBER($K$262),$B$252=1),$K$262,HLOOKUP(INDIRECT(ADDRESS(2,COLUMN())),OFFSET($CL$2,0,0,ROW()-1,84),ROW()-1,FALSE))</f>
        <v>20.166020769999999</v>
      </c>
      <c r="L13">
        <f ca="1">IF(AND(ISNUMBER($L$262),$B$252=1),$L$262,HLOOKUP(INDIRECT(ADDRESS(2,COLUMN())),OFFSET($CL$2,0,0,ROW()-1,84),ROW()-1,FALSE))</f>
        <v>19.911279749999999</v>
      </c>
      <c r="M13">
        <f ca="1">IF(AND(ISNUMBER($M$262),$B$252=1),$M$262,HLOOKUP(INDIRECT(ADDRESS(2,COLUMN())),OFFSET($CL$2,0,0,ROW()-1,84),ROW()-1,FALSE))</f>
        <v>21.03642232</v>
      </c>
      <c r="N13">
        <f ca="1">IF(AND(ISNUMBER($N$262),$B$252=1),$N$262,HLOOKUP(INDIRECT(ADDRESS(2,COLUMN())),OFFSET($CL$2,0,0,ROW()-1,84),ROW()-1,FALSE))</f>
        <v>21.472142179999999</v>
      </c>
      <c r="O13">
        <f ca="1">IF(AND(ISNUMBER($O$262),$B$252=1),$O$262,HLOOKUP(INDIRECT(ADDRESS(2,COLUMN())),OFFSET($CL$2,0,0,ROW()-1,84),ROW()-1,FALSE))</f>
        <v>21.555804819999999</v>
      </c>
      <c r="P13">
        <f ca="1">IF(AND(ISNUMBER($P$262),$B$252=1),$P$262,HLOOKUP(INDIRECT(ADDRESS(2,COLUMN())),OFFSET($CL$2,0,0,ROW()-1,84),ROW()-1,FALSE))</f>
        <v>21.52112331</v>
      </c>
      <c r="Q13">
        <f ca="1">IF(AND(ISNUMBER($Q$262),$B$252=1),$Q$262,HLOOKUP(INDIRECT(ADDRESS(2,COLUMN())),OFFSET($CL$2,0,0,ROW()-1,84),ROW()-1,FALSE))</f>
        <v>21.449076349999999</v>
      </c>
      <c r="R13">
        <f ca="1">IF(AND(ISNUMBER($R$262),$B$252=1),$R$262,HLOOKUP(INDIRECT(ADDRESS(2,COLUMN())),OFFSET($CL$2,0,0,ROW()-1,84),ROW()-1,FALSE))</f>
        <v>20.831087790000002</v>
      </c>
      <c r="S13">
        <f ca="1">IF(AND(ISNUMBER($S$262),$B$252=1),$S$262,HLOOKUP(INDIRECT(ADDRESS(2,COLUMN())),OFFSET($CL$2,0,0,ROW()-1,84),ROW()-1,FALSE))</f>
        <v>20.969400069999999</v>
      </c>
      <c r="T13">
        <f ca="1">IF(AND(ISNUMBER($T$262),$B$252=1),$T$262,HLOOKUP(INDIRECT(ADDRESS(2,COLUMN())),OFFSET($CL$2,0,0,ROW()-1,84),ROW()-1,FALSE))</f>
        <v>19.745719980000001</v>
      </c>
      <c r="U13">
        <f ca="1">IF(AND(ISNUMBER($U$262),$B$252=1),$U$262,HLOOKUP(INDIRECT(ADDRESS(2,COLUMN())),OFFSET($CL$2,0,0,ROW()-1,84),ROW()-1,FALSE))</f>
        <v>20.288338670000002</v>
      </c>
      <c r="V13">
        <f ca="1">IF(AND(ISNUMBER($V$262),$B$252=1),$V$262,HLOOKUP(INDIRECT(ADDRESS(2,COLUMN())),OFFSET($CL$2,0,0,ROW()-1,84),ROW()-1,FALSE))</f>
        <v>18.907262920000001</v>
      </c>
      <c r="W13">
        <f ca="1">IF(AND(ISNUMBER($W$262),$B$252=1),$W$262,HLOOKUP(INDIRECT(ADDRESS(2,COLUMN())),OFFSET($CL$2,0,0,ROW()-1,84),ROW()-1,FALSE))</f>
        <v>19.690612470000001</v>
      </c>
      <c r="X13">
        <f ca="1">IF(AND(ISNUMBER($X$262),$B$252=1),$X$262,HLOOKUP(INDIRECT(ADDRESS(2,COLUMN())),OFFSET($CL$2,0,0,ROW()-1,84),ROW()-1,FALSE))</f>
        <v>20.411465960000001</v>
      </c>
      <c r="Y13">
        <f ca="1">IF(AND(ISNUMBER($Y$262),$B$252=1),$Y$262,HLOOKUP(INDIRECT(ADDRESS(2,COLUMN())),OFFSET($CL$2,0,0,ROW()-1,84),ROW()-1,FALSE))</f>
        <v>20.202008540000001</v>
      </c>
      <c r="Z13">
        <f ca="1">IF(AND(ISNUMBER($Z$262),$B$252=1),$Z$262,HLOOKUP(INDIRECT(ADDRESS(2,COLUMN())),OFFSET($CL$2,0,0,ROW()-1,84),ROW()-1,FALSE))</f>
        <v>21.429364209999999</v>
      </c>
      <c r="AA13">
        <f ca="1">IF(AND(ISNUMBER($AA$262),$B$252=1),$AA$262,HLOOKUP(INDIRECT(ADDRESS(2,COLUMN())),OFFSET($CL$2,0,0,ROW()-1,84),ROW()-1,FALSE))</f>
        <v>20.91772821</v>
      </c>
      <c r="AB13">
        <f ca="1">IF(AND(ISNUMBER($AB$262),$B$252=1),$AB$262,HLOOKUP(INDIRECT(ADDRESS(2,COLUMN())),OFFSET($CL$2,0,0,ROW()-1,84),ROW()-1,FALSE))</f>
        <v>20.985782910000001</v>
      </c>
      <c r="AC13">
        <f ca="1">IF(AND(ISNUMBER($AC$262),$B$252=1),$AC$262,HLOOKUP(INDIRECT(ADDRESS(2,COLUMN())),OFFSET($CL$2,0,0,ROW()-1,84),ROW()-1,FALSE))</f>
        <v>20.778468149999998</v>
      </c>
      <c r="AD13">
        <f ca="1">IF(AND(ISNUMBER($AD$262),$B$252=1),$AD$262,HLOOKUP(INDIRECT(ADDRESS(2,COLUMN())),OFFSET($CL$2,0,0,ROW()-1,84),ROW()-1,FALSE))</f>
        <v>22.368837859999999</v>
      </c>
      <c r="AE13">
        <f ca="1">IF(AND(ISNUMBER($AE$262),$B$252=1),$AE$262,HLOOKUP(INDIRECT(ADDRESS(2,COLUMN())),OFFSET($CL$2,0,0,ROW()-1,84),ROW()-1,FALSE))</f>
        <v>20.37383994</v>
      </c>
      <c r="AF13">
        <f ca="1">IF(AND(ISNUMBER($AF$262),$B$252=1),$AF$262,HLOOKUP(INDIRECT(ADDRESS(2,COLUMN())),OFFSET($CL$2,0,0,ROW()-1,84),ROW()-1,FALSE))</f>
        <v>20.613112900000001</v>
      </c>
      <c r="AG13">
        <f ca="1">IF(AND(ISNUMBER($AG$262),$B$252=1),$AG$262,HLOOKUP(INDIRECT(ADDRESS(2,COLUMN())),OFFSET($CL$2,0,0,ROW()-1,84),ROW()-1,FALSE))</f>
        <v>22.29446664</v>
      </c>
      <c r="AH13">
        <f ca="1">IF(AND(ISNUMBER($AH$262),$B$252=1),$AH$262,HLOOKUP(INDIRECT(ADDRESS(2,COLUMN())),OFFSET($CL$2,0,0,ROW()-1,84),ROW()-1,FALSE))</f>
        <v>22.177109640000001</v>
      </c>
      <c r="AI13">
        <f ca="1">IF(AND(ISNUMBER($AI$262),$B$252=1),$AI$262,HLOOKUP(INDIRECT(ADDRESS(2,COLUMN())),OFFSET($CL$2,0,0,ROW()-1,84),ROW()-1,FALSE))</f>
        <v>21.54148137</v>
      </c>
      <c r="AJ13">
        <f ca="1">IF(AND(ISNUMBER($AJ$262),$B$252=1),$AJ$262,HLOOKUP(INDIRECT(ADDRESS(2,COLUMN())),OFFSET($CL$2,0,0,ROW()-1,84),ROW()-1,FALSE))</f>
        <v>21.753777700000001</v>
      </c>
      <c r="AK13">
        <f ca="1">IF(AND(ISNUMBER($AK$262),$B$252=1),$AK$262,HLOOKUP(INDIRECT(ADDRESS(2,COLUMN())),OFFSET($CL$2,0,0,ROW()-1,84),ROW()-1,FALSE))</f>
        <v>20.712761950000001</v>
      </c>
      <c r="AL13">
        <f ca="1">IF(AND(ISNUMBER($AL$262),$B$252=1),$AL$262,HLOOKUP(INDIRECT(ADDRESS(2,COLUMN())),OFFSET($CL$2,0,0,ROW()-1,84),ROW()-1,FALSE))</f>
        <v>21.974467319999999</v>
      </c>
      <c r="AM13">
        <f ca="1">IF(AND(ISNUMBER($AM$262),$B$252=1),$AM$262,HLOOKUP(INDIRECT(ADDRESS(2,COLUMN())),OFFSET($CL$2,0,0,ROW()-1,84),ROW()-1,FALSE))</f>
        <v>20.766208039999999</v>
      </c>
      <c r="AN13">
        <f ca="1">IF(AND(ISNUMBER($AN$262),$B$252=1),$AN$262,HLOOKUP(INDIRECT(ADDRESS(2,COLUMN())),OFFSET($CL$2,0,0,ROW()-1,84),ROW()-1,FALSE))</f>
        <v>21.738519109999999</v>
      </c>
      <c r="AO13">
        <f ca="1">IF(AND(ISNUMBER($AO$262),$B$252=1),$AO$262,HLOOKUP(INDIRECT(ADDRESS(2,COLUMN())),OFFSET($CL$2,0,0,ROW()-1,84),ROW()-1,FALSE))</f>
        <v>21.628798100000001</v>
      </c>
      <c r="AP13">
        <f ca="1">IF(AND(ISNUMBER($AP$262),$B$252=1),$AP$262,HLOOKUP(INDIRECT(ADDRESS(2,COLUMN())),OFFSET($CL$2,0,0,ROW()-1,84),ROW()-1,FALSE))</f>
        <v>23.12172541</v>
      </c>
      <c r="AQ13">
        <f ca="1">IF(AND(ISNUMBER($AQ$262),$B$252=1),$AQ$262,HLOOKUP(INDIRECT(ADDRESS(2,COLUMN())),OFFSET($CL$2,0,0,ROW()-1,84),ROW()-1,FALSE))</f>
        <v>22.488453499999999</v>
      </c>
      <c r="AR13">
        <f ca="1">IF(AND(ISNUMBER($AR$262),$B$252=1),$AR$262,HLOOKUP(INDIRECT(ADDRESS(2,COLUMN())),OFFSET($CL$2,0,0,ROW()-1,84),ROW()-1,FALSE))</f>
        <v>23.23148011</v>
      </c>
      <c r="AS13">
        <f ca="1">IF(AND(ISNUMBER($AS$262),$B$252=1),$AS$262,HLOOKUP(INDIRECT(ADDRESS(2,COLUMN())),OFFSET($CL$2,0,0,ROW()-1,84),ROW()-1,FALSE))</f>
        <v>21.992824250000002</v>
      </c>
      <c r="AT13">
        <f ca="1">IF(AND(ISNUMBER($AT$262),$B$252=1),$AT$262,HLOOKUP(INDIRECT(ADDRESS(2,COLUMN())),OFFSET($CL$2,0,0,ROW()-1,84),ROW()-1,FALSE))</f>
        <v>21.773260270000002</v>
      </c>
      <c r="AU13">
        <f ca="1">IF(AND(ISNUMBER($AU$262),$B$252=1),$AU$262,HLOOKUP(INDIRECT(ADDRESS(2,COLUMN())),OFFSET($CL$2,0,0,ROW()-1,84),ROW()-1,FALSE))</f>
        <v>21.249233669999999</v>
      </c>
      <c r="AV13">
        <f ca="1">IF(AND(ISNUMBER($AV$262),$B$252=1),$AV$262,HLOOKUP(INDIRECT(ADDRESS(2,COLUMN())),OFFSET($CL$2,0,0,ROW()-1,84),ROW()-1,FALSE))</f>
        <v>19.30712849</v>
      </c>
      <c r="AW13">
        <f ca="1">IF(AND(ISNUMBER($AW$262),$B$252=1),$AW$262,HLOOKUP(INDIRECT(ADDRESS(2,COLUMN())),OFFSET($CL$2,0,0,ROW()-1,84),ROW()-1,FALSE))</f>
        <v>21.319867179999999</v>
      </c>
      <c r="AX13">
        <f ca="1">IF(AND(ISNUMBER($AX$262),$B$252=1),$AX$262,HLOOKUP(INDIRECT(ADDRESS(2,COLUMN())),OFFSET($CL$2,0,0,ROW()-1,84),ROW()-1,FALSE))</f>
        <v>20.634030320000001</v>
      </c>
      <c r="AY13">
        <f ca="1">IF(AND(ISNUMBER($AY$262),$B$252=1),$AY$262,HLOOKUP(INDIRECT(ADDRESS(2,COLUMN())),OFFSET($CL$2,0,0,ROW()-1,84),ROW()-1,FALSE))</f>
        <v>20.159919819999999</v>
      </c>
      <c r="AZ13">
        <f ca="1">IF(AND(ISNUMBER($AZ$262),$B$252=1),$AZ$262,HLOOKUP(INDIRECT(ADDRESS(2,COLUMN())),OFFSET($CL$2,0,0,ROW()-1,84),ROW()-1,FALSE))</f>
        <v>20.283686929999998</v>
      </c>
      <c r="BA13">
        <f ca="1">IF(AND(ISNUMBER($BA$262),$B$252=1),$BA$262,HLOOKUP(INDIRECT(ADDRESS(2,COLUMN())),OFFSET($CL$2,0,0,ROW()-1,84),ROW()-1,FALSE))</f>
        <v>19.671546159999998</v>
      </c>
      <c r="BB13">
        <f ca="1">IF(AND(ISNUMBER($BB$262),$B$252=1),$BB$262,HLOOKUP(INDIRECT(ADDRESS(2,COLUMN())),OFFSET($CL$2,0,0,ROW()-1,84),ROW()-1,FALSE))</f>
        <v>19.02990805</v>
      </c>
      <c r="BC13">
        <f ca="1">IF(AND(ISNUMBER($BC$262),$B$252=1),$BC$262,HLOOKUP(INDIRECT(ADDRESS(2,COLUMN())),OFFSET($CL$2,0,0,ROW()-1,84),ROW()-1,FALSE))</f>
        <v>18.77176974</v>
      </c>
      <c r="BD13">
        <f ca="1">IF(AND(ISNUMBER($BD$262),$B$252=1),$BD$262,HLOOKUP(INDIRECT(ADDRESS(2,COLUMN())),OFFSET($CL$2,0,0,ROW()-1,84),ROW()-1,FALSE))</f>
        <v>18.063437489999998</v>
      </c>
      <c r="BE13">
        <f ca="1">IF(AND(ISNUMBER($BE$262),$B$252=1),$BE$262,HLOOKUP(INDIRECT(ADDRESS(2,COLUMN())),OFFSET($CL$2,0,0,ROW()-1,84),ROW()-1,FALSE))</f>
        <v>17.375770230000001</v>
      </c>
      <c r="BF13">
        <f ca="1">IF(AND(ISNUMBER($BF$262),$B$252=1),$BF$262,HLOOKUP(INDIRECT(ADDRESS(2,COLUMN())),OFFSET($CL$2,0,0,ROW()-1,84),ROW()-1,FALSE))</f>
        <v>17.786189069999999</v>
      </c>
      <c r="BG13">
        <f ca="1">IF(AND(ISNUMBER($BG$262),$B$252=1),$BG$262,HLOOKUP(INDIRECT(ADDRESS(2,COLUMN())),OFFSET($CL$2,0,0,ROW()-1,84),ROW()-1,FALSE))</f>
        <v>19.141192910000001</v>
      </c>
      <c r="BH13">
        <f ca="1">IF(AND(ISNUMBER($BH$262),$B$252=1),$BH$262,HLOOKUP(INDIRECT(ADDRESS(2,COLUMN())),OFFSET($CL$2,0,0,ROW()-1,84),ROW()-1,FALSE))</f>
        <v>19.718071999999999</v>
      </c>
      <c r="BI13">
        <f ca="1">IF(AND(ISNUMBER($BI$262),$B$252=1),$BI$262,HLOOKUP(INDIRECT(ADDRESS(2,COLUMN())),OFFSET($CL$2,0,0,ROW()-1,84),ROW()-1,FALSE))</f>
        <v>19.485193550000002</v>
      </c>
      <c r="BJ13">
        <f ca="1">IF(AND(ISNUMBER($BJ$262),$B$252=1),$BJ$262,HLOOKUP(INDIRECT(ADDRESS(2,COLUMN())),OFFSET($CL$2,0,0,ROW()-1,84),ROW()-1,FALSE))</f>
        <v>21.529623870000002</v>
      </c>
      <c r="BK13">
        <f ca="1">IF(AND(ISNUMBER($BK$262),$B$252=1),$BK$262,HLOOKUP(INDIRECT(ADDRESS(2,COLUMN())),OFFSET($CL$2,0,0,ROW()-1,84),ROW()-1,FALSE))</f>
        <v>22.088761600000002</v>
      </c>
      <c r="BL13">
        <f ca="1">IF(AND(ISNUMBER($BL$262),$B$252=1),$BL$262,HLOOKUP(INDIRECT(ADDRESS(2,COLUMN())),OFFSET($CL$2,0,0,ROW()-1,84),ROW()-1,FALSE))</f>
        <v>22.58492034</v>
      </c>
      <c r="BM13">
        <f ca="1">IF(AND(ISNUMBER($BM$262),$B$252=1),$BM$262,HLOOKUP(INDIRECT(ADDRESS(2,COLUMN())),OFFSET($CL$2,0,0,ROW()-1,84),ROW()-1,FALSE))</f>
        <v>25.845334869999999</v>
      </c>
      <c r="BN13">
        <f ca="1">IF(AND(ISNUMBER($BN$262),$B$252=1),$BN$262,HLOOKUP(INDIRECT(ADDRESS(2,COLUMN())),OFFSET($CL$2,0,0,ROW()-1,84),ROW()-1,FALSE))</f>
        <v>25.881493119999998</v>
      </c>
      <c r="BO13">
        <f ca="1">IF(AND(ISNUMBER($BO$262),$B$252=1),$BO$262,HLOOKUP(INDIRECT(ADDRESS(2,COLUMN())),OFFSET($CL$2,0,0,ROW()-1,84),ROW()-1,FALSE))</f>
        <v>25.077050020000001</v>
      </c>
      <c r="BP13">
        <f ca="1">IF(AND(ISNUMBER($BP$262),$B$252=1),$BP$262,HLOOKUP(INDIRECT(ADDRESS(2,COLUMN())),OFFSET($CL$2,0,0,ROW()-1,84),ROW()-1,FALSE))</f>
        <v>22.267469760000001</v>
      </c>
      <c r="BQ13">
        <f ca="1">IF(AND(ISNUMBER($BQ$262),$B$252=1),$BQ$262,HLOOKUP(INDIRECT(ADDRESS(2,COLUMN())),OFFSET($CL$2,0,0,ROW()-1,84),ROW()-1,FALSE))</f>
        <v>21.98792276</v>
      </c>
      <c r="BR13">
        <f ca="1">IF(AND(ISNUMBER($BR$262),$B$252=1),$BR$262,HLOOKUP(INDIRECT(ADDRESS(2,COLUMN())),OFFSET($CL$2,0,0,ROW()-1,84),ROW()-1,FALSE))</f>
        <v>21.631869210000001</v>
      </c>
      <c r="BS13">
        <f ca="1">IF(AND(ISNUMBER($BS$262),$B$252=1),$BS$262,HLOOKUP(INDIRECT(ADDRESS(2,COLUMN())),OFFSET($CL$2,0,0,ROW()-1,84),ROW()-1,FALSE))</f>
        <v>22.460620609999999</v>
      </c>
      <c r="BT13">
        <f ca="1">IF(AND(ISNUMBER($BT$262),$B$252=1),$BT$262,HLOOKUP(INDIRECT(ADDRESS(2,COLUMN())),OFFSET($CL$2,0,0,ROW()-1,84),ROW()-1,FALSE))</f>
        <v>22.784942269999998</v>
      </c>
      <c r="BU13">
        <f ca="1">IF(AND(ISNUMBER($BU$262),$B$252=1),$BU$262,HLOOKUP(INDIRECT(ADDRESS(2,COLUMN())),OFFSET($CL$2,0,0,ROW()-1,84),ROW()-1,FALSE))</f>
        <v>23.92810824</v>
      </c>
      <c r="BV13">
        <f ca="1">IF(AND(ISNUMBER($BV$262),$B$252=1),$BV$262,HLOOKUP(INDIRECT(ADDRESS(2,COLUMN())),OFFSET($CL$2,0,0,ROW()-1,84),ROW()-1,FALSE))</f>
        <v>25.10094518</v>
      </c>
      <c r="BW13">
        <f ca="1">IF(AND(ISNUMBER($BW$262),$B$252=1),$BW$262,HLOOKUP(INDIRECT(ADDRESS(2,COLUMN())),OFFSET($CL$2,0,0,ROW()-1,84),ROW()-1,FALSE))</f>
        <v>24.376760669999999</v>
      </c>
      <c r="BX13">
        <f ca="1">IF(AND(ISNUMBER($BX$262),$B$252=1),$BX$262,HLOOKUP(INDIRECT(ADDRESS(2,COLUMN())),OFFSET($CL$2,0,0,ROW()-1,84),ROW()-1,FALSE))</f>
        <v>24.28784035</v>
      </c>
      <c r="BY13">
        <f ca="1">IF(AND(ISNUMBER($BY$262),$B$252=1),$BY$262,HLOOKUP(INDIRECT(ADDRESS(2,COLUMN())),OFFSET($CL$2,0,0,ROW()-1,84),ROW()-1,FALSE))</f>
        <v>25.388289759999999</v>
      </c>
      <c r="BZ13">
        <f ca="1">IF(AND(ISNUMBER($BZ$262),$B$252=1),$BZ$262,HLOOKUP(INDIRECT(ADDRESS(2,COLUMN())),OFFSET($CL$2,0,0,ROW()-1,84),ROW()-1,FALSE))</f>
        <v>25.209144460000001</v>
      </c>
      <c r="CA13">
        <f ca="1">IF(AND(ISNUMBER($CA$262),$B$252=1),$CA$262,HLOOKUP(INDIRECT(ADDRESS(2,COLUMN())),OFFSET($CL$2,0,0,ROW()-1,84),ROW()-1,FALSE))</f>
        <v>23.368045370000001</v>
      </c>
      <c r="CB13">
        <f ca="1">IF(AND(ISNUMBER($CB$262),$B$252=1),$CB$262,HLOOKUP(INDIRECT(ADDRESS(2,COLUMN())),OFFSET($CL$2,0,0,ROW()-1,84),ROW()-1,FALSE))</f>
        <v>24.68369757</v>
      </c>
      <c r="CC13">
        <f ca="1">IF(AND(ISNUMBER($CC$262),$B$252=1),$CC$262,HLOOKUP(INDIRECT(ADDRESS(2,COLUMN())),OFFSET($CL$2,0,0,ROW()-1,84),ROW()-1,FALSE))</f>
        <v>24.026975329999999</v>
      </c>
      <c r="CD13">
        <f ca="1">IF(AND(ISNUMBER($CD$262),$B$252=1),$CD$262,HLOOKUP(INDIRECT(ADDRESS(2,COLUMN())),OFFSET($CL$2,0,0,ROW()-1,84),ROW()-1,FALSE))</f>
        <v>23.29194846</v>
      </c>
      <c r="CE13">
        <f ca="1">IF(AND(ISNUMBER($CE$262),$B$252=1),$CE$262,HLOOKUP(INDIRECT(ADDRESS(2,COLUMN())),OFFSET($CL$2,0,0,ROW()-1,84),ROW()-1,FALSE))</f>
        <v>24.93861248</v>
      </c>
      <c r="CF13">
        <f ca="1">IF(AND(ISNUMBER($CF$262),$B$252=1),$CF$262,HLOOKUP(INDIRECT(ADDRESS(2,COLUMN())),OFFSET($CL$2,0,0,ROW()-1,84),ROW()-1,FALSE))</f>
        <v>21.446032339999999</v>
      </c>
      <c r="CG13">
        <f ca="1">IF(AND(ISNUMBER($CG$262),$B$252=1),$CG$262,HLOOKUP(INDIRECT(ADDRESS(2,COLUMN())),OFFSET($CL$2,0,0,ROW()-1,84),ROW()-1,FALSE))</f>
        <v>26.006505350000001</v>
      </c>
      <c r="CH13">
        <f ca="1">IF(AND(ISNUMBER($CH$262),$B$252=1),$CH$262,HLOOKUP(INDIRECT(ADDRESS(2,COLUMN())),OFFSET($CL$2,0,0,ROW()-1,84),ROW()-1,FALSE))</f>
        <v>25.83921496</v>
      </c>
      <c r="CI13">
        <f ca="1">IF(AND(ISNUMBER($CI$262),$B$252=1),$CI$262,HLOOKUP(INDIRECT(ADDRESS(2,COLUMN())),OFFSET($CL$2,0,0,ROW()-1,84),ROW()-1,FALSE))</f>
        <v>25.00690234</v>
      </c>
      <c r="CJ13">
        <f ca="1">IF(AND(ISNUMBER($CJ$262),$B$252=1),$CJ$262,HLOOKUP(INDIRECT(ADDRESS(2,COLUMN())),OFFSET($CL$2,0,0,ROW()-1,84),ROW()-1,FALSE))</f>
        <v>26.54550854</v>
      </c>
      <c r="CK13">
        <f ca="1">IF(AND(ISNUMBER($CK$262),$B$252=1),$CK$262,HLOOKUP(INDIRECT(ADDRESS(2,COLUMN())),OFFSET($CL$2,0,0,ROW()-1,84),ROW()-1,FALSE))</f>
        <v>25.79746716</v>
      </c>
      <c r="CL13">
        <f>17.90827375</f>
        <v>17.908273749999999</v>
      </c>
      <c r="CM13">
        <f>17.31230297</f>
        <v>17.312302970000001</v>
      </c>
      <c r="CN13">
        <f>18.70276935</f>
        <v>18.702769350000001</v>
      </c>
      <c r="CO13">
        <f>19.59544556</f>
        <v>19.595445560000002</v>
      </c>
      <c r="CP13">
        <f>20.04356659</f>
        <v>20.043566590000001</v>
      </c>
      <c r="CQ13">
        <f>20.16602077</f>
        <v>20.166020769999999</v>
      </c>
      <c r="CR13">
        <f>19.91127975</f>
        <v>19.911279749999999</v>
      </c>
      <c r="CS13">
        <f>21.03642232</f>
        <v>21.03642232</v>
      </c>
      <c r="CT13">
        <f>21.47214218</f>
        <v>21.472142179999999</v>
      </c>
      <c r="CU13">
        <f>21.55580482</f>
        <v>21.555804819999999</v>
      </c>
      <c r="CV13">
        <f>21.52112331</f>
        <v>21.52112331</v>
      </c>
      <c r="CW13">
        <f>21.44907635</f>
        <v>21.449076349999999</v>
      </c>
      <c r="CX13">
        <f>20.83108779</f>
        <v>20.831087790000002</v>
      </c>
      <c r="CY13">
        <f>20.96940007</f>
        <v>20.969400069999999</v>
      </c>
      <c r="CZ13">
        <f>19.74571998</f>
        <v>19.745719980000001</v>
      </c>
      <c r="DA13">
        <f>20.28833867</f>
        <v>20.288338670000002</v>
      </c>
      <c r="DB13">
        <f>18.90726292</f>
        <v>18.907262920000001</v>
      </c>
      <c r="DC13">
        <f>19.69061247</f>
        <v>19.690612470000001</v>
      </c>
      <c r="DD13">
        <f>20.41146596</f>
        <v>20.411465960000001</v>
      </c>
      <c r="DE13">
        <f>20.20200854</f>
        <v>20.202008540000001</v>
      </c>
      <c r="DF13">
        <f>21.42936421</f>
        <v>21.429364209999999</v>
      </c>
      <c r="DG13">
        <f>20.91772821</f>
        <v>20.91772821</v>
      </c>
      <c r="DH13">
        <f>20.98578291</f>
        <v>20.985782910000001</v>
      </c>
      <c r="DI13">
        <f>20.77846815</f>
        <v>20.778468149999998</v>
      </c>
      <c r="DJ13">
        <f>22.36883786</f>
        <v>22.368837859999999</v>
      </c>
      <c r="DK13">
        <f>20.37383994</f>
        <v>20.37383994</v>
      </c>
      <c r="DL13">
        <f>20.6131129</f>
        <v>20.613112900000001</v>
      </c>
      <c r="DM13">
        <f>22.29446664</f>
        <v>22.29446664</v>
      </c>
      <c r="DN13">
        <f>22.17710964</f>
        <v>22.177109640000001</v>
      </c>
      <c r="DO13">
        <f>21.54148137</f>
        <v>21.54148137</v>
      </c>
      <c r="DP13">
        <f>21.7537777</f>
        <v>21.753777700000001</v>
      </c>
      <c r="DQ13">
        <f>20.71276195</f>
        <v>20.712761950000001</v>
      </c>
      <c r="DR13">
        <f>21.97446732</f>
        <v>21.974467319999999</v>
      </c>
      <c r="DS13">
        <f>20.76620804</f>
        <v>20.766208039999999</v>
      </c>
      <c r="DT13">
        <f>21.73851911</f>
        <v>21.738519109999999</v>
      </c>
      <c r="DU13">
        <f>21.6287981</f>
        <v>21.628798100000001</v>
      </c>
      <c r="DV13">
        <f>23.12172541</f>
        <v>23.12172541</v>
      </c>
      <c r="DW13">
        <f>22.4884535</f>
        <v>22.488453499999999</v>
      </c>
      <c r="DX13">
        <f>23.23148011</f>
        <v>23.23148011</v>
      </c>
      <c r="DY13">
        <f>21.99282425</f>
        <v>21.992824250000002</v>
      </c>
      <c r="DZ13">
        <f>21.77326027</f>
        <v>21.773260270000002</v>
      </c>
      <c r="EA13">
        <f>21.24923367</f>
        <v>21.249233669999999</v>
      </c>
      <c r="EB13">
        <f>19.30712849</f>
        <v>19.30712849</v>
      </c>
      <c r="EC13">
        <f>21.31986718</f>
        <v>21.319867179999999</v>
      </c>
      <c r="ED13">
        <f>20.63403032</f>
        <v>20.634030320000001</v>
      </c>
      <c r="EE13">
        <f>20.15991982</f>
        <v>20.159919819999999</v>
      </c>
      <c r="EF13">
        <f>20.28368693</f>
        <v>20.283686929999998</v>
      </c>
      <c r="EG13">
        <f>19.67154616</f>
        <v>19.671546159999998</v>
      </c>
      <c r="EH13">
        <f>19.02990805</f>
        <v>19.02990805</v>
      </c>
      <c r="EI13">
        <f>18.77176974</f>
        <v>18.77176974</v>
      </c>
      <c r="EJ13">
        <f>18.06343749</f>
        <v>18.063437489999998</v>
      </c>
      <c r="EK13">
        <f>17.37577023</f>
        <v>17.375770230000001</v>
      </c>
      <c r="EL13">
        <f>17.78618907</f>
        <v>17.786189069999999</v>
      </c>
      <c r="EM13">
        <f>19.14119291</f>
        <v>19.141192910000001</v>
      </c>
      <c r="EN13">
        <f>19.718072</f>
        <v>19.718071999999999</v>
      </c>
      <c r="EO13">
        <f>19.48519355</f>
        <v>19.485193550000002</v>
      </c>
      <c r="EP13">
        <f>21.52962387</f>
        <v>21.529623870000002</v>
      </c>
      <c r="EQ13">
        <f>22.0887616</f>
        <v>22.088761600000002</v>
      </c>
      <c r="ER13">
        <f>22.58492034</f>
        <v>22.58492034</v>
      </c>
      <c r="ES13">
        <f>25.84533487</f>
        <v>25.845334869999999</v>
      </c>
      <c r="ET13">
        <f>25.88149312</f>
        <v>25.881493119999998</v>
      </c>
      <c r="EU13">
        <f>25.07705002</f>
        <v>25.077050020000001</v>
      </c>
      <c r="EV13">
        <f>22.26746976</f>
        <v>22.267469760000001</v>
      </c>
      <c r="EW13">
        <f>21.98792276</f>
        <v>21.98792276</v>
      </c>
      <c r="EX13">
        <f>21.63186921</f>
        <v>21.631869210000001</v>
      </c>
      <c r="EY13">
        <f>22.46062061</f>
        <v>22.460620609999999</v>
      </c>
      <c r="EZ13">
        <f>22.78494227</f>
        <v>22.784942269999998</v>
      </c>
      <c r="FA13">
        <f>23.92810824</f>
        <v>23.92810824</v>
      </c>
      <c r="FB13">
        <f>25.10094518</f>
        <v>25.10094518</v>
      </c>
      <c r="FC13">
        <f>24.37676067</f>
        <v>24.376760669999999</v>
      </c>
      <c r="FD13">
        <f>24.28784035</f>
        <v>24.28784035</v>
      </c>
      <c r="FE13">
        <f>25.38828976</f>
        <v>25.388289759999999</v>
      </c>
      <c r="FF13">
        <f>25.20914446</f>
        <v>25.209144460000001</v>
      </c>
      <c r="FG13">
        <f>23.36804537</f>
        <v>23.368045370000001</v>
      </c>
      <c r="FH13">
        <f>24.68369757</f>
        <v>24.68369757</v>
      </c>
      <c r="FI13">
        <f>24.02697533</f>
        <v>24.026975329999999</v>
      </c>
      <c r="FJ13">
        <f>23.29194846</f>
        <v>23.29194846</v>
      </c>
      <c r="FK13">
        <f>24.93861248</f>
        <v>24.93861248</v>
      </c>
      <c r="FL13">
        <f>21.44603234</f>
        <v>21.446032339999999</v>
      </c>
      <c r="FM13">
        <f>26.00650535</f>
        <v>26.006505350000001</v>
      </c>
      <c r="FN13">
        <f>25.83921496</f>
        <v>25.83921496</v>
      </c>
      <c r="FO13">
        <f>25.00690234</f>
        <v>25.00690234</v>
      </c>
      <c r="FP13">
        <f>26.54550854</f>
        <v>26.54550854</v>
      </c>
      <c r="FQ13">
        <f>25.79746716</f>
        <v>25.79746716</v>
      </c>
    </row>
    <row r="14" spans="1:173">
      <c r="A14" t="str">
        <f>"    Camden 房地产信托公司"</f>
        <v xml:space="preserve">    Camden 房地产信托公司</v>
      </c>
      <c r="B14" t="str">
        <f>"CPT US Equity"</f>
        <v>CPT US Equity</v>
      </c>
      <c r="C14" t="str">
        <f t="shared" si="3"/>
        <v>BE249</v>
      </c>
      <c r="D14" t="str">
        <f t="shared" si="4"/>
        <v>BEST_PRICE_FFO_RATIO</v>
      </c>
      <c r="E14" t="str">
        <f t="shared" si="5"/>
        <v>动态</v>
      </c>
      <c r="F14">
        <f ca="1">IF(AND(ISNUMBER($F$263),$B$252=1),$F$263,HLOOKUP(INDIRECT(ADDRESS(2,COLUMN())),OFFSET($CL$2,0,0,ROW()-1,84),ROW()-1,FALSE))</f>
        <v>17.297930579999999</v>
      </c>
      <c r="G14">
        <f ca="1">IF(AND(ISNUMBER($G$263),$B$252=1),$G$263,HLOOKUP(INDIRECT(ADDRESS(2,COLUMN())),OFFSET($CL$2,0,0,ROW()-1,84),ROW()-1,FALSE))</f>
        <v>16.604540239999999</v>
      </c>
      <c r="H14">
        <f ca="1">IF(AND(ISNUMBER($H$263),$B$252=1),$H$263,HLOOKUP(INDIRECT(ADDRESS(2,COLUMN())),OFFSET($CL$2,0,0,ROW()-1,84),ROW()-1,FALSE))</f>
        <v>17.97748374</v>
      </c>
      <c r="I14">
        <f ca="1">IF(AND(ISNUMBER($I$263),$B$252=1),$I$263,HLOOKUP(INDIRECT(ADDRESS(2,COLUMN())),OFFSET($CL$2,0,0,ROW()-1,84),ROW()-1,FALSE))</f>
        <v>19.187176640000001</v>
      </c>
      <c r="J14">
        <f ca="1">IF(AND(ISNUMBER($J$263),$B$252=1),$J$263,HLOOKUP(INDIRECT(ADDRESS(2,COLUMN())),OFFSET($CL$2,0,0,ROW()-1,84),ROW()-1,FALSE))</f>
        <v>19.101194939999999</v>
      </c>
      <c r="K14">
        <f ca="1">IF(AND(ISNUMBER($K$263),$B$252=1),$K$263,HLOOKUP(INDIRECT(ADDRESS(2,COLUMN())),OFFSET($CL$2,0,0,ROW()-1,84),ROW()-1,FALSE))</f>
        <v>19.234144149999999</v>
      </c>
      <c r="L14">
        <f ca="1">IF(AND(ISNUMBER($L$263),$B$252=1),$L$263,HLOOKUP(INDIRECT(ADDRESS(2,COLUMN())),OFFSET($CL$2,0,0,ROW()-1,84),ROW()-1,FALSE))</f>
        <v>19.29630216</v>
      </c>
      <c r="M14">
        <f ca="1">IF(AND(ISNUMBER($M$263),$B$252=1),$M$263,HLOOKUP(INDIRECT(ADDRESS(2,COLUMN())),OFFSET($CL$2,0,0,ROW()-1,84),ROW()-1,FALSE))</f>
        <v>18.8903718</v>
      </c>
      <c r="N14">
        <f ca="1">IF(AND(ISNUMBER($N$263),$B$252=1),$N$263,HLOOKUP(INDIRECT(ADDRESS(2,COLUMN())),OFFSET($CL$2,0,0,ROW()-1,84),ROW()-1,FALSE))</f>
        <v>19.034629779999999</v>
      </c>
      <c r="O14">
        <f ca="1">IF(AND(ISNUMBER($O$263),$B$252=1),$O$263,HLOOKUP(INDIRECT(ADDRESS(2,COLUMN())),OFFSET($CL$2,0,0,ROW()-1,84),ROW()-1,FALSE))</f>
        <v>18.26941566</v>
      </c>
      <c r="P14">
        <f ca="1">IF(AND(ISNUMBER($P$263),$B$252=1),$P$263,HLOOKUP(INDIRECT(ADDRESS(2,COLUMN())),OFFSET($CL$2,0,0,ROW()-1,84),ROW()-1,FALSE))</f>
        <v>17.88300499</v>
      </c>
      <c r="Q14">
        <f ca="1">IF(AND(ISNUMBER($Q$263),$B$252=1),$Q$263,HLOOKUP(INDIRECT(ADDRESS(2,COLUMN())),OFFSET($CL$2,0,0,ROW()-1,84),ROW()-1,FALSE))</f>
        <v>17.787989710000002</v>
      </c>
      <c r="R14">
        <f ca="1">IF(AND(ISNUMBER($R$263),$B$252=1),$R$263,HLOOKUP(INDIRECT(ADDRESS(2,COLUMN())),OFFSET($CL$2,0,0,ROW()-1,84),ROW()-1,FALSE))</f>
        <v>17.451469469999999</v>
      </c>
      <c r="S14">
        <f ca="1">IF(AND(ISNUMBER($S$263),$B$252=1),$S$263,HLOOKUP(INDIRECT(ADDRESS(2,COLUMN())),OFFSET($CL$2,0,0,ROW()-1,84),ROW()-1,FALSE))</f>
        <v>18.412970789999999</v>
      </c>
      <c r="T14">
        <f ca="1">IF(AND(ISNUMBER($T$263),$B$252=1),$T$263,HLOOKUP(INDIRECT(ADDRESS(2,COLUMN())),OFFSET($CL$2,0,0,ROW()-1,84),ROW()-1,FALSE))</f>
        <v>18.125873599999998</v>
      </c>
      <c r="U14">
        <f ca="1">IF(AND(ISNUMBER($U$263),$B$252=1),$U$263,HLOOKUP(INDIRECT(ADDRESS(2,COLUMN())),OFFSET($CL$2,0,0,ROW()-1,84),ROW()-1,FALSE))</f>
        <v>18.28204088</v>
      </c>
      <c r="V14">
        <f ca="1">IF(AND(ISNUMBER($V$263),$B$252=1),$V$263,HLOOKUP(INDIRECT(ADDRESS(2,COLUMN())),OFFSET($CL$2,0,0,ROW()-1,84),ROW()-1,FALSE))</f>
        <v>17.153059290000002</v>
      </c>
      <c r="W14">
        <f ca="1">IF(AND(ISNUMBER($W$263),$B$252=1),$W$263,HLOOKUP(INDIRECT(ADDRESS(2,COLUMN())),OFFSET($CL$2,0,0,ROW()-1,84),ROW()-1,FALSE))</f>
        <v>17.886354820000001</v>
      </c>
      <c r="X14">
        <f ca="1">IF(AND(ISNUMBER($X$263),$B$252=1),$X$263,HLOOKUP(INDIRECT(ADDRESS(2,COLUMN())),OFFSET($CL$2,0,0,ROW()-1,84),ROW()-1,FALSE))</f>
        <v>18.394288849999999</v>
      </c>
      <c r="Y14">
        <f ca="1">IF(AND(ISNUMBER($Y$263),$B$252=1),$Y$263,HLOOKUP(INDIRECT(ADDRESS(2,COLUMN())),OFFSET($CL$2,0,0,ROW()-1,84),ROW()-1,FALSE))</f>
        <v>19.261887340000001</v>
      </c>
      <c r="Z14">
        <f ca="1">IF(AND(ISNUMBER($Z$263),$B$252=1),$Z$263,HLOOKUP(INDIRECT(ADDRESS(2,COLUMN())),OFFSET($CL$2,0,0,ROW()-1,84),ROW()-1,FALSE))</f>
        <v>19.621443129999999</v>
      </c>
      <c r="AA14">
        <f ca="1">IF(AND(ISNUMBER($AA$263),$B$252=1),$AA$263,HLOOKUP(INDIRECT(ADDRESS(2,COLUMN())),OFFSET($CL$2,0,0,ROW()-1,84),ROW()-1,FALSE))</f>
        <v>19.278453689999999</v>
      </c>
      <c r="AB14">
        <f ca="1">IF(AND(ISNUMBER($AB$263),$B$252=1),$AB$263,HLOOKUP(INDIRECT(ADDRESS(2,COLUMN())),OFFSET($CL$2,0,0,ROW()-1,84),ROW()-1,FALSE))</f>
        <v>18.522663390000002</v>
      </c>
      <c r="AC14">
        <f ca="1">IF(AND(ISNUMBER($AC$263),$B$252=1),$AC$263,HLOOKUP(INDIRECT(ADDRESS(2,COLUMN())),OFFSET($CL$2,0,0,ROW()-1,84),ROW()-1,FALSE))</f>
        <v>16.447559680000001</v>
      </c>
      <c r="AD14">
        <f ca="1">IF(AND(ISNUMBER($AD$263),$B$252=1),$AD$263,HLOOKUP(INDIRECT(ADDRESS(2,COLUMN())),OFFSET($CL$2,0,0,ROW()-1,84),ROW()-1,FALSE))</f>
        <v>17.145378189999999</v>
      </c>
      <c r="AE14">
        <f ca="1">IF(AND(ISNUMBER($AE$263),$B$252=1),$AE$263,HLOOKUP(INDIRECT(ADDRESS(2,COLUMN())),OFFSET($CL$2,0,0,ROW()-1,84),ROW()-1,FALSE))</f>
        <v>15.290075910000001</v>
      </c>
      <c r="AF14">
        <f ca="1">IF(AND(ISNUMBER($AF$263),$B$252=1),$AF$263,HLOOKUP(INDIRECT(ADDRESS(2,COLUMN())),OFFSET($CL$2,0,0,ROW()-1,84),ROW()-1,FALSE))</f>
        <v>15.653752069999999</v>
      </c>
      <c r="AG14">
        <f ca="1">IF(AND(ISNUMBER($AG$263),$B$252=1),$AG$263,HLOOKUP(INDIRECT(ADDRESS(2,COLUMN())),OFFSET($CL$2,0,0,ROW()-1,84),ROW()-1,FALSE))</f>
        <v>15.836599959999999</v>
      </c>
      <c r="AH14">
        <f ca="1">IF(AND(ISNUMBER($AH$263),$B$252=1),$AH$263,HLOOKUP(INDIRECT(ADDRESS(2,COLUMN())),OFFSET($CL$2,0,0,ROW()-1,84),ROW()-1,FALSE))</f>
        <v>15.7855852</v>
      </c>
      <c r="AI14">
        <f ca="1">IF(AND(ISNUMBER($AI$263),$B$252=1),$AI$263,HLOOKUP(INDIRECT(ADDRESS(2,COLUMN())),OFFSET($CL$2,0,0,ROW()-1,84),ROW()-1,FALSE))</f>
        <v>15.37666226</v>
      </c>
      <c r="AJ14">
        <f ca="1">IF(AND(ISNUMBER($AJ$263),$B$252=1),$AJ$263,HLOOKUP(INDIRECT(ADDRESS(2,COLUMN())),OFFSET($CL$2,0,0,ROW()-1,84),ROW()-1,FALSE))</f>
        <v>15.482553360000001</v>
      </c>
      <c r="AK14">
        <f ca="1">IF(AND(ISNUMBER($AK$263),$B$252=1),$AK$263,HLOOKUP(INDIRECT(ADDRESS(2,COLUMN())),OFFSET($CL$2,0,0,ROW()-1,84),ROW()-1,FALSE))</f>
        <v>15.18502664</v>
      </c>
      <c r="AL14">
        <f ca="1">IF(AND(ISNUMBER($AL$263),$B$252=1),$AL$263,HLOOKUP(INDIRECT(ADDRESS(2,COLUMN())),OFFSET($CL$2,0,0,ROW()-1,84),ROW()-1,FALSE))</f>
        <v>17.000859739999999</v>
      </c>
      <c r="AM14">
        <f ca="1">IF(AND(ISNUMBER($AM$263),$B$252=1),$AM$263,HLOOKUP(INDIRECT(ADDRESS(2,COLUMN())),OFFSET($CL$2,0,0,ROW()-1,84),ROW()-1,FALSE))</f>
        <v>16.012993810000001</v>
      </c>
      <c r="AN14">
        <f ca="1">IF(AND(ISNUMBER($AN$263),$B$252=1),$AN$263,HLOOKUP(INDIRECT(ADDRESS(2,COLUMN())),OFFSET($CL$2,0,0,ROW()-1,84),ROW()-1,FALSE))</f>
        <v>16.252167530000001</v>
      </c>
      <c r="AO14">
        <f ca="1">IF(AND(ISNUMBER($AO$263),$B$252=1),$AO$263,HLOOKUP(INDIRECT(ADDRESS(2,COLUMN())),OFFSET($CL$2,0,0,ROW()-1,84),ROW()-1,FALSE))</f>
        <v>16.3939594</v>
      </c>
      <c r="AP14">
        <f ca="1">IF(AND(ISNUMBER($AP$263),$B$252=1),$AP$263,HLOOKUP(INDIRECT(ADDRESS(2,COLUMN())),OFFSET($CL$2,0,0,ROW()-1,84),ROW()-1,FALSE))</f>
        <v>17.184214749999999</v>
      </c>
      <c r="AQ14">
        <f ca="1">IF(AND(ISNUMBER($AQ$263),$B$252=1),$AQ$263,HLOOKUP(INDIRECT(ADDRESS(2,COLUMN())),OFFSET($CL$2,0,0,ROW()-1,84),ROW()-1,FALSE))</f>
        <v>16.10760075</v>
      </c>
      <c r="AR14">
        <f ca="1">IF(AND(ISNUMBER($AR$263),$B$252=1),$AR$263,HLOOKUP(INDIRECT(ADDRESS(2,COLUMN())),OFFSET($CL$2,0,0,ROW()-1,84),ROW()-1,FALSE))</f>
        <v>17.064203930000001</v>
      </c>
      <c r="AS14">
        <f ca="1">IF(AND(ISNUMBER($AS$263),$B$252=1),$AS$263,HLOOKUP(INDIRECT(ADDRESS(2,COLUMN())),OFFSET($CL$2,0,0,ROW()-1,84),ROW()-1,FALSE))</f>
        <v>16.303557770000001</v>
      </c>
      <c r="AT14">
        <f ca="1">IF(AND(ISNUMBER($AT$263),$B$252=1),$AT$263,HLOOKUP(INDIRECT(ADDRESS(2,COLUMN())),OFFSET($CL$2,0,0,ROW()-1,84),ROW()-1,FALSE))</f>
        <v>16.949602120000002</v>
      </c>
      <c r="AU14">
        <f ca="1">IF(AND(ISNUMBER($AU$263),$B$252=1),$AU$263,HLOOKUP(INDIRECT(ADDRESS(2,COLUMN())),OFFSET($CL$2,0,0,ROW()-1,84),ROW()-1,FALSE))</f>
        <v>17.080757049999999</v>
      </c>
      <c r="AV14">
        <f ca="1">IF(AND(ISNUMBER($AV$263),$B$252=1),$AV$263,HLOOKUP(INDIRECT(ADDRESS(2,COLUMN())),OFFSET($CL$2,0,0,ROW()-1,84),ROW()-1,FALSE))</f>
        <v>15.369035650000001</v>
      </c>
      <c r="AW14">
        <f ca="1">IF(AND(ISNUMBER($AW$263),$B$252=1),$AW$263,HLOOKUP(INDIRECT(ADDRESS(2,COLUMN())),OFFSET($CL$2,0,0,ROW()-1,84),ROW()-1,FALSE))</f>
        <v>16.871054999999998</v>
      </c>
      <c r="AX14">
        <f ca="1">IF(AND(ISNUMBER($AX$263),$B$252=1),$AX$263,HLOOKUP(INDIRECT(ADDRESS(2,COLUMN())),OFFSET($CL$2,0,0,ROW()-1,84),ROW()-1,FALSE))</f>
        <v>16.423759279999999</v>
      </c>
      <c r="AY14">
        <f ca="1">IF(AND(ISNUMBER($AY$263),$B$252=1),$AY$263,HLOOKUP(INDIRECT(ADDRESS(2,COLUMN())),OFFSET($CL$2,0,0,ROW()-1,84),ROW()-1,FALSE))</f>
        <v>16.276070430000001</v>
      </c>
      <c r="AZ14">
        <f ca="1">IF(AND(ISNUMBER($AZ$263),$B$252=1),$AZ$263,HLOOKUP(INDIRECT(ADDRESS(2,COLUMN())),OFFSET($CL$2,0,0,ROW()-1,84),ROW()-1,FALSE))</f>
        <v>16.170531530000002</v>
      </c>
      <c r="BA14">
        <f ca="1">IF(AND(ISNUMBER($BA$263),$B$252=1),$BA$263,HLOOKUP(INDIRECT(ADDRESS(2,COLUMN())),OFFSET($CL$2,0,0,ROW()-1,84),ROW()-1,FALSE))</f>
        <v>15.878557949999999</v>
      </c>
      <c r="BB14">
        <f ca="1">IF(AND(ISNUMBER($BB$263),$B$252=1),$BB$263,HLOOKUP(INDIRECT(ADDRESS(2,COLUMN())),OFFSET($CL$2,0,0,ROW()-1,84),ROW()-1,FALSE))</f>
        <v>15.720472689999999</v>
      </c>
      <c r="BC14">
        <f ca="1">IF(AND(ISNUMBER($BC$263),$B$252=1),$BC$263,HLOOKUP(INDIRECT(ADDRESS(2,COLUMN())),OFFSET($CL$2,0,0,ROW()-1,84),ROW()-1,FALSE))</f>
        <v>15.61790791</v>
      </c>
      <c r="BD14">
        <f ca="1">IF(AND(ISNUMBER($BD$263),$B$252=1),$BD$263,HLOOKUP(INDIRECT(ADDRESS(2,COLUMN())),OFFSET($CL$2,0,0,ROW()-1,84),ROW()-1,FALSE))</f>
        <v>14.44363968</v>
      </c>
      <c r="BE14">
        <f ca="1">IF(AND(ISNUMBER($BE$263),$B$252=1),$BE$263,HLOOKUP(INDIRECT(ADDRESS(2,COLUMN())),OFFSET($CL$2,0,0,ROW()-1,84),ROW()-1,FALSE))</f>
        <v>13.30862677</v>
      </c>
      <c r="BF14">
        <f ca="1">IF(AND(ISNUMBER($BF$263),$B$252=1),$BF$263,HLOOKUP(INDIRECT(ADDRESS(2,COLUMN())),OFFSET($CL$2,0,0,ROW()-1,84),ROW()-1,FALSE))</f>
        <v>13.56264365</v>
      </c>
      <c r="BG14">
        <f ca="1">IF(AND(ISNUMBER($BG$263),$B$252=1),$BG$263,HLOOKUP(INDIRECT(ADDRESS(2,COLUMN())),OFFSET($CL$2,0,0,ROW()-1,84),ROW()-1,FALSE))</f>
        <v>15.03454872</v>
      </c>
      <c r="BH14">
        <f ca="1">IF(AND(ISNUMBER($BH$263),$B$252=1),$BH$263,HLOOKUP(INDIRECT(ADDRESS(2,COLUMN())),OFFSET($CL$2,0,0,ROW()-1,84),ROW()-1,FALSE))</f>
        <v>14.44385297</v>
      </c>
      <c r="BI14">
        <f ca="1">IF(AND(ISNUMBER($BI$263),$B$252=1),$BI$263,HLOOKUP(INDIRECT(ADDRESS(2,COLUMN())),OFFSET($CL$2,0,0,ROW()-1,84),ROW()-1,FALSE))</f>
        <v>14.59356667</v>
      </c>
      <c r="BJ14">
        <f ca="1">IF(AND(ISNUMBER($BJ$263),$B$252=1),$BJ$263,HLOOKUP(INDIRECT(ADDRESS(2,COLUMN())),OFFSET($CL$2,0,0,ROW()-1,84),ROW()-1,FALSE))</f>
        <v>16.756793160000001</v>
      </c>
      <c r="BK14">
        <f ca="1">IF(AND(ISNUMBER($BK$263),$B$252=1),$BK$263,HLOOKUP(INDIRECT(ADDRESS(2,COLUMN())),OFFSET($CL$2,0,0,ROW()-1,84),ROW()-1,FALSE))</f>
        <v>16.625603009999999</v>
      </c>
      <c r="BL14">
        <f ca="1">IF(AND(ISNUMBER($BL$263),$B$252=1),$BL$263,HLOOKUP(INDIRECT(ADDRESS(2,COLUMN())),OFFSET($CL$2,0,0,ROW()-1,84),ROW()-1,FALSE))</f>
        <v>16.744475860000001</v>
      </c>
      <c r="BM14">
        <f ca="1">IF(AND(ISNUMBER($BM$263),$B$252=1),$BM$263,HLOOKUP(INDIRECT(ADDRESS(2,COLUMN())),OFFSET($CL$2,0,0,ROW()-1,84),ROW()-1,FALSE))</f>
        <v>17.699642829999998</v>
      </c>
      <c r="BN14">
        <f ca="1">IF(AND(ISNUMBER($BN$263),$B$252=1),$BN$263,HLOOKUP(INDIRECT(ADDRESS(2,COLUMN())),OFFSET($CL$2,0,0,ROW()-1,84),ROW()-1,FALSE))</f>
        <v>16.963260269999999</v>
      </c>
      <c r="BO14">
        <f ca="1">IF(AND(ISNUMBER($BO$263),$B$252=1),$BO$263,HLOOKUP(INDIRECT(ADDRESS(2,COLUMN())),OFFSET($CL$2,0,0,ROW()-1,84),ROW()-1,FALSE))</f>
        <v>17.212292900000001</v>
      </c>
      <c r="BP14">
        <f ca="1">IF(AND(ISNUMBER($BP$263),$B$252=1),$BP$263,HLOOKUP(INDIRECT(ADDRESS(2,COLUMN())),OFFSET($CL$2,0,0,ROW()-1,84),ROW()-1,FALSE))</f>
        <v>17.4928718</v>
      </c>
      <c r="BQ14">
        <f ca="1">IF(AND(ISNUMBER($BQ$263),$B$252=1),$BQ$263,HLOOKUP(INDIRECT(ADDRESS(2,COLUMN())),OFFSET($CL$2,0,0,ROW()-1,84),ROW()-1,FALSE))</f>
        <v>17.241328880000001</v>
      </c>
      <c r="BR14">
        <f ca="1">IF(AND(ISNUMBER($BR$263),$B$252=1),$BR$263,HLOOKUP(INDIRECT(ADDRESS(2,COLUMN())),OFFSET($CL$2,0,0,ROW()-1,84),ROW()-1,FALSE))</f>
        <v>16.720077209999999</v>
      </c>
      <c r="BS14">
        <f ca="1">IF(AND(ISNUMBER($BS$263),$B$252=1),$BS$263,HLOOKUP(INDIRECT(ADDRESS(2,COLUMN())),OFFSET($CL$2,0,0,ROW()-1,84),ROW()-1,FALSE))</f>
        <v>17.1516929</v>
      </c>
      <c r="BT14">
        <f ca="1">IF(AND(ISNUMBER($BT$263),$B$252=1),$BT$263,HLOOKUP(INDIRECT(ADDRESS(2,COLUMN())),OFFSET($CL$2,0,0,ROW()-1,84),ROW()-1,FALSE))</f>
        <v>16.98996859</v>
      </c>
      <c r="BU14">
        <f ca="1">IF(AND(ISNUMBER($BU$263),$B$252=1),$BU$263,HLOOKUP(INDIRECT(ADDRESS(2,COLUMN())),OFFSET($CL$2,0,0,ROW()-1,84),ROW()-1,FALSE))</f>
        <v>18.43398092</v>
      </c>
      <c r="BV14">
        <f ca="1">IF(AND(ISNUMBER($BV$263),$B$252=1),$BV$263,HLOOKUP(INDIRECT(ADDRESS(2,COLUMN())),OFFSET($CL$2,0,0,ROW()-1,84),ROW()-1,FALSE))</f>
        <v>19.192443019999999</v>
      </c>
      <c r="BW14">
        <f ca="1">IF(AND(ISNUMBER($BW$263),$B$252=1),$BW$263,HLOOKUP(INDIRECT(ADDRESS(2,COLUMN())),OFFSET($CL$2,0,0,ROW()-1,84),ROW()-1,FALSE))</f>
        <v>18.374798179999999</v>
      </c>
      <c r="BX14">
        <f ca="1">IF(AND(ISNUMBER($BX$263),$B$252=1),$BX$263,HLOOKUP(INDIRECT(ADDRESS(2,COLUMN())),OFFSET($CL$2,0,0,ROW()-1,84),ROW()-1,FALSE))</f>
        <v>17.792970220000001</v>
      </c>
      <c r="BY14">
        <f ca="1">IF(AND(ISNUMBER($BY$263),$B$252=1),$BY$263,HLOOKUP(INDIRECT(ADDRESS(2,COLUMN())),OFFSET($CL$2,0,0,ROW()-1,84),ROW()-1,FALSE))</f>
        <v>18.80935341</v>
      </c>
      <c r="BZ14">
        <f ca="1">IF(AND(ISNUMBER($BZ$263),$B$252=1),$BZ$263,HLOOKUP(INDIRECT(ADDRESS(2,COLUMN())),OFFSET($CL$2,0,0,ROW()-1,84),ROW()-1,FALSE))</f>
        <v>18.555543979999999</v>
      </c>
      <c r="CA14">
        <f ca="1">IF(AND(ISNUMBER($CA$263),$B$252=1),$CA$263,HLOOKUP(INDIRECT(ADDRESS(2,COLUMN())),OFFSET($CL$2,0,0,ROW()-1,84),ROW()-1,FALSE))</f>
        <v>17.66960396</v>
      </c>
      <c r="CB14">
        <f ca="1">IF(AND(ISNUMBER($CB$263),$B$252=1),$CB$263,HLOOKUP(INDIRECT(ADDRESS(2,COLUMN())),OFFSET($CL$2,0,0,ROW()-1,84),ROW()-1,FALSE))</f>
        <v>18.73382865</v>
      </c>
      <c r="CC14">
        <f ca="1">IF(AND(ISNUMBER($CC$263),$B$252=1),$CC$263,HLOOKUP(INDIRECT(ADDRESS(2,COLUMN())),OFFSET($CL$2,0,0,ROW()-1,84),ROW()-1,FALSE))</f>
        <v>18.233178880000001</v>
      </c>
      <c r="CD14">
        <f ca="1">IF(AND(ISNUMBER($CD$263),$B$252=1),$CD$263,HLOOKUP(INDIRECT(ADDRESS(2,COLUMN())),OFFSET($CL$2,0,0,ROW()-1,84),ROW()-1,FALSE))</f>
        <v>17.208563059999999</v>
      </c>
      <c r="CE14">
        <f ca="1">IF(AND(ISNUMBER($CE$263),$B$252=1),$CE$263,HLOOKUP(INDIRECT(ADDRESS(2,COLUMN())),OFFSET($CL$2,0,0,ROW()-1,84),ROW()-1,FALSE))</f>
        <v>18.474905809999999</v>
      </c>
      <c r="CF14">
        <f ca="1">IF(AND(ISNUMBER($CF$263),$B$252=1),$CF$263,HLOOKUP(INDIRECT(ADDRESS(2,COLUMN())),OFFSET($CL$2,0,0,ROW()-1,84),ROW()-1,FALSE))</f>
        <v>17.172156619999999</v>
      </c>
      <c r="CG14">
        <f ca="1">IF(AND(ISNUMBER($CG$263),$B$252=1),$CG$263,HLOOKUP(INDIRECT(ADDRESS(2,COLUMN())),OFFSET($CL$2,0,0,ROW()-1,84),ROW()-1,FALSE))</f>
        <v>21.11980505</v>
      </c>
      <c r="CH14">
        <f ca="1">IF(AND(ISNUMBER($CH$263),$B$252=1),$CH$263,HLOOKUP(INDIRECT(ADDRESS(2,COLUMN())),OFFSET($CL$2,0,0,ROW()-1,84),ROW()-1,FALSE))</f>
        <v>21.770265040000002</v>
      </c>
      <c r="CI14">
        <f ca="1">IF(AND(ISNUMBER($CI$263),$B$252=1),$CI$263,HLOOKUP(INDIRECT(ADDRESS(2,COLUMN())),OFFSET($CL$2,0,0,ROW()-1,84),ROW()-1,FALSE))</f>
        <v>21.064007109999999</v>
      </c>
      <c r="CJ14">
        <f ca="1">IF(AND(ISNUMBER($CJ$263),$B$252=1),$CJ$263,HLOOKUP(INDIRECT(ADDRESS(2,COLUMN())),OFFSET($CL$2,0,0,ROW()-1,84),ROW()-1,FALSE))</f>
        <v>20.558601929999998</v>
      </c>
      <c r="CK14">
        <f ca="1">IF(AND(ISNUMBER($CK$263),$B$252=1),$CK$263,HLOOKUP(INDIRECT(ADDRESS(2,COLUMN())),OFFSET($CL$2,0,0,ROW()-1,84),ROW()-1,FALSE))</f>
        <v>20.856503679999999</v>
      </c>
      <c r="CL14">
        <f>17.29793058</f>
        <v>17.297930579999999</v>
      </c>
      <c r="CM14">
        <f>16.60454024</f>
        <v>16.604540239999999</v>
      </c>
      <c r="CN14">
        <f>17.97748374</f>
        <v>17.97748374</v>
      </c>
      <c r="CO14">
        <f>19.18717664</f>
        <v>19.187176640000001</v>
      </c>
      <c r="CP14">
        <f>19.10119494</f>
        <v>19.101194939999999</v>
      </c>
      <c r="CQ14">
        <f>19.23414415</f>
        <v>19.234144149999999</v>
      </c>
      <c r="CR14">
        <f>19.29630216</f>
        <v>19.29630216</v>
      </c>
      <c r="CS14">
        <f>18.8903718</f>
        <v>18.8903718</v>
      </c>
      <c r="CT14">
        <f>19.03462978</f>
        <v>19.034629779999999</v>
      </c>
      <c r="CU14">
        <f>18.26941566</f>
        <v>18.26941566</v>
      </c>
      <c r="CV14">
        <f>17.88300499</f>
        <v>17.88300499</v>
      </c>
      <c r="CW14">
        <f>17.78798971</f>
        <v>17.787989710000002</v>
      </c>
      <c r="CX14">
        <f>17.45146947</f>
        <v>17.451469469999999</v>
      </c>
      <c r="CY14">
        <f>18.41297079</f>
        <v>18.412970789999999</v>
      </c>
      <c r="CZ14">
        <f>18.1258736</f>
        <v>18.125873599999998</v>
      </c>
      <c r="DA14">
        <f>18.28204088</f>
        <v>18.28204088</v>
      </c>
      <c r="DB14">
        <f>17.15305929</f>
        <v>17.153059290000002</v>
      </c>
      <c r="DC14">
        <f>17.88635482</f>
        <v>17.886354820000001</v>
      </c>
      <c r="DD14">
        <f>18.39428885</f>
        <v>18.394288849999999</v>
      </c>
      <c r="DE14">
        <f>19.26188734</f>
        <v>19.261887340000001</v>
      </c>
      <c r="DF14">
        <f>19.62144313</f>
        <v>19.621443129999999</v>
      </c>
      <c r="DG14">
        <f>19.27845369</f>
        <v>19.278453689999999</v>
      </c>
      <c r="DH14">
        <f>18.52266339</f>
        <v>18.522663390000002</v>
      </c>
      <c r="DI14">
        <f>16.44755968</f>
        <v>16.447559680000001</v>
      </c>
      <c r="DJ14">
        <f>17.14537819</f>
        <v>17.145378189999999</v>
      </c>
      <c r="DK14">
        <f>15.29007591</f>
        <v>15.290075910000001</v>
      </c>
      <c r="DL14">
        <f>15.65375207</f>
        <v>15.653752069999999</v>
      </c>
      <c r="DM14">
        <f>15.83659996</f>
        <v>15.836599959999999</v>
      </c>
      <c r="DN14">
        <f>15.7855852</f>
        <v>15.7855852</v>
      </c>
      <c r="DO14">
        <f>15.37666226</f>
        <v>15.37666226</v>
      </c>
      <c r="DP14">
        <f>15.48255336</f>
        <v>15.482553360000001</v>
      </c>
      <c r="DQ14">
        <f>15.18502664</f>
        <v>15.18502664</v>
      </c>
      <c r="DR14">
        <f>17.00085974</f>
        <v>17.000859739999999</v>
      </c>
      <c r="DS14">
        <f>16.01299381</f>
        <v>16.012993810000001</v>
      </c>
      <c r="DT14">
        <f>16.25216753</f>
        <v>16.252167530000001</v>
      </c>
      <c r="DU14">
        <f>16.3939594</f>
        <v>16.3939594</v>
      </c>
      <c r="DV14">
        <f>17.18421475</f>
        <v>17.184214749999999</v>
      </c>
      <c r="DW14">
        <f>16.10760075</f>
        <v>16.10760075</v>
      </c>
      <c r="DX14">
        <f>17.06420393</f>
        <v>17.064203930000001</v>
      </c>
      <c r="DY14">
        <f>16.30355777</f>
        <v>16.303557770000001</v>
      </c>
      <c r="DZ14">
        <f>16.94960212</f>
        <v>16.949602120000002</v>
      </c>
      <c r="EA14">
        <f>17.08075705</f>
        <v>17.080757049999999</v>
      </c>
      <c r="EB14">
        <f>15.36903565</f>
        <v>15.369035650000001</v>
      </c>
      <c r="EC14">
        <f>16.871055</f>
        <v>16.871054999999998</v>
      </c>
      <c r="ED14">
        <f>16.42375928</f>
        <v>16.423759279999999</v>
      </c>
      <c r="EE14">
        <f>16.27607043</f>
        <v>16.276070430000001</v>
      </c>
      <c r="EF14">
        <f>16.17053153</f>
        <v>16.170531530000002</v>
      </c>
      <c r="EG14">
        <f>15.87855795</f>
        <v>15.878557949999999</v>
      </c>
      <c r="EH14">
        <f>15.72047269</f>
        <v>15.720472689999999</v>
      </c>
      <c r="EI14">
        <f>15.61790791</f>
        <v>15.61790791</v>
      </c>
      <c r="EJ14">
        <f>14.44363968</f>
        <v>14.44363968</v>
      </c>
      <c r="EK14">
        <f>13.30862677</f>
        <v>13.30862677</v>
      </c>
      <c r="EL14">
        <f>13.56264365</f>
        <v>13.56264365</v>
      </c>
      <c r="EM14">
        <f>15.03454872</f>
        <v>15.03454872</v>
      </c>
      <c r="EN14">
        <f>14.44385297</f>
        <v>14.44385297</v>
      </c>
      <c r="EO14">
        <f>14.59356667</f>
        <v>14.59356667</v>
      </c>
      <c r="EP14">
        <f>16.75679316</f>
        <v>16.756793160000001</v>
      </c>
      <c r="EQ14">
        <f>16.62560301</f>
        <v>16.625603009999999</v>
      </c>
      <c r="ER14">
        <f>16.74447586</f>
        <v>16.744475860000001</v>
      </c>
      <c r="ES14">
        <f>17.69964283</f>
        <v>17.699642829999998</v>
      </c>
      <c r="ET14">
        <f>16.96326027</f>
        <v>16.963260269999999</v>
      </c>
      <c r="EU14">
        <f>17.2122929</f>
        <v>17.212292900000001</v>
      </c>
      <c r="EV14">
        <f>17.4928718</f>
        <v>17.4928718</v>
      </c>
      <c r="EW14">
        <f>17.24132888</f>
        <v>17.241328880000001</v>
      </c>
      <c r="EX14">
        <f>16.72007721</f>
        <v>16.720077209999999</v>
      </c>
      <c r="EY14">
        <f>17.1516929</f>
        <v>17.1516929</v>
      </c>
      <c r="EZ14">
        <f>16.98996859</f>
        <v>16.98996859</v>
      </c>
      <c r="FA14">
        <f>18.43398092</f>
        <v>18.43398092</v>
      </c>
      <c r="FB14">
        <f>19.19244302</f>
        <v>19.192443019999999</v>
      </c>
      <c r="FC14">
        <f>18.37479818</f>
        <v>18.374798179999999</v>
      </c>
      <c r="FD14">
        <f>17.79297022</f>
        <v>17.792970220000001</v>
      </c>
      <c r="FE14">
        <f>18.80935341</f>
        <v>18.80935341</v>
      </c>
      <c r="FF14">
        <f>18.55554398</f>
        <v>18.555543979999999</v>
      </c>
      <c r="FG14">
        <f>17.66960396</f>
        <v>17.66960396</v>
      </c>
      <c r="FH14">
        <f>18.73382865</f>
        <v>18.73382865</v>
      </c>
      <c r="FI14">
        <f>18.23317888</f>
        <v>18.233178880000001</v>
      </c>
      <c r="FJ14">
        <f>17.20856306</f>
        <v>17.208563059999999</v>
      </c>
      <c r="FK14">
        <f>18.47490581</f>
        <v>18.474905809999999</v>
      </c>
      <c r="FL14">
        <f>17.17215662</f>
        <v>17.172156619999999</v>
      </c>
      <c r="FM14">
        <f>21.11980505</f>
        <v>21.11980505</v>
      </c>
      <c r="FN14">
        <f>21.77026504</f>
        <v>21.770265040000002</v>
      </c>
      <c r="FO14">
        <f>21.06400711</f>
        <v>21.064007109999999</v>
      </c>
      <c r="FP14">
        <f>20.55860193</f>
        <v>20.558601929999998</v>
      </c>
      <c r="FQ14">
        <f>20.85650368</f>
        <v>20.856503679999999</v>
      </c>
    </row>
    <row r="15" spans="1:173">
      <c r="A15" t="str">
        <f>"    公寓物业权益信托"</f>
        <v xml:space="preserve">    公寓物业权益信托</v>
      </c>
      <c r="B15" t="str">
        <f>"EQR US Equity"</f>
        <v>EQR US Equity</v>
      </c>
      <c r="C15" t="str">
        <f t="shared" si="3"/>
        <v>BE249</v>
      </c>
      <c r="D15" t="str">
        <f t="shared" si="4"/>
        <v>BEST_PRICE_FFO_RATIO</v>
      </c>
      <c r="E15" t="str">
        <f t="shared" si="5"/>
        <v>动态</v>
      </c>
      <c r="F15">
        <f ca="1">IF(AND(ISNUMBER($F$264),$B$252=1),$F$264,HLOOKUP(INDIRECT(ADDRESS(2,COLUMN())),OFFSET($CL$2,0,0,ROW()-1,84),ROW()-1,FALSE))</f>
        <v>18.170994230000002</v>
      </c>
      <c r="G15">
        <f ca="1">IF(AND(ISNUMBER($G$264),$B$252=1),$G$264,HLOOKUP(INDIRECT(ADDRESS(2,COLUMN())),OFFSET($CL$2,0,0,ROW()-1,84),ROW()-1,FALSE))</f>
        <v>17.226115190000002</v>
      </c>
      <c r="H15">
        <f ca="1">IF(AND(ISNUMBER($H$264),$B$252=1),$H$264,HLOOKUP(INDIRECT(ADDRESS(2,COLUMN())),OFFSET($CL$2,0,0,ROW()-1,84),ROW()-1,FALSE))</f>
        <v>18.828381780000001</v>
      </c>
      <c r="I15">
        <f ca="1">IF(AND(ISNUMBER($I$264),$B$252=1),$I$264,HLOOKUP(INDIRECT(ADDRESS(2,COLUMN())),OFFSET($CL$2,0,0,ROW()-1,84),ROW()-1,FALSE))</f>
        <v>19.545705959999999</v>
      </c>
      <c r="J15">
        <f ca="1">IF(AND(ISNUMBER($J$264),$B$252=1),$J$264,HLOOKUP(INDIRECT(ADDRESS(2,COLUMN())),OFFSET($CL$2,0,0,ROW()-1,84),ROW()-1,FALSE))</f>
        <v>20.54902598</v>
      </c>
      <c r="K15">
        <f ca="1">IF(AND(ISNUMBER($K$264),$B$252=1),$K$264,HLOOKUP(INDIRECT(ADDRESS(2,COLUMN())),OFFSET($CL$2,0,0,ROW()-1,84),ROW()-1,FALSE))</f>
        <v>20.743633590000002</v>
      </c>
      <c r="L15">
        <f ca="1">IF(AND(ISNUMBER($L$264),$B$252=1),$L$264,HLOOKUP(INDIRECT(ADDRESS(2,COLUMN())),OFFSET($CL$2,0,0,ROW()-1,84),ROW()-1,FALSE))</f>
        <v>20.397555879999999</v>
      </c>
      <c r="M15">
        <f ca="1">IF(AND(ISNUMBER($M$264),$B$252=1),$M$264,HLOOKUP(INDIRECT(ADDRESS(2,COLUMN())),OFFSET($CL$2,0,0,ROW()-1,84),ROW()-1,FALSE))</f>
        <v>20.843695029999999</v>
      </c>
      <c r="N15">
        <f ca="1">IF(AND(ISNUMBER($N$264),$B$252=1),$N$264,HLOOKUP(INDIRECT(ADDRESS(2,COLUMN())),OFFSET($CL$2,0,0,ROW()-1,84),ROW()-1,FALSE))</f>
        <v>21.23714348</v>
      </c>
      <c r="O15">
        <f ca="1">IF(AND(ISNUMBER($O$264),$B$252=1),$O$264,HLOOKUP(INDIRECT(ADDRESS(2,COLUMN())),OFFSET($CL$2,0,0,ROW()-1,84),ROW()-1,FALSE))</f>
        <v>20.71754524</v>
      </c>
      <c r="P15">
        <f ca="1">IF(AND(ISNUMBER($P$264),$B$252=1),$P$264,HLOOKUP(INDIRECT(ADDRESS(2,COLUMN())),OFFSET($CL$2,0,0,ROW()-1,84),ROW()-1,FALSE))</f>
        <v>20.585247339999999</v>
      </c>
      <c r="Q15">
        <f ca="1">IF(AND(ISNUMBER($Q$264),$B$252=1),$Q$264,HLOOKUP(INDIRECT(ADDRESS(2,COLUMN())),OFFSET($CL$2,0,0,ROW()-1,84),ROW()-1,FALSE))</f>
        <v>20.540586829999999</v>
      </c>
      <c r="R15">
        <f ca="1">IF(AND(ISNUMBER($R$264),$B$252=1),$R$264,HLOOKUP(INDIRECT(ADDRESS(2,COLUMN())),OFFSET($CL$2,0,0,ROW()-1,84),ROW()-1,FALSE))</f>
        <v>19.747679120000001</v>
      </c>
      <c r="S15">
        <f ca="1">IF(AND(ISNUMBER($S$264),$B$252=1),$S$264,HLOOKUP(INDIRECT(ADDRESS(2,COLUMN())),OFFSET($CL$2,0,0,ROW()-1,84),ROW()-1,FALSE))</f>
        <v>20.000668260000001</v>
      </c>
      <c r="T15">
        <f ca="1">IF(AND(ISNUMBER($T$264),$B$252=1),$T$264,HLOOKUP(INDIRECT(ADDRESS(2,COLUMN())),OFFSET($CL$2,0,0,ROW()-1,84),ROW()-1,FALSE))</f>
        <v>19.044987129999999</v>
      </c>
      <c r="U15">
        <f ca="1">IF(AND(ISNUMBER($U$264),$B$252=1),$U$264,HLOOKUP(INDIRECT(ADDRESS(2,COLUMN())),OFFSET($CL$2,0,0,ROW()-1,84),ROW()-1,FALSE))</f>
        <v>20.313961379999999</v>
      </c>
      <c r="V15">
        <f ca="1">IF(AND(ISNUMBER($V$264),$B$252=1),$V$264,HLOOKUP(INDIRECT(ADDRESS(2,COLUMN())),OFFSET($CL$2,0,0,ROW()-1,84),ROW()-1,FALSE))</f>
        <v>18.980058509999999</v>
      </c>
      <c r="W15">
        <f ca="1">IF(AND(ISNUMBER($W$264),$B$252=1),$W$264,HLOOKUP(INDIRECT(ADDRESS(2,COLUMN())),OFFSET($CL$2,0,0,ROW()-1,84),ROW()-1,FALSE))</f>
        <v>19.565098630000001</v>
      </c>
      <c r="X15">
        <f ca="1">IF(AND(ISNUMBER($X$264),$B$252=1),$X$264,HLOOKUP(INDIRECT(ADDRESS(2,COLUMN())),OFFSET($CL$2,0,0,ROW()-1,84),ROW()-1,FALSE))</f>
        <v>20.453064139999999</v>
      </c>
      <c r="Y15">
        <f ca="1">IF(AND(ISNUMBER($Y$264),$B$252=1),$Y$264,HLOOKUP(INDIRECT(ADDRESS(2,COLUMN())),OFFSET($CL$2,0,0,ROW()-1,84),ROW()-1,FALSE))</f>
        <v>20.674598960000001</v>
      </c>
      <c r="Z15">
        <f ca="1">IF(AND(ISNUMBER($Z$264),$B$252=1),$Z$264,HLOOKUP(INDIRECT(ADDRESS(2,COLUMN())),OFFSET($CL$2,0,0,ROW()-1,84),ROW()-1,FALSE))</f>
        <v>21.65949887</v>
      </c>
      <c r="AA15">
        <f ca="1">IF(AND(ISNUMBER($AA$264),$B$252=1),$AA$264,HLOOKUP(INDIRECT(ADDRESS(2,COLUMN())),OFFSET($CL$2,0,0,ROW()-1,84),ROW()-1,FALSE))</f>
        <v>21.844719649999998</v>
      </c>
      <c r="AB15">
        <f ca="1">IF(AND(ISNUMBER($AB$264),$B$252=1),$AB$264,HLOOKUP(INDIRECT(ADDRESS(2,COLUMN())),OFFSET($CL$2,0,0,ROW()-1,84),ROW()-1,FALSE))</f>
        <v>22.139382510000001</v>
      </c>
      <c r="AC15">
        <f ca="1">IF(AND(ISNUMBER($AC$264),$B$252=1),$AC$264,HLOOKUP(INDIRECT(ADDRESS(2,COLUMN())),OFFSET($CL$2,0,0,ROW()-1,84),ROW()-1,FALSE))</f>
        <v>21.625630810000001</v>
      </c>
      <c r="AD15">
        <f ca="1">IF(AND(ISNUMBER($AD$264),$B$252=1),$AD$264,HLOOKUP(INDIRECT(ADDRESS(2,COLUMN())),OFFSET($CL$2,0,0,ROW()-1,84),ROW()-1,FALSE))</f>
        <v>23.547385569999999</v>
      </c>
      <c r="AE15">
        <f ca="1">IF(AND(ISNUMBER($AE$264),$B$252=1),$AE$264,HLOOKUP(INDIRECT(ADDRESS(2,COLUMN())),OFFSET($CL$2,0,0,ROW()-1,84),ROW()-1,FALSE))</f>
        <v>23.351770309999999</v>
      </c>
      <c r="AF15">
        <f ca="1">IF(AND(ISNUMBER($AF$264),$B$252=1),$AF$264,HLOOKUP(INDIRECT(ADDRESS(2,COLUMN())),OFFSET($CL$2,0,0,ROW()-1,84),ROW()-1,FALSE))</f>
        <v>23.189790819999999</v>
      </c>
      <c r="AG15">
        <f ca="1">IF(AND(ISNUMBER($AG$264),$B$252=1),$AG$264,HLOOKUP(INDIRECT(ADDRESS(2,COLUMN())),OFFSET($CL$2,0,0,ROW()-1,84),ROW()-1,FALSE))</f>
        <v>24.494145899999999</v>
      </c>
      <c r="AH15">
        <f ca="1">IF(AND(ISNUMBER($AH$264),$B$252=1),$AH$264,HLOOKUP(INDIRECT(ADDRESS(2,COLUMN())),OFFSET($CL$2,0,0,ROW()-1,84),ROW()-1,FALSE))</f>
        <v>23.341916550000001</v>
      </c>
      <c r="AI15">
        <f ca="1">IF(AND(ISNUMBER($AI$264),$B$252=1),$AI$264,HLOOKUP(INDIRECT(ADDRESS(2,COLUMN())),OFFSET($CL$2,0,0,ROW()-1,84),ROW()-1,FALSE))</f>
        <v>21.919636430000001</v>
      </c>
      <c r="AJ15">
        <f ca="1">IF(AND(ISNUMBER($AJ$264),$B$252=1),$AJ$264,HLOOKUP(INDIRECT(ADDRESS(2,COLUMN())),OFFSET($CL$2,0,0,ROW()-1,84),ROW()-1,FALSE))</f>
        <v>20.498382540000001</v>
      </c>
      <c r="AK15">
        <f ca="1">IF(AND(ISNUMBER($AK$264),$B$252=1),$AK$264,HLOOKUP(INDIRECT(ADDRESS(2,COLUMN())),OFFSET($CL$2,0,0,ROW()-1,84),ROW()-1,FALSE))</f>
        <v>19.589006019999999</v>
      </c>
      <c r="AL15">
        <f ca="1">IF(AND(ISNUMBER($AL$264),$B$252=1),$AL$264,HLOOKUP(INDIRECT(ADDRESS(2,COLUMN())),OFFSET($CL$2,0,0,ROW()-1,84),ROW()-1,FALSE))</f>
        <v>20.820840319999999</v>
      </c>
      <c r="AM15">
        <f ca="1">IF(AND(ISNUMBER($AM$264),$B$252=1),$AM$264,HLOOKUP(INDIRECT(ADDRESS(2,COLUMN())),OFFSET($CL$2,0,0,ROW()-1,84),ROW()-1,FALSE))</f>
        <v>19.730135220000001</v>
      </c>
      <c r="AN15">
        <f ca="1">IF(AND(ISNUMBER($AN$264),$B$252=1),$AN$264,HLOOKUP(INDIRECT(ADDRESS(2,COLUMN())),OFFSET($CL$2,0,0,ROW()-1,84),ROW()-1,FALSE))</f>
        <v>21.022718619999999</v>
      </c>
      <c r="AO15">
        <f ca="1">IF(AND(ISNUMBER($AO$264),$B$252=1),$AO$264,HLOOKUP(INDIRECT(ADDRESS(2,COLUMN())),OFFSET($CL$2,0,0,ROW()-1,84),ROW()-1,FALSE))</f>
        <v>21.02836585</v>
      </c>
      <c r="AP15">
        <f ca="1">IF(AND(ISNUMBER($AP$264),$B$252=1),$AP$264,HLOOKUP(INDIRECT(ADDRESS(2,COLUMN())),OFFSET($CL$2,0,0,ROW()-1,84),ROW()-1,FALSE))</f>
        <v>22.307625850000001</v>
      </c>
      <c r="AQ15">
        <f ca="1">IF(AND(ISNUMBER($AQ$264),$B$252=1),$AQ$264,HLOOKUP(INDIRECT(ADDRESS(2,COLUMN())),OFFSET($CL$2,0,0,ROW()-1,84),ROW()-1,FALSE))</f>
        <v>22.25078714</v>
      </c>
      <c r="AR15">
        <f ca="1">IF(AND(ISNUMBER($AR$264),$B$252=1),$AR$264,HLOOKUP(INDIRECT(ADDRESS(2,COLUMN())),OFFSET($CL$2,0,0,ROW()-1,84),ROW()-1,FALSE))</f>
        <v>22.720015490000002</v>
      </c>
      <c r="AS15">
        <f ca="1">IF(AND(ISNUMBER($AS$264),$B$252=1),$AS$264,HLOOKUP(INDIRECT(ADDRESS(2,COLUMN())),OFFSET($CL$2,0,0,ROW()-1,84),ROW()-1,FALSE))</f>
        <v>21.180274019999999</v>
      </c>
      <c r="AT15">
        <f ca="1">IF(AND(ISNUMBER($AT$264),$B$252=1),$AT$264,HLOOKUP(INDIRECT(ADDRESS(2,COLUMN())),OFFSET($CL$2,0,0,ROW()-1,84),ROW()-1,FALSE))</f>
        <v>21.044645490000001</v>
      </c>
      <c r="AU15">
        <f ca="1">IF(AND(ISNUMBER($AU$264),$B$252=1),$AU$264,HLOOKUP(INDIRECT(ADDRESS(2,COLUMN())),OFFSET($CL$2,0,0,ROW()-1,84),ROW()-1,FALSE))</f>
        <v>20.899461729999999</v>
      </c>
      <c r="AV15">
        <f ca="1">IF(AND(ISNUMBER($AV$264),$B$252=1),$AV$264,HLOOKUP(INDIRECT(ADDRESS(2,COLUMN())),OFFSET($CL$2,0,0,ROW()-1,84),ROW()-1,FALSE))</f>
        <v>18.736898060000001</v>
      </c>
      <c r="AW15">
        <f ca="1">IF(AND(ISNUMBER($AW$264),$B$252=1),$AW$264,HLOOKUP(INDIRECT(ADDRESS(2,COLUMN())),OFFSET($CL$2,0,0,ROW()-1,84),ROW()-1,FALSE))</f>
        <v>20.389570549999998</v>
      </c>
      <c r="AX15">
        <f ca="1">IF(AND(ISNUMBER($AX$264),$B$252=1),$AX$264,HLOOKUP(INDIRECT(ADDRESS(2,COLUMN())),OFFSET($CL$2,0,0,ROW()-1,84),ROW()-1,FALSE))</f>
        <v>20.08413994</v>
      </c>
      <c r="AY15">
        <f ca="1">IF(AND(ISNUMBER($AY$264),$B$252=1),$AY$264,HLOOKUP(INDIRECT(ADDRESS(2,COLUMN())),OFFSET($CL$2,0,0,ROW()-1,84),ROW()-1,FALSE))</f>
        <v>19.774938760000001</v>
      </c>
      <c r="AZ15">
        <f ca="1">IF(AND(ISNUMBER($AZ$264),$B$252=1),$AZ$264,HLOOKUP(INDIRECT(ADDRESS(2,COLUMN())),OFFSET($CL$2,0,0,ROW()-1,84),ROW()-1,FALSE))</f>
        <v>19.482172869999999</v>
      </c>
      <c r="BA15">
        <f ca="1">IF(AND(ISNUMBER($BA$264),$B$252=1),$BA$264,HLOOKUP(INDIRECT(ADDRESS(2,COLUMN())),OFFSET($CL$2,0,0,ROW()-1,84),ROW()-1,FALSE))</f>
        <v>18.782957379999999</v>
      </c>
      <c r="BB15">
        <f ca="1">IF(AND(ISNUMBER($BB$264),$B$252=1),$BB$264,HLOOKUP(INDIRECT(ADDRESS(2,COLUMN())),OFFSET($CL$2,0,0,ROW()-1,84),ROW()-1,FALSE))</f>
        <v>18.41810392</v>
      </c>
      <c r="BC15">
        <f ca="1">IF(AND(ISNUMBER($BC$264),$B$252=1),$BC$264,HLOOKUP(INDIRECT(ADDRESS(2,COLUMN())),OFFSET($CL$2,0,0,ROW()-1,84),ROW()-1,FALSE))</f>
        <v>18.692547179999998</v>
      </c>
      <c r="BD15">
        <f ca="1">IF(AND(ISNUMBER($BD$264),$B$252=1),$BD$264,HLOOKUP(INDIRECT(ADDRESS(2,COLUMN())),OFFSET($CL$2,0,0,ROW()-1,84),ROW()-1,FALSE))</f>
        <v>17.754114609999998</v>
      </c>
      <c r="BE15">
        <f ca="1">IF(AND(ISNUMBER($BE$264),$B$252=1),$BE$264,HLOOKUP(INDIRECT(ADDRESS(2,COLUMN())),OFFSET($CL$2,0,0,ROW()-1,84),ROW()-1,FALSE))</f>
        <v>16.744426799999999</v>
      </c>
      <c r="BF15">
        <f ca="1">IF(AND(ISNUMBER($BF$264),$B$252=1),$BF$264,HLOOKUP(INDIRECT(ADDRESS(2,COLUMN())),OFFSET($CL$2,0,0,ROW()-1,84),ROW()-1,FALSE))</f>
        <v>16.74422092</v>
      </c>
      <c r="BG15">
        <f ca="1">IF(AND(ISNUMBER($BG$264),$B$252=1),$BG$264,HLOOKUP(INDIRECT(ADDRESS(2,COLUMN())),OFFSET($CL$2,0,0,ROW()-1,84),ROW()-1,FALSE))</f>
        <v>17.23124177</v>
      </c>
      <c r="BH15">
        <f ca="1">IF(AND(ISNUMBER($BH$264),$B$252=1),$BH$264,HLOOKUP(INDIRECT(ADDRESS(2,COLUMN())),OFFSET($CL$2,0,0,ROW()-1,84),ROW()-1,FALSE))</f>
        <v>17.786067559999999</v>
      </c>
      <c r="BI15">
        <f ca="1">IF(AND(ISNUMBER($BI$264),$B$252=1),$BI$264,HLOOKUP(INDIRECT(ADDRESS(2,COLUMN())),OFFSET($CL$2,0,0,ROW()-1,84),ROW()-1,FALSE))</f>
        <v>17.396669750000001</v>
      </c>
      <c r="BJ15">
        <f ca="1">IF(AND(ISNUMBER($BJ$264),$B$252=1),$BJ$264,HLOOKUP(INDIRECT(ADDRESS(2,COLUMN())),OFFSET($CL$2,0,0,ROW()-1,84),ROW()-1,FALSE))</f>
        <v>18.98125121</v>
      </c>
      <c r="BK15">
        <f ca="1">IF(AND(ISNUMBER($BK$264),$B$252=1),$BK$264,HLOOKUP(INDIRECT(ADDRESS(2,COLUMN())),OFFSET($CL$2,0,0,ROW()-1,84),ROW()-1,FALSE))</f>
        <v>19.9573766</v>
      </c>
      <c r="BL15">
        <f ca="1">IF(AND(ISNUMBER($BL$264),$B$252=1),$BL$264,HLOOKUP(INDIRECT(ADDRESS(2,COLUMN())),OFFSET($CL$2,0,0,ROW()-1,84),ROW()-1,FALSE))</f>
        <v>19.654525230000001</v>
      </c>
      <c r="BM15">
        <f ca="1">IF(AND(ISNUMBER($BM$264),$B$252=1),$BM$264,HLOOKUP(INDIRECT(ADDRESS(2,COLUMN())),OFFSET($CL$2,0,0,ROW()-1,84),ROW()-1,FALSE))</f>
        <v>19.971953760000002</v>
      </c>
      <c r="BN15">
        <f ca="1">IF(AND(ISNUMBER($BN$264),$B$252=1),$BN$264,HLOOKUP(INDIRECT(ADDRESS(2,COLUMN())),OFFSET($CL$2,0,0,ROW()-1,84),ROW()-1,FALSE))</f>
        <v>18.56121899</v>
      </c>
      <c r="BO15">
        <f ca="1">IF(AND(ISNUMBER($BO$264),$B$252=1),$BO$264,HLOOKUP(INDIRECT(ADDRESS(2,COLUMN())),OFFSET($CL$2,0,0,ROW()-1,84),ROW()-1,FALSE))</f>
        <v>19.000271139999999</v>
      </c>
      <c r="BP15">
        <f ca="1">IF(AND(ISNUMBER($BP$264),$B$252=1),$BP$264,HLOOKUP(INDIRECT(ADDRESS(2,COLUMN())),OFFSET($CL$2,0,0,ROW()-1,84),ROW()-1,FALSE))</f>
        <v>18.31607954</v>
      </c>
      <c r="BQ15">
        <f ca="1">IF(AND(ISNUMBER($BQ$264),$B$252=1),$BQ$264,HLOOKUP(INDIRECT(ADDRESS(2,COLUMN())),OFFSET($CL$2,0,0,ROW()-1,84),ROW()-1,FALSE))</f>
        <v>18.752933540000001</v>
      </c>
      <c r="BR15">
        <f ca="1">IF(AND(ISNUMBER($BR$264),$B$252=1),$BR$264,HLOOKUP(INDIRECT(ADDRESS(2,COLUMN())),OFFSET($CL$2,0,0,ROW()-1,84),ROW()-1,FALSE))</f>
        <v>18.423121890000001</v>
      </c>
      <c r="BS15">
        <f ca="1">IF(AND(ISNUMBER($BS$264),$B$252=1),$BS$264,HLOOKUP(INDIRECT(ADDRESS(2,COLUMN())),OFFSET($CL$2,0,0,ROW()-1,84),ROW()-1,FALSE))</f>
        <v>19.14123807</v>
      </c>
      <c r="BT15">
        <f ca="1">IF(AND(ISNUMBER($BT$264),$B$252=1),$BT$264,HLOOKUP(INDIRECT(ADDRESS(2,COLUMN())),OFFSET($CL$2,0,0,ROW()-1,84),ROW()-1,FALSE))</f>
        <v>19.393174049999999</v>
      </c>
      <c r="BU15">
        <f ca="1">IF(AND(ISNUMBER($BU$264),$B$252=1),$BU$264,HLOOKUP(INDIRECT(ADDRESS(2,COLUMN())),OFFSET($CL$2,0,0,ROW()-1,84),ROW()-1,FALSE))</f>
        <v>20.471970580000001</v>
      </c>
      <c r="BV15">
        <f ca="1">IF(AND(ISNUMBER($BV$264),$B$252=1),$BV$264,HLOOKUP(INDIRECT(ADDRESS(2,COLUMN())),OFFSET($CL$2,0,0,ROW()-1,84),ROW()-1,FALSE))</f>
        <v>21.625663540000001</v>
      </c>
      <c r="BW15">
        <f ca="1">IF(AND(ISNUMBER($BW$264),$B$252=1),$BW$264,HLOOKUP(INDIRECT(ADDRESS(2,COLUMN())),OFFSET($CL$2,0,0,ROW()-1,84),ROW()-1,FALSE))</f>
        <v>21.80897642</v>
      </c>
      <c r="BX15">
        <f ca="1">IF(AND(ISNUMBER($BX$264),$B$252=1),$BX$264,HLOOKUP(INDIRECT(ADDRESS(2,COLUMN())),OFFSET($CL$2,0,0,ROW()-1,84),ROW()-1,FALSE))</f>
        <v>21.513242829999999</v>
      </c>
      <c r="BY15">
        <f ca="1">IF(AND(ISNUMBER($BY$264),$B$252=1),$BY$264,HLOOKUP(INDIRECT(ADDRESS(2,COLUMN())),OFFSET($CL$2,0,0,ROW()-1,84),ROW()-1,FALSE))</f>
        <v>21.670141910000002</v>
      </c>
      <c r="BZ15">
        <f ca="1">IF(AND(ISNUMBER($BZ$264),$B$252=1),$BZ$264,HLOOKUP(INDIRECT(ADDRESS(2,COLUMN())),OFFSET($CL$2,0,0,ROW()-1,84),ROW()-1,FALSE))</f>
        <v>22.350408810000001</v>
      </c>
      <c r="CA15">
        <f ca="1">IF(AND(ISNUMBER($CA$264),$B$252=1),$CA$264,HLOOKUP(INDIRECT(ADDRESS(2,COLUMN())),OFFSET($CL$2,0,0,ROW()-1,84),ROW()-1,FALSE))</f>
        <v>20.493515850000001</v>
      </c>
      <c r="CB15">
        <f ca="1">IF(AND(ISNUMBER($CB$264),$B$252=1),$CB$264,HLOOKUP(INDIRECT(ADDRESS(2,COLUMN())),OFFSET($CL$2,0,0,ROW()-1,84),ROW()-1,FALSE))</f>
        <v>21.408577099999999</v>
      </c>
      <c r="CC15">
        <f ca="1">IF(AND(ISNUMBER($CC$264),$B$252=1),$CC$264,HLOOKUP(INDIRECT(ADDRESS(2,COLUMN())),OFFSET($CL$2,0,0,ROW()-1,84),ROW()-1,FALSE))</f>
        <v>20.60383509</v>
      </c>
      <c r="CD15">
        <f ca="1">IF(AND(ISNUMBER($CD$264),$B$252=1),$CD$264,HLOOKUP(INDIRECT(ADDRESS(2,COLUMN())),OFFSET($CL$2,0,0,ROW()-1,84),ROW()-1,FALSE))</f>
        <v>20.169082530000001</v>
      </c>
      <c r="CE15">
        <f ca="1">IF(AND(ISNUMBER($CE$264),$B$252=1),$CE$264,HLOOKUP(INDIRECT(ADDRESS(2,COLUMN())),OFFSET($CL$2,0,0,ROW()-1,84),ROW()-1,FALSE))</f>
        <v>21.657956049999999</v>
      </c>
      <c r="CF15">
        <f ca="1">IF(AND(ISNUMBER($CF$264),$B$252=1),$CF$264,HLOOKUP(INDIRECT(ADDRESS(2,COLUMN())),OFFSET($CL$2,0,0,ROW()-1,84),ROW()-1,FALSE))</f>
        <v>19.269991640000001</v>
      </c>
      <c r="CG15">
        <f ca="1">IF(AND(ISNUMBER($CG$264),$B$252=1),$CG$264,HLOOKUP(INDIRECT(ADDRESS(2,COLUMN())),OFFSET($CL$2,0,0,ROW()-1,84),ROW()-1,FALSE))</f>
        <v>22.98456526</v>
      </c>
      <c r="CH15">
        <f ca="1">IF(AND(ISNUMBER($CH$264),$B$252=1),$CH$264,HLOOKUP(INDIRECT(ADDRESS(2,COLUMN())),OFFSET($CL$2,0,0,ROW()-1,84),ROW()-1,FALSE))</f>
        <v>23.403710069999999</v>
      </c>
      <c r="CI15">
        <f ca="1">IF(AND(ISNUMBER($CI$264),$B$252=1),$CI$264,HLOOKUP(INDIRECT(ADDRESS(2,COLUMN())),OFFSET($CL$2,0,0,ROW()-1,84),ROW()-1,FALSE))</f>
        <v>22.771822270000001</v>
      </c>
      <c r="CJ15">
        <f ca="1">IF(AND(ISNUMBER($CJ$264),$B$252=1),$CJ$264,HLOOKUP(INDIRECT(ADDRESS(2,COLUMN())),OFFSET($CL$2,0,0,ROW()-1,84),ROW()-1,FALSE))</f>
        <v>23.771312349999999</v>
      </c>
      <c r="CK15">
        <f ca="1">IF(AND(ISNUMBER($CK$264),$B$252=1),$CK$264,HLOOKUP(INDIRECT(ADDRESS(2,COLUMN())),OFFSET($CL$2,0,0,ROW()-1,84),ROW()-1,FALSE))</f>
        <v>23.27578973</v>
      </c>
      <c r="CL15">
        <f>18.17099423</f>
        <v>18.170994230000002</v>
      </c>
      <c r="CM15">
        <f>17.22611519</f>
        <v>17.226115190000002</v>
      </c>
      <c r="CN15">
        <f>18.82838178</f>
        <v>18.828381780000001</v>
      </c>
      <c r="CO15">
        <f>19.54570596</f>
        <v>19.545705959999999</v>
      </c>
      <c r="CP15">
        <f>20.54902598</f>
        <v>20.54902598</v>
      </c>
      <c r="CQ15">
        <f>20.74363359</f>
        <v>20.743633590000002</v>
      </c>
      <c r="CR15">
        <f>20.39755588</f>
        <v>20.397555879999999</v>
      </c>
      <c r="CS15">
        <f>20.84369503</f>
        <v>20.843695029999999</v>
      </c>
      <c r="CT15">
        <f>21.23714348</f>
        <v>21.23714348</v>
      </c>
      <c r="CU15">
        <f>20.71754524</f>
        <v>20.71754524</v>
      </c>
      <c r="CV15">
        <f>20.58524734</f>
        <v>20.585247339999999</v>
      </c>
      <c r="CW15">
        <f>20.54058683</f>
        <v>20.540586829999999</v>
      </c>
      <c r="CX15">
        <f>19.74767912</f>
        <v>19.747679120000001</v>
      </c>
      <c r="CY15">
        <f>20.00066826</f>
        <v>20.000668260000001</v>
      </c>
      <c r="CZ15">
        <f>19.04498713</f>
        <v>19.044987129999999</v>
      </c>
      <c r="DA15">
        <f>20.31396138</f>
        <v>20.313961379999999</v>
      </c>
      <c r="DB15">
        <f>18.98005851</f>
        <v>18.980058509999999</v>
      </c>
      <c r="DC15">
        <f>19.56509863</f>
        <v>19.565098630000001</v>
      </c>
      <c r="DD15">
        <f>20.45306414</f>
        <v>20.453064139999999</v>
      </c>
      <c r="DE15">
        <f>20.67459896</f>
        <v>20.674598960000001</v>
      </c>
      <c r="DF15">
        <f>21.65949887</f>
        <v>21.65949887</v>
      </c>
      <c r="DG15">
        <f>21.84471965</f>
        <v>21.844719649999998</v>
      </c>
      <c r="DH15">
        <f>22.13938251</f>
        <v>22.139382510000001</v>
      </c>
      <c r="DI15">
        <f>21.62563081</f>
        <v>21.625630810000001</v>
      </c>
      <c r="DJ15">
        <f>23.54738557</f>
        <v>23.547385569999999</v>
      </c>
      <c r="DK15">
        <f>23.35177031</f>
        <v>23.351770309999999</v>
      </c>
      <c r="DL15">
        <f>23.18979082</f>
        <v>23.189790819999999</v>
      </c>
      <c r="DM15">
        <f>24.4941459</f>
        <v>24.494145899999999</v>
      </c>
      <c r="DN15">
        <f>23.34191655</f>
        <v>23.341916550000001</v>
      </c>
      <c r="DO15">
        <f>21.91963643</f>
        <v>21.919636430000001</v>
      </c>
      <c r="DP15">
        <f>20.49838254</f>
        <v>20.498382540000001</v>
      </c>
      <c r="DQ15">
        <f>19.58900602</f>
        <v>19.589006019999999</v>
      </c>
      <c r="DR15">
        <f>20.82084032</f>
        <v>20.820840319999999</v>
      </c>
      <c r="DS15">
        <f>19.73013522</f>
        <v>19.730135220000001</v>
      </c>
      <c r="DT15">
        <f>21.02271862</f>
        <v>21.022718619999999</v>
      </c>
      <c r="DU15">
        <f>21.02836585</f>
        <v>21.02836585</v>
      </c>
      <c r="DV15">
        <f>22.30762585</f>
        <v>22.307625850000001</v>
      </c>
      <c r="DW15">
        <f>22.25078714</f>
        <v>22.25078714</v>
      </c>
      <c r="DX15">
        <f>22.72001549</f>
        <v>22.720015490000002</v>
      </c>
      <c r="DY15">
        <f>21.18027402</f>
        <v>21.180274019999999</v>
      </c>
      <c r="DZ15">
        <f>21.04464549</f>
        <v>21.044645490000001</v>
      </c>
      <c r="EA15">
        <f>20.89946173</f>
        <v>20.899461729999999</v>
      </c>
      <c r="EB15">
        <f>18.73689806</f>
        <v>18.736898060000001</v>
      </c>
      <c r="EC15">
        <f>20.38957055</f>
        <v>20.389570549999998</v>
      </c>
      <c r="ED15">
        <f>20.08413994</f>
        <v>20.08413994</v>
      </c>
      <c r="EE15">
        <f>19.77493876</f>
        <v>19.774938760000001</v>
      </c>
      <c r="EF15">
        <f>19.48217287</f>
        <v>19.482172869999999</v>
      </c>
      <c r="EG15">
        <f>18.78295738</f>
        <v>18.782957379999999</v>
      </c>
      <c r="EH15">
        <f>18.41810392</f>
        <v>18.41810392</v>
      </c>
      <c r="EI15">
        <f>18.69254718</f>
        <v>18.692547179999998</v>
      </c>
      <c r="EJ15">
        <f>17.75411461</f>
        <v>17.754114609999998</v>
      </c>
      <c r="EK15">
        <f>16.7444268</f>
        <v>16.744426799999999</v>
      </c>
      <c r="EL15">
        <f>16.74422092</f>
        <v>16.74422092</v>
      </c>
      <c r="EM15">
        <f>17.23124177</f>
        <v>17.23124177</v>
      </c>
      <c r="EN15">
        <f>17.78606756</f>
        <v>17.786067559999999</v>
      </c>
      <c r="EO15">
        <f>17.39666975</f>
        <v>17.396669750000001</v>
      </c>
      <c r="EP15">
        <f>18.98125121</f>
        <v>18.98125121</v>
      </c>
      <c r="EQ15">
        <f>19.9573766</f>
        <v>19.9573766</v>
      </c>
      <c r="ER15">
        <f>19.65452523</f>
        <v>19.654525230000001</v>
      </c>
      <c r="ES15">
        <f>19.97195376</f>
        <v>19.971953760000002</v>
      </c>
      <c r="ET15">
        <f>18.56121899</f>
        <v>18.56121899</v>
      </c>
      <c r="EU15">
        <f>19.00027114</f>
        <v>19.000271139999999</v>
      </c>
      <c r="EV15">
        <f>18.31607954</f>
        <v>18.31607954</v>
      </c>
      <c r="EW15">
        <f>18.75293354</f>
        <v>18.752933540000001</v>
      </c>
      <c r="EX15">
        <f>18.42312189</f>
        <v>18.423121890000001</v>
      </c>
      <c r="EY15">
        <f>19.14123807</f>
        <v>19.14123807</v>
      </c>
      <c r="EZ15">
        <f>19.39317405</f>
        <v>19.393174049999999</v>
      </c>
      <c r="FA15">
        <f>20.47197058</f>
        <v>20.471970580000001</v>
      </c>
      <c r="FB15">
        <f>21.62566354</f>
        <v>21.625663540000001</v>
      </c>
      <c r="FC15">
        <f>21.80897642</f>
        <v>21.80897642</v>
      </c>
      <c r="FD15">
        <f>21.51324283</f>
        <v>21.513242829999999</v>
      </c>
      <c r="FE15">
        <f>21.67014191</f>
        <v>21.670141910000002</v>
      </c>
      <c r="FF15">
        <f>22.35040881</f>
        <v>22.350408810000001</v>
      </c>
      <c r="FG15">
        <f>20.49351585</f>
        <v>20.493515850000001</v>
      </c>
      <c r="FH15">
        <f>21.4085771</f>
        <v>21.408577099999999</v>
      </c>
      <c r="FI15">
        <f>20.60383509</f>
        <v>20.60383509</v>
      </c>
      <c r="FJ15">
        <f>20.16908253</f>
        <v>20.169082530000001</v>
      </c>
      <c r="FK15">
        <f>21.65795605</f>
        <v>21.657956049999999</v>
      </c>
      <c r="FL15">
        <f>19.26999164</f>
        <v>19.269991640000001</v>
      </c>
      <c r="FM15">
        <f>22.98456526</f>
        <v>22.98456526</v>
      </c>
      <c r="FN15">
        <f>23.40371007</f>
        <v>23.403710069999999</v>
      </c>
      <c r="FO15">
        <f>22.77182227</f>
        <v>22.771822270000001</v>
      </c>
      <c r="FP15">
        <f>23.77131235</f>
        <v>23.771312349999999</v>
      </c>
      <c r="FQ15">
        <f>23.27578973</f>
        <v>23.27578973</v>
      </c>
    </row>
    <row r="16" spans="1:173">
      <c r="A16" t="str">
        <f>"    埃塞克斯房地产信托公司"</f>
        <v xml:space="preserve">    埃塞克斯房地产信托公司</v>
      </c>
      <c r="B16" t="str">
        <f>"ESS US Equity"</f>
        <v>ESS US Equity</v>
      </c>
      <c r="C16" t="str">
        <f t="shared" si="3"/>
        <v>BE249</v>
      </c>
      <c r="D16" t="str">
        <f t="shared" si="4"/>
        <v>BEST_PRICE_FFO_RATIO</v>
      </c>
      <c r="E16" t="str">
        <f t="shared" si="5"/>
        <v>动态</v>
      </c>
      <c r="F16">
        <f ca="1">IF(AND(ISNUMBER($F$265),$B$252=1),$F$265,HLOOKUP(INDIRECT(ADDRESS(2,COLUMN())),OFFSET($CL$2,0,0,ROW()-1,84),ROW()-1,FALSE))</f>
        <v>19.002397420000001</v>
      </c>
      <c r="G16">
        <f ca="1">IF(AND(ISNUMBER($G$265),$B$252=1),$G$265,HLOOKUP(INDIRECT(ADDRESS(2,COLUMN())),OFFSET($CL$2,0,0,ROW()-1,84),ROW()-1,FALSE))</f>
        <v>17.837613789999999</v>
      </c>
      <c r="H16">
        <f ca="1">IF(AND(ISNUMBER($H$265),$B$252=1),$H$265,HLOOKUP(INDIRECT(ADDRESS(2,COLUMN())),OFFSET($CL$2,0,0,ROW()-1,84),ROW()-1,FALSE))</f>
        <v>18.657025569999998</v>
      </c>
      <c r="I16">
        <f ca="1">IF(AND(ISNUMBER($I$265),$B$252=1),$I$265,HLOOKUP(INDIRECT(ADDRESS(2,COLUMN())),OFFSET($CL$2,0,0,ROW()-1,84),ROW()-1,FALSE))</f>
        <v>19.383414420000001</v>
      </c>
      <c r="J16">
        <f ca="1">IF(AND(ISNUMBER($J$265),$B$252=1),$J$265,HLOOKUP(INDIRECT(ADDRESS(2,COLUMN())),OFFSET($CL$2,0,0,ROW()-1,84),ROW()-1,FALSE))</f>
        <v>19.90548472</v>
      </c>
      <c r="K16">
        <f ca="1">IF(AND(ISNUMBER($K$265),$B$252=1),$K$265,HLOOKUP(INDIRECT(ADDRESS(2,COLUMN())),OFFSET($CL$2,0,0,ROW()-1,84),ROW()-1,FALSE))</f>
        <v>21.214517279999999</v>
      </c>
      <c r="L16">
        <f ca="1">IF(AND(ISNUMBER($L$265),$B$252=1),$L$265,HLOOKUP(INDIRECT(ADDRESS(2,COLUMN())),OFFSET($CL$2,0,0,ROW()-1,84),ROW()-1,FALSE))</f>
        <v>20.615553169999998</v>
      </c>
      <c r="M16">
        <f ca="1">IF(AND(ISNUMBER($M$265),$B$252=1),$M$265,HLOOKUP(INDIRECT(ADDRESS(2,COLUMN())),OFFSET($CL$2,0,0,ROW()-1,84),ROW()-1,FALSE))</f>
        <v>21.699593069999999</v>
      </c>
      <c r="N16">
        <f ca="1">IF(AND(ISNUMBER($N$265),$B$252=1),$N$265,HLOOKUP(INDIRECT(ADDRESS(2,COLUMN())),OFFSET($CL$2,0,0,ROW()-1,84),ROW()-1,FALSE))</f>
        <v>21.454943289999999</v>
      </c>
      <c r="O16">
        <f ca="1">IF(AND(ISNUMBER($O$265),$B$252=1),$O$265,HLOOKUP(INDIRECT(ADDRESS(2,COLUMN())),OFFSET($CL$2,0,0,ROW()-1,84),ROW()-1,FALSE))</f>
        <v>21.222520110000001</v>
      </c>
      <c r="P16">
        <f ca="1">IF(AND(ISNUMBER($P$265),$B$252=1),$P$265,HLOOKUP(INDIRECT(ADDRESS(2,COLUMN())),OFFSET($CL$2,0,0,ROW()-1,84),ROW()-1,FALSE))</f>
        <v>21.330317780000001</v>
      </c>
      <c r="Q16">
        <f ca="1">IF(AND(ISNUMBER($Q$265),$B$252=1),$Q$265,HLOOKUP(INDIRECT(ADDRESS(2,COLUMN())),OFFSET($CL$2,0,0,ROW()-1,84),ROW()-1,FALSE))</f>
        <v>20.52346588</v>
      </c>
      <c r="R16">
        <f ca="1">IF(AND(ISNUMBER($R$265),$B$252=1),$R$265,HLOOKUP(INDIRECT(ADDRESS(2,COLUMN())),OFFSET($CL$2,0,0,ROW()-1,84),ROW()-1,FALSE))</f>
        <v>19.500136860000001</v>
      </c>
      <c r="S16">
        <f ca="1">IF(AND(ISNUMBER($S$265),$B$252=1),$S$265,HLOOKUP(INDIRECT(ADDRESS(2,COLUMN())),OFFSET($CL$2,0,0,ROW()-1,84),ROW()-1,FALSE))</f>
        <v>19.85533929</v>
      </c>
      <c r="T16">
        <f ca="1">IF(AND(ISNUMBER($T$265),$B$252=1),$T$265,HLOOKUP(INDIRECT(ADDRESS(2,COLUMN())),OFFSET($CL$2,0,0,ROW()-1,84),ROW()-1,FALSE))</f>
        <v>18.963703779999999</v>
      </c>
      <c r="U16">
        <f ca="1">IF(AND(ISNUMBER($U$265),$B$252=1),$U$265,HLOOKUP(INDIRECT(ADDRESS(2,COLUMN())),OFFSET($CL$2,0,0,ROW()-1,84),ROW()-1,FALSE))</f>
        <v>19.742756109999998</v>
      </c>
      <c r="V16">
        <f ca="1">IF(AND(ISNUMBER($V$265),$B$252=1),$V$265,HLOOKUP(INDIRECT(ADDRESS(2,COLUMN())),OFFSET($CL$2,0,0,ROW()-1,84),ROW()-1,FALSE))</f>
        <v>18.38722023</v>
      </c>
      <c r="W16">
        <f ca="1">IF(AND(ISNUMBER($W$265),$B$252=1),$W$265,HLOOKUP(INDIRECT(ADDRESS(2,COLUMN())),OFFSET($CL$2,0,0,ROW()-1,84),ROW()-1,FALSE))</f>
        <v>18.365203279999999</v>
      </c>
      <c r="X16">
        <f ca="1">IF(AND(ISNUMBER($X$265),$B$252=1),$X$265,HLOOKUP(INDIRECT(ADDRESS(2,COLUMN())),OFFSET($CL$2,0,0,ROW()-1,84),ROW()-1,FALSE))</f>
        <v>19.173069890000001</v>
      </c>
      <c r="Y16">
        <f ca="1">IF(AND(ISNUMBER($Y$265),$B$252=1),$Y$265,HLOOKUP(INDIRECT(ADDRESS(2,COLUMN())),OFFSET($CL$2,0,0,ROW()-1,84),ROW()-1,FALSE))</f>
        <v>19.663472639999998</v>
      </c>
      <c r="Z16">
        <f ca="1">IF(AND(ISNUMBER($Z$265),$B$252=1),$Z$265,HLOOKUP(INDIRECT(ADDRESS(2,COLUMN())),OFFSET($CL$2,0,0,ROW()-1,84),ROW()-1,FALSE))</f>
        <v>20.405569109999998</v>
      </c>
      <c r="AA16">
        <f ca="1">IF(AND(ISNUMBER($AA$265),$B$252=1),$AA$265,HLOOKUP(INDIRECT(ADDRESS(2,COLUMN())),OFFSET($CL$2,0,0,ROW()-1,84),ROW()-1,FALSE))</f>
        <v>20.000238530000001</v>
      </c>
      <c r="AB16">
        <f ca="1">IF(AND(ISNUMBER($AB$265),$B$252=1),$AB$265,HLOOKUP(INDIRECT(ADDRESS(2,COLUMN())),OFFSET($CL$2,0,0,ROW()-1,84),ROW()-1,FALSE))</f>
        <v>20.020872579999999</v>
      </c>
      <c r="AC16">
        <f ca="1">IF(AND(ISNUMBER($AC$265),$B$252=1),$AC$265,HLOOKUP(INDIRECT(ADDRESS(2,COLUMN())),OFFSET($CL$2,0,0,ROW()-1,84),ROW()-1,FALSE))</f>
        <v>19.533682200000001</v>
      </c>
      <c r="AD16">
        <f ca="1">IF(AND(ISNUMBER($AD$265),$B$252=1),$AD$265,HLOOKUP(INDIRECT(ADDRESS(2,COLUMN())),OFFSET($CL$2,0,0,ROW()-1,84),ROW()-1,FALSE))</f>
        <v>20.830873839999999</v>
      </c>
      <c r="AE16">
        <f ca="1">IF(AND(ISNUMBER($AE$265),$B$252=1),$AE$265,HLOOKUP(INDIRECT(ADDRESS(2,COLUMN())),OFFSET($CL$2,0,0,ROW()-1,84),ROW()-1,FALSE))</f>
        <v>18.739621469999999</v>
      </c>
      <c r="AF16">
        <f ca="1">IF(AND(ISNUMBER($AF$265),$B$252=1),$AF$265,HLOOKUP(INDIRECT(ADDRESS(2,COLUMN())),OFFSET($CL$2,0,0,ROW()-1,84),ROW()-1,FALSE))</f>
        <v>19.401585499999999</v>
      </c>
      <c r="AG16">
        <f ca="1">IF(AND(ISNUMBER($AG$265),$B$252=1),$AG$265,HLOOKUP(INDIRECT(ADDRESS(2,COLUMN())),OFFSET($CL$2,0,0,ROW()-1,84),ROW()-1,FALSE))</f>
        <v>21.96825106</v>
      </c>
      <c r="AH16">
        <f ca="1">IF(AND(ISNUMBER($AH$265),$B$252=1),$AH$265,HLOOKUP(INDIRECT(ADDRESS(2,COLUMN())),OFFSET($CL$2,0,0,ROW()-1,84),ROW()-1,FALSE))</f>
        <v>21.424413779999998</v>
      </c>
      <c r="AI16">
        <f ca="1">IF(AND(ISNUMBER($AI$265),$B$252=1),$AI$265,HLOOKUP(INDIRECT(ADDRESS(2,COLUMN())),OFFSET($CL$2,0,0,ROW()-1,84),ROW()-1,FALSE))</f>
        <v>20.78684367</v>
      </c>
      <c r="AJ16">
        <f ca="1">IF(AND(ISNUMBER($AJ$265),$B$252=1),$AJ$265,HLOOKUP(INDIRECT(ADDRESS(2,COLUMN())),OFFSET($CL$2,0,0,ROW()-1,84),ROW()-1,FALSE))</f>
        <v>21.32452705</v>
      </c>
      <c r="AK16">
        <f ca="1">IF(AND(ISNUMBER($AK$265),$B$252=1),$AK$265,HLOOKUP(INDIRECT(ADDRESS(2,COLUMN())),OFFSET($CL$2,0,0,ROW()-1,84),ROW()-1,FALSE))</f>
        <v>20.69722947</v>
      </c>
      <c r="AL16">
        <f ca="1">IF(AND(ISNUMBER($AL$265),$B$252=1),$AL$265,HLOOKUP(INDIRECT(ADDRESS(2,COLUMN())),OFFSET($CL$2,0,0,ROW()-1,84),ROW()-1,FALSE))</f>
        <v>22.144892370000001</v>
      </c>
      <c r="AM16">
        <f ca="1">IF(AND(ISNUMBER($AM$265),$B$252=1),$AM$265,HLOOKUP(INDIRECT(ADDRESS(2,COLUMN())),OFFSET($CL$2,0,0,ROW()-1,84),ROW()-1,FALSE))</f>
        <v>21.225194070000001</v>
      </c>
      <c r="AN16">
        <f ca="1">IF(AND(ISNUMBER($AN$265),$B$252=1),$AN$265,HLOOKUP(INDIRECT(ADDRESS(2,COLUMN())),OFFSET($CL$2,0,0,ROW()-1,84),ROW()-1,FALSE))</f>
        <v>22.494803919999999</v>
      </c>
      <c r="AO16">
        <f ca="1">IF(AND(ISNUMBER($AO$265),$B$252=1),$AO$265,HLOOKUP(INDIRECT(ADDRESS(2,COLUMN())),OFFSET($CL$2,0,0,ROW()-1,84),ROW()-1,FALSE))</f>
        <v>22.737538579999999</v>
      </c>
      <c r="AP16">
        <f ca="1">IF(AND(ISNUMBER($AP$265),$B$252=1),$AP$265,HLOOKUP(INDIRECT(ADDRESS(2,COLUMN())),OFFSET($CL$2,0,0,ROW()-1,84),ROW()-1,FALSE))</f>
        <v>23.838910899999998</v>
      </c>
      <c r="AQ16">
        <f ca="1">IF(AND(ISNUMBER($AQ$265),$B$252=1),$AQ$265,HLOOKUP(INDIRECT(ADDRESS(2,COLUMN())),OFFSET($CL$2,0,0,ROW()-1,84),ROW()-1,FALSE))</f>
        <v>23.368461029999999</v>
      </c>
      <c r="AR16">
        <f ca="1">IF(AND(ISNUMBER($AR$265),$B$252=1),$AR$265,HLOOKUP(INDIRECT(ADDRESS(2,COLUMN())),OFFSET($CL$2,0,0,ROW()-1,84),ROW()-1,FALSE))</f>
        <v>23.953645519999998</v>
      </c>
      <c r="AS16">
        <f ca="1">IF(AND(ISNUMBER($AS$265),$B$252=1),$AS$265,HLOOKUP(INDIRECT(ADDRESS(2,COLUMN())),OFFSET($CL$2,0,0,ROW()-1,84),ROW()-1,FALSE))</f>
        <v>22.162188820000001</v>
      </c>
      <c r="AT16">
        <f ca="1">IF(AND(ISNUMBER($AT$265),$B$252=1),$AT$265,HLOOKUP(INDIRECT(ADDRESS(2,COLUMN())),OFFSET($CL$2,0,0,ROW()-1,84),ROW()-1,FALSE))</f>
        <v>21.923904180000001</v>
      </c>
      <c r="AU16">
        <f ca="1">IF(AND(ISNUMBER($AU$265),$B$252=1),$AU$265,HLOOKUP(INDIRECT(ADDRESS(2,COLUMN())),OFFSET($CL$2,0,0,ROW()-1,84),ROW()-1,FALSE))</f>
        <v>22.310876260000001</v>
      </c>
      <c r="AV16">
        <f ca="1">IF(AND(ISNUMBER($AV$265),$B$252=1),$AV$265,HLOOKUP(INDIRECT(ADDRESS(2,COLUMN())),OFFSET($CL$2,0,0,ROW()-1,84),ROW()-1,FALSE))</f>
        <v>20.159722169999998</v>
      </c>
      <c r="AW16">
        <f ca="1">IF(AND(ISNUMBER($AW$265),$B$252=1),$AW$265,HLOOKUP(INDIRECT(ADDRESS(2,COLUMN())),OFFSET($CL$2,0,0,ROW()-1,84),ROW()-1,FALSE))</f>
        <v>21.838193789999998</v>
      </c>
      <c r="AX16">
        <f ca="1">IF(AND(ISNUMBER($AX$265),$B$252=1),$AX$265,HLOOKUP(INDIRECT(ADDRESS(2,COLUMN())),OFFSET($CL$2,0,0,ROW()-1,84),ROW()-1,FALSE))</f>
        <v>22.033099230000001</v>
      </c>
      <c r="AY16">
        <f ca="1">IF(AND(ISNUMBER($AY$265),$B$252=1),$AY$265,HLOOKUP(INDIRECT(ADDRESS(2,COLUMN())),OFFSET($CL$2,0,0,ROW()-1,84),ROW()-1,FALSE))</f>
        <v>21.660591929999999</v>
      </c>
      <c r="AZ16">
        <f ca="1">IF(AND(ISNUMBER($AZ$265),$B$252=1),$AZ$265,HLOOKUP(INDIRECT(ADDRESS(2,COLUMN())),OFFSET($CL$2,0,0,ROW()-1,84),ROW()-1,FALSE))</f>
        <v>21.585593459999998</v>
      </c>
      <c r="BA16">
        <f ca="1">IF(AND(ISNUMBER($BA$265),$B$252=1),$BA$265,HLOOKUP(INDIRECT(ADDRESS(2,COLUMN())),OFFSET($CL$2,0,0,ROW()-1,84),ROW()-1,FALSE))</f>
        <v>20.234414050000002</v>
      </c>
      <c r="BB16">
        <f ca="1">IF(AND(ISNUMBER($BB$265),$B$252=1),$BB$265,HLOOKUP(INDIRECT(ADDRESS(2,COLUMN())),OFFSET($CL$2,0,0,ROW()-1,84),ROW()-1,FALSE))</f>
        <v>20.05036642</v>
      </c>
      <c r="BC16">
        <f ca="1">IF(AND(ISNUMBER($BC$265),$B$252=1),$BC$265,HLOOKUP(INDIRECT(ADDRESS(2,COLUMN())),OFFSET($CL$2,0,0,ROW()-1,84),ROW()-1,FALSE))</f>
        <v>19.882529160000001</v>
      </c>
      <c r="BD16">
        <f ca="1">IF(AND(ISNUMBER($BD$265),$B$252=1),$BD$265,HLOOKUP(INDIRECT(ADDRESS(2,COLUMN())),OFFSET($CL$2,0,0,ROW()-1,84),ROW()-1,FALSE))</f>
        <v>19.13593156</v>
      </c>
      <c r="BE16">
        <f ca="1">IF(AND(ISNUMBER($BE$265),$B$252=1),$BE$265,HLOOKUP(INDIRECT(ADDRESS(2,COLUMN())),OFFSET($CL$2,0,0,ROW()-1,84),ROW()-1,FALSE))</f>
        <v>17.358013069999998</v>
      </c>
      <c r="BF16">
        <f ca="1">IF(AND(ISNUMBER($BF$265),$B$252=1),$BF$265,HLOOKUP(INDIRECT(ADDRESS(2,COLUMN())),OFFSET($CL$2,0,0,ROW()-1,84),ROW()-1,FALSE))</f>
        <v>18.461459309999999</v>
      </c>
      <c r="BG16">
        <f ca="1">IF(AND(ISNUMBER($BG$265),$B$252=1),$BG$265,HLOOKUP(INDIRECT(ADDRESS(2,COLUMN())),OFFSET($CL$2,0,0,ROW()-1,84),ROW()-1,FALSE))</f>
        <v>19.671518729999999</v>
      </c>
      <c r="BH16">
        <f ca="1">IF(AND(ISNUMBER($BH$265),$B$252=1),$BH$265,HLOOKUP(INDIRECT(ADDRESS(2,COLUMN())),OFFSET($CL$2,0,0,ROW()-1,84),ROW()-1,FALSE))</f>
        <v>18.1384319</v>
      </c>
      <c r="BI16">
        <f ca="1">IF(AND(ISNUMBER($BI$265),$B$252=1),$BI$265,HLOOKUP(INDIRECT(ADDRESS(2,COLUMN())),OFFSET($CL$2,0,0,ROW()-1,84),ROW()-1,FALSE))</f>
        <v>17.66980848</v>
      </c>
      <c r="BJ16">
        <f ca="1">IF(AND(ISNUMBER($BJ$265),$B$252=1),$BJ$265,HLOOKUP(INDIRECT(ADDRESS(2,COLUMN())),OFFSET($CL$2,0,0,ROW()-1,84),ROW()-1,FALSE))</f>
        <v>20.008740849999999</v>
      </c>
      <c r="BK16">
        <f ca="1">IF(AND(ISNUMBER($BK$265),$B$252=1),$BK$265,HLOOKUP(INDIRECT(ADDRESS(2,COLUMN())),OFFSET($CL$2,0,0,ROW()-1,84),ROW()-1,FALSE))</f>
        <v>19.829573700000001</v>
      </c>
      <c r="BL16">
        <f ca="1">IF(AND(ISNUMBER($BL$265),$B$252=1),$BL$265,HLOOKUP(INDIRECT(ADDRESS(2,COLUMN())),OFFSET($CL$2,0,0,ROW()-1,84),ROW()-1,FALSE))</f>
        <v>19.715903829999998</v>
      </c>
      <c r="BM16">
        <f ca="1">IF(AND(ISNUMBER($BM$265),$B$252=1),$BM$265,HLOOKUP(INDIRECT(ADDRESS(2,COLUMN())),OFFSET($CL$2,0,0,ROW()-1,84),ROW()-1,FALSE))</f>
        <v>19.881723529999999</v>
      </c>
      <c r="BN16">
        <f ca="1">IF(AND(ISNUMBER($BN$265),$B$252=1),$BN$265,HLOOKUP(INDIRECT(ADDRESS(2,COLUMN())),OFFSET($CL$2,0,0,ROW()-1,84),ROW()-1,FALSE))</f>
        <v>19.18943333</v>
      </c>
      <c r="BO16">
        <f ca="1">IF(AND(ISNUMBER($BO$265),$B$252=1),$BO$265,HLOOKUP(INDIRECT(ADDRESS(2,COLUMN())),OFFSET($CL$2,0,0,ROW()-1,84),ROW()-1,FALSE))</f>
        <v>19.22447811</v>
      </c>
      <c r="BP16">
        <f ca="1">IF(AND(ISNUMBER($BP$265),$B$252=1),$BP$265,HLOOKUP(INDIRECT(ADDRESS(2,COLUMN())),OFFSET($CL$2,0,0,ROW()-1,84),ROW()-1,FALSE))</f>
        <v>20.199018039999999</v>
      </c>
      <c r="BQ16">
        <f ca="1">IF(AND(ISNUMBER($BQ$265),$B$252=1),$BQ$265,HLOOKUP(INDIRECT(ADDRESS(2,COLUMN())),OFFSET($CL$2,0,0,ROW()-1,84),ROW()-1,FALSE))</f>
        <v>19.477889470000001</v>
      </c>
      <c r="BR16">
        <f ca="1">IF(AND(ISNUMBER($BR$265),$B$252=1),$BR$265,HLOOKUP(INDIRECT(ADDRESS(2,COLUMN())),OFFSET($CL$2,0,0,ROW()-1,84),ROW()-1,FALSE))</f>
        <v>18.86147678</v>
      </c>
      <c r="BS16">
        <f ca="1">IF(AND(ISNUMBER($BS$265),$B$252=1),$BS$265,HLOOKUP(INDIRECT(ADDRESS(2,COLUMN())),OFFSET($CL$2,0,0,ROW()-1,84),ROW()-1,FALSE))</f>
        <v>20.412664299999999</v>
      </c>
      <c r="BT16">
        <f ca="1">IF(AND(ISNUMBER($BT$265),$B$252=1),$BT$265,HLOOKUP(INDIRECT(ADDRESS(2,COLUMN())),OFFSET($CL$2,0,0,ROW()-1,84),ROW()-1,FALSE))</f>
        <v>20.336850989999999</v>
      </c>
      <c r="BU16">
        <f ca="1">IF(AND(ISNUMBER($BU$265),$B$252=1),$BU$265,HLOOKUP(INDIRECT(ADDRESS(2,COLUMN())),OFFSET($CL$2,0,0,ROW()-1,84),ROW()-1,FALSE))</f>
        <v>21.003772730000001</v>
      </c>
      <c r="BV16">
        <f ca="1">IF(AND(ISNUMBER($BV$265),$B$252=1),$BV$265,HLOOKUP(INDIRECT(ADDRESS(2,COLUMN())),OFFSET($CL$2,0,0,ROW()-1,84),ROW()-1,FALSE))</f>
        <v>22.07450334</v>
      </c>
      <c r="BW16">
        <f ca="1">IF(AND(ISNUMBER($BW$265),$B$252=1),$BW$265,HLOOKUP(INDIRECT(ADDRESS(2,COLUMN())),OFFSET($CL$2,0,0,ROW()-1,84),ROW()-1,FALSE))</f>
        <v>21.778990530000002</v>
      </c>
      <c r="BX16">
        <f ca="1">IF(AND(ISNUMBER($BX$265),$B$252=1),$BX$265,HLOOKUP(INDIRECT(ADDRESS(2,COLUMN())),OFFSET($CL$2,0,0,ROW()-1,84),ROW()-1,FALSE))</f>
        <v>21.456270419999999</v>
      </c>
      <c r="BY16">
        <f ca="1">IF(AND(ISNUMBER($BY$265),$B$252=1),$BY$265,HLOOKUP(INDIRECT(ADDRESS(2,COLUMN())),OFFSET($CL$2,0,0,ROW()-1,84),ROW()-1,FALSE))</f>
        <v>22.85733214</v>
      </c>
      <c r="BZ16">
        <f ca="1">IF(AND(ISNUMBER($BZ$265),$B$252=1),$BZ$265,HLOOKUP(INDIRECT(ADDRESS(2,COLUMN())),OFFSET($CL$2,0,0,ROW()-1,84),ROW()-1,FALSE))</f>
        <v>22.136046499999999</v>
      </c>
      <c r="CA16">
        <f ca="1">IF(AND(ISNUMBER($CA$265),$B$252=1),$CA$265,HLOOKUP(INDIRECT(ADDRESS(2,COLUMN())),OFFSET($CL$2,0,0,ROW()-1,84),ROW()-1,FALSE))</f>
        <v>20.645719239999998</v>
      </c>
      <c r="CB16">
        <f ca="1">IF(AND(ISNUMBER($CB$265),$B$252=1),$CB$265,HLOOKUP(INDIRECT(ADDRESS(2,COLUMN())),OFFSET($CL$2,0,0,ROW()-1,84),ROW()-1,FALSE))</f>
        <v>21.592763949999998</v>
      </c>
      <c r="CC16">
        <f ca="1">IF(AND(ISNUMBER($CC$265),$B$252=1),$CC$265,HLOOKUP(INDIRECT(ADDRESS(2,COLUMN())),OFFSET($CL$2,0,0,ROW()-1,84),ROW()-1,FALSE))</f>
        <v>21.668428540000001</v>
      </c>
      <c r="CD16">
        <f ca="1">IF(AND(ISNUMBER($CD$265),$B$252=1),$CD$265,HLOOKUP(INDIRECT(ADDRESS(2,COLUMN())),OFFSET($CL$2,0,0,ROW()-1,84),ROW()-1,FALSE))</f>
        <v>20.698240869999999</v>
      </c>
      <c r="CE16">
        <f ca="1">IF(AND(ISNUMBER($CE$265),$B$252=1),$CE$265,HLOOKUP(INDIRECT(ADDRESS(2,COLUMN())),OFFSET($CL$2,0,0,ROW()-1,84),ROW()-1,FALSE))</f>
        <v>22.567128589999999</v>
      </c>
      <c r="CF16">
        <f ca="1">IF(AND(ISNUMBER($CF$265),$B$252=1),$CF$265,HLOOKUP(INDIRECT(ADDRESS(2,COLUMN())),OFFSET($CL$2,0,0,ROW()-1,84),ROW()-1,FALSE))</f>
        <v>19.17342171</v>
      </c>
      <c r="CG16">
        <f ca="1">IF(AND(ISNUMBER($CG$265),$B$252=1),$CG$265,HLOOKUP(INDIRECT(ADDRESS(2,COLUMN())),OFFSET($CL$2,0,0,ROW()-1,84),ROW()-1,FALSE))</f>
        <v>23.1694861</v>
      </c>
      <c r="CH16">
        <f ca="1">IF(AND(ISNUMBER($CH$265),$B$252=1),$CH$265,HLOOKUP(INDIRECT(ADDRESS(2,COLUMN())),OFFSET($CL$2,0,0,ROW()-1,84),ROW()-1,FALSE))</f>
        <v>23.30325728</v>
      </c>
      <c r="CI16">
        <f ca="1">IF(AND(ISNUMBER($CI$265),$B$252=1),$CI$265,HLOOKUP(INDIRECT(ADDRESS(2,COLUMN())),OFFSET($CL$2,0,0,ROW()-1,84),ROW()-1,FALSE))</f>
        <v>22.656930339999999</v>
      </c>
      <c r="CJ16">
        <f ca="1">IF(AND(ISNUMBER($CJ$265),$B$252=1),$CJ$265,HLOOKUP(INDIRECT(ADDRESS(2,COLUMN())),OFFSET($CL$2,0,0,ROW()-1,84),ROW()-1,FALSE))</f>
        <v>23.311830100000002</v>
      </c>
      <c r="CK16">
        <f ca="1">IF(AND(ISNUMBER($CK$265),$B$252=1),$CK$265,HLOOKUP(INDIRECT(ADDRESS(2,COLUMN())),OFFSET($CL$2,0,0,ROW()-1,84),ROW()-1,FALSE))</f>
        <v>23.68435916</v>
      </c>
      <c r="CL16">
        <f>19.00239742</f>
        <v>19.002397420000001</v>
      </c>
      <c r="CM16">
        <f>17.83761379</f>
        <v>17.837613789999999</v>
      </c>
      <c r="CN16">
        <f>18.65702557</f>
        <v>18.657025569999998</v>
      </c>
      <c r="CO16">
        <f>19.38341442</f>
        <v>19.383414420000001</v>
      </c>
      <c r="CP16">
        <f>19.90548472</f>
        <v>19.90548472</v>
      </c>
      <c r="CQ16">
        <f>21.21451728</f>
        <v>21.214517279999999</v>
      </c>
      <c r="CR16">
        <f>20.61555317</f>
        <v>20.615553169999998</v>
      </c>
      <c r="CS16">
        <f>21.69959307</f>
        <v>21.699593069999999</v>
      </c>
      <c r="CT16">
        <f>21.45494329</f>
        <v>21.454943289999999</v>
      </c>
      <c r="CU16">
        <f>21.22252011</f>
        <v>21.222520110000001</v>
      </c>
      <c r="CV16">
        <f>21.33031778</f>
        <v>21.330317780000001</v>
      </c>
      <c r="CW16">
        <f>20.52346588</f>
        <v>20.52346588</v>
      </c>
      <c r="CX16">
        <f>19.50013686</f>
        <v>19.500136860000001</v>
      </c>
      <c r="CY16">
        <f>19.85533929</f>
        <v>19.85533929</v>
      </c>
      <c r="CZ16">
        <f>18.96370378</f>
        <v>18.963703779999999</v>
      </c>
      <c r="DA16">
        <f>19.74275611</f>
        <v>19.742756109999998</v>
      </c>
      <c r="DB16">
        <f>18.38722023</f>
        <v>18.38722023</v>
      </c>
      <c r="DC16">
        <f>18.36520328</f>
        <v>18.365203279999999</v>
      </c>
      <c r="DD16">
        <f>19.17306989</f>
        <v>19.173069890000001</v>
      </c>
      <c r="DE16">
        <f>19.66347264</f>
        <v>19.663472639999998</v>
      </c>
      <c r="DF16">
        <f>20.40556911</f>
        <v>20.405569109999998</v>
      </c>
      <c r="DG16">
        <f>20.00023853</f>
        <v>20.000238530000001</v>
      </c>
      <c r="DH16">
        <f>20.02087258</f>
        <v>20.020872579999999</v>
      </c>
      <c r="DI16">
        <f>19.5336822</f>
        <v>19.533682200000001</v>
      </c>
      <c r="DJ16">
        <f>20.83087384</f>
        <v>20.830873839999999</v>
      </c>
      <c r="DK16">
        <f>18.73962147</f>
        <v>18.739621469999999</v>
      </c>
      <c r="DL16">
        <f>19.4015855</f>
        <v>19.401585499999999</v>
      </c>
      <c r="DM16">
        <f>21.96825106</f>
        <v>21.96825106</v>
      </c>
      <c r="DN16">
        <f>21.42441378</f>
        <v>21.424413779999998</v>
      </c>
      <c r="DO16">
        <f>20.78684367</f>
        <v>20.78684367</v>
      </c>
      <c r="DP16">
        <f>21.32452705</f>
        <v>21.32452705</v>
      </c>
      <c r="DQ16">
        <f>20.69722947</f>
        <v>20.69722947</v>
      </c>
      <c r="DR16">
        <f>22.14489237</f>
        <v>22.144892370000001</v>
      </c>
      <c r="DS16">
        <f>21.22519407</f>
        <v>21.225194070000001</v>
      </c>
      <c r="DT16">
        <f>22.49480392</f>
        <v>22.494803919999999</v>
      </c>
      <c r="DU16">
        <f>22.73753858</f>
        <v>22.737538579999999</v>
      </c>
      <c r="DV16">
        <f>23.8389109</f>
        <v>23.838910899999998</v>
      </c>
      <c r="DW16">
        <f>23.36846103</f>
        <v>23.368461029999999</v>
      </c>
      <c r="DX16">
        <f>23.95364552</f>
        <v>23.953645519999998</v>
      </c>
      <c r="DY16">
        <f>22.16218882</f>
        <v>22.162188820000001</v>
      </c>
      <c r="DZ16">
        <f>21.92390418</f>
        <v>21.923904180000001</v>
      </c>
      <c r="EA16">
        <f>22.31087626</f>
        <v>22.310876260000001</v>
      </c>
      <c r="EB16">
        <f>20.15972217</f>
        <v>20.159722169999998</v>
      </c>
      <c r="EC16">
        <f>21.83819379</f>
        <v>21.838193789999998</v>
      </c>
      <c r="ED16">
        <f>22.03309923</f>
        <v>22.033099230000001</v>
      </c>
      <c r="EE16">
        <f>21.66059193</f>
        <v>21.660591929999999</v>
      </c>
      <c r="EF16">
        <f>21.58559346</f>
        <v>21.585593459999998</v>
      </c>
      <c r="EG16">
        <f>20.23441405</f>
        <v>20.234414050000002</v>
      </c>
      <c r="EH16">
        <f>20.05036642</f>
        <v>20.05036642</v>
      </c>
      <c r="EI16">
        <f>19.88252916</f>
        <v>19.882529160000001</v>
      </c>
      <c r="EJ16">
        <f>19.13593156</f>
        <v>19.13593156</v>
      </c>
      <c r="EK16">
        <f>17.35801307</f>
        <v>17.358013069999998</v>
      </c>
      <c r="EL16">
        <f>18.46145931</f>
        <v>18.461459309999999</v>
      </c>
      <c r="EM16">
        <f>19.67151873</f>
        <v>19.671518729999999</v>
      </c>
      <c r="EN16">
        <f>18.1384319</f>
        <v>18.1384319</v>
      </c>
      <c r="EO16">
        <f>17.66980848</f>
        <v>17.66980848</v>
      </c>
      <c r="EP16">
        <f>20.00874085</f>
        <v>20.008740849999999</v>
      </c>
      <c r="EQ16">
        <f>19.8295737</f>
        <v>19.829573700000001</v>
      </c>
      <c r="ER16">
        <f>19.71590383</f>
        <v>19.715903829999998</v>
      </c>
      <c r="ES16">
        <f>19.88172353</f>
        <v>19.881723529999999</v>
      </c>
      <c r="ET16">
        <f>19.18943333</f>
        <v>19.18943333</v>
      </c>
      <c r="EU16">
        <f>19.22447811</f>
        <v>19.22447811</v>
      </c>
      <c r="EV16">
        <f>20.19901804</f>
        <v>20.199018039999999</v>
      </c>
      <c r="EW16">
        <f>19.47788947</f>
        <v>19.477889470000001</v>
      </c>
      <c r="EX16">
        <f>18.86147678</f>
        <v>18.86147678</v>
      </c>
      <c r="EY16">
        <f>20.4126643</f>
        <v>20.412664299999999</v>
      </c>
      <c r="EZ16">
        <f>20.33685099</f>
        <v>20.336850989999999</v>
      </c>
      <c r="FA16">
        <f>21.00377273</f>
        <v>21.003772730000001</v>
      </c>
      <c r="FB16">
        <f>22.07450334</f>
        <v>22.07450334</v>
      </c>
      <c r="FC16">
        <f>21.77899053</f>
        <v>21.778990530000002</v>
      </c>
      <c r="FD16">
        <f>21.45627042</f>
        <v>21.456270419999999</v>
      </c>
      <c r="FE16">
        <f>22.85733214</f>
        <v>22.85733214</v>
      </c>
      <c r="FF16">
        <f>22.1360465</f>
        <v>22.136046499999999</v>
      </c>
      <c r="FG16">
        <f>20.64571924</f>
        <v>20.645719239999998</v>
      </c>
      <c r="FH16">
        <f>21.59276395</f>
        <v>21.592763949999998</v>
      </c>
      <c r="FI16">
        <f>21.66842854</f>
        <v>21.668428540000001</v>
      </c>
      <c r="FJ16">
        <f>20.69824087</f>
        <v>20.698240869999999</v>
      </c>
      <c r="FK16">
        <f>22.56712859</f>
        <v>22.567128589999999</v>
      </c>
      <c r="FL16">
        <f>19.17342171</f>
        <v>19.17342171</v>
      </c>
      <c r="FM16">
        <f>23.1694861</f>
        <v>23.1694861</v>
      </c>
      <c r="FN16">
        <f>23.30325728</f>
        <v>23.30325728</v>
      </c>
      <c r="FO16">
        <f>22.65693034</f>
        <v>22.656930339999999</v>
      </c>
      <c r="FP16">
        <f>23.3118301</f>
        <v>23.311830100000002</v>
      </c>
      <c r="FQ16">
        <f>23.68435916</f>
        <v>23.68435916</v>
      </c>
    </row>
    <row r="17" spans="1:173">
      <c r="A17" t="str">
        <f>"    Mid-America Apartment Communities股份有限公司"</f>
        <v xml:space="preserve">    Mid-America Apartment Communities股份有限公司</v>
      </c>
      <c r="B17" t="str">
        <f>"MAA US Equity"</f>
        <v>MAA US Equity</v>
      </c>
      <c r="C17" t="str">
        <f t="shared" si="3"/>
        <v>BE249</v>
      </c>
      <c r="D17" t="str">
        <f t="shared" si="4"/>
        <v>BEST_PRICE_FFO_RATIO</v>
      </c>
      <c r="E17" t="str">
        <f t="shared" si="5"/>
        <v>动态</v>
      </c>
      <c r="F17">
        <f ca="1">IF(AND(ISNUMBER($F$266),$B$252=1),$F$266,HLOOKUP(INDIRECT(ADDRESS(2,COLUMN())),OFFSET($CL$2,0,0,ROW()-1,84),ROW()-1,FALSE))</f>
        <v>14.649075420000001</v>
      </c>
      <c r="G17">
        <f ca="1">IF(AND(ISNUMBER($G$266),$B$252=1),$G$266,HLOOKUP(INDIRECT(ADDRESS(2,COLUMN())),OFFSET($CL$2,0,0,ROW()-1,84),ROW()-1,FALSE))</f>
        <v>14.02659032</v>
      </c>
      <c r="H17">
        <f ca="1">IF(AND(ISNUMBER($H$266),$B$252=1),$H$266,HLOOKUP(INDIRECT(ADDRESS(2,COLUMN())),OFFSET($CL$2,0,0,ROW()-1,84),ROW()-1,FALSE))</f>
        <v>15.464214</v>
      </c>
      <c r="I17">
        <f ca="1">IF(AND(ISNUMBER($I$266),$B$252=1),$I$266,HLOOKUP(INDIRECT(ADDRESS(2,COLUMN())),OFFSET($CL$2,0,0,ROW()-1,84),ROW()-1,FALSE))</f>
        <v>16.247447999999999</v>
      </c>
      <c r="J17">
        <f ca="1">IF(AND(ISNUMBER($J$266),$B$252=1),$J$266,HLOOKUP(INDIRECT(ADDRESS(2,COLUMN())),OFFSET($CL$2,0,0,ROW()-1,84),ROW()-1,FALSE))</f>
        <v>16.465193620000001</v>
      </c>
      <c r="K17">
        <f ca="1">IF(AND(ISNUMBER($K$266),$B$252=1),$K$266,HLOOKUP(INDIRECT(ADDRESS(2,COLUMN())),OFFSET($CL$2,0,0,ROW()-1,84),ROW()-1,FALSE))</f>
        <v>16.418322790000001</v>
      </c>
      <c r="L17">
        <f ca="1">IF(AND(ISNUMBER($L$266),$B$252=1),$L$266,HLOOKUP(INDIRECT(ADDRESS(2,COLUMN())),OFFSET($CL$2,0,0,ROW()-1,84),ROW()-1,FALSE))</f>
        <v>17.10969704</v>
      </c>
      <c r="M17">
        <f ca="1">IF(AND(ISNUMBER($M$266),$B$252=1),$M$266,HLOOKUP(INDIRECT(ADDRESS(2,COLUMN())),OFFSET($CL$2,0,0,ROW()-1,84),ROW()-1,FALSE))</f>
        <v>17.170097670000001</v>
      </c>
      <c r="N17">
        <f ca="1">IF(AND(ISNUMBER($N$266),$B$252=1),$N$266,HLOOKUP(INDIRECT(ADDRESS(2,COLUMN())),OFFSET($CL$2,0,0,ROW()-1,84),ROW()-1,FALSE))</f>
        <v>16.807560420000001</v>
      </c>
      <c r="O17">
        <f ca="1">IF(AND(ISNUMBER($O$266),$B$252=1),$O$266,HLOOKUP(INDIRECT(ADDRESS(2,COLUMN())),OFFSET($CL$2,0,0,ROW()-1,84),ROW()-1,FALSE))</f>
        <v>17.160071649999999</v>
      </c>
      <c r="P17">
        <f ca="1">IF(AND(ISNUMBER($P$266),$B$252=1),$P$266,HLOOKUP(INDIRECT(ADDRESS(2,COLUMN())),OFFSET($CL$2,0,0,ROW()-1,84),ROW()-1,FALSE))</f>
        <v>16.71166435</v>
      </c>
      <c r="Q17">
        <f ca="1">IF(AND(ISNUMBER($Q$266),$B$252=1),$Q$266,HLOOKUP(INDIRECT(ADDRESS(2,COLUMN())),OFFSET($CL$2,0,0,ROW()-1,84),ROW()-1,FALSE))</f>
        <v>16.446861689999999</v>
      </c>
      <c r="R17">
        <f ca="1">IF(AND(ISNUMBER($R$266),$B$252=1),$R$266,HLOOKUP(INDIRECT(ADDRESS(2,COLUMN())),OFFSET($CL$2,0,0,ROW()-1,84),ROW()-1,FALSE))</f>
        <v>16.992066810000001</v>
      </c>
      <c r="S17">
        <f ca="1">IF(AND(ISNUMBER($S$266),$B$252=1),$S$266,HLOOKUP(INDIRECT(ADDRESS(2,COLUMN())),OFFSET($CL$2,0,0,ROW()-1,84),ROW()-1,FALSE))</f>
        <v>17.255967900000002</v>
      </c>
      <c r="T17">
        <f ca="1">IF(AND(ISNUMBER($T$266),$B$252=1),$T$266,HLOOKUP(INDIRECT(ADDRESS(2,COLUMN())),OFFSET($CL$2,0,0,ROW()-1,84),ROW()-1,FALSE))</f>
        <v>15.874549679999999</v>
      </c>
      <c r="U17">
        <f ca="1">IF(AND(ISNUMBER($U$266),$B$252=1),$U$266,HLOOKUP(INDIRECT(ADDRESS(2,COLUMN())),OFFSET($CL$2,0,0,ROW()-1,84),ROW()-1,FALSE))</f>
        <v>16.42670012</v>
      </c>
      <c r="V17">
        <f ca="1">IF(AND(ISNUMBER($V$266),$B$252=1),$V$266,HLOOKUP(INDIRECT(ADDRESS(2,COLUMN())),OFFSET($CL$2,0,0,ROW()-1,84),ROW()-1,FALSE))</f>
        <v>14.90775002</v>
      </c>
      <c r="W17">
        <f ca="1">IF(AND(ISNUMBER($W$266),$B$252=1),$W$266,HLOOKUP(INDIRECT(ADDRESS(2,COLUMN())),OFFSET($CL$2,0,0,ROW()-1,84),ROW()-1,FALSE))</f>
        <v>15.16025902</v>
      </c>
      <c r="X17">
        <f ca="1">IF(AND(ISNUMBER($X$266),$B$252=1),$X$266,HLOOKUP(INDIRECT(ADDRESS(2,COLUMN())),OFFSET($CL$2,0,0,ROW()-1,84),ROW()-1,FALSE))</f>
        <v>15.355961280000001</v>
      </c>
      <c r="Y17">
        <f ca="1">IF(AND(ISNUMBER($Y$266),$B$252=1),$Y$266,HLOOKUP(INDIRECT(ADDRESS(2,COLUMN())),OFFSET($CL$2,0,0,ROW()-1,84),ROW()-1,FALSE))</f>
        <v>15.459729149999999</v>
      </c>
      <c r="Z17">
        <f ca="1">IF(AND(ISNUMBER($Z$266),$B$252=1),$Z$266,HLOOKUP(INDIRECT(ADDRESS(2,COLUMN())),OFFSET($CL$2,0,0,ROW()-1,84),ROW()-1,FALSE))</f>
        <v>17.258668400000001</v>
      </c>
      <c r="AA17">
        <f ca="1">IF(AND(ISNUMBER($AA$266),$B$252=1),$AA$266,HLOOKUP(INDIRECT(ADDRESS(2,COLUMN())),OFFSET($CL$2,0,0,ROW()-1,84),ROW()-1,FALSE))</f>
        <v>17.421667930000002</v>
      </c>
      <c r="AB17">
        <f ca="1">IF(AND(ISNUMBER($AB$266),$B$252=1),$AB$266,HLOOKUP(INDIRECT(ADDRESS(2,COLUMN())),OFFSET($CL$2,0,0,ROW()-1,84),ROW()-1,FALSE))</f>
        <v>16.9245546</v>
      </c>
      <c r="AC17">
        <f ca="1">IF(AND(ISNUMBER($AC$266),$B$252=1),$AC$266,HLOOKUP(INDIRECT(ADDRESS(2,COLUMN())),OFFSET($CL$2,0,0,ROW()-1,84),ROW()-1,FALSE))</f>
        <v>15.892375879999999</v>
      </c>
      <c r="AD17">
        <f ca="1">IF(AND(ISNUMBER($AD$266),$B$252=1),$AD$266,HLOOKUP(INDIRECT(ADDRESS(2,COLUMN())),OFFSET($CL$2,0,0,ROW()-1,84),ROW()-1,FALSE))</f>
        <v>17.000607970000001</v>
      </c>
      <c r="AE17">
        <f ca="1">IF(AND(ISNUMBER($AE$266),$B$252=1),$AE$266,HLOOKUP(INDIRECT(ADDRESS(2,COLUMN())),OFFSET($CL$2,0,0,ROW()-1,84),ROW()-1,FALSE))</f>
        <v>15.002588380000001</v>
      </c>
      <c r="AF17">
        <f ca="1">IF(AND(ISNUMBER($AF$266),$B$252=1),$AF$266,HLOOKUP(INDIRECT(ADDRESS(2,COLUMN())),OFFSET($CL$2,0,0,ROW()-1,84),ROW()-1,FALSE))</f>
        <v>15.96100242</v>
      </c>
      <c r="AG17">
        <f ca="1">IF(AND(ISNUMBER($AG$266),$B$252=1),$AG$266,HLOOKUP(INDIRECT(ADDRESS(2,COLUMN())),OFFSET($CL$2,0,0,ROW()-1,84),ROW()-1,FALSE))</f>
        <v>15.48073645</v>
      </c>
      <c r="AH17">
        <f ca="1">IF(AND(ISNUMBER($AH$266),$B$252=1),$AH$266,HLOOKUP(INDIRECT(ADDRESS(2,COLUMN())),OFFSET($CL$2,0,0,ROW()-1,84),ROW()-1,FALSE))</f>
        <v>15.14447902</v>
      </c>
      <c r="AI17">
        <f ca="1">IF(AND(ISNUMBER($AI$266),$B$252=1),$AI$266,HLOOKUP(INDIRECT(ADDRESS(2,COLUMN())),OFFSET($CL$2,0,0,ROW()-1,84),ROW()-1,FALSE))</f>
        <v>14.76685734</v>
      </c>
      <c r="AJ17">
        <f ca="1">IF(AND(ISNUMBER($AJ$266),$B$252=1),$AJ$266,HLOOKUP(INDIRECT(ADDRESS(2,COLUMN())),OFFSET($CL$2,0,0,ROW()-1,84),ROW()-1,FALSE))</f>
        <v>14.411795529999999</v>
      </c>
      <c r="AK17">
        <f ca="1">IF(AND(ISNUMBER($AK$266),$B$252=1),$AK$266,HLOOKUP(INDIRECT(ADDRESS(2,COLUMN())),OFFSET($CL$2,0,0,ROW()-1,84),ROW()-1,FALSE))</f>
        <v>13.97548149</v>
      </c>
      <c r="AL17">
        <f ca="1">IF(AND(ISNUMBER($AL$266),$B$252=1),$AL$266,HLOOKUP(INDIRECT(ADDRESS(2,COLUMN())),OFFSET($CL$2,0,0,ROW()-1,84),ROW()-1,FALSE))</f>
        <v>14.38766465</v>
      </c>
      <c r="AM17">
        <f ca="1">IF(AND(ISNUMBER($AM$266),$B$252=1),$AM$266,HLOOKUP(INDIRECT(ADDRESS(2,COLUMN())),OFFSET($CL$2,0,0,ROW()-1,84),ROW()-1,FALSE))</f>
        <v>13.23217638</v>
      </c>
      <c r="AN17">
        <f ca="1">IF(AND(ISNUMBER($AN$266),$B$252=1),$AN$266,HLOOKUP(INDIRECT(ADDRESS(2,COLUMN())),OFFSET($CL$2,0,0,ROW()-1,84),ROW()-1,FALSE))</f>
        <v>13.955040670000001</v>
      </c>
      <c r="AO17">
        <f ca="1">IF(AND(ISNUMBER($AO$266),$B$252=1),$AO$266,HLOOKUP(INDIRECT(ADDRESS(2,COLUMN())),OFFSET($CL$2,0,0,ROW()-1,84),ROW()-1,FALSE))</f>
        <v>13.714204219999999</v>
      </c>
      <c r="AP17">
        <f ca="1">IF(AND(ISNUMBER($AP$266),$B$252=1),$AP$266,HLOOKUP(INDIRECT(ADDRESS(2,COLUMN())),OFFSET($CL$2,0,0,ROW()-1,84),ROW()-1,FALSE))</f>
        <v>14.24816978</v>
      </c>
      <c r="AQ17">
        <f ca="1">IF(AND(ISNUMBER($AQ$266),$B$252=1),$AQ$266,HLOOKUP(INDIRECT(ADDRESS(2,COLUMN())),OFFSET($CL$2,0,0,ROW()-1,84),ROW()-1,FALSE))</f>
        <v>13.292050959999999</v>
      </c>
      <c r="AR17">
        <f ca="1">IF(AND(ISNUMBER($AR$266),$B$252=1),$AR$266,HLOOKUP(INDIRECT(ADDRESS(2,COLUMN())),OFFSET($CL$2,0,0,ROW()-1,84),ROW()-1,FALSE))</f>
        <v>14.65723594</v>
      </c>
      <c r="AS17">
        <f ca="1">IF(AND(ISNUMBER($AS$266),$B$252=1),$AS$266,HLOOKUP(INDIRECT(ADDRESS(2,COLUMN())),OFFSET($CL$2,0,0,ROW()-1,84),ROW()-1,FALSE))</f>
        <v>13.855977019999999</v>
      </c>
      <c r="AT17">
        <f ca="1">IF(AND(ISNUMBER($AT$266),$B$252=1),$AT$266,HLOOKUP(INDIRECT(ADDRESS(2,COLUMN())),OFFSET($CL$2,0,0,ROW()-1,84),ROW()-1,FALSE))</f>
        <v>13.672516679999999</v>
      </c>
      <c r="AU17">
        <f ca="1">IF(AND(ISNUMBER($AU$266),$B$252=1),$AU$266,HLOOKUP(INDIRECT(ADDRESS(2,COLUMN())),OFFSET($CL$2,0,0,ROW()-1,84),ROW()-1,FALSE))</f>
        <v>13.23470721</v>
      </c>
      <c r="AV17">
        <f ca="1">IF(AND(ISNUMBER($AV$266),$B$252=1),$AV$266,HLOOKUP(INDIRECT(ADDRESS(2,COLUMN())),OFFSET($CL$2,0,0,ROW()-1,84),ROW()-1,FALSE))</f>
        <v>12.54381457</v>
      </c>
      <c r="AW17">
        <f ca="1">IF(AND(ISNUMBER($AW$266),$B$252=1),$AW$266,HLOOKUP(INDIRECT(ADDRESS(2,COLUMN())),OFFSET($CL$2,0,0,ROW()-1,84),ROW()-1,FALSE))</f>
        <v>13.73860182</v>
      </c>
      <c r="AX17">
        <f ca="1">IF(AND(ISNUMBER($AX$266),$B$252=1),$AX$266,HLOOKUP(INDIRECT(ADDRESS(2,COLUMN())),OFFSET($CL$2,0,0,ROW()-1,84),ROW()-1,FALSE))</f>
        <v>13.226261879999999</v>
      </c>
      <c r="AY17">
        <f ca="1">IF(AND(ISNUMBER($AY$266),$B$252=1),$AY$266,HLOOKUP(INDIRECT(ADDRESS(2,COLUMN())),OFFSET($CL$2,0,0,ROW()-1,84),ROW()-1,FALSE))</f>
        <v>13.91477315</v>
      </c>
      <c r="AZ17">
        <f ca="1">IF(AND(ISNUMBER($AZ$266),$B$252=1),$AZ$266,HLOOKUP(INDIRECT(ADDRESS(2,COLUMN())),OFFSET($CL$2,0,0,ROW()-1,84),ROW()-1,FALSE))</f>
        <v>13.867775829999999</v>
      </c>
      <c r="BA17">
        <f ca="1">IF(AND(ISNUMBER($BA$266),$B$252=1),$BA$266,HLOOKUP(INDIRECT(ADDRESS(2,COLUMN())),OFFSET($CL$2,0,0,ROW()-1,84),ROW()-1,FALSE))</f>
        <v>13.67103601</v>
      </c>
      <c r="BB17">
        <f ca="1">IF(AND(ISNUMBER($BB$266),$B$252=1),$BB$266,HLOOKUP(INDIRECT(ADDRESS(2,COLUMN())),OFFSET($CL$2,0,0,ROW()-1,84),ROW()-1,FALSE))</f>
        <v>13.399159279999999</v>
      </c>
      <c r="BC17">
        <f ca="1">IF(AND(ISNUMBER($BC$266),$B$252=1),$BC$266,HLOOKUP(INDIRECT(ADDRESS(2,COLUMN())),OFFSET($CL$2,0,0,ROW()-1,84),ROW()-1,FALSE))</f>
        <v>13.41887359</v>
      </c>
      <c r="BD17">
        <f ca="1">IF(AND(ISNUMBER($BD$266),$B$252=1),$BD$266,HLOOKUP(INDIRECT(ADDRESS(2,COLUMN())),OFFSET($CL$2,0,0,ROW()-1,84),ROW()-1,FALSE))</f>
        <v>12.391063880000001</v>
      </c>
      <c r="BE17">
        <f ca="1">IF(AND(ISNUMBER($BE$266),$B$252=1),$BE$266,HLOOKUP(INDIRECT(ADDRESS(2,COLUMN())),OFFSET($CL$2,0,0,ROW()-1,84),ROW()-1,FALSE))</f>
        <v>11.728210929999999</v>
      </c>
      <c r="BF17">
        <f ca="1">IF(AND(ISNUMBER($BF$266),$B$252=1),$BF$266,HLOOKUP(INDIRECT(ADDRESS(2,COLUMN())),OFFSET($CL$2,0,0,ROW()-1,84),ROW()-1,FALSE))</f>
        <v>11.687416239999999</v>
      </c>
      <c r="BG17">
        <f ca="1">IF(AND(ISNUMBER($BG$266),$B$252=1),$BG$266,HLOOKUP(INDIRECT(ADDRESS(2,COLUMN())),OFFSET($CL$2,0,0,ROW()-1,84),ROW()-1,FALSE))</f>
        <v>12.80928574</v>
      </c>
      <c r="BH17">
        <f ca="1">IF(AND(ISNUMBER($BH$266),$B$252=1),$BH$266,HLOOKUP(INDIRECT(ADDRESS(2,COLUMN())),OFFSET($CL$2,0,0,ROW()-1,84),ROW()-1,FALSE))</f>
        <v>12.11164767</v>
      </c>
      <c r="BI17">
        <f ca="1">IF(AND(ISNUMBER($BI$266),$B$252=1),$BI$266,HLOOKUP(INDIRECT(ADDRESS(2,COLUMN())),OFFSET($CL$2,0,0,ROW()-1,84),ROW()-1,FALSE))</f>
        <v>11.884276939999999</v>
      </c>
      <c r="BJ17">
        <f ca="1">IF(AND(ISNUMBER($BJ$266),$B$252=1),$BJ$266,HLOOKUP(INDIRECT(ADDRESS(2,COLUMN())),OFFSET($CL$2,0,0,ROW()-1,84),ROW()-1,FALSE))</f>
        <v>13.1617826</v>
      </c>
      <c r="BK17">
        <f ca="1">IF(AND(ISNUMBER($BK$266),$B$252=1),$BK$266,HLOOKUP(INDIRECT(ADDRESS(2,COLUMN())),OFFSET($CL$2,0,0,ROW()-1,84),ROW()-1,FALSE))</f>
        <v>13.267223850000001</v>
      </c>
      <c r="BL17">
        <f ca="1">IF(AND(ISNUMBER($BL$266),$B$252=1),$BL$266,HLOOKUP(INDIRECT(ADDRESS(2,COLUMN())),OFFSET($CL$2,0,0,ROW()-1,84),ROW()-1,FALSE))</f>
        <v>13.457274099999999</v>
      </c>
      <c r="BM17">
        <f ca="1">IF(AND(ISNUMBER($BM$266),$B$252=1),$BM$266,HLOOKUP(INDIRECT(ADDRESS(2,COLUMN())),OFFSET($CL$2,0,0,ROW()-1,84),ROW()-1,FALSE))</f>
        <v>13.78249986</v>
      </c>
      <c r="BN17">
        <f ca="1">IF(AND(ISNUMBER($BN$266),$B$252=1),$BN$266,HLOOKUP(INDIRECT(ADDRESS(2,COLUMN())),OFFSET($CL$2,0,0,ROW()-1,84),ROW()-1,FALSE))</f>
        <v>13.90651079</v>
      </c>
      <c r="BO17">
        <f ca="1">IF(AND(ISNUMBER($BO$266),$B$252=1),$BO$266,HLOOKUP(INDIRECT(ADDRESS(2,COLUMN())),OFFSET($CL$2,0,0,ROW()-1,84),ROW()-1,FALSE))</f>
        <v>14.069338139999999</v>
      </c>
      <c r="BP17">
        <f ca="1">IF(AND(ISNUMBER($BP$266),$B$252=1),$BP$266,HLOOKUP(INDIRECT(ADDRESS(2,COLUMN())),OFFSET($CL$2,0,0,ROW()-1,84),ROW()-1,FALSE))</f>
        <v>13.432117760000001</v>
      </c>
      <c r="BQ17">
        <f ca="1">IF(AND(ISNUMBER($BQ$266),$B$252=1),$BQ$266,HLOOKUP(INDIRECT(ADDRESS(2,COLUMN())),OFFSET($CL$2,0,0,ROW()-1,84),ROW()-1,FALSE))</f>
        <v>13.40234188</v>
      </c>
      <c r="BR17">
        <f ca="1">IF(AND(ISNUMBER($BR$266),$B$252=1),$BR$266,HLOOKUP(INDIRECT(ADDRESS(2,COLUMN())),OFFSET($CL$2,0,0,ROW()-1,84),ROW()-1,FALSE))</f>
        <v>13.011232420000001</v>
      </c>
      <c r="BS17">
        <f ca="1">IF(AND(ISNUMBER($BS$266),$B$252=1),$BS$266,HLOOKUP(INDIRECT(ADDRESS(2,COLUMN())),OFFSET($CL$2,0,0,ROW()-1,84),ROW()-1,FALSE))</f>
        <v>13.604897319999999</v>
      </c>
      <c r="BT17">
        <f ca="1">IF(AND(ISNUMBER($BT$266),$B$252=1),$BT$266,HLOOKUP(INDIRECT(ADDRESS(2,COLUMN())),OFFSET($CL$2,0,0,ROW()-1,84),ROW()-1,FALSE))</f>
        <v>13.74591199</v>
      </c>
      <c r="BU17">
        <f ca="1">IF(AND(ISNUMBER($BU$266),$B$252=1),$BU$266,HLOOKUP(INDIRECT(ADDRESS(2,COLUMN())),OFFSET($CL$2,0,0,ROW()-1,84),ROW()-1,FALSE))</f>
        <v>14.373014879999999</v>
      </c>
      <c r="BV17">
        <f ca="1">IF(AND(ISNUMBER($BV$266),$B$252=1),$BV$266,HLOOKUP(INDIRECT(ADDRESS(2,COLUMN())),OFFSET($CL$2,0,0,ROW()-1,84),ROW()-1,FALSE))</f>
        <v>15.00209227</v>
      </c>
      <c r="BW17">
        <f ca="1">IF(AND(ISNUMBER($BW$266),$B$252=1),$BW$266,HLOOKUP(INDIRECT(ADDRESS(2,COLUMN())),OFFSET($CL$2,0,0,ROW()-1,84),ROW()-1,FALSE))</f>
        <v>14.86789974</v>
      </c>
      <c r="BX17">
        <f ca="1">IF(AND(ISNUMBER($BX$266),$B$252=1),$BX$266,HLOOKUP(INDIRECT(ADDRESS(2,COLUMN())),OFFSET($CL$2,0,0,ROW()-1,84),ROW()-1,FALSE))</f>
        <v>14.78021013</v>
      </c>
      <c r="BY17">
        <f ca="1">IF(AND(ISNUMBER($BY$266),$B$252=1),$BY$266,HLOOKUP(INDIRECT(ADDRESS(2,COLUMN())),OFFSET($CL$2,0,0,ROW()-1,84),ROW()-1,FALSE))</f>
        <v>15.06645217</v>
      </c>
      <c r="BZ17">
        <f ca="1">IF(AND(ISNUMBER($BZ$266),$B$252=1),$BZ$266,HLOOKUP(INDIRECT(ADDRESS(2,COLUMN())),OFFSET($CL$2,0,0,ROW()-1,84),ROW()-1,FALSE))</f>
        <v>14.970433310000001</v>
      </c>
      <c r="CA17">
        <f ca="1">IF(AND(ISNUMBER($CA$266),$B$252=1),$CA$266,HLOOKUP(INDIRECT(ADDRESS(2,COLUMN())),OFFSET($CL$2,0,0,ROW()-1,84),ROW()-1,FALSE))</f>
        <v>14.06185861</v>
      </c>
      <c r="CB17">
        <f ca="1">IF(AND(ISNUMBER($CB$266),$B$252=1),$CB$266,HLOOKUP(INDIRECT(ADDRESS(2,COLUMN())),OFFSET($CL$2,0,0,ROW()-1,84),ROW()-1,FALSE))</f>
        <v>14.53346281</v>
      </c>
      <c r="CC17">
        <f ca="1">IF(AND(ISNUMBER($CC$266),$B$252=1),$CC$266,HLOOKUP(INDIRECT(ADDRESS(2,COLUMN())),OFFSET($CL$2,0,0,ROW()-1,84),ROW()-1,FALSE))</f>
        <v>14.330723949999999</v>
      </c>
      <c r="CD17">
        <f ca="1">IF(AND(ISNUMBER($CD$266),$B$252=1),$CD$266,HLOOKUP(INDIRECT(ADDRESS(2,COLUMN())),OFFSET($CL$2,0,0,ROW()-1,84),ROW()-1,FALSE))</f>
        <v>13.23605519</v>
      </c>
      <c r="CE17">
        <f ca="1">IF(AND(ISNUMBER($CE$266),$B$252=1),$CE$266,HLOOKUP(INDIRECT(ADDRESS(2,COLUMN())),OFFSET($CL$2,0,0,ROW()-1,84),ROW()-1,FALSE))</f>
        <v>14.479368709999999</v>
      </c>
      <c r="CF17">
        <f ca="1">IF(AND(ISNUMBER($CF$266),$B$252=1),$CF$266,HLOOKUP(INDIRECT(ADDRESS(2,COLUMN())),OFFSET($CL$2,0,0,ROW()-1,84),ROW()-1,FALSE))</f>
        <v>14.053675610000001</v>
      </c>
      <c r="CG17">
        <f ca="1">IF(AND(ISNUMBER($CG$266),$B$252=1),$CG$266,HLOOKUP(INDIRECT(ADDRESS(2,COLUMN())),OFFSET($CL$2,0,0,ROW()-1,84),ROW()-1,FALSE))</f>
        <v>16.759311790000002</v>
      </c>
      <c r="CH17">
        <f ca="1">IF(AND(ISNUMBER($CH$266),$B$252=1),$CH$266,HLOOKUP(INDIRECT(ADDRESS(2,COLUMN())),OFFSET($CL$2,0,0,ROW()-1,84),ROW()-1,FALSE))</f>
        <v>16.866964200000002</v>
      </c>
      <c r="CI17">
        <f ca="1">IF(AND(ISNUMBER($CI$266),$B$252=1),$CI$266,HLOOKUP(INDIRECT(ADDRESS(2,COLUMN())),OFFSET($CL$2,0,0,ROW()-1,84),ROW()-1,FALSE))</f>
        <v>16.152815279999999</v>
      </c>
      <c r="CJ17">
        <f ca="1">IF(AND(ISNUMBER($CJ$266),$B$252=1),$CJ$266,HLOOKUP(INDIRECT(ADDRESS(2,COLUMN())),OFFSET($CL$2,0,0,ROW()-1,84),ROW()-1,FALSE))</f>
        <v>16.504168289999999</v>
      </c>
      <c r="CK17">
        <f ca="1">IF(AND(ISNUMBER($CK$266),$B$252=1),$CK$266,HLOOKUP(INDIRECT(ADDRESS(2,COLUMN())),OFFSET($CL$2,0,0,ROW()-1,84),ROW()-1,FALSE))</f>
        <v>16.263837030000001</v>
      </c>
      <c r="CL17">
        <f>14.64907542</f>
        <v>14.649075420000001</v>
      </c>
      <c r="CM17">
        <f>14.02659032</f>
        <v>14.02659032</v>
      </c>
      <c r="CN17">
        <f>15.464214</f>
        <v>15.464214</v>
      </c>
      <c r="CO17">
        <f>16.247448</f>
        <v>16.247447999999999</v>
      </c>
      <c r="CP17">
        <f>16.46519362</f>
        <v>16.465193620000001</v>
      </c>
      <c r="CQ17">
        <f>16.41832279</f>
        <v>16.418322790000001</v>
      </c>
      <c r="CR17">
        <f>17.10969704</f>
        <v>17.10969704</v>
      </c>
      <c r="CS17">
        <f>17.17009767</f>
        <v>17.170097670000001</v>
      </c>
      <c r="CT17">
        <f>16.80756042</f>
        <v>16.807560420000001</v>
      </c>
      <c r="CU17">
        <f>17.16007165</f>
        <v>17.160071649999999</v>
      </c>
      <c r="CV17">
        <f>16.71166435</f>
        <v>16.71166435</v>
      </c>
      <c r="CW17">
        <f>16.44686169</f>
        <v>16.446861689999999</v>
      </c>
      <c r="CX17">
        <f>16.99206681</f>
        <v>16.992066810000001</v>
      </c>
      <c r="CY17">
        <f>17.2559679</f>
        <v>17.255967900000002</v>
      </c>
      <c r="CZ17">
        <f>15.87454968</f>
        <v>15.874549679999999</v>
      </c>
      <c r="DA17">
        <f>16.42670012</f>
        <v>16.42670012</v>
      </c>
      <c r="DB17">
        <f>14.90775002</f>
        <v>14.90775002</v>
      </c>
      <c r="DC17">
        <f>15.16025902</f>
        <v>15.16025902</v>
      </c>
      <c r="DD17">
        <f>15.35596128</f>
        <v>15.355961280000001</v>
      </c>
      <c r="DE17">
        <f>15.45972915</f>
        <v>15.459729149999999</v>
      </c>
      <c r="DF17">
        <f>17.2586684</f>
        <v>17.258668400000001</v>
      </c>
      <c r="DG17">
        <f>17.42166793</f>
        <v>17.421667930000002</v>
      </c>
      <c r="DH17">
        <f>16.9245546</f>
        <v>16.9245546</v>
      </c>
      <c r="DI17">
        <f>15.89237588</f>
        <v>15.892375879999999</v>
      </c>
      <c r="DJ17">
        <f>17.00060797</f>
        <v>17.000607970000001</v>
      </c>
      <c r="DK17">
        <f>15.00258838</f>
        <v>15.002588380000001</v>
      </c>
      <c r="DL17">
        <f>15.96100242</f>
        <v>15.96100242</v>
      </c>
      <c r="DM17">
        <f>15.48073645</f>
        <v>15.48073645</v>
      </c>
      <c r="DN17">
        <f>15.14447902</f>
        <v>15.14447902</v>
      </c>
      <c r="DO17">
        <f>14.76685734</f>
        <v>14.76685734</v>
      </c>
      <c r="DP17">
        <f>14.41179553</f>
        <v>14.411795529999999</v>
      </c>
      <c r="DQ17">
        <f>13.97548149</f>
        <v>13.97548149</v>
      </c>
      <c r="DR17">
        <f>14.38766465</f>
        <v>14.38766465</v>
      </c>
      <c r="DS17">
        <f>13.23217638</f>
        <v>13.23217638</v>
      </c>
      <c r="DT17">
        <f>13.95504067</f>
        <v>13.955040670000001</v>
      </c>
      <c r="DU17">
        <f>13.71420422</f>
        <v>13.714204219999999</v>
      </c>
      <c r="DV17">
        <f>14.24816978</f>
        <v>14.24816978</v>
      </c>
      <c r="DW17">
        <f>13.29205096</f>
        <v>13.292050959999999</v>
      </c>
      <c r="DX17">
        <f>14.65723594</f>
        <v>14.65723594</v>
      </c>
      <c r="DY17">
        <f>13.85597702</f>
        <v>13.855977019999999</v>
      </c>
      <c r="DZ17">
        <f>13.67251668</f>
        <v>13.672516679999999</v>
      </c>
      <c r="EA17">
        <f>13.23470721</f>
        <v>13.23470721</v>
      </c>
      <c r="EB17">
        <f>12.54381457</f>
        <v>12.54381457</v>
      </c>
      <c r="EC17">
        <f>13.73860182</f>
        <v>13.73860182</v>
      </c>
      <c r="ED17">
        <f>13.22626188</f>
        <v>13.226261879999999</v>
      </c>
      <c r="EE17">
        <f>13.91477315</f>
        <v>13.91477315</v>
      </c>
      <c r="EF17">
        <f>13.86777583</f>
        <v>13.867775829999999</v>
      </c>
      <c r="EG17">
        <f>13.67103601</f>
        <v>13.67103601</v>
      </c>
      <c r="EH17">
        <f>13.39915928</f>
        <v>13.399159279999999</v>
      </c>
      <c r="EI17">
        <f>13.41887359</f>
        <v>13.41887359</v>
      </c>
      <c r="EJ17">
        <f>12.39106388</f>
        <v>12.391063880000001</v>
      </c>
      <c r="EK17">
        <f>11.72821093</f>
        <v>11.728210929999999</v>
      </c>
      <c r="EL17">
        <f>11.68741624</f>
        <v>11.687416239999999</v>
      </c>
      <c r="EM17">
        <f>12.80928574</f>
        <v>12.80928574</v>
      </c>
      <c r="EN17">
        <f>12.11164767</f>
        <v>12.11164767</v>
      </c>
      <c r="EO17">
        <f>11.88427694</f>
        <v>11.884276939999999</v>
      </c>
      <c r="EP17">
        <f>13.1617826</f>
        <v>13.1617826</v>
      </c>
      <c r="EQ17">
        <f>13.26722385</f>
        <v>13.267223850000001</v>
      </c>
      <c r="ER17">
        <f>13.4572741</f>
        <v>13.457274099999999</v>
      </c>
      <c r="ES17">
        <f>13.78249986</f>
        <v>13.78249986</v>
      </c>
      <c r="ET17">
        <f>13.90651079</f>
        <v>13.90651079</v>
      </c>
      <c r="EU17">
        <f>14.06933814</f>
        <v>14.069338139999999</v>
      </c>
      <c r="EV17">
        <f>13.43211776</f>
        <v>13.432117760000001</v>
      </c>
      <c r="EW17">
        <f>13.40234188</f>
        <v>13.40234188</v>
      </c>
      <c r="EX17">
        <f>13.01123242</f>
        <v>13.011232420000001</v>
      </c>
      <c r="EY17">
        <f>13.60489732</f>
        <v>13.604897319999999</v>
      </c>
      <c r="EZ17">
        <f>13.74591199</f>
        <v>13.74591199</v>
      </c>
      <c r="FA17">
        <f>14.37301488</f>
        <v>14.373014879999999</v>
      </c>
      <c r="FB17">
        <f>15.00209227</f>
        <v>15.00209227</v>
      </c>
      <c r="FC17">
        <f>14.86789974</f>
        <v>14.86789974</v>
      </c>
      <c r="FD17">
        <f>14.78021013</f>
        <v>14.78021013</v>
      </c>
      <c r="FE17">
        <f>15.06645217</f>
        <v>15.06645217</v>
      </c>
      <c r="FF17">
        <f>14.97043331</f>
        <v>14.970433310000001</v>
      </c>
      <c r="FG17">
        <f>14.06185861</f>
        <v>14.06185861</v>
      </c>
      <c r="FH17">
        <f>14.53346281</f>
        <v>14.53346281</v>
      </c>
      <c r="FI17">
        <f>14.33072395</f>
        <v>14.330723949999999</v>
      </c>
      <c r="FJ17">
        <f>13.23605519</f>
        <v>13.23605519</v>
      </c>
      <c r="FK17">
        <f>14.47936871</f>
        <v>14.479368709999999</v>
      </c>
      <c r="FL17">
        <f>14.05367561</f>
        <v>14.053675610000001</v>
      </c>
      <c r="FM17">
        <f>16.75931179</f>
        <v>16.759311790000002</v>
      </c>
      <c r="FN17">
        <f>16.8669642</f>
        <v>16.866964200000002</v>
      </c>
      <c r="FO17">
        <f>16.15281528</f>
        <v>16.152815279999999</v>
      </c>
      <c r="FP17">
        <f>16.50416829</f>
        <v>16.504168289999999</v>
      </c>
      <c r="FQ17">
        <f>16.26383703</f>
        <v>16.263837030000001</v>
      </c>
    </row>
    <row r="18" spans="1:173">
      <c r="A18" t="str">
        <f>"    UDR 公司"</f>
        <v xml:space="preserve">    UDR 公司</v>
      </c>
      <c r="B18" t="str">
        <f>"UDR US Equity"</f>
        <v>UDR US Equity</v>
      </c>
      <c r="C18" t="str">
        <f t="shared" si="3"/>
        <v>BE249</v>
      </c>
      <c r="D18" t="str">
        <f t="shared" si="4"/>
        <v>BEST_PRICE_FFO_RATIO</v>
      </c>
      <c r="E18" t="str">
        <f t="shared" si="5"/>
        <v>动态</v>
      </c>
      <c r="F18">
        <f ca="1">IF(AND(ISNUMBER($F$267),$B$252=1),$F$267,HLOOKUP(INDIRECT(ADDRESS(2,COLUMN())),OFFSET($CL$2,0,0,ROW()-1,84),ROW()-1,FALSE))</f>
        <v>18.001089459999999</v>
      </c>
      <c r="G18">
        <f ca="1">IF(AND(ISNUMBER($G$267),$B$252=1),$G$267,HLOOKUP(INDIRECT(ADDRESS(2,COLUMN())),OFFSET($CL$2,0,0,ROW()-1,84),ROW()-1,FALSE))</f>
        <v>17.141802240000001</v>
      </c>
      <c r="H18">
        <f ca="1">IF(AND(ISNUMBER($H$267),$B$252=1),$H$267,HLOOKUP(INDIRECT(ADDRESS(2,COLUMN())),OFFSET($CL$2,0,0,ROW()-1,84),ROW()-1,FALSE))</f>
        <v>18.452351459999999</v>
      </c>
      <c r="I18">
        <f ca="1">IF(AND(ISNUMBER($I$267),$B$252=1),$I$267,HLOOKUP(INDIRECT(ADDRESS(2,COLUMN())),OFFSET($CL$2,0,0,ROW()-1,84),ROW()-1,FALSE))</f>
        <v>19.568827590000001</v>
      </c>
      <c r="J18">
        <f ca="1">IF(AND(ISNUMBER($J$267),$B$252=1),$J$267,HLOOKUP(INDIRECT(ADDRESS(2,COLUMN())),OFFSET($CL$2,0,0,ROW()-1,84),ROW()-1,FALSE))</f>
        <v>20.097559539999999</v>
      </c>
      <c r="K18">
        <f ca="1">IF(AND(ISNUMBER($K$267),$B$252=1),$K$267,HLOOKUP(INDIRECT(ADDRESS(2,COLUMN())),OFFSET($CL$2,0,0,ROW()-1,84),ROW()-1,FALSE))</f>
        <v>19.944819840000001</v>
      </c>
      <c r="L18">
        <f ca="1">IF(AND(ISNUMBER($L$267),$B$252=1),$L$267,HLOOKUP(INDIRECT(ADDRESS(2,COLUMN())),OFFSET($CL$2,0,0,ROW()-1,84),ROW()-1,FALSE))</f>
        <v>19.653746770000001</v>
      </c>
      <c r="M18">
        <f ca="1">IF(AND(ISNUMBER($M$267),$B$252=1),$M$267,HLOOKUP(INDIRECT(ADDRESS(2,COLUMN())),OFFSET($CL$2,0,0,ROW()-1,84),ROW()-1,FALSE))</f>
        <v>20.141338959999999</v>
      </c>
      <c r="N18">
        <f ca="1">IF(AND(ISNUMBER($N$267),$B$252=1),$N$267,HLOOKUP(INDIRECT(ADDRESS(2,COLUMN())),OFFSET($CL$2,0,0,ROW()-1,84),ROW()-1,FALSE))</f>
        <v>20.390461989999999</v>
      </c>
      <c r="O18">
        <f ca="1">IF(AND(ISNUMBER($O$267),$B$252=1),$O$267,HLOOKUP(INDIRECT(ADDRESS(2,COLUMN())),OFFSET($CL$2,0,0,ROW()-1,84),ROW()-1,FALSE))</f>
        <v>20.440597950000001</v>
      </c>
      <c r="P18">
        <f ca="1">IF(AND(ISNUMBER($P$267),$B$252=1),$P$267,HLOOKUP(INDIRECT(ADDRESS(2,COLUMN())),OFFSET($CL$2,0,0,ROW()-1,84),ROW()-1,FALSE))</f>
        <v>20.35491592</v>
      </c>
      <c r="Q18">
        <f ca="1">IF(AND(ISNUMBER($Q$267),$B$252=1),$Q$267,HLOOKUP(INDIRECT(ADDRESS(2,COLUMN())),OFFSET($CL$2,0,0,ROW()-1,84),ROW()-1,FALSE))</f>
        <v>19.828843370000001</v>
      </c>
      <c r="R18">
        <f ca="1">IF(AND(ISNUMBER($R$267),$B$252=1),$R$267,HLOOKUP(INDIRECT(ADDRESS(2,COLUMN())),OFFSET($CL$2,0,0,ROW()-1,84),ROW()-1,FALSE))</f>
        <v>19.330934289999998</v>
      </c>
      <c r="S18">
        <f ca="1">IF(AND(ISNUMBER($S$267),$B$252=1),$S$267,HLOOKUP(INDIRECT(ADDRESS(2,COLUMN())),OFFSET($CL$2,0,0,ROW()-1,84),ROW()-1,FALSE))</f>
        <v>19.537851320000001</v>
      </c>
      <c r="T18">
        <f ca="1">IF(AND(ISNUMBER($T$267),$B$252=1),$T$267,HLOOKUP(INDIRECT(ADDRESS(2,COLUMN())),OFFSET($CL$2,0,0,ROW()-1,84),ROW()-1,FALSE))</f>
        <v>18.65914051</v>
      </c>
      <c r="U18">
        <f ca="1">IF(AND(ISNUMBER($U$267),$B$252=1),$U$267,HLOOKUP(INDIRECT(ADDRESS(2,COLUMN())),OFFSET($CL$2,0,0,ROW()-1,84),ROW()-1,FALSE))</f>
        <v>19.551404860000002</v>
      </c>
      <c r="V18">
        <f ca="1">IF(AND(ISNUMBER($V$267),$B$252=1),$V$267,HLOOKUP(INDIRECT(ADDRESS(2,COLUMN())),OFFSET($CL$2,0,0,ROW()-1,84),ROW()-1,FALSE))</f>
        <v>18.273220899999998</v>
      </c>
      <c r="W18">
        <f ca="1">IF(AND(ISNUMBER($W$267),$B$252=1),$W$267,HLOOKUP(INDIRECT(ADDRESS(2,COLUMN())),OFFSET($CL$2,0,0,ROW()-1,84),ROW()-1,FALSE))</f>
        <v>18.84836507</v>
      </c>
      <c r="X18">
        <f ca="1">IF(AND(ISNUMBER($X$267),$B$252=1),$X$267,HLOOKUP(INDIRECT(ADDRESS(2,COLUMN())),OFFSET($CL$2,0,0,ROW()-1,84),ROW()-1,FALSE))</f>
        <v>19.388552189999999</v>
      </c>
      <c r="Y18">
        <f ca="1">IF(AND(ISNUMBER($Y$267),$B$252=1),$Y$267,HLOOKUP(INDIRECT(ADDRESS(2,COLUMN())),OFFSET($CL$2,0,0,ROW()-1,84),ROW()-1,FALSE))</f>
        <v>19.54619125</v>
      </c>
      <c r="Z18">
        <f ca="1">IF(AND(ISNUMBER($Z$267),$B$252=1),$Z$267,HLOOKUP(INDIRECT(ADDRESS(2,COLUMN())),OFFSET($CL$2,0,0,ROW()-1,84),ROW()-1,FALSE))</f>
        <v>20.204976200000001</v>
      </c>
      <c r="AA18">
        <f ca="1">IF(AND(ISNUMBER($AA$267),$B$252=1),$AA$267,HLOOKUP(INDIRECT(ADDRESS(2,COLUMN())),OFFSET($CL$2,0,0,ROW()-1,84),ROW()-1,FALSE))</f>
        <v>20.16633461</v>
      </c>
      <c r="AB18">
        <f ca="1">IF(AND(ISNUMBER($AB$267),$B$252=1),$AB$267,HLOOKUP(INDIRECT(ADDRESS(2,COLUMN())),OFFSET($CL$2,0,0,ROW()-1,84),ROW()-1,FALSE))</f>
        <v>19.709322069999999</v>
      </c>
      <c r="AC18">
        <f ca="1">IF(AND(ISNUMBER($AC$267),$B$252=1),$AC$267,HLOOKUP(INDIRECT(ADDRESS(2,COLUMN())),OFFSET($CL$2,0,0,ROW()-1,84),ROW()-1,FALSE))</f>
        <v>19.208936749999999</v>
      </c>
      <c r="AD18">
        <f ca="1">IF(AND(ISNUMBER($AD$267),$B$252=1),$AD$267,HLOOKUP(INDIRECT(ADDRESS(2,COLUMN())),OFFSET($CL$2,0,0,ROW()-1,84),ROW()-1,FALSE))</f>
        <v>21.215348980000002</v>
      </c>
      <c r="AE18">
        <f ca="1">IF(AND(ISNUMBER($AE$267),$B$252=1),$AE$267,HLOOKUP(INDIRECT(ADDRESS(2,COLUMN())),OFFSET($CL$2,0,0,ROW()-1,84),ROW()-1,FALSE))</f>
        <v>19.035512610000001</v>
      </c>
      <c r="AF18">
        <f ca="1">IF(AND(ISNUMBER($AF$267),$B$252=1),$AF$267,HLOOKUP(INDIRECT(ADDRESS(2,COLUMN())),OFFSET($CL$2,0,0,ROW()-1,84),ROW()-1,FALSE))</f>
        <v>19.82474934</v>
      </c>
      <c r="AG18">
        <f ca="1">IF(AND(ISNUMBER($AG$267),$B$252=1),$AG$267,HLOOKUP(INDIRECT(ADDRESS(2,COLUMN())),OFFSET($CL$2,0,0,ROW()-1,84),ROW()-1,FALSE))</f>
        <v>21.00055897</v>
      </c>
      <c r="AH18">
        <f ca="1">IF(AND(ISNUMBER($AH$267),$B$252=1),$AH$267,HLOOKUP(INDIRECT(ADDRESS(2,COLUMN())),OFFSET($CL$2,0,0,ROW()-1,84),ROW()-1,FALSE))</f>
        <v>20.764495329999999</v>
      </c>
      <c r="AI18">
        <f ca="1">IF(AND(ISNUMBER($AI$267),$B$252=1),$AI$267,HLOOKUP(INDIRECT(ADDRESS(2,COLUMN())),OFFSET($CL$2,0,0,ROW()-1,84),ROW()-1,FALSE))</f>
        <v>19.555101579999999</v>
      </c>
      <c r="AJ18">
        <f ca="1">IF(AND(ISNUMBER($AJ$267),$B$252=1),$AJ$267,HLOOKUP(INDIRECT(ADDRESS(2,COLUMN())),OFFSET($CL$2,0,0,ROW()-1,84),ROW()-1,FALSE))</f>
        <v>19.6885148</v>
      </c>
      <c r="AK18">
        <f ca="1">IF(AND(ISNUMBER($AK$267),$B$252=1),$AK$267,HLOOKUP(INDIRECT(ADDRESS(2,COLUMN())),OFFSET($CL$2,0,0,ROW()-1,84),ROW()-1,FALSE))</f>
        <v>18.594788909999998</v>
      </c>
      <c r="AL18">
        <f ca="1">IF(AND(ISNUMBER($AL$267),$B$252=1),$AL$267,HLOOKUP(INDIRECT(ADDRESS(2,COLUMN())),OFFSET($CL$2,0,0,ROW()-1,84),ROW()-1,FALSE))</f>
        <v>19.64871655</v>
      </c>
      <c r="AM18">
        <f ca="1">IF(AND(ISNUMBER($AM$267),$B$252=1),$AM$267,HLOOKUP(INDIRECT(ADDRESS(2,COLUMN())),OFFSET($CL$2,0,0,ROW()-1,84),ROW()-1,FALSE))</f>
        <v>18.768445580000002</v>
      </c>
      <c r="AN18">
        <f ca="1">IF(AND(ISNUMBER($AN$267),$B$252=1),$AN$267,HLOOKUP(INDIRECT(ADDRESS(2,COLUMN())),OFFSET($CL$2,0,0,ROW()-1,84),ROW()-1,FALSE))</f>
        <v>19.257944899999998</v>
      </c>
      <c r="AO18">
        <f ca="1">IF(AND(ISNUMBER($AO$267),$B$252=1),$AO$267,HLOOKUP(INDIRECT(ADDRESS(2,COLUMN())),OFFSET($CL$2,0,0,ROW()-1,84),ROW()-1,FALSE))</f>
        <v>19.541293209999999</v>
      </c>
      <c r="AP18">
        <f ca="1">IF(AND(ISNUMBER($AP$267),$B$252=1),$AP$267,HLOOKUP(INDIRECT(ADDRESS(2,COLUMN())),OFFSET($CL$2,0,0,ROW()-1,84),ROW()-1,FALSE))</f>
        <v>20.48379834</v>
      </c>
      <c r="AQ18">
        <f ca="1">IF(AND(ISNUMBER($AQ$267),$B$252=1),$AQ$267,HLOOKUP(INDIRECT(ADDRESS(2,COLUMN())),OFFSET($CL$2,0,0,ROW()-1,84),ROW()-1,FALSE))</f>
        <v>19.37387872</v>
      </c>
      <c r="AR18">
        <f ca="1">IF(AND(ISNUMBER($AR$267),$B$252=1),$AR$267,HLOOKUP(INDIRECT(ADDRESS(2,COLUMN())),OFFSET($CL$2,0,0,ROW()-1,84),ROW()-1,FALSE))</f>
        <v>20.183075120000002</v>
      </c>
      <c r="AS18">
        <f ca="1">IF(AND(ISNUMBER($AS$267),$B$252=1),$AS$267,HLOOKUP(INDIRECT(ADDRESS(2,COLUMN())),OFFSET($CL$2,0,0,ROW()-1,84),ROW()-1,FALSE))</f>
        <v>18.811536650000001</v>
      </c>
      <c r="AT18">
        <f ca="1">IF(AND(ISNUMBER($AT$267),$B$252=1),$AT$267,HLOOKUP(INDIRECT(ADDRESS(2,COLUMN())),OFFSET($CL$2,0,0,ROW()-1,84),ROW()-1,FALSE))</f>
        <v>18.887803219999999</v>
      </c>
      <c r="AU18">
        <f ca="1">IF(AND(ISNUMBER($AU$267),$B$252=1),$AU$267,HLOOKUP(INDIRECT(ADDRESS(2,COLUMN())),OFFSET($CL$2,0,0,ROW()-1,84),ROW()-1,FALSE))</f>
        <v>18.835477740000002</v>
      </c>
      <c r="AV18">
        <f ca="1">IF(AND(ISNUMBER($AV$267),$B$252=1),$AV$267,HLOOKUP(INDIRECT(ADDRESS(2,COLUMN())),OFFSET($CL$2,0,0,ROW()-1,84),ROW()-1,FALSE))</f>
        <v>17.047293069999998</v>
      </c>
      <c r="AW18">
        <f ca="1">IF(AND(ISNUMBER($AW$267),$B$252=1),$AW$267,HLOOKUP(INDIRECT(ADDRESS(2,COLUMN())),OFFSET($CL$2,0,0,ROW()-1,84),ROW()-1,FALSE))</f>
        <v>18.892864660000001</v>
      </c>
      <c r="AX18">
        <f ca="1">IF(AND(ISNUMBER($AX$267),$B$252=1),$AX$267,HLOOKUP(INDIRECT(ADDRESS(2,COLUMN())),OFFSET($CL$2,0,0,ROW()-1,84),ROW()-1,FALSE))</f>
        <v>18.40421534</v>
      </c>
      <c r="AY18">
        <f ca="1">IF(AND(ISNUMBER($AY$267),$B$252=1),$AY$267,HLOOKUP(INDIRECT(ADDRESS(2,COLUMN())),OFFSET($CL$2,0,0,ROW()-1,84),ROW()-1,FALSE))</f>
        <v>18.40613338</v>
      </c>
      <c r="AZ18">
        <f ca="1">IF(AND(ISNUMBER($AZ$267),$B$252=1),$AZ$267,HLOOKUP(INDIRECT(ADDRESS(2,COLUMN())),OFFSET($CL$2,0,0,ROW()-1,84),ROW()-1,FALSE))</f>
        <v>17.795596369999998</v>
      </c>
      <c r="BA18">
        <f ca="1">IF(AND(ISNUMBER($BA$267),$B$252=1),$BA$267,HLOOKUP(INDIRECT(ADDRESS(2,COLUMN())),OFFSET($CL$2,0,0,ROW()-1,84),ROW()-1,FALSE))</f>
        <v>16.850943350000001</v>
      </c>
      <c r="BB18">
        <f ca="1">IF(AND(ISNUMBER($BB$267),$B$252=1),$BB$267,HLOOKUP(INDIRECT(ADDRESS(2,COLUMN())),OFFSET($CL$2,0,0,ROW()-1,84),ROW()-1,FALSE))</f>
        <v>16.918110049999999</v>
      </c>
      <c r="BC18">
        <f ca="1">IF(AND(ISNUMBER($BC$267),$B$252=1),$BC$267,HLOOKUP(INDIRECT(ADDRESS(2,COLUMN())),OFFSET($CL$2,0,0,ROW()-1,84),ROW()-1,FALSE))</f>
        <v>17.04218771</v>
      </c>
      <c r="BD18">
        <f ca="1">IF(AND(ISNUMBER($BD$267),$B$252=1),$BD$267,HLOOKUP(INDIRECT(ADDRESS(2,COLUMN())),OFFSET($CL$2,0,0,ROW()-1,84),ROW()-1,FALSE))</f>
        <v>16.24591182</v>
      </c>
      <c r="BE18">
        <f ca="1">IF(AND(ISNUMBER($BE$267),$B$252=1),$BE$267,HLOOKUP(INDIRECT(ADDRESS(2,COLUMN())),OFFSET($CL$2,0,0,ROW()-1,84),ROW()-1,FALSE))</f>
        <v>15.68816479</v>
      </c>
      <c r="BF18">
        <f ca="1">IF(AND(ISNUMBER($BF$267),$B$252=1),$BF$267,HLOOKUP(INDIRECT(ADDRESS(2,COLUMN())),OFFSET($CL$2,0,0,ROW()-1,84),ROW()-1,FALSE))</f>
        <v>15.714070510000001</v>
      </c>
      <c r="BG18">
        <f ca="1">IF(AND(ISNUMBER($BG$267),$B$252=1),$BG$267,HLOOKUP(INDIRECT(ADDRESS(2,COLUMN())),OFFSET($CL$2,0,0,ROW()-1,84),ROW()-1,FALSE))</f>
        <v>16.84563095</v>
      </c>
      <c r="BH18">
        <f ca="1">IF(AND(ISNUMBER($BH$267),$B$252=1),$BH$267,HLOOKUP(INDIRECT(ADDRESS(2,COLUMN())),OFFSET($CL$2,0,0,ROW()-1,84),ROW()-1,FALSE))</f>
        <v>16.1880162</v>
      </c>
      <c r="BI18">
        <f ca="1">IF(AND(ISNUMBER($BI$267),$B$252=1),$BI$267,HLOOKUP(INDIRECT(ADDRESS(2,COLUMN())),OFFSET($CL$2,0,0,ROW()-1,84),ROW()-1,FALSE))</f>
        <v>15.48028072</v>
      </c>
      <c r="BJ18">
        <f ca="1">IF(AND(ISNUMBER($BJ$267),$B$252=1),$BJ$267,HLOOKUP(INDIRECT(ADDRESS(2,COLUMN())),OFFSET($CL$2,0,0,ROW()-1,84),ROW()-1,FALSE))</f>
        <v>17.206676850000001</v>
      </c>
      <c r="BK18">
        <f ca="1">IF(AND(ISNUMBER($BK$267),$B$252=1),$BK$267,HLOOKUP(INDIRECT(ADDRESS(2,COLUMN())),OFFSET($CL$2,0,0,ROW()-1,84),ROW()-1,FALSE))</f>
        <v>17.75259831</v>
      </c>
      <c r="BL18">
        <f ca="1">IF(AND(ISNUMBER($BL$267),$B$252=1),$BL$267,HLOOKUP(INDIRECT(ADDRESS(2,COLUMN())),OFFSET($CL$2,0,0,ROW()-1,84),ROW()-1,FALSE))</f>
        <v>17.100092839999999</v>
      </c>
      <c r="BM18">
        <f ca="1">IF(AND(ISNUMBER($BM$267),$B$252=1),$BM$267,HLOOKUP(INDIRECT(ADDRESS(2,COLUMN())),OFFSET($CL$2,0,0,ROW()-1,84),ROW()-1,FALSE))</f>
        <v>17.395800850000001</v>
      </c>
      <c r="BN18">
        <f ca="1">IF(AND(ISNUMBER($BN$267),$B$252=1),$BN$267,HLOOKUP(INDIRECT(ADDRESS(2,COLUMN())),OFFSET($CL$2,0,0,ROW()-1,84),ROW()-1,FALSE))</f>
        <v>17.174251999999999</v>
      </c>
      <c r="BO18">
        <f ca="1">IF(AND(ISNUMBER($BO$267),$B$252=1),$BO$267,HLOOKUP(INDIRECT(ADDRESS(2,COLUMN())),OFFSET($CL$2,0,0,ROW()-1,84),ROW()-1,FALSE))</f>
        <v>16.866209680000001</v>
      </c>
      <c r="BP18">
        <f ca="1">IF(AND(ISNUMBER($BP$267),$B$252=1),$BP$267,HLOOKUP(INDIRECT(ADDRESS(2,COLUMN())),OFFSET($CL$2,0,0,ROW()-1,84),ROW()-1,FALSE))</f>
        <v>16.515530760000001</v>
      </c>
      <c r="BQ18">
        <f ca="1">IF(AND(ISNUMBER($BQ$267),$B$252=1),$BQ$267,HLOOKUP(INDIRECT(ADDRESS(2,COLUMN())),OFFSET($CL$2,0,0,ROW()-1,84),ROW()-1,FALSE))</f>
        <v>16.555118109999999</v>
      </c>
      <c r="BR18">
        <f ca="1">IF(AND(ISNUMBER($BR$267),$B$252=1),$BR$267,HLOOKUP(INDIRECT(ADDRESS(2,COLUMN())),OFFSET($CL$2,0,0,ROW()-1,84),ROW()-1,FALSE))</f>
        <v>15.995059189999999</v>
      </c>
      <c r="BS18">
        <f ca="1">IF(AND(ISNUMBER($BS$267),$B$252=1),$BS$267,HLOOKUP(INDIRECT(ADDRESS(2,COLUMN())),OFFSET($CL$2,0,0,ROW()-1,84),ROW()-1,FALSE))</f>
        <v>16.899085209999999</v>
      </c>
      <c r="BT18">
        <f ca="1">IF(AND(ISNUMBER($BT$267),$B$252=1),$BT$267,HLOOKUP(INDIRECT(ADDRESS(2,COLUMN())),OFFSET($CL$2,0,0,ROW()-1,84),ROW()-1,FALSE))</f>
        <v>17.40326426</v>
      </c>
      <c r="BU18">
        <f ca="1">IF(AND(ISNUMBER($BU$267),$B$252=1),$BU$267,HLOOKUP(INDIRECT(ADDRESS(2,COLUMN())),OFFSET($CL$2,0,0,ROW()-1,84),ROW()-1,FALSE))</f>
        <v>17.785865229999999</v>
      </c>
      <c r="BV18">
        <f ca="1">IF(AND(ISNUMBER($BV$267),$B$252=1),$BV$267,HLOOKUP(INDIRECT(ADDRESS(2,COLUMN())),OFFSET($CL$2,0,0,ROW()-1,84),ROW()-1,FALSE))</f>
        <v>18.823390710000002</v>
      </c>
      <c r="BW18">
        <f ca="1">IF(AND(ISNUMBER($BW$267),$B$252=1),$BW$267,HLOOKUP(INDIRECT(ADDRESS(2,COLUMN())),OFFSET($CL$2,0,0,ROW()-1,84),ROW()-1,FALSE))</f>
        <v>18.298439089999999</v>
      </c>
      <c r="BX18">
        <f ca="1">IF(AND(ISNUMBER($BX$267),$B$252=1),$BX$267,HLOOKUP(INDIRECT(ADDRESS(2,COLUMN())),OFFSET($CL$2,0,0,ROW()-1,84),ROW()-1,FALSE))</f>
        <v>18.259587100000001</v>
      </c>
      <c r="BY18">
        <f ca="1">IF(AND(ISNUMBER($BY$267),$B$252=1),$BY$267,HLOOKUP(INDIRECT(ADDRESS(2,COLUMN())),OFFSET($CL$2,0,0,ROW()-1,84),ROW()-1,FALSE))</f>
        <v>18.38839669</v>
      </c>
      <c r="BZ18">
        <f ca="1">IF(AND(ISNUMBER($BZ$267),$B$252=1),$BZ$267,HLOOKUP(INDIRECT(ADDRESS(2,COLUMN())),OFFSET($CL$2,0,0,ROW()-1,84),ROW()-1,FALSE))</f>
        <v>18.56785344</v>
      </c>
      <c r="CA18">
        <f ca="1">IF(AND(ISNUMBER($CA$267),$B$252=1),$CA$267,HLOOKUP(INDIRECT(ADDRESS(2,COLUMN())),OFFSET($CL$2,0,0,ROW()-1,84),ROW()-1,FALSE))</f>
        <v>17.507667720000001</v>
      </c>
      <c r="CB18">
        <f ca="1">IF(AND(ISNUMBER($CB$267),$B$252=1),$CB$267,HLOOKUP(INDIRECT(ADDRESS(2,COLUMN())),OFFSET($CL$2,0,0,ROW()-1,84),ROW()-1,FALSE))</f>
        <v>18.310261659999998</v>
      </c>
      <c r="CC18">
        <f ca="1">IF(AND(ISNUMBER($CC$267),$B$252=1),$CC$267,HLOOKUP(INDIRECT(ADDRESS(2,COLUMN())),OFFSET($CL$2,0,0,ROW()-1,84),ROW()-1,FALSE))</f>
        <v>17.676151359999999</v>
      </c>
      <c r="CD18">
        <f ca="1">IF(AND(ISNUMBER($CD$267),$B$252=1),$CD$267,HLOOKUP(INDIRECT(ADDRESS(2,COLUMN())),OFFSET($CL$2,0,0,ROW()-1,84),ROW()-1,FALSE))</f>
        <v>16.705284809999998</v>
      </c>
      <c r="CE18">
        <f ca="1">IF(AND(ISNUMBER($CE$267),$B$252=1),$CE$267,HLOOKUP(INDIRECT(ADDRESS(2,COLUMN())),OFFSET($CL$2,0,0,ROW()-1,84),ROW()-1,FALSE))</f>
        <v>17.909777399999999</v>
      </c>
      <c r="CF18">
        <f ca="1">IF(AND(ISNUMBER($CF$267),$B$252=1),$CF$267,HLOOKUP(INDIRECT(ADDRESS(2,COLUMN())),OFFSET($CL$2,0,0,ROW()-1,84),ROW()-1,FALSE))</f>
        <v>16.034763720000001</v>
      </c>
      <c r="CG18">
        <f ca="1">IF(AND(ISNUMBER($CG$267),$B$252=1),$CG$267,HLOOKUP(INDIRECT(ADDRESS(2,COLUMN())),OFFSET($CL$2,0,0,ROW()-1,84),ROW()-1,FALSE))</f>
        <v>19.512604530000001</v>
      </c>
      <c r="CH18">
        <f ca="1">IF(AND(ISNUMBER($CH$267),$B$252=1),$CH$267,HLOOKUP(INDIRECT(ADDRESS(2,COLUMN())),OFFSET($CL$2,0,0,ROW()-1,84),ROW()-1,FALSE))</f>
        <v>19.575332670000002</v>
      </c>
      <c r="CI18">
        <f ca="1">IF(AND(ISNUMBER($CI$267),$B$252=1),$CI$267,HLOOKUP(INDIRECT(ADDRESS(2,COLUMN())),OFFSET($CL$2,0,0,ROW()-1,84),ROW()-1,FALSE))</f>
        <v>18.616316569999999</v>
      </c>
      <c r="CJ18">
        <f ca="1">IF(AND(ISNUMBER($CJ$267),$B$252=1),$CJ$267,HLOOKUP(INDIRECT(ADDRESS(2,COLUMN())),OFFSET($CL$2,0,0,ROW()-1,84),ROW()-1,FALSE))</f>
        <v>19.969407060000002</v>
      </c>
      <c r="CK18">
        <f ca="1">IF(AND(ISNUMBER($CK$267),$B$252=1),$CK$267,HLOOKUP(INDIRECT(ADDRESS(2,COLUMN())),OFFSET($CL$2,0,0,ROW()-1,84),ROW()-1,FALSE))</f>
        <v>20.171406309999998</v>
      </c>
      <c r="CL18">
        <f>18.00108946</f>
        <v>18.001089459999999</v>
      </c>
      <c r="CM18">
        <f>17.14180224</f>
        <v>17.141802240000001</v>
      </c>
      <c r="CN18">
        <f>18.45235146</f>
        <v>18.452351459999999</v>
      </c>
      <c r="CO18">
        <f>19.56882759</f>
        <v>19.568827590000001</v>
      </c>
      <c r="CP18">
        <f>20.09755954</f>
        <v>20.097559539999999</v>
      </c>
      <c r="CQ18">
        <f>19.94481984</f>
        <v>19.944819840000001</v>
      </c>
      <c r="CR18">
        <f>19.65374677</f>
        <v>19.653746770000001</v>
      </c>
      <c r="CS18">
        <f>20.14133896</f>
        <v>20.141338959999999</v>
      </c>
      <c r="CT18">
        <f>20.39046199</f>
        <v>20.390461989999999</v>
      </c>
      <c r="CU18">
        <f>20.44059795</f>
        <v>20.440597950000001</v>
      </c>
      <c r="CV18">
        <f>20.35491592</f>
        <v>20.35491592</v>
      </c>
      <c r="CW18">
        <f>19.82884337</f>
        <v>19.828843370000001</v>
      </c>
      <c r="CX18">
        <f>19.33093429</f>
        <v>19.330934289999998</v>
      </c>
      <c r="CY18">
        <f>19.53785132</f>
        <v>19.537851320000001</v>
      </c>
      <c r="CZ18">
        <f>18.65914051</f>
        <v>18.65914051</v>
      </c>
      <c r="DA18">
        <f>19.55140486</f>
        <v>19.551404860000002</v>
      </c>
      <c r="DB18">
        <f>18.2732209</f>
        <v>18.273220899999998</v>
      </c>
      <c r="DC18">
        <f>18.84836507</f>
        <v>18.84836507</v>
      </c>
      <c r="DD18">
        <f>19.38855219</f>
        <v>19.388552189999999</v>
      </c>
      <c r="DE18">
        <f>19.54619125</f>
        <v>19.54619125</v>
      </c>
      <c r="DF18">
        <f>20.2049762</f>
        <v>20.204976200000001</v>
      </c>
      <c r="DG18">
        <f>20.16633461</f>
        <v>20.16633461</v>
      </c>
      <c r="DH18">
        <f>19.70932207</f>
        <v>19.709322069999999</v>
      </c>
      <c r="DI18">
        <f>19.20893675</f>
        <v>19.208936749999999</v>
      </c>
      <c r="DJ18">
        <f>21.21534898</f>
        <v>21.215348980000002</v>
      </c>
      <c r="DK18">
        <f>19.03551261</f>
        <v>19.035512610000001</v>
      </c>
      <c r="DL18">
        <f>19.82474934</f>
        <v>19.82474934</v>
      </c>
      <c r="DM18">
        <f>21.00055897</f>
        <v>21.00055897</v>
      </c>
      <c r="DN18">
        <f>20.76449533</f>
        <v>20.764495329999999</v>
      </c>
      <c r="DO18">
        <f>19.55510158</f>
        <v>19.555101579999999</v>
      </c>
      <c r="DP18">
        <f>19.6885148</f>
        <v>19.6885148</v>
      </c>
      <c r="DQ18">
        <f>18.59478891</f>
        <v>18.594788909999998</v>
      </c>
      <c r="DR18">
        <f>19.64871655</f>
        <v>19.64871655</v>
      </c>
      <c r="DS18">
        <f>18.76844558</f>
        <v>18.768445580000002</v>
      </c>
      <c r="DT18">
        <f>19.2579449</f>
        <v>19.257944899999998</v>
      </c>
      <c r="DU18">
        <f>19.54129321</f>
        <v>19.541293209999999</v>
      </c>
      <c r="DV18">
        <f>20.48379834</f>
        <v>20.48379834</v>
      </c>
      <c r="DW18">
        <f>19.37387872</f>
        <v>19.37387872</v>
      </c>
      <c r="DX18">
        <f>20.18307512</f>
        <v>20.183075120000002</v>
      </c>
      <c r="DY18">
        <f>18.81153665</f>
        <v>18.811536650000001</v>
      </c>
      <c r="DZ18">
        <f>18.88780322</f>
        <v>18.887803219999999</v>
      </c>
      <c r="EA18">
        <f>18.83547774</f>
        <v>18.835477740000002</v>
      </c>
      <c r="EB18">
        <f>17.04729307</f>
        <v>17.047293069999998</v>
      </c>
      <c r="EC18">
        <f>18.89286466</f>
        <v>18.892864660000001</v>
      </c>
      <c r="ED18">
        <f>18.40421534</f>
        <v>18.40421534</v>
      </c>
      <c r="EE18">
        <f>18.40613338</f>
        <v>18.40613338</v>
      </c>
      <c r="EF18">
        <f>17.79559637</f>
        <v>17.795596369999998</v>
      </c>
      <c r="EG18">
        <f>16.85094335</f>
        <v>16.850943350000001</v>
      </c>
      <c r="EH18">
        <f>16.91811005</f>
        <v>16.918110049999999</v>
      </c>
      <c r="EI18">
        <f>17.04218771</f>
        <v>17.04218771</v>
      </c>
      <c r="EJ18">
        <f>16.24591182</f>
        <v>16.24591182</v>
      </c>
      <c r="EK18">
        <f>15.68816479</f>
        <v>15.68816479</v>
      </c>
      <c r="EL18">
        <f>15.71407051</f>
        <v>15.714070510000001</v>
      </c>
      <c r="EM18">
        <f>16.84563095</f>
        <v>16.84563095</v>
      </c>
      <c r="EN18">
        <f>16.1880162</f>
        <v>16.1880162</v>
      </c>
      <c r="EO18">
        <f>15.48028072</f>
        <v>15.48028072</v>
      </c>
      <c r="EP18">
        <f>17.20667685</f>
        <v>17.206676850000001</v>
      </c>
      <c r="EQ18">
        <f>17.75259831</f>
        <v>17.75259831</v>
      </c>
      <c r="ER18">
        <f>17.10009284</f>
        <v>17.100092839999999</v>
      </c>
      <c r="ES18">
        <f>17.39580085</f>
        <v>17.395800850000001</v>
      </c>
      <c r="ET18">
        <f>17.174252</f>
        <v>17.174251999999999</v>
      </c>
      <c r="EU18">
        <f>16.86620968</f>
        <v>16.866209680000001</v>
      </c>
      <c r="EV18">
        <f>16.51553076</f>
        <v>16.515530760000001</v>
      </c>
      <c r="EW18">
        <f>16.55511811</f>
        <v>16.555118109999999</v>
      </c>
      <c r="EX18">
        <f>15.99505919</f>
        <v>15.995059189999999</v>
      </c>
      <c r="EY18">
        <f>16.89908521</f>
        <v>16.899085209999999</v>
      </c>
      <c r="EZ18">
        <f>17.40326426</f>
        <v>17.40326426</v>
      </c>
      <c r="FA18">
        <f>17.78586523</f>
        <v>17.785865229999999</v>
      </c>
      <c r="FB18">
        <f>18.82339071</f>
        <v>18.823390710000002</v>
      </c>
      <c r="FC18">
        <f>18.29843909</f>
        <v>18.298439089999999</v>
      </c>
      <c r="FD18">
        <f>18.2595871</f>
        <v>18.259587100000001</v>
      </c>
      <c r="FE18">
        <f>18.38839669</f>
        <v>18.38839669</v>
      </c>
      <c r="FF18">
        <f>18.56785344</f>
        <v>18.56785344</v>
      </c>
      <c r="FG18">
        <f>17.50766772</f>
        <v>17.507667720000001</v>
      </c>
      <c r="FH18">
        <f>18.31026166</f>
        <v>18.310261659999998</v>
      </c>
      <c r="FI18">
        <f>17.67615136</f>
        <v>17.676151359999999</v>
      </c>
      <c r="FJ18">
        <f>16.70528481</f>
        <v>16.705284809999998</v>
      </c>
      <c r="FK18">
        <f>17.9097774</f>
        <v>17.909777399999999</v>
      </c>
      <c r="FL18">
        <f>16.03476372</f>
        <v>16.034763720000001</v>
      </c>
      <c r="FM18">
        <f>19.51260453</f>
        <v>19.512604530000001</v>
      </c>
      <c r="FN18">
        <f>19.57533267</f>
        <v>19.575332670000002</v>
      </c>
      <c r="FO18">
        <f>18.61631657</f>
        <v>18.616316569999999</v>
      </c>
      <c r="FP18">
        <f>19.96940706</f>
        <v>19.969407060000002</v>
      </c>
      <c r="FQ18">
        <f>20.17140631</f>
        <v>20.171406309999998</v>
      </c>
    </row>
    <row r="19" spans="1:173">
      <c r="A19" t="str">
        <f>"2017年预测P/FFO"</f>
        <v>2017年预测P/FFO</v>
      </c>
      <c r="B19" t="str">
        <f>"BRFREITV Index"</f>
        <v>BRFREITV Index</v>
      </c>
      <c r="E19" t="str">
        <f>"Median"</f>
        <v>Median</v>
      </c>
      <c r="F19">
        <f ca="1">IF(ISERROR(IF(MEDIAN($F$20:$F$26) = 0, "", MEDIAN($F$20:$F$26))), "", (IF(MEDIAN($F$20:$F$26) = 0, "", MEDIAN($F$20:$F$26))))</f>
        <v>18.827505049999999</v>
      </c>
      <c r="G19">
        <f ca="1">IF(ISERROR(IF(MEDIAN($G$20:$G$26) = 0, "", MEDIAN($G$20:$G$26))), "", (IF(MEDIAN($G$20:$G$26) = 0, "", MEDIAN($G$20:$G$26))))</f>
        <v>17.987843890000001</v>
      </c>
      <c r="H19">
        <f ca="1">IF(ISERROR(IF(MEDIAN($H$20:$H$26) = 0, "", MEDIAN($H$20:$H$26))), "", (IF(MEDIAN($H$20:$H$26) = 0, "", MEDIAN($H$20:$H$26))))</f>
        <v>19.591321900000001</v>
      </c>
      <c r="I19">
        <f ca="1">IF(ISERROR(IF(MEDIAN($I$20:$I$26) = 0, "", MEDIAN($I$20:$I$26))), "", (IF(MEDIAN($I$20:$I$26) = 0, "", MEDIAN($I$20:$I$26))))</f>
        <v>20.317810640000001</v>
      </c>
      <c r="J19">
        <f ca="1">IF(ISERROR(IF(MEDIAN($J$20:$J$26) = 0, "", MEDIAN($J$20:$J$26))), "", (IF(MEDIAN($J$20:$J$26) = 0, "", MEDIAN($J$20:$J$26))))</f>
        <v>20.78340626</v>
      </c>
      <c r="K19">
        <f ca="1">IF(ISERROR(IF(MEDIAN($K$20:$K$26) = 0, "", MEDIAN($K$20:$K$26))), "", (IF(MEDIAN($K$20:$K$26) = 0, "", MEDIAN($K$20:$K$26))))</f>
        <v>20.877287410000001</v>
      </c>
      <c r="L19">
        <f ca="1">IF(ISERROR(IF(MEDIAN($L$20:$L$26) = 0, "", MEDIAN($L$20:$L$26))), "", (IF(MEDIAN($L$20:$L$26) = 0, "", MEDIAN($L$20:$L$26))))</f>
        <v>20.41331186</v>
      </c>
      <c r="M19">
        <f ca="1">IF(ISERROR(IF(MEDIAN($M$20:$M$26) = 0, "", MEDIAN($M$20:$M$26))), "", (IF(MEDIAN($M$20:$M$26) = 0, "", MEDIAN($M$20:$M$26))))</f>
        <v>20.859752820000001</v>
      </c>
      <c r="N19">
        <f ca="1">IF(ISERROR(IF(MEDIAN($N$20:$N$26) = 0, "", MEDIAN($N$20:$N$26))), "", (IF(MEDIAN($N$20:$N$26) = 0, "", MEDIAN($N$20:$N$26))))</f>
        <v>21.016129029999998</v>
      </c>
      <c r="O19">
        <f ca="1">IF(ISERROR(IF(MEDIAN($O$20:$O$26) = 0, "", MEDIAN($O$20:$O$26))), "", (IF(MEDIAN($O$20:$O$26) = 0, "", MEDIAN($O$20:$O$26))))</f>
        <v>20.974165769999999</v>
      </c>
      <c r="P19">
        <f ca="1">IF(ISERROR(IF(MEDIAN($P$20:$P$26) = 0, "", MEDIAN($P$20:$P$26))), "", (IF(MEDIAN($P$20:$P$26) = 0, "", MEDIAN($P$20:$P$26))))</f>
        <v>20.780409039999999</v>
      </c>
      <c r="Q19">
        <f ca="1">IF(ISERROR(IF(MEDIAN($Q$20:$Q$26) = 0, "", MEDIAN($Q$20:$Q$26))), "", (IF(MEDIAN($Q$20:$Q$26) = 0, "", MEDIAN($Q$20:$Q$26))))</f>
        <v>20.129380050000002</v>
      </c>
      <c r="R19">
        <f ca="1">IF(ISERROR(IF(MEDIAN($R$20:$R$26) = 0, "", MEDIAN($R$20:$R$26))), "", (IF(MEDIAN($R$20:$R$26) = 0, "", MEDIAN($R$20:$R$26))))</f>
        <v>19.55771305</v>
      </c>
      <c r="S19">
        <f ca="1">IF(ISERROR(IF(MEDIAN($S$20:$S$26) = 0, "", MEDIAN($S$20:$S$26))), "", (IF(MEDIAN($S$20:$S$26) = 0, "", MEDIAN($S$20:$S$26))))</f>
        <v>19.68716289</v>
      </c>
      <c r="T19">
        <f ca="1">IF(ISERROR(IF(MEDIAN($T$20:$T$26) = 0, "", MEDIAN($T$20:$T$26))), "", (IF(MEDIAN($T$20:$T$26) = 0, "", MEDIAN($T$20:$T$26))))</f>
        <v>18.75</v>
      </c>
      <c r="U19">
        <f ca="1">IF(ISERROR(IF(MEDIAN($U$20:$U$26) = 0, "", MEDIAN($U$20:$U$26))), "", (IF(MEDIAN($U$20:$U$26) = 0, "", MEDIAN($U$20:$U$26))))</f>
        <v>19.560321720000001</v>
      </c>
      <c r="V19">
        <f ca="1">IF(ISERROR(IF(MEDIAN($V$20:$V$26) = 0, "", MEDIAN($V$20:$V$26))), "", (IF(MEDIAN($V$20:$V$26) = 0, "", MEDIAN($V$20:$V$26))))</f>
        <v>18.20320856</v>
      </c>
      <c r="W19">
        <f ca="1">IF(ISERROR(IF(MEDIAN($W$20:$W$26) = 0, "", MEDIAN($W$20:$W$26))), "", (IF(MEDIAN($W$20:$W$26) = 0, "", MEDIAN($W$20:$W$26))))</f>
        <v>18.164771760000001</v>
      </c>
      <c r="X19">
        <f ca="1">IF(ISERROR(IF(MEDIAN($X$20:$X$26) = 0, "", MEDIAN($X$20:$X$26))), "", (IF(MEDIAN($X$20:$X$26) = 0, "", MEDIAN($X$20:$X$26))))</f>
        <v>18.84892086</v>
      </c>
      <c r="Y19">
        <f ca="1">IF(ISERROR(IF(MEDIAN($Y$20:$Y$26) = 0, "", MEDIAN($Y$20:$Y$26))), "", (IF(MEDIAN($Y$20:$Y$26) = 0, "", MEDIAN($Y$20:$Y$26))))</f>
        <v>19.218075649999999</v>
      </c>
      <c r="Z19">
        <f ca="1">IF(ISERROR(IF(MEDIAN($Z$20:$Z$26) = 0, "", MEDIAN($Z$20:$Z$26))), "", (IF(MEDIAN($Z$20:$Z$26) = 0, "", MEDIAN($Z$20:$Z$26))))</f>
        <v>19.698412699999999</v>
      </c>
      <c r="AA19">
        <f ca="1">IF(ISERROR(IF(MEDIAN($AA$20:$AA$26) = 0, "", MEDIAN($AA$20:$AA$26))), "", (IF(MEDIAN($AA$20:$AA$26) = 0, "", MEDIAN($AA$20:$AA$26))))</f>
        <v>19.275754249999999</v>
      </c>
      <c r="AB19">
        <f ca="1">IF(ISERROR(IF(MEDIAN($AB$20:$AB$26) = 0, "", MEDIAN($AB$20:$AB$26))), "", (IF(MEDIAN($AB$20:$AB$26) = 0, "", MEDIAN($AB$20:$AB$26))))</f>
        <v>18.973143759999999</v>
      </c>
      <c r="AC19">
        <f ca="1">IF(ISERROR(IF(MEDIAN($AC$20:$AC$26) = 0, "", MEDIAN($AC$20:$AC$26))), "", (IF(MEDIAN($AC$20:$AC$26) = 0, "", MEDIAN($AC$20:$AC$26))))</f>
        <v>18.39831401</v>
      </c>
      <c r="AD19">
        <f ca="1">IF(ISERROR(IF(MEDIAN($AD$20:$AD$26) = 0, "", MEDIAN($AD$20:$AD$26))), "", (IF(MEDIAN($AD$20:$AD$26) = 0, "", MEDIAN($AD$20:$AD$26))))</f>
        <v>19.60596915</v>
      </c>
      <c r="AE19">
        <f ca="1">IF(ISERROR(IF(MEDIAN($AE$20:$AE$26) = 0, "", MEDIAN($AE$20:$AE$26))), "", (IF(MEDIAN($AE$20:$AE$26) = 0, "", MEDIAN($AE$20:$AE$26))))</f>
        <v>17.614678900000001</v>
      </c>
      <c r="AF19">
        <f ca="1">IF(ISERROR(IF(MEDIAN($AF$20:$AF$26) = 0, "", MEDIAN($AF$20:$AF$26))), "", (IF(MEDIAN($AF$20:$AF$26) = 0, "", MEDIAN($AF$20:$AF$26))))</f>
        <v>18.002196319999999</v>
      </c>
      <c r="AG19">
        <f ca="1">IF(ISERROR(IF(MEDIAN($AG$20:$AG$26) = 0, "", MEDIAN($AG$20:$AG$26))), "", (IF(MEDIAN($AG$20:$AG$26) = 0, "", MEDIAN($AG$20:$AG$26))))</f>
        <v>19.527027029999999</v>
      </c>
      <c r="AH19">
        <f ca="1">IF(ISERROR(IF(MEDIAN($AH$20:$AH$26) = 0, "", MEDIAN($AH$20:$AH$26))), "", (IF(MEDIAN($AH$20:$AH$26) = 0, "", MEDIAN($AH$20:$AH$26))))</f>
        <v>19.203954209999999</v>
      </c>
      <c r="AI19">
        <f ca="1">IF(ISERROR(IF(MEDIAN($AI$20:$AI$26) = 0, "", MEDIAN($AI$20:$AI$26))), "", (IF(MEDIAN($AI$20:$AI$26) = 0, "", MEDIAN($AI$20:$AI$26))))</f>
        <v>18.051335779999999</v>
      </c>
      <c r="AJ19">
        <f ca="1">IF(ISERROR(IF(MEDIAN($AJ$20:$AJ$26) = 0, "", MEDIAN($AJ$20:$AJ$26))), "", (IF(MEDIAN($AJ$20:$AJ$26) = 0, "", MEDIAN($AJ$20:$AJ$26))))</f>
        <v>18.340425530000001</v>
      </c>
      <c r="AK19">
        <f ca="1">IF(ISERROR(IF(MEDIAN($AK$20:$AK$26) = 0, "", MEDIAN($AK$20:$AK$26))), "", (IF(MEDIAN($AK$20:$AK$26) = 0, "", MEDIAN($AK$20:$AK$26))))</f>
        <v>17.21748401</v>
      </c>
      <c r="AL19">
        <f ca="1">IF(ISERROR(IF(MEDIAN($AL$20:$AL$26) = 0, "", MEDIAN($AL$20:$AL$26))), "", (IF(MEDIAN($AL$20:$AL$26) = 0, "", MEDIAN($AL$20:$AL$26))))</f>
        <v>18.167651800000002</v>
      </c>
      <c r="AM19">
        <f ca="1">IF(ISERROR(IF(MEDIAN($AM$20:$AM$26) = 0, "", MEDIAN($AM$20:$AM$26))), "", (IF(MEDIAN($AM$20:$AM$26) = 0, "", MEDIAN($AM$20:$AM$26))))</f>
        <v>17.332251079999999</v>
      </c>
      <c r="AN19">
        <f ca="1">IF(ISERROR(IF(MEDIAN($AN$20:$AN$26) = 0, "", MEDIAN($AN$20:$AN$26))), "", (IF(MEDIAN($AN$20:$AN$26) = 0, "", MEDIAN($AN$20:$AN$26))))</f>
        <v>17.792349730000002</v>
      </c>
      <c r="AO19">
        <f ca="1">IF(ISERROR(IF(MEDIAN($AO$20:$AO$26) = 0, "", MEDIAN($AO$20:$AO$26))), "", (IF(MEDIAN($AO$20:$AO$26) = 0, "", MEDIAN($AO$20:$AO$26))))</f>
        <v>17.936507939999998</v>
      </c>
      <c r="AP19">
        <f ca="1">IF(ISERROR(IF(MEDIAN($AP$20:$AP$26) = 0, "", MEDIAN($AP$20:$AP$26))), "", (IF(MEDIAN($AP$20:$AP$26) = 0, "", MEDIAN($AP$20:$AP$26))))</f>
        <v>19.19648067</v>
      </c>
      <c r="AQ19">
        <f ca="1">IF(ISERROR(IF(MEDIAN($AQ$20:$AQ$26) = 0, "", MEDIAN($AQ$20:$AQ$26))), "", (IF(MEDIAN($AQ$20:$AQ$26) = 0, "", MEDIAN($AQ$20:$AQ$26))))</f>
        <v>18.553064294999999</v>
      </c>
      <c r="AR19">
        <f ca="1">IF(ISERROR(IF(MEDIAN($AR$20:$AR$26) = 0, "", MEDIAN($AR$20:$AR$26))), "", (IF(MEDIAN($AR$20:$AR$26) = 0, "", MEDIAN($AR$20:$AR$26))))</f>
        <v>17.760417605000001</v>
      </c>
      <c r="AS19" t="str">
        <f ca="1">IF(ISERROR(IF(MEDIAN($AS$20:$AS$26) = 0, "", MEDIAN($AS$20:$AS$26))), "", (IF(MEDIAN($AS$20:$AS$26) = 0, "", MEDIAN($AS$20:$AS$26))))</f>
        <v/>
      </c>
      <c r="AT19" t="str">
        <f ca="1">IF(ISERROR(IF(MEDIAN($AT$20:$AT$26) = 0, "", MEDIAN($AT$20:$AT$26))), "", (IF(MEDIAN($AT$20:$AT$26) = 0, "", MEDIAN($AT$20:$AT$26))))</f>
        <v/>
      </c>
      <c r="AU19" t="str">
        <f ca="1">IF(ISERROR(IF(MEDIAN($AU$20:$AU$26) = 0, "", MEDIAN($AU$20:$AU$26))), "", (IF(MEDIAN($AU$20:$AU$26) = 0, "", MEDIAN($AU$20:$AU$26))))</f>
        <v/>
      </c>
      <c r="AV19" t="str">
        <f ca="1">IF(ISERROR(IF(MEDIAN($AV$20:$AV$26) = 0, "", MEDIAN($AV$20:$AV$26))), "", (IF(MEDIAN($AV$20:$AV$26) = 0, "", MEDIAN($AV$20:$AV$26))))</f>
        <v/>
      </c>
      <c r="AW19" t="str">
        <f ca="1">IF(ISERROR(IF(MEDIAN($AW$20:$AW$26) = 0, "", MEDIAN($AW$20:$AW$26))), "", (IF(MEDIAN($AW$20:$AW$26) = 0, "", MEDIAN($AW$20:$AW$26))))</f>
        <v/>
      </c>
      <c r="AX19" t="str">
        <f ca="1">IF(ISERROR(IF(MEDIAN($AX$20:$AX$26) = 0, "", MEDIAN($AX$20:$AX$26))), "", (IF(MEDIAN($AX$20:$AX$26) = 0, "", MEDIAN($AX$20:$AX$26))))</f>
        <v/>
      </c>
      <c r="AY19" t="str">
        <f ca="1">IF(ISERROR(IF(MEDIAN($AY$20:$AY$26) = 0, "", MEDIAN($AY$20:$AY$26))), "", (IF(MEDIAN($AY$20:$AY$26) = 0, "", MEDIAN($AY$20:$AY$26))))</f>
        <v/>
      </c>
      <c r="AZ19" t="str">
        <f ca="1">IF(ISERROR(IF(MEDIAN($AZ$20:$AZ$26) = 0, "", MEDIAN($AZ$20:$AZ$26))), "", (IF(MEDIAN($AZ$20:$AZ$26) = 0, "", MEDIAN($AZ$20:$AZ$26))))</f>
        <v/>
      </c>
      <c r="BA19" t="str">
        <f ca="1">IF(ISERROR(IF(MEDIAN($BA$20:$BA$26) = 0, "", MEDIAN($BA$20:$BA$26))), "", (IF(MEDIAN($BA$20:$BA$26) = 0, "", MEDIAN($BA$20:$BA$26))))</f>
        <v/>
      </c>
      <c r="BB19" t="str">
        <f ca="1">IF(ISERROR(IF(MEDIAN($BB$20:$BB$26) = 0, "", MEDIAN($BB$20:$BB$26))), "", (IF(MEDIAN($BB$20:$BB$26) = 0, "", MEDIAN($BB$20:$BB$26))))</f>
        <v/>
      </c>
      <c r="BC19" t="str">
        <f ca="1">IF(ISERROR(IF(MEDIAN($BC$20:$BC$26) = 0, "", MEDIAN($BC$20:$BC$26))), "", (IF(MEDIAN($BC$20:$BC$26) = 0, "", MEDIAN($BC$20:$BC$26))))</f>
        <v/>
      </c>
      <c r="BD19" t="str">
        <f ca="1">IF(ISERROR(IF(MEDIAN($BD$20:$BD$26) = 0, "", MEDIAN($BD$20:$BD$26))), "", (IF(MEDIAN($BD$20:$BD$26) = 0, "", MEDIAN($BD$20:$BD$26))))</f>
        <v/>
      </c>
      <c r="BE19" t="str">
        <f ca="1">IF(ISERROR(IF(MEDIAN($BE$20:$BE$26) = 0, "", MEDIAN($BE$20:$BE$26))), "", (IF(MEDIAN($BE$20:$BE$26) = 0, "", MEDIAN($BE$20:$BE$26))))</f>
        <v/>
      </c>
      <c r="BF19" t="str">
        <f ca="1">IF(ISERROR(IF(MEDIAN($BF$20:$BF$26) = 0, "", MEDIAN($BF$20:$BF$26))), "", (IF(MEDIAN($BF$20:$BF$26) = 0, "", MEDIAN($BF$20:$BF$26))))</f>
        <v/>
      </c>
      <c r="BG19" t="str">
        <f ca="1">IF(ISERROR(IF(MEDIAN($BG$20:$BG$26) = 0, "", MEDIAN($BG$20:$BG$26))), "", (IF(MEDIAN($BG$20:$BG$26) = 0, "", MEDIAN($BG$20:$BG$26))))</f>
        <v/>
      </c>
      <c r="BH19" t="str">
        <f ca="1">IF(ISERROR(IF(MEDIAN($BH$20:$BH$26) = 0, "", MEDIAN($BH$20:$BH$26))), "", (IF(MEDIAN($BH$20:$BH$26) = 0, "", MEDIAN($BH$20:$BH$26))))</f>
        <v/>
      </c>
      <c r="BI19" t="str">
        <f ca="1">IF(ISERROR(IF(MEDIAN($BI$20:$BI$26) = 0, "", MEDIAN($BI$20:$BI$26))), "", (IF(MEDIAN($BI$20:$BI$26) = 0, "", MEDIAN($BI$20:$BI$26))))</f>
        <v/>
      </c>
      <c r="BJ19" t="str">
        <f ca="1">IF(ISERROR(IF(MEDIAN($BJ$20:$BJ$26) = 0, "", MEDIAN($BJ$20:$BJ$26))), "", (IF(MEDIAN($BJ$20:$BJ$26) = 0, "", MEDIAN($BJ$20:$BJ$26))))</f>
        <v/>
      </c>
      <c r="BK19" t="str">
        <f ca="1">IF(ISERROR(IF(MEDIAN($BK$20:$BK$26) = 0, "", MEDIAN($BK$20:$BK$26))), "", (IF(MEDIAN($BK$20:$BK$26) = 0, "", MEDIAN($BK$20:$BK$26))))</f>
        <v/>
      </c>
      <c r="BL19" t="str">
        <f ca="1">IF(ISERROR(IF(MEDIAN($BL$20:$BL$26) = 0, "", MEDIAN($BL$20:$BL$26))), "", (IF(MEDIAN($BL$20:$BL$26) = 0, "", MEDIAN($BL$20:$BL$26))))</f>
        <v/>
      </c>
      <c r="BM19" t="str">
        <f ca="1">IF(ISERROR(IF(MEDIAN($BM$20:$BM$26) = 0, "", MEDIAN($BM$20:$BM$26))), "", (IF(MEDIAN($BM$20:$BM$26) = 0, "", MEDIAN($BM$20:$BM$26))))</f>
        <v/>
      </c>
      <c r="BN19" t="str">
        <f ca="1">IF(ISERROR(IF(MEDIAN($BN$20:$BN$26) = 0, "", MEDIAN($BN$20:$BN$26))), "", (IF(MEDIAN($BN$20:$BN$26) = 0, "", MEDIAN($BN$20:$BN$26))))</f>
        <v/>
      </c>
      <c r="BO19" t="str">
        <f ca="1">IF(ISERROR(IF(MEDIAN($BO$20:$BO$26) = 0, "", MEDIAN($BO$20:$BO$26))), "", (IF(MEDIAN($BO$20:$BO$26) = 0, "", MEDIAN($BO$20:$BO$26))))</f>
        <v/>
      </c>
      <c r="BP19" t="str">
        <f ca="1">IF(ISERROR(IF(MEDIAN($BP$20:$BP$26) = 0, "", MEDIAN($BP$20:$BP$26))), "", (IF(MEDIAN($BP$20:$BP$26) = 0, "", MEDIAN($BP$20:$BP$26))))</f>
        <v/>
      </c>
      <c r="BQ19" t="str">
        <f ca="1">IF(ISERROR(IF(MEDIAN($BQ$20:$BQ$26) = 0, "", MEDIAN($BQ$20:$BQ$26))), "", (IF(MEDIAN($BQ$20:$BQ$26) = 0, "", MEDIAN($BQ$20:$BQ$26))))</f>
        <v/>
      </c>
      <c r="BR19" t="str">
        <f ca="1">IF(ISERROR(IF(MEDIAN($BR$20:$BR$26) = 0, "", MEDIAN($BR$20:$BR$26))), "", (IF(MEDIAN($BR$20:$BR$26) = 0, "", MEDIAN($BR$20:$BR$26))))</f>
        <v/>
      </c>
      <c r="BS19" t="str">
        <f ca="1">IF(ISERROR(IF(MEDIAN($BS$20:$BS$26) = 0, "", MEDIAN($BS$20:$BS$26))), "", (IF(MEDIAN($BS$20:$BS$26) = 0, "", MEDIAN($BS$20:$BS$26))))</f>
        <v/>
      </c>
      <c r="BT19" t="str">
        <f ca="1">IF(ISERROR(IF(MEDIAN($BT$20:$BT$26) = 0, "", MEDIAN($BT$20:$BT$26))), "", (IF(MEDIAN($BT$20:$BT$26) = 0, "", MEDIAN($BT$20:$BT$26))))</f>
        <v/>
      </c>
      <c r="BU19" t="str">
        <f ca="1">IF(ISERROR(IF(MEDIAN($BU$20:$BU$26) = 0, "", MEDIAN($BU$20:$BU$26))), "", (IF(MEDIAN($BU$20:$BU$26) = 0, "", MEDIAN($BU$20:$BU$26))))</f>
        <v/>
      </c>
      <c r="BV19" t="str">
        <f ca="1">IF(ISERROR(IF(MEDIAN($BV$20:$BV$26) = 0, "", MEDIAN($BV$20:$BV$26))), "", (IF(MEDIAN($BV$20:$BV$26) = 0, "", MEDIAN($BV$20:$BV$26))))</f>
        <v/>
      </c>
      <c r="BW19" t="str">
        <f ca="1">IF(ISERROR(IF(MEDIAN($BW$20:$BW$26) = 0, "", MEDIAN($BW$20:$BW$26))), "", (IF(MEDIAN($BW$20:$BW$26) = 0, "", MEDIAN($BW$20:$BW$26))))</f>
        <v/>
      </c>
      <c r="BX19" t="str">
        <f ca="1">IF(ISERROR(IF(MEDIAN($BX$20:$BX$26) = 0, "", MEDIAN($BX$20:$BX$26))), "", (IF(MEDIAN($BX$20:$BX$26) = 0, "", MEDIAN($BX$20:$BX$26))))</f>
        <v/>
      </c>
      <c r="BY19" t="str">
        <f ca="1">IF(ISERROR(IF(MEDIAN($BY$20:$BY$26) = 0, "", MEDIAN($BY$20:$BY$26))), "", (IF(MEDIAN($BY$20:$BY$26) = 0, "", MEDIAN($BY$20:$BY$26))))</f>
        <v/>
      </c>
      <c r="BZ19" t="str">
        <f ca="1">IF(ISERROR(IF(MEDIAN($BZ$20:$BZ$26) = 0, "", MEDIAN($BZ$20:$BZ$26))), "", (IF(MEDIAN($BZ$20:$BZ$26) = 0, "", MEDIAN($BZ$20:$BZ$26))))</f>
        <v/>
      </c>
      <c r="CA19" t="str">
        <f ca="1">IF(ISERROR(IF(MEDIAN($CA$20:$CA$26) = 0, "", MEDIAN($CA$20:$CA$26))), "", (IF(MEDIAN($CA$20:$CA$26) = 0, "", MEDIAN($CA$20:$CA$26))))</f>
        <v/>
      </c>
      <c r="CB19" t="str">
        <f ca="1">IF(ISERROR(IF(MEDIAN($CB$20:$CB$26) = 0, "", MEDIAN($CB$20:$CB$26))), "", (IF(MEDIAN($CB$20:$CB$26) = 0, "", MEDIAN($CB$20:$CB$26))))</f>
        <v/>
      </c>
      <c r="CC19" t="str">
        <f ca="1">IF(ISERROR(IF(MEDIAN($CC$20:$CC$26) = 0, "", MEDIAN($CC$20:$CC$26))), "", (IF(MEDIAN($CC$20:$CC$26) = 0, "", MEDIAN($CC$20:$CC$26))))</f>
        <v/>
      </c>
      <c r="CD19" t="str">
        <f ca="1">IF(ISERROR(IF(MEDIAN($CD$20:$CD$26) = 0, "", MEDIAN($CD$20:$CD$26))), "", (IF(MEDIAN($CD$20:$CD$26) = 0, "", MEDIAN($CD$20:$CD$26))))</f>
        <v/>
      </c>
      <c r="CE19" t="str">
        <f ca="1">IF(ISERROR(IF(MEDIAN($CE$20:$CE$26) = 0, "", MEDIAN($CE$20:$CE$26))), "", (IF(MEDIAN($CE$20:$CE$26) = 0, "", MEDIAN($CE$20:$CE$26))))</f>
        <v/>
      </c>
      <c r="CF19" t="str">
        <f ca="1">IF(ISERROR(IF(MEDIAN($CF$20:$CF$26) = 0, "", MEDIAN($CF$20:$CF$26))), "", (IF(MEDIAN($CF$20:$CF$26) = 0, "", MEDIAN($CF$20:$CF$26))))</f>
        <v/>
      </c>
      <c r="CG19" t="str">
        <f ca="1">IF(ISERROR(IF(MEDIAN($CG$20:$CG$26) = 0, "", MEDIAN($CG$20:$CG$26))), "", (IF(MEDIAN($CG$20:$CG$26) = 0, "", MEDIAN($CG$20:$CG$26))))</f>
        <v/>
      </c>
      <c r="CH19" t="str">
        <f ca="1">IF(ISERROR(IF(MEDIAN($CH$20:$CH$26) = 0, "", MEDIAN($CH$20:$CH$26))), "", (IF(MEDIAN($CH$20:$CH$26) = 0, "", MEDIAN($CH$20:$CH$26))))</f>
        <v/>
      </c>
      <c r="CI19" t="str">
        <f ca="1">IF(ISERROR(IF(MEDIAN($CI$20:$CI$26) = 0, "", MEDIAN($CI$20:$CI$26))), "", (IF(MEDIAN($CI$20:$CI$26) = 0, "", MEDIAN($CI$20:$CI$26))))</f>
        <v/>
      </c>
      <c r="CJ19" t="str">
        <f ca="1">IF(ISERROR(IF(MEDIAN($CJ$20:$CJ$26) = 0, "", MEDIAN($CJ$20:$CJ$26))), "", (IF(MEDIAN($CJ$20:$CJ$26) = 0, "", MEDIAN($CJ$20:$CJ$26))))</f>
        <v/>
      </c>
      <c r="CK19" t="str">
        <f ca="1">IF(ISERROR(IF(MEDIAN($CK$20:$CK$26) = 0, "", MEDIAN($CK$20:$CK$26))), "", (IF(MEDIAN($CK$20:$CK$26) = 0, "", MEDIAN($CK$20:$CK$26))))</f>
        <v/>
      </c>
      <c r="CL19">
        <f>18.82750505</f>
        <v>18.827505049999999</v>
      </c>
      <c r="CM19">
        <f>17.98784389</f>
        <v>17.987843890000001</v>
      </c>
      <c r="CN19">
        <f>19.5913219</f>
        <v>19.591321900000001</v>
      </c>
      <c r="CO19">
        <f>20.31781064</f>
        <v>20.317810640000001</v>
      </c>
      <c r="CP19">
        <f>20.78340626</f>
        <v>20.78340626</v>
      </c>
      <c r="CQ19">
        <f>20.87728741</f>
        <v>20.877287410000001</v>
      </c>
      <c r="CR19">
        <f>20.41331186</f>
        <v>20.41331186</v>
      </c>
      <c r="CS19">
        <f>20.85975282</f>
        <v>20.859752820000001</v>
      </c>
      <c r="CT19">
        <f>21.01612903</f>
        <v>21.016129029999998</v>
      </c>
      <c r="CU19">
        <f>20.97416577</f>
        <v>20.974165769999999</v>
      </c>
      <c r="CV19">
        <f>20.78040904</f>
        <v>20.780409039999999</v>
      </c>
      <c r="CW19">
        <f>20.12938005</f>
        <v>20.129380050000002</v>
      </c>
      <c r="CX19">
        <f>19.55771305</f>
        <v>19.55771305</v>
      </c>
      <c r="CY19">
        <f>19.68716289</f>
        <v>19.68716289</v>
      </c>
      <c r="CZ19">
        <f>18.75</f>
        <v>18.75</v>
      </c>
      <c r="DA19">
        <f>19.56032172</f>
        <v>19.560321720000001</v>
      </c>
      <c r="DB19">
        <f>18.20320856</f>
        <v>18.20320856</v>
      </c>
      <c r="DC19">
        <f>18.16477176</f>
        <v>18.164771760000001</v>
      </c>
      <c r="DD19">
        <f>18.84892086</f>
        <v>18.84892086</v>
      </c>
      <c r="DE19">
        <f>19.21807565</f>
        <v>19.218075649999999</v>
      </c>
      <c r="DF19">
        <f>19.6984127</f>
        <v>19.698412699999999</v>
      </c>
      <c r="DG19">
        <f>19.27575425</f>
        <v>19.275754249999999</v>
      </c>
      <c r="DH19">
        <f>18.97314376</f>
        <v>18.973143759999999</v>
      </c>
      <c r="DI19">
        <f>18.39831401</f>
        <v>18.39831401</v>
      </c>
      <c r="DJ19">
        <f>19.60596915</f>
        <v>19.60596915</v>
      </c>
      <c r="DK19">
        <f>17.6146789</f>
        <v>17.614678900000001</v>
      </c>
      <c r="DL19">
        <f>18.00219632</f>
        <v>18.002196319999999</v>
      </c>
      <c r="DM19">
        <f>19.52702703</f>
        <v>19.527027029999999</v>
      </c>
      <c r="DN19">
        <f>19.20395421</f>
        <v>19.203954209999999</v>
      </c>
      <c r="DO19">
        <f>18.05133578</f>
        <v>18.051335779999999</v>
      </c>
      <c r="DP19">
        <f>18.34042553</f>
        <v>18.340425530000001</v>
      </c>
      <c r="DQ19">
        <f>17.21748401</f>
        <v>17.21748401</v>
      </c>
      <c r="DR19">
        <f>18.1676518</f>
        <v>18.167651800000002</v>
      </c>
      <c r="DS19">
        <f>17.33225108</f>
        <v>17.332251079999999</v>
      </c>
      <c r="DT19">
        <f>17.79234973</f>
        <v>17.792349730000002</v>
      </c>
      <c r="DU19">
        <f>17.93650794</f>
        <v>17.936507939999998</v>
      </c>
      <c r="DV19">
        <f>19.19648067</f>
        <v>19.19648067</v>
      </c>
      <c r="DW19">
        <f>18.55306429</f>
        <v>18.553064289999998</v>
      </c>
      <c r="DX19">
        <f>17.7604176</f>
        <v>17.7604176</v>
      </c>
      <c r="DY19" t="str">
        <f>""</f>
        <v/>
      </c>
      <c r="DZ19" t="str">
        <f>""</f>
        <v/>
      </c>
      <c r="EA19" t="str">
        <f>""</f>
        <v/>
      </c>
      <c r="EB19" t="str">
        <f>""</f>
        <v/>
      </c>
      <c r="EC19" t="str">
        <f>""</f>
        <v/>
      </c>
      <c r="ED19" t="str">
        <f>""</f>
        <v/>
      </c>
      <c r="EE19" t="str">
        <f>""</f>
        <v/>
      </c>
      <c r="EF19" t="str">
        <f>""</f>
        <v/>
      </c>
      <c r="EG19" t="str">
        <f>""</f>
        <v/>
      </c>
      <c r="EH19" t="str">
        <f>""</f>
        <v/>
      </c>
      <c r="EI19" t="str">
        <f>""</f>
        <v/>
      </c>
      <c r="EJ19" t="str">
        <f>""</f>
        <v/>
      </c>
      <c r="EK19" t="str">
        <f>""</f>
        <v/>
      </c>
      <c r="EL19" t="str">
        <f>""</f>
        <v/>
      </c>
      <c r="EM19" t="str">
        <f>""</f>
        <v/>
      </c>
      <c r="EN19" t="str">
        <f>""</f>
        <v/>
      </c>
      <c r="EO19" t="str">
        <f>""</f>
        <v/>
      </c>
      <c r="EP19" t="str">
        <f>""</f>
        <v/>
      </c>
      <c r="EQ19" t="str">
        <f>""</f>
        <v/>
      </c>
      <c r="ER19" t="str">
        <f>""</f>
        <v/>
      </c>
      <c r="ES19" t="str">
        <f>""</f>
        <v/>
      </c>
      <c r="ET19" t="str">
        <f>""</f>
        <v/>
      </c>
      <c r="EU19" t="str">
        <f>""</f>
        <v/>
      </c>
      <c r="EV19" t="str">
        <f>""</f>
        <v/>
      </c>
      <c r="EW19" t="str">
        <f>""</f>
        <v/>
      </c>
      <c r="EX19" t="str">
        <f>""</f>
        <v/>
      </c>
      <c r="EY19" t="str">
        <f>""</f>
        <v/>
      </c>
      <c r="EZ19" t="str">
        <f>""</f>
        <v/>
      </c>
      <c r="FA19" t="str">
        <f>""</f>
        <v/>
      </c>
      <c r="FB19" t="str">
        <f>""</f>
        <v/>
      </c>
      <c r="FC19" t="str">
        <f>""</f>
        <v/>
      </c>
      <c r="FD19" t="str">
        <f>""</f>
        <v/>
      </c>
      <c r="FE19" t="str">
        <f>""</f>
        <v/>
      </c>
      <c r="FF19" t="str">
        <f>""</f>
        <v/>
      </c>
      <c r="FG19" t="str">
        <f>""</f>
        <v/>
      </c>
      <c r="FH19" t="str">
        <f>""</f>
        <v/>
      </c>
      <c r="FI19" t="str">
        <f>""</f>
        <v/>
      </c>
      <c r="FJ19" t="str">
        <f>""</f>
        <v/>
      </c>
      <c r="FK19" t="str">
        <f>""</f>
        <v/>
      </c>
      <c r="FL19" t="str">
        <f>""</f>
        <v/>
      </c>
      <c r="FM19" t="str">
        <f>""</f>
        <v/>
      </c>
      <c r="FN19" t="str">
        <f>""</f>
        <v/>
      </c>
      <c r="FO19" t="str">
        <f>""</f>
        <v/>
      </c>
      <c r="FP19" t="str">
        <f>""</f>
        <v/>
      </c>
      <c r="FQ19" t="str">
        <f>""</f>
        <v/>
      </c>
    </row>
    <row r="20" spans="1:173">
      <c r="A20" t="str">
        <f>"    公寓投资与管理"</f>
        <v xml:space="preserve">    公寓投资与管理</v>
      </c>
      <c r="B20" t="str">
        <f>"AIV US Equity"</f>
        <v>AIV US Equity</v>
      </c>
      <c r="C20" t="str">
        <f t="shared" ref="C20:C26" si="6">"BE249"</f>
        <v>BE249</v>
      </c>
      <c r="D20" t="str">
        <f t="shared" ref="D20:D26" si="7">"BEST_PRICE_FFO_RATIO"</f>
        <v>BEST_PRICE_FFO_RATIO</v>
      </c>
      <c r="E20" t="str">
        <f t="shared" ref="E20:E26" si="8">"动态"</f>
        <v>动态</v>
      </c>
      <c r="F20">
        <f ca="1">IF(AND(ISNUMBER($F$268),$B$252=1),$F$268,HLOOKUP(INDIRECT(ADDRESS(2,COLUMN())),OFFSET($CL$2,0,0,ROW()-1,84),ROW()-1,FALSE))</f>
        <v>16.373670990000001</v>
      </c>
      <c r="G20">
        <f ca="1">IF(AND(ISNUMBER($G$268),$B$252=1),$G$268,HLOOKUP(INDIRECT(ADDRESS(2,COLUMN())),OFFSET($CL$2,0,0,ROW()-1,84),ROW()-1,FALSE))</f>
        <v>15.805396569999999</v>
      </c>
      <c r="H20">
        <f ca="1">IF(AND(ISNUMBER($H$268),$B$252=1),$H$268,HLOOKUP(INDIRECT(ADDRESS(2,COLUMN())),OFFSET($CL$2,0,0,ROW()-1,84),ROW()-1,FALSE))</f>
        <v>17.10547833</v>
      </c>
      <c r="I20">
        <f ca="1">IF(AND(ISNUMBER($I$268),$B$252=1),$I$268,HLOOKUP(INDIRECT(ADDRESS(2,COLUMN())),OFFSET($CL$2,0,0,ROW()-1,84),ROW()-1,FALSE))</f>
        <v>17.869991819999999</v>
      </c>
      <c r="J20">
        <f ca="1">IF(AND(ISNUMBER($J$268),$B$252=1),$J$268,HLOOKUP(INDIRECT(ADDRESS(2,COLUMN())),OFFSET($CL$2,0,0,ROW()-1,84),ROW()-1,FALSE))</f>
        <v>18.062269560000001</v>
      </c>
      <c r="K20">
        <f ca="1">IF(AND(ISNUMBER($K$268),$B$252=1),$K$268,HLOOKUP(INDIRECT(ADDRESS(2,COLUMN())),OFFSET($CL$2,0,0,ROW()-1,84),ROW()-1,FALSE))</f>
        <v>18.039376539999999</v>
      </c>
      <c r="L20">
        <f ca="1">IF(AND(ISNUMBER($L$268),$B$252=1),$L$268,HLOOKUP(INDIRECT(ADDRESS(2,COLUMN())),OFFSET($CL$2,0,0,ROW()-1,84),ROW()-1,FALSE))</f>
        <v>17.968045879999998</v>
      </c>
      <c r="M20">
        <f ca="1">IF(AND(ISNUMBER($M$268),$B$252=1),$M$268,HLOOKUP(INDIRECT(ADDRESS(2,COLUMN())),OFFSET($CL$2,0,0,ROW()-1,84),ROW()-1,FALSE))</f>
        <v>18.562653560000001</v>
      </c>
      <c r="N20">
        <f ca="1">IF(AND(ISNUMBER($N$268),$B$252=1),$N$268,HLOOKUP(INDIRECT(ADDRESS(2,COLUMN())),OFFSET($CL$2,0,0,ROW()-1,84),ROW()-1,FALSE))</f>
        <v>18.698686370000001</v>
      </c>
      <c r="O20">
        <f ca="1">IF(AND(ISNUMBER($O$268),$B$252=1),$O$268,HLOOKUP(INDIRECT(ADDRESS(2,COLUMN())),OFFSET($CL$2,0,0,ROW()-1,84),ROW()-1,FALSE))</f>
        <v>17.639573070000001</v>
      </c>
      <c r="P20">
        <f ca="1">IF(AND(ISNUMBER($P$268),$B$252=1),$P$268,HLOOKUP(INDIRECT(ADDRESS(2,COLUMN())),OFFSET($CL$2,0,0,ROW()-1,84),ROW()-1,FALSE))</f>
        <v>17.63352506</v>
      </c>
      <c r="Q20">
        <f ca="1">IF(AND(ISNUMBER($Q$268),$B$252=1),$Q$268,HLOOKUP(INDIRECT(ADDRESS(2,COLUMN())),OFFSET($CL$2,0,0,ROW()-1,84),ROW()-1,FALSE))</f>
        <v>17.838499179999999</v>
      </c>
      <c r="R20">
        <f ca="1">IF(AND(ISNUMBER($R$268),$B$252=1),$R$268,HLOOKUP(INDIRECT(ADDRESS(2,COLUMN())),OFFSET($CL$2,0,0,ROW()-1,84),ROW()-1,FALSE))</f>
        <v>18.116830069999999</v>
      </c>
      <c r="S20">
        <f ca="1">IF(AND(ISNUMBER($S$268),$B$252=1),$S$268,HLOOKUP(INDIRECT(ADDRESS(2,COLUMN())),OFFSET($CL$2,0,0,ROW()-1,84),ROW()-1,FALSE))</f>
        <v>19.01512056</v>
      </c>
      <c r="T20">
        <f ca="1">IF(AND(ISNUMBER($T$268),$B$252=1),$T$268,HLOOKUP(INDIRECT(ADDRESS(2,COLUMN())),OFFSET($CL$2,0,0,ROW()-1,84),ROW()-1,FALSE))</f>
        <v>17.980416160000001</v>
      </c>
      <c r="U20">
        <f ca="1">IF(AND(ISNUMBER($U$268),$B$252=1),$U$268,HLOOKUP(INDIRECT(ADDRESS(2,COLUMN())),OFFSET($CL$2,0,0,ROW()-1,84),ROW()-1,FALSE))</f>
        <v>18.543451650000002</v>
      </c>
      <c r="V20">
        <f ca="1">IF(AND(ISNUMBER($V$268),$B$252=1),$V$268,HLOOKUP(INDIRECT(ADDRESS(2,COLUMN())),OFFSET($CL$2,0,0,ROW()-1,84),ROW()-1,FALSE))</f>
        <v>17.148676170000002</v>
      </c>
      <c r="W20">
        <f ca="1">IF(AND(ISNUMBER($W$268),$B$252=1),$W$268,HLOOKUP(INDIRECT(ADDRESS(2,COLUMN())),OFFSET($CL$2,0,0,ROW()-1,84),ROW()-1,FALSE))</f>
        <v>17.813257879999998</v>
      </c>
      <c r="X20">
        <f ca="1">IF(AND(ISNUMBER($X$268),$B$252=1),$X$268,HLOOKUP(INDIRECT(ADDRESS(2,COLUMN())),OFFSET($CL$2,0,0,ROW()-1,84),ROW()-1,FALSE))</f>
        <v>18.400801600000001</v>
      </c>
      <c r="Y20">
        <f ca="1">IF(AND(ISNUMBER($Y$268),$B$252=1),$Y$268,HLOOKUP(INDIRECT(ADDRESS(2,COLUMN())),OFFSET($CL$2,0,0,ROW()-1,84),ROW()-1,FALSE))</f>
        <v>18.108216429999999</v>
      </c>
      <c r="Z20">
        <f ca="1">IF(AND(ISNUMBER($Z$268),$B$252=1),$Z$268,HLOOKUP(INDIRECT(ADDRESS(2,COLUMN())),OFFSET($CL$2,0,0,ROW()-1,84),ROW()-1,FALSE))</f>
        <v>18.513894480000001</v>
      </c>
      <c r="AA20">
        <f ca="1">IF(AND(ISNUMBER($AA$268),$B$252=1),$AA$268,HLOOKUP(INDIRECT(ADDRESS(2,COLUMN())),OFFSET($CL$2,0,0,ROW()-1,84),ROW()-1,FALSE))</f>
        <v>17.90028375</v>
      </c>
      <c r="AB20">
        <f ca="1">IF(AND(ISNUMBER($AB$268),$B$252=1),$AB$268,HLOOKUP(INDIRECT(ADDRESS(2,COLUMN())),OFFSET($CL$2,0,0,ROW()-1,84),ROW()-1,FALSE))</f>
        <v>17.20451795</v>
      </c>
      <c r="AC20">
        <f ca="1">IF(AND(ISNUMBER($AC$268),$B$252=1),$AC$268,HLOOKUP(INDIRECT(ADDRESS(2,COLUMN())),OFFSET($CL$2,0,0,ROW()-1,84),ROW()-1,FALSE))</f>
        <v>16.311074919999999</v>
      </c>
      <c r="AD20">
        <f ca="1">IF(AND(ISNUMBER($AD$268),$B$252=1),$AD$268,HLOOKUP(INDIRECT(ADDRESS(2,COLUMN())),OFFSET($CL$2,0,0,ROW()-1,84),ROW()-1,FALSE))</f>
        <v>16.931174089999999</v>
      </c>
      <c r="AE20">
        <f ca="1">IF(AND(ISNUMBER($AE$268),$B$252=1),$AE$268,HLOOKUP(INDIRECT(ADDRESS(2,COLUMN())),OFFSET($CL$2,0,0,ROW()-1,84),ROW()-1,FALSE))</f>
        <v>14.69690887</v>
      </c>
      <c r="AF20">
        <f ca="1">IF(AND(ISNUMBER($AF$268),$B$252=1),$AF$268,HLOOKUP(INDIRECT(ADDRESS(2,COLUMN())),OFFSET($CL$2,0,0,ROW()-1,84),ROW()-1,FALSE))</f>
        <v>15.37102473</v>
      </c>
      <c r="AG20">
        <f ca="1">IF(AND(ISNUMBER($AG$268),$B$252=1),$AG$268,HLOOKUP(INDIRECT(ADDRESS(2,COLUMN())),OFFSET($CL$2,0,0,ROW()-1,84),ROW()-1,FALSE))</f>
        <v>15.60623782</v>
      </c>
      <c r="AH20">
        <f ca="1">IF(AND(ISNUMBER($AH$268),$B$252=1),$AH$268,HLOOKUP(INDIRECT(ADDRESS(2,COLUMN())),OFFSET($CL$2,0,0,ROW()-1,84),ROW()-1,FALSE))</f>
        <v>14.84612388</v>
      </c>
      <c r="AI20">
        <f ca="1">IF(AND(ISNUMBER($AI$268),$B$252=1),$AI$268,HLOOKUP(INDIRECT(ADDRESS(2,COLUMN())),OFFSET($CL$2,0,0,ROW()-1,84),ROW()-1,FALSE))</f>
        <v>15.178156469999999</v>
      </c>
      <c r="AJ20">
        <f ca="1">IF(AND(ISNUMBER($AJ$268),$B$252=1),$AJ$268,HLOOKUP(INDIRECT(ADDRESS(2,COLUMN())),OFFSET($CL$2,0,0,ROW()-1,84),ROW()-1,FALSE))</f>
        <v>14.40466926</v>
      </c>
      <c r="AK20">
        <f ca="1">IF(AND(ISNUMBER($AK$268),$B$252=1),$AK$268,HLOOKUP(INDIRECT(ADDRESS(2,COLUMN())),OFFSET($CL$2,0,0,ROW()-1,84),ROW()-1,FALSE))</f>
        <v>14.01945525</v>
      </c>
      <c r="AL20">
        <f ca="1">IF(AND(ISNUMBER($AL$268),$B$252=1),$AL$268,HLOOKUP(INDIRECT(ADDRESS(2,COLUMN())),OFFSET($CL$2,0,0,ROW()-1,84),ROW()-1,FALSE))</f>
        <v>15.50793651</v>
      </c>
      <c r="AM20">
        <f ca="1">IF(AND(ISNUMBER($AM$268),$B$252=1),$AM$268,HLOOKUP(INDIRECT(ADDRESS(2,COLUMN())),OFFSET($CL$2,0,0,ROW()-1,84),ROW()-1,FALSE))</f>
        <v>14.672228840000001</v>
      </c>
      <c r="AN20">
        <f ca="1">IF(AND(ISNUMBER($AN$268),$B$252=1),$AN$268,HLOOKUP(INDIRECT(ADDRESS(2,COLUMN())),OFFSET($CL$2,0,0,ROW()-1,84),ROW()-1,FALSE))</f>
        <v>15.525992629999999</v>
      </c>
      <c r="AO20">
        <f ca="1">IF(AND(ISNUMBER($AO$268),$B$252=1),$AO$268,HLOOKUP(INDIRECT(ADDRESS(2,COLUMN())),OFFSET($CL$2,0,0,ROW()-1,84),ROW()-1,FALSE))</f>
        <v>15.31871701</v>
      </c>
      <c r="AP20">
        <f ca="1">IF(AND(ISNUMBER($AP$268),$B$252=1),$AP$268,HLOOKUP(INDIRECT(ADDRESS(2,COLUMN())),OFFSET($CL$2,0,0,ROW()-1,84),ROW()-1,FALSE))</f>
        <v>16.197530860000001</v>
      </c>
      <c r="AQ20">
        <f ca="1">IF(AND(ISNUMBER($AQ$268),$B$252=1),$AQ$268,HLOOKUP(INDIRECT(ADDRESS(2,COLUMN())),OFFSET($CL$2,0,0,ROW()-1,84),ROW()-1,FALSE))</f>
        <v>15.19354839</v>
      </c>
      <c r="AR20" t="str">
        <f ca="1">IF(AND(ISNUMBER($AR$268),$B$252=1),$AR$268,HLOOKUP(INDIRECT(ADDRESS(2,COLUMN())),OFFSET($CL$2,0,0,ROW()-1,84),ROW()-1,FALSE))</f>
        <v/>
      </c>
      <c r="AS20" t="str">
        <f ca="1">IF(AND(ISNUMBER($AS$268),$B$252=1),$AS$268,HLOOKUP(INDIRECT(ADDRESS(2,COLUMN())),OFFSET($CL$2,0,0,ROW()-1,84),ROW()-1,FALSE))</f>
        <v/>
      </c>
      <c r="AT20" t="str">
        <f ca="1">IF(AND(ISNUMBER($AT$268),$B$252=1),$AT$268,HLOOKUP(INDIRECT(ADDRESS(2,COLUMN())),OFFSET($CL$2,0,0,ROW()-1,84),ROW()-1,FALSE))</f>
        <v/>
      </c>
      <c r="AU20" t="str">
        <f ca="1">IF(AND(ISNUMBER($AU$268),$B$252=1),$AU$268,HLOOKUP(INDIRECT(ADDRESS(2,COLUMN())),OFFSET($CL$2,0,0,ROW()-1,84),ROW()-1,FALSE))</f>
        <v/>
      </c>
      <c r="AV20" t="str">
        <f ca="1">IF(AND(ISNUMBER($AV$268),$B$252=1),$AV$268,HLOOKUP(INDIRECT(ADDRESS(2,COLUMN())),OFFSET($CL$2,0,0,ROW()-1,84),ROW()-1,FALSE))</f>
        <v/>
      </c>
      <c r="AW20" t="str">
        <f ca="1">IF(AND(ISNUMBER($AW$268),$B$252=1),$AW$268,HLOOKUP(INDIRECT(ADDRESS(2,COLUMN())),OFFSET($CL$2,0,0,ROW()-1,84),ROW()-1,FALSE))</f>
        <v/>
      </c>
      <c r="AX20" t="str">
        <f ca="1">IF(AND(ISNUMBER($AX$268),$B$252=1),$AX$268,HLOOKUP(INDIRECT(ADDRESS(2,COLUMN())),OFFSET($CL$2,0,0,ROW()-1,84),ROW()-1,FALSE))</f>
        <v/>
      </c>
      <c r="AY20" t="str">
        <f ca="1">IF(AND(ISNUMBER($AY$268),$B$252=1),$AY$268,HLOOKUP(INDIRECT(ADDRESS(2,COLUMN())),OFFSET($CL$2,0,0,ROW()-1,84),ROW()-1,FALSE))</f>
        <v/>
      </c>
      <c r="AZ20" t="str">
        <f ca="1">IF(AND(ISNUMBER($AZ$268),$B$252=1),$AZ$268,HLOOKUP(INDIRECT(ADDRESS(2,COLUMN())),OFFSET($CL$2,0,0,ROW()-1,84),ROW()-1,FALSE))</f>
        <v/>
      </c>
      <c r="BA20" t="str">
        <f ca="1">IF(AND(ISNUMBER($BA$268),$B$252=1),$BA$268,HLOOKUP(INDIRECT(ADDRESS(2,COLUMN())),OFFSET($CL$2,0,0,ROW()-1,84),ROW()-1,FALSE))</f>
        <v/>
      </c>
      <c r="BB20" t="str">
        <f ca="1">IF(AND(ISNUMBER($BB$268),$B$252=1),$BB$268,HLOOKUP(INDIRECT(ADDRESS(2,COLUMN())),OFFSET($CL$2,0,0,ROW()-1,84),ROW()-1,FALSE))</f>
        <v/>
      </c>
      <c r="BC20" t="str">
        <f ca="1">IF(AND(ISNUMBER($BC$268),$B$252=1),$BC$268,HLOOKUP(INDIRECT(ADDRESS(2,COLUMN())),OFFSET($CL$2,0,0,ROW()-1,84),ROW()-1,FALSE))</f>
        <v/>
      </c>
      <c r="BD20" t="str">
        <f ca="1">IF(AND(ISNUMBER($BD$268),$B$252=1),$BD$268,HLOOKUP(INDIRECT(ADDRESS(2,COLUMN())),OFFSET($CL$2,0,0,ROW()-1,84),ROW()-1,FALSE))</f>
        <v/>
      </c>
      <c r="BE20" t="str">
        <f ca="1">IF(AND(ISNUMBER($BE$268),$B$252=1),$BE$268,HLOOKUP(INDIRECT(ADDRESS(2,COLUMN())),OFFSET($CL$2,0,0,ROW()-1,84),ROW()-1,FALSE))</f>
        <v/>
      </c>
      <c r="BF20" t="str">
        <f ca="1">IF(AND(ISNUMBER($BF$268),$B$252=1),$BF$268,HLOOKUP(INDIRECT(ADDRESS(2,COLUMN())),OFFSET($CL$2,0,0,ROW()-1,84),ROW()-1,FALSE))</f>
        <v/>
      </c>
      <c r="BG20" t="str">
        <f ca="1">IF(AND(ISNUMBER($BG$268),$B$252=1),$BG$268,HLOOKUP(INDIRECT(ADDRESS(2,COLUMN())),OFFSET($CL$2,0,0,ROW()-1,84),ROW()-1,FALSE))</f>
        <v/>
      </c>
      <c r="BH20" t="str">
        <f ca="1">IF(AND(ISNUMBER($BH$268),$B$252=1),$BH$268,HLOOKUP(INDIRECT(ADDRESS(2,COLUMN())),OFFSET($CL$2,0,0,ROW()-1,84),ROW()-1,FALSE))</f>
        <v/>
      </c>
      <c r="BI20" t="str">
        <f ca="1">IF(AND(ISNUMBER($BI$268),$B$252=1),$BI$268,HLOOKUP(INDIRECT(ADDRESS(2,COLUMN())),OFFSET($CL$2,0,0,ROW()-1,84),ROW()-1,FALSE))</f>
        <v/>
      </c>
      <c r="BJ20" t="str">
        <f ca="1">IF(AND(ISNUMBER($BJ$268),$B$252=1),$BJ$268,HLOOKUP(INDIRECT(ADDRESS(2,COLUMN())),OFFSET($CL$2,0,0,ROW()-1,84),ROW()-1,FALSE))</f>
        <v/>
      </c>
      <c r="BK20" t="str">
        <f ca="1">IF(AND(ISNUMBER($BK$268),$B$252=1),$BK$268,HLOOKUP(INDIRECT(ADDRESS(2,COLUMN())),OFFSET($CL$2,0,0,ROW()-1,84),ROW()-1,FALSE))</f>
        <v/>
      </c>
      <c r="BL20" t="str">
        <f ca="1">IF(AND(ISNUMBER($BL$268),$B$252=1),$BL$268,HLOOKUP(INDIRECT(ADDRESS(2,COLUMN())),OFFSET($CL$2,0,0,ROW()-1,84),ROW()-1,FALSE))</f>
        <v/>
      </c>
      <c r="BM20" t="str">
        <f ca="1">IF(AND(ISNUMBER($BM$268),$B$252=1),$BM$268,HLOOKUP(INDIRECT(ADDRESS(2,COLUMN())),OFFSET($CL$2,0,0,ROW()-1,84),ROW()-1,FALSE))</f>
        <v/>
      </c>
      <c r="BN20" t="str">
        <f ca="1">IF(AND(ISNUMBER($BN$268),$B$252=1),$BN$268,HLOOKUP(INDIRECT(ADDRESS(2,COLUMN())),OFFSET($CL$2,0,0,ROW()-1,84),ROW()-1,FALSE))</f>
        <v/>
      </c>
      <c r="BO20" t="str">
        <f ca="1">IF(AND(ISNUMBER($BO$268),$B$252=1),$BO$268,HLOOKUP(INDIRECT(ADDRESS(2,COLUMN())),OFFSET($CL$2,0,0,ROW()-1,84),ROW()-1,FALSE))</f>
        <v/>
      </c>
      <c r="BP20" t="str">
        <f ca="1">IF(AND(ISNUMBER($BP$268),$B$252=1),$BP$268,HLOOKUP(INDIRECT(ADDRESS(2,COLUMN())),OFFSET($CL$2,0,0,ROW()-1,84),ROW()-1,FALSE))</f>
        <v/>
      </c>
      <c r="BQ20" t="str">
        <f ca="1">IF(AND(ISNUMBER($BQ$268),$B$252=1),$BQ$268,HLOOKUP(INDIRECT(ADDRESS(2,COLUMN())),OFFSET($CL$2,0,0,ROW()-1,84),ROW()-1,FALSE))</f>
        <v/>
      </c>
      <c r="BR20" t="str">
        <f ca="1">IF(AND(ISNUMBER($BR$268),$B$252=1),$BR$268,HLOOKUP(INDIRECT(ADDRESS(2,COLUMN())),OFFSET($CL$2,0,0,ROW()-1,84),ROW()-1,FALSE))</f>
        <v/>
      </c>
      <c r="BS20" t="str">
        <f ca="1">IF(AND(ISNUMBER($BS$268),$B$252=1),$BS$268,HLOOKUP(INDIRECT(ADDRESS(2,COLUMN())),OFFSET($CL$2,0,0,ROW()-1,84),ROW()-1,FALSE))</f>
        <v/>
      </c>
      <c r="BT20" t="str">
        <f ca="1">IF(AND(ISNUMBER($BT$268),$B$252=1),$BT$268,HLOOKUP(INDIRECT(ADDRESS(2,COLUMN())),OFFSET($CL$2,0,0,ROW()-1,84),ROW()-1,FALSE))</f>
        <v/>
      </c>
      <c r="BU20" t="str">
        <f ca="1">IF(AND(ISNUMBER($BU$268),$B$252=1),$BU$268,HLOOKUP(INDIRECT(ADDRESS(2,COLUMN())),OFFSET($CL$2,0,0,ROW()-1,84),ROW()-1,FALSE))</f>
        <v/>
      </c>
      <c r="BV20" t="str">
        <f ca="1">IF(AND(ISNUMBER($BV$268),$B$252=1),$BV$268,HLOOKUP(INDIRECT(ADDRESS(2,COLUMN())),OFFSET($CL$2,0,0,ROW()-1,84),ROW()-1,FALSE))</f>
        <v/>
      </c>
      <c r="BW20" t="str">
        <f ca="1">IF(AND(ISNUMBER($BW$268),$B$252=1),$BW$268,HLOOKUP(INDIRECT(ADDRESS(2,COLUMN())),OFFSET($CL$2,0,0,ROW()-1,84),ROW()-1,FALSE))</f>
        <v/>
      </c>
      <c r="BX20" t="str">
        <f ca="1">IF(AND(ISNUMBER($BX$268),$B$252=1),$BX$268,HLOOKUP(INDIRECT(ADDRESS(2,COLUMN())),OFFSET($CL$2,0,0,ROW()-1,84),ROW()-1,FALSE))</f>
        <v/>
      </c>
      <c r="BY20" t="str">
        <f ca="1">IF(AND(ISNUMBER($BY$268),$B$252=1),$BY$268,HLOOKUP(INDIRECT(ADDRESS(2,COLUMN())),OFFSET($CL$2,0,0,ROW()-1,84),ROW()-1,FALSE))</f>
        <v/>
      </c>
      <c r="BZ20" t="str">
        <f ca="1">IF(AND(ISNUMBER($BZ$268),$B$252=1),$BZ$268,HLOOKUP(INDIRECT(ADDRESS(2,COLUMN())),OFFSET($CL$2,0,0,ROW()-1,84),ROW()-1,FALSE))</f>
        <v/>
      </c>
      <c r="CA20" t="str">
        <f ca="1">IF(AND(ISNUMBER($CA$268),$B$252=1),$CA$268,HLOOKUP(INDIRECT(ADDRESS(2,COLUMN())),OFFSET($CL$2,0,0,ROW()-1,84),ROW()-1,FALSE))</f>
        <v/>
      </c>
      <c r="CB20" t="str">
        <f ca="1">IF(AND(ISNUMBER($CB$268),$B$252=1),$CB$268,HLOOKUP(INDIRECT(ADDRESS(2,COLUMN())),OFFSET($CL$2,0,0,ROW()-1,84),ROW()-1,FALSE))</f>
        <v/>
      </c>
      <c r="CC20" t="str">
        <f ca="1">IF(AND(ISNUMBER($CC$268),$B$252=1),$CC$268,HLOOKUP(INDIRECT(ADDRESS(2,COLUMN())),OFFSET($CL$2,0,0,ROW()-1,84),ROW()-1,FALSE))</f>
        <v/>
      </c>
      <c r="CD20" t="str">
        <f ca="1">IF(AND(ISNUMBER($CD$268),$B$252=1),$CD$268,HLOOKUP(INDIRECT(ADDRESS(2,COLUMN())),OFFSET($CL$2,0,0,ROW()-1,84),ROW()-1,FALSE))</f>
        <v/>
      </c>
      <c r="CE20" t="str">
        <f ca="1">IF(AND(ISNUMBER($CE$268),$B$252=1),$CE$268,HLOOKUP(INDIRECT(ADDRESS(2,COLUMN())),OFFSET($CL$2,0,0,ROW()-1,84),ROW()-1,FALSE))</f>
        <v/>
      </c>
      <c r="CF20" t="str">
        <f ca="1">IF(AND(ISNUMBER($CF$268),$B$252=1),$CF$268,HLOOKUP(INDIRECT(ADDRESS(2,COLUMN())),OFFSET($CL$2,0,0,ROW()-1,84),ROW()-1,FALSE))</f>
        <v/>
      </c>
      <c r="CG20" t="str">
        <f ca="1">IF(AND(ISNUMBER($CG$268),$B$252=1),$CG$268,HLOOKUP(INDIRECT(ADDRESS(2,COLUMN())),OFFSET($CL$2,0,0,ROW()-1,84),ROW()-1,FALSE))</f>
        <v/>
      </c>
      <c r="CH20" t="str">
        <f ca="1">IF(AND(ISNUMBER($CH$268),$B$252=1),$CH$268,HLOOKUP(INDIRECT(ADDRESS(2,COLUMN())),OFFSET($CL$2,0,0,ROW()-1,84),ROW()-1,FALSE))</f>
        <v/>
      </c>
      <c r="CI20" t="str">
        <f ca="1">IF(AND(ISNUMBER($CI$268),$B$252=1),$CI$268,HLOOKUP(INDIRECT(ADDRESS(2,COLUMN())),OFFSET($CL$2,0,0,ROW()-1,84),ROW()-1,FALSE))</f>
        <v/>
      </c>
      <c r="CJ20" t="str">
        <f ca="1">IF(AND(ISNUMBER($CJ$268),$B$252=1),$CJ$268,HLOOKUP(INDIRECT(ADDRESS(2,COLUMN())),OFFSET($CL$2,0,0,ROW()-1,84),ROW()-1,FALSE))</f>
        <v/>
      </c>
      <c r="CK20" t="str">
        <f ca="1">IF(AND(ISNUMBER($CK$268),$B$252=1),$CK$268,HLOOKUP(INDIRECT(ADDRESS(2,COLUMN())),OFFSET($CL$2,0,0,ROW()-1,84),ROW()-1,FALSE))</f>
        <v/>
      </c>
      <c r="CL20">
        <f>16.37367099</f>
        <v>16.373670990000001</v>
      </c>
      <c r="CM20">
        <f>15.80539657</f>
        <v>15.805396569999999</v>
      </c>
      <c r="CN20">
        <f>17.10547833</f>
        <v>17.10547833</v>
      </c>
      <c r="CO20">
        <f>17.86999182</f>
        <v>17.869991819999999</v>
      </c>
      <c r="CP20">
        <f>18.06226956</f>
        <v>18.062269560000001</v>
      </c>
      <c r="CQ20">
        <f>18.03937654</f>
        <v>18.039376539999999</v>
      </c>
      <c r="CR20">
        <f>17.96804588</f>
        <v>17.968045879999998</v>
      </c>
      <c r="CS20">
        <f>18.56265356</f>
        <v>18.562653560000001</v>
      </c>
      <c r="CT20">
        <f>18.69868637</f>
        <v>18.698686370000001</v>
      </c>
      <c r="CU20">
        <f>17.63957307</f>
        <v>17.639573070000001</v>
      </c>
      <c r="CV20">
        <f>17.63352506</f>
        <v>17.63352506</v>
      </c>
      <c r="CW20">
        <f>17.83849918</f>
        <v>17.838499179999999</v>
      </c>
      <c r="CX20">
        <f>18.11683007</f>
        <v>18.116830069999999</v>
      </c>
      <c r="CY20">
        <f>19.01512056</f>
        <v>19.01512056</v>
      </c>
      <c r="CZ20">
        <f>17.98041616</f>
        <v>17.980416160000001</v>
      </c>
      <c r="DA20">
        <f>18.54345165</f>
        <v>18.543451650000002</v>
      </c>
      <c r="DB20">
        <f>17.14867617</f>
        <v>17.148676170000002</v>
      </c>
      <c r="DC20">
        <f>17.81325788</f>
        <v>17.813257879999998</v>
      </c>
      <c r="DD20">
        <f>18.4008016</f>
        <v>18.400801600000001</v>
      </c>
      <c r="DE20">
        <f>18.10821643</f>
        <v>18.108216429999999</v>
      </c>
      <c r="DF20">
        <f>18.51389448</f>
        <v>18.513894480000001</v>
      </c>
      <c r="DG20">
        <f>17.90028375</f>
        <v>17.90028375</v>
      </c>
      <c r="DH20">
        <f>17.20451795</f>
        <v>17.20451795</v>
      </c>
      <c r="DI20">
        <f>16.31107492</f>
        <v>16.311074919999999</v>
      </c>
      <c r="DJ20">
        <f>16.93117409</f>
        <v>16.931174089999999</v>
      </c>
      <c r="DK20">
        <f>14.69690887</f>
        <v>14.69690887</v>
      </c>
      <c r="DL20">
        <f>15.37102473</f>
        <v>15.37102473</v>
      </c>
      <c r="DM20">
        <f>15.60623782</f>
        <v>15.60623782</v>
      </c>
      <c r="DN20">
        <f>14.84612388</f>
        <v>14.84612388</v>
      </c>
      <c r="DO20">
        <f>15.17815647</f>
        <v>15.178156469999999</v>
      </c>
      <c r="DP20">
        <f>14.40466926</f>
        <v>14.40466926</v>
      </c>
      <c r="DQ20">
        <f>14.01945525</f>
        <v>14.01945525</v>
      </c>
      <c r="DR20">
        <f>15.50793651</f>
        <v>15.50793651</v>
      </c>
      <c r="DS20">
        <f>14.67222884</f>
        <v>14.672228840000001</v>
      </c>
      <c r="DT20">
        <f>15.52599263</f>
        <v>15.525992629999999</v>
      </c>
      <c r="DU20">
        <f>15.31871701</f>
        <v>15.31871701</v>
      </c>
      <c r="DV20">
        <f>16.19753086</f>
        <v>16.197530860000001</v>
      </c>
      <c r="DW20">
        <f>15.19354839</f>
        <v>15.19354839</v>
      </c>
      <c r="DX20" t="str">
        <f>""</f>
        <v/>
      </c>
      <c r="DY20" t="str">
        <f>""</f>
        <v/>
      </c>
      <c r="DZ20" t="str">
        <f>""</f>
        <v/>
      </c>
      <c r="EA20" t="str">
        <f>""</f>
        <v/>
      </c>
      <c r="EB20" t="str">
        <f>""</f>
        <v/>
      </c>
      <c r="EC20" t="str">
        <f>""</f>
        <v/>
      </c>
      <c r="ED20" t="str">
        <f>""</f>
        <v/>
      </c>
      <c r="EE20" t="str">
        <f>""</f>
        <v/>
      </c>
      <c r="EF20" t="str">
        <f>""</f>
        <v/>
      </c>
      <c r="EG20" t="str">
        <f>""</f>
        <v/>
      </c>
      <c r="EH20" t="str">
        <f>""</f>
        <v/>
      </c>
      <c r="EI20" t="str">
        <f>""</f>
        <v/>
      </c>
      <c r="EJ20" t="str">
        <f>""</f>
        <v/>
      </c>
      <c r="EK20" t="str">
        <f>""</f>
        <v/>
      </c>
      <c r="EL20" t="str">
        <f>""</f>
        <v/>
      </c>
      <c r="EM20" t="str">
        <f>""</f>
        <v/>
      </c>
      <c r="EN20" t="str">
        <f>""</f>
        <v/>
      </c>
      <c r="EO20" t="str">
        <f>""</f>
        <v/>
      </c>
      <c r="EP20" t="str">
        <f>""</f>
        <v/>
      </c>
      <c r="EQ20" t="str">
        <f>""</f>
        <v/>
      </c>
      <c r="ER20" t="str">
        <f>""</f>
        <v/>
      </c>
      <c r="ES20" t="str">
        <f>""</f>
        <v/>
      </c>
      <c r="ET20" t="str">
        <f>""</f>
        <v/>
      </c>
      <c r="EU20" t="str">
        <f>""</f>
        <v/>
      </c>
      <c r="EV20" t="str">
        <f>""</f>
        <v/>
      </c>
      <c r="EW20" t="str">
        <f>""</f>
        <v/>
      </c>
      <c r="EX20" t="str">
        <f>""</f>
        <v/>
      </c>
      <c r="EY20" t="str">
        <f>""</f>
        <v/>
      </c>
      <c r="EZ20" t="str">
        <f>""</f>
        <v/>
      </c>
      <c r="FA20" t="str">
        <f>""</f>
        <v/>
      </c>
      <c r="FB20" t="str">
        <f>""</f>
        <v/>
      </c>
      <c r="FC20" t="str">
        <f>""</f>
        <v/>
      </c>
      <c r="FD20" t="str">
        <f>""</f>
        <v/>
      </c>
      <c r="FE20" t="str">
        <f>""</f>
        <v/>
      </c>
      <c r="FF20" t="str">
        <f>""</f>
        <v/>
      </c>
      <c r="FG20" t="str">
        <f>""</f>
        <v/>
      </c>
      <c r="FH20" t="str">
        <f>""</f>
        <v/>
      </c>
      <c r="FI20" t="str">
        <f>""</f>
        <v/>
      </c>
      <c r="FJ20" t="str">
        <f>""</f>
        <v/>
      </c>
      <c r="FK20" t="str">
        <f>""</f>
        <v/>
      </c>
      <c r="FL20" t="str">
        <f>""</f>
        <v/>
      </c>
      <c r="FM20" t="str">
        <f>""</f>
        <v/>
      </c>
      <c r="FN20" t="str">
        <f>""</f>
        <v/>
      </c>
      <c r="FO20" t="str">
        <f>""</f>
        <v/>
      </c>
      <c r="FP20" t="str">
        <f>""</f>
        <v/>
      </c>
      <c r="FQ20" t="str">
        <f>""</f>
        <v/>
      </c>
    </row>
    <row r="21" spans="1:173">
      <c r="A21" t="str">
        <f>"    AvalonBay社区股份有限公司"</f>
        <v xml:space="preserve">    AvalonBay社区股份有限公司</v>
      </c>
      <c r="B21" t="str">
        <f>"AVB US Equity"</f>
        <v>AVB US Equity</v>
      </c>
      <c r="C21" t="str">
        <f t="shared" si="6"/>
        <v>BE249</v>
      </c>
      <c r="D21" t="str">
        <f t="shared" si="7"/>
        <v>BEST_PRICE_FFO_RATIO</v>
      </c>
      <c r="E21" t="str">
        <f t="shared" si="8"/>
        <v>动态</v>
      </c>
      <c r="F21">
        <f ca="1">IF(AND(ISNUMBER($F$269),$B$252=1),$F$269,HLOOKUP(INDIRECT(ADDRESS(2,COLUMN())),OFFSET($CL$2,0,0,ROW()-1,84),ROW()-1,FALSE))</f>
        <v>18.827505049999999</v>
      </c>
      <c r="G21">
        <f ca="1">IF(AND(ISNUMBER($G$269),$B$252=1),$G$269,HLOOKUP(INDIRECT(ADDRESS(2,COLUMN())),OFFSET($CL$2,0,0,ROW()-1,84),ROW()-1,FALSE))</f>
        <v>18.184149179999999</v>
      </c>
      <c r="H21">
        <f ca="1">IF(AND(ISNUMBER($H$269),$B$252=1),$H$269,HLOOKUP(INDIRECT(ADDRESS(2,COLUMN())),OFFSET($CL$2,0,0,ROW()-1,84),ROW()-1,FALSE))</f>
        <v>19.86013986</v>
      </c>
      <c r="I21">
        <f ca="1">IF(AND(ISNUMBER($I$269),$B$252=1),$I$269,HLOOKUP(INDIRECT(ADDRESS(2,COLUMN())),OFFSET($CL$2,0,0,ROW()-1,84),ROW()-1,FALSE))</f>
        <v>20.77433628</v>
      </c>
      <c r="J21">
        <f ca="1">IF(AND(ISNUMBER($J$269),$B$252=1),$J$269,HLOOKUP(INDIRECT(ADDRESS(2,COLUMN())),OFFSET($CL$2,0,0,ROW()-1,84),ROW()-1,FALSE))</f>
        <v>21.200748279999999</v>
      </c>
      <c r="K21">
        <f ca="1">IF(AND(ISNUMBER($K$269),$B$252=1),$K$269,HLOOKUP(INDIRECT(ADDRESS(2,COLUMN())),OFFSET($CL$2,0,0,ROW()-1,84),ROW()-1,FALSE))</f>
        <v>21.220596839999999</v>
      </c>
      <c r="L21">
        <f ca="1">IF(AND(ISNUMBER($L$269),$B$252=1),$L$269,HLOOKUP(INDIRECT(ADDRESS(2,COLUMN())),OFFSET($CL$2,0,0,ROW()-1,84),ROW()-1,FALSE))</f>
        <v>20.862956029999999</v>
      </c>
      <c r="M21">
        <f ca="1">IF(AND(ISNUMBER($M$269),$B$252=1),$M$269,HLOOKUP(INDIRECT(ADDRESS(2,COLUMN())),OFFSET($CL$2,0,0,ROW()-1,84),ROW()-1,FALSE))</f>
        <v>21.915713289999999</v>
      </c>
      <c r="N21">
        <f ca="1">IF(AND(ISNUMBER($N$269),$B$252=1),$N$269,HLOOKUP(INDIRECT(ADDRESS(2,COLUMN())),OFFSET($CL$2,0,0,ROW()-1,84),ROW()-1,FALSE))</f>
        <v>22.30144928</v>
      </c>
      <c r="O21">
        <f ca="1">IF(AND(ISNUMBER($O$269),$B$252=1),$O$269,HLOOKUP(INDIRECT(ADDRESS(2,COLUMN())),OFFSET($CL$2,0,0,ROW()-1,84),ROW()-1,FALSE))</f>
        <v>22.247047930000001</v>
      </c>
      <c r="P21">
        <f ca="1">IF(AND(ISNUMBER($P$269),$B$252=1),$P$269,HLOOKUP(INDIRECT(ADDRESS(2,COLUMN())),OFFSET($CL$2,0,0,ROW()-1,84),ROW()-1,FALSE))</f>
        <v>22.047498269999998</v>
      </c>
      <c r="Q21">
        <f ca="1">IF(AND(ISNUMBER($Q$269),$B$252=1),$Q$269,HLOOKUP(INDIRECT(ADDRESS(2,COLUMN())),OFFSET($CL$2,0,0,ROW()-1,84),ROW()-1,FALSE))</f>
        <v>21.860893600000001</v>
      </c>
      <c r="R21">
        <f ca="1">IF(AND(ISNUMBER($R$269),$B$252=1),$R$269,HLOOKUP(INDIRECT(ADDRESS(2,COLUMN())),OFFSET($CL$2,0,0,ROW()-1,84),ROW()-1,FALSE))</f>
        <v>21.130164579999999</v>
      </c>
      <c r="S21">
        <f ca="1">IF(AND(ISNUMBER($S$269),$B$252=1),$S$269,HLOOKUP(INDIRECT(ADDRESS(2,COLUMN())),OFFSET($CL$2,0,0,ROW()-1,84),ROW()-1,FALSE))</f>
        <v>21.17037208</v>
      </c>
      <c r="T21">
        <f ca="1">IF(AND(ISNUMBER($T$269),$B$252=1),$T$269,HLOOKUP(INDIRECT(ADDRESS(2,COLUMN())),OFFSET($CL$2,0,0,ROW()-1,84),ROW()-1,FALSE))</f>
        <v>19.84314174</v>
      </c>
      <c r="U21">
        <f ca="1">IF(AND(ISNUMBER($U$269),$B$252=1),$U$269,HLOOKUP(INDIRECT(ADDRESS(2,COLUMN())),OFFSET($CL$2,0,0,ROW()-1,84),ROW()-1,FALSE))</f>
        <v>20.2967461</v>
      </c>
      <c r="V21">
        <f ca="1">IF(AND(ISNUMBER($V$269),$B$252=1),$V$269,HLOOKUP(INDIRECT(ADDRESS(2,COLUMN())),OFFSET($CL$2,0,0,ROW()-1,84),ROW()-1,FALSE))</f>
        <v>18.811756630000001</v>
      </c>
      <c r="W21">
        <f ca="1">IF(AND(ISNUMBER($W$269),$B$252=1),$W$269,HLOOKUP(INDIRECT(ADDRESS(2,COLUMN())),OFFSET($CL$2,0,0,ROW()-1,84),ROW()-1,FALSE))</f>
        <v>19.48992372</v>
      </c>
      <c r="X21">
        <f ca="1">IF(AND(ISNUMBER($X$269),$B$252=1),$X$269,HLOOKUP(INDIRECT(ADDRESS(2,COLUMN())),OFFSET($CL$2,0,0,ROW()-1,84),ROW()-1,FALSE))</f>
        <v>20.081300809999998</v>
      </c>
      <c r="Y21">
        <f ca="1">IF(AND(ISNUMBER($Y$269),$B$252=1),$Y$269,HLOOKUP(INDIRECT(ADDRESS(2,COLUMN())),OFFSET($CL$2,0,0,ROW()-1,84),ROW()-1,FALSE))</f>
        <v>19.768440080000001</v>
      </c>
      <c r="Z21">
        <f ca="1">IF(AND(ISNUMBER($Z$269),$B$252=1),$Z$269,HLOOKUP(INDIRECT(ADDRESS(2,COLUMN())),OFFSET($CL$2,0,0,ROW()-1,84),ROW()-1,FALSE))</f>
        <v>20.81044726</v>
      </c>
      <c r="AA21">
        <f ca="1">IF(AND(ISNUMBER($AA$269),$B$252=1),$AA$269,HLOOKUP(INDIRECT(ADDRESS(2,COLUMN())),OFFSET($CL$2,0,0,ROW()-1,84),ROW()-1,FALSE))</f>
        <v>20.173339299999999</v>
      </c>
      <c r="AB21">
        <f ca="1">IF(AND(ISNUMBER($AB$269),$B$252=1),$AB$269,HLOOKUP(INDIRECT(ADDRESS(2,COLUMN())),OFFSET($CL$2,0,0,ROW()-1,84),ROW()-1,FALSE))</f>
        <v>20.11630508</v>
      </c>
      <c r="AC21">
        <f ca="1">IF(AND(ISNUMBER($AC$269),$B$252=1),$AC$269,HLOOKUP(INDIRECT(ADDRESS(2,COLUMN())),OFFSET($CL$2,0,0,ROW()-1,84),ROW()-1,FALSE))</f>
        <v>19.799529620000001</v>
      </c>
      <c r="AD21">
        <f ca="1">IF(AND(ISNUMBER($AD$269),$B$252=1),$AD$269,HLOOKUP(INDIRECT(ADDRESS(2,COLUMN())),OFFSET($CL$2,0,0,ROW()-1,84),ROW()-1,FALSE))</f>
        <v>21.196924110000001</v>
      </c>
      <c r="AE21">
        <f ca="1">IF(AND(ISNUMBER($AE$269),$B$252=1),$AE$269,HLOOKUP(INDIRECT(ADDRESS(2,COLUMN())),OFFSET($CL$2,0,0,ROW()-1,84),ROW()-1,FALSE))</f>
        <v>19.113585749999999</v>
      </c>
      <c r="AF21">
        <f ca="1">IF(AND(ISNUMBER($AF$269),$B$252=1),$AF$269,HLOOKUP(INDIRECT(ADDRESS(2,COLUMN())),OFFSET($CL$2,0,0,ROW()-1,84),ROW()-1,FALSE))</f>
        <v>19.163034979999999</v>
      </c>
      <c r="AG21">
        <f ca="1">IF(AND(ISNUMBER($AG$269),$B$252=1),$AG$269,HLOOKUP(INDIRECT(ADDRESS(2,COLUMN())),OFFSET($CL$2,0,0,ROW()-1,84),ROW()-1,FALSE))</f>
        <v>20.541053099999999</v>
      </c>
      <c r="AH21">
        <f ca="1">IF(AND(ISNUMBER($AH$269),$B$252=1),$AH$269,HLOOKUP(INDIRECT(ADDRESS(2,COLUMN())),OFFSET($CL$2,0,0,ROW()-1,84),ROW()-1,FALSE))</f>
        <v>20.361783150000001</v>
      </c>
      <c r="AI21">
        <f ca="1">IF(AND(ISNUMBER($AI$269),$B$252=1),$AI$269,HLOOKUP(INDIRECT(ADDRESS(2,COLUMN())),OFFSET($CL$2,0,0,ROW()-1,84),ROW()-1,FALSE))</f>
        <v>19.674769300000001</v>
      </c>
      <c r="AJ21">
        <f ca="1">IF(AND(ISNUMBER($AJ$269),$B$252=1),$AJ$269,HLOOKUP(INDIRECT(ADDRESS(2,COLUMN())),OFFSET($CL$2,0,0,ROW()-1,84),ROW()-1,FALSE))</f>
        <v>19.811876699999999</v>
      </c>
      <c r="AK21">
        <f ca="1">IF(AND(ISNUMBER($AK$269),$B$252=1),$AK$269,HLOOKUP(INDIRECT(ADDRESS(2,COLUMN())),OFFSET($CL$2,0,0,ROW()-1,84),ROW()-1,FALSE))</f>
        <v>18.70580236</v>
      </c>
      <c r="AL21">
        <f ca="1">IF(AND(ISNUMBER($AL$269),$B$252=1),$AL$269,HLOOKUP(INDIRECT(ADDRESS(2,COLUMN())),OFFSET($CL$2,0,0,ROW()-1,84),ROW()-1,FALSE))</f>
        <v>19.857126399999999</v>
      </c>
      <c r="AM21">
        <f ca="1">IF(AND(ISNUMBER($AM$269),$B$252=1),$AM$269,HLOOKUP(INDIRECT(ADDRESS(2,COLUMN())),OFFSET($CL$2,0,0,ROW()-1,84),ROW()-1,FALSE))</f>
        <v>18.578733289999999</v>
      </c>
      <c r="AN21">
        <f ca="1">IF(AND(ISNUMBER($AN$269),$B$252=1),$AN$269,HLOOKUP(INDIRECT(ADDRESS(2,COLUMN())),OFFSET($CL$2,0,0,ROW()-1,84),ROW()-1,FALSE))</f>
        <v>19.396551720000001</v>
      </c>
      <c r="AO21">
        <f ca="1">IF(AND(ISNUMBER($AO$269),$B$252=1),$AO$269,HLOOKUP(INDIRECT(ADDRESS(2,COLUMN())),OFFSET($CL$2,0,0,ROW()-1,84),ROW()-1,FALSE))</f>
        <v>19.198598130000001</v>
      </c>
      <c r="AP21">
        <f ca="1">IF(AND(ISNUMBER($AP$269),$B$252=1),$AP$269,HLOOKUP(INDIRECT(ADDRESS(2,COLUMN())),OFFSET($CL$2,0,0,ROW()-1,84),ROW()-1,FALSE))</f>
        <v>20.524146049999999</v>
      </c>
      <c r="AQ21">
        <f ca="1">IF(AND(ISNUMBER($AQ$269),$B$252=1),$AQ$269,HLOOKUP(INDIRECT(ADDRESS(2,COLUMN())),OFFSET($CL$2,0,0,ROW()-1,84),ROW()-1,FALSE))</f>
        <v>19.604052639999999</v>
      </c>
      <c r="AR21">
        <f ca="1">IF(AND(ISNUMBER($AR$269),$B$252=1),$AR$269,HLOOKUP(INDIRECT(ADDRESS(2,COLUMN())),OFFSET($CL$2,0,0,ROW()-1,84),ROW()-1,FALSE))</f>
        <v>20.54513064</v>
      </c>
      <c r="AS21" t="str">
        <f ca="1">IF(AND(ISNUMBER($AS$269),$B$252=1),$AS$269,HLOOKUP(INDIRECT(ADDRESS(2,COLUMN())),OFFSET($CL$2,0,0,ROW()-1,84),ROW()-1,FALSE))</f>
        <v/>
      </c>
      <c r="AT21" t="str">
        <f ca="1">IF(AND(ISNUMBER($AT$269),$B$252=1),$AT$269,HLOOKUP(INDIRECT(ADDRESS(2,COLUMN())),OFFSET($CL$2,0,0,ROW()-1,84),ROW()-1,FALSE))</f>
        <v/>
      </c>
      <c r="AU21" t="str">
        <f ca="1">IF(AND(ISNUMBER($AU$269),$B$252=1),$AU$269,HLOOKUP(INDIRECT(ADDRESS(2,COLUMN())),OFFSET($CL$2,0,0,ROW()-1,84),ROW()-1,FALSE))</f>
        <v/>
      </c>
      <c r="AV21" t="str">
        <f ca="1">IF(AND(ISNUMBER($AV$269),$B$252=1),$AV$269,HLOOKUP(INDIRECT(ADDRESS(2,COLUMN())),OFFSET($CL$2,0,0,ROW()-1,84),ROW()-1,FALSE))</f>
        <v/>
      </c>
      <c r="AW21" t="str">
        <f ca="1">IF(AND(ISNUMBER($AW$269),$B$252=1),$AW$269,HLOOKUP(INDIRECT(ADDRESS(2,COLUMN())),OFFSET($CL$2,0,0,ROW()-1,84),ROW()-1,FALSE))</f>
        <v/>
      </c>
      <c r="AX21" t="str">
        <f ca="1">IF(AND(ISNUMBER($AX$269),$B$252=1),$AX$269,HLOOKUP(INDIRECT(ADDRESS(2,COLUMN())),OFFSET($CL$2,0,0,ROW()-1,84),ROW()-1,FALSE))</f>
        <v/>
      </c>
      <c r="AY21" t="str">
        <f ca="1">IF(AND(ISNUMBER($AY$269),$B$252=1),$AY$269,HLOOKUP(INDIRECT(ADDRESS(2,COLUMN())),OFFSET($CL$2,0,0,ROW()-1,84),ROW()-1,FALSE))</f>
        <v/>
      </c>
      <c r="AZ21" t="str">
        <f ca="1">IF(AND(ISNUMBER($AZ$269),$B$252=1),$AZ$269,HLOOKUP(INDIRECT(ADDRESS(2,COLUMN())),OFFSET($CL$2,0,0,ROW()-1,84),ROW()-1,FALSE))</f>
        <v/>
      </c>
      <c r="BA21" t="str">
        <f ca="1">IF(AND(ISNUMBER($BA$269),$B$252=1),$BA$269,HLOOKUP(INDIRECT(ADDRESS(2,COLUMN())),OFFSET($CL$2,0,0,ROW()-1,84),ROW()-1,FALSE))</f>
        <v/>
      </c>
      <c r="BB21" t="str">
        <f ca="1">IF(AND(ISNUMBER($BB$269),$B$252=1),$BB$269,HLOOKUP(INDIRECT(ADDRESS(2,COLUMN())),OFFSET($CL$2,0,0,ROW()-1,84),ROW()-1,FALSE))</f>
        <v/>
      </c>
      <c r="BC21" t="str">
        <f ca="1">IF(AND(ISNUMBER($BC$269),$B$252=1),$BC$269,HLOOKUP(INDIRECT(ADDRESS(2,COLUMN())),OFFSET($CL$2,0,0,ROW()-1,84),ROW()-1,FALSE))</f>
        <v/>
      </c>
      <c r="BD21" t="str">
        <f ca="1">IF(AND(ISNUMBER($BD$269),$B$252=1),$BD$269,HLOOKUP(INDIRECT(ADDRESS(2,COLUMN())),OFFSET($CL$2,0,0,ROW()-1,84),ROW()-1,FALSE))</f>
        <v/>
      </c>
      <c r="BE21" t="str">
        <f ca="1">IF(AND(ISNUMBER($BE$269),$B$252=1),$BE$269,HLOOKUP(INDIRECT(ADDRESS(2,COLUMN())),OFFSET($CL$2,0,0,ROW()-1,84),ROW()-1,FALSE))</f>
        <v/>
      </c>
      <c r="BF21" t="str">
        <f ca="1">IF(AND(ISNUMBER($BF$269),$B$252=1),$BF$269,HLOOKUP(INDIRECT(ADDRESS(2,COLUMN())),OFFSET($CL$2,0,0,ROW()-1,84),ROW()-1,FALSE))</f>
        <v/>
      </c>
      <c r="BG21" t="str">
        <f ca="1">IF(AND(ISNUMBER($BG$269),$B$252=1),$BG$269,HLOOKUP(INDIRECT(ADDRESS(2,COLUMN())),OFFSET($CL$2,0,0,ROW()-1,84),ROW()-1,FALSE))</f>
        <v/>
      </c>
      <c r="BH21" t="str">
        <f ca="1">IF(AND(ISNUMBER($BH$269),$B$252=1),$BH$269,HLOOKUP(INDIRECT(ADDRESS(2,COLUMN())),OFFSET($CL$2,0,0,ROW()-1,84),ROW()-1,FALSE))</f>
        <v/>
      </c>
      <c r="BI21" t="str">
        <f ca="1">IF(AND(ISNUMBER($BI$269),$B$252=1),$BI$269,HLOOKUP(INDIRECT(ADDRESS(2,COLUMN())),OFFSET($CL$2,0,0,ROW()-1,84),ROW()-1,FALSE))</f>
        <v/>
      </c>
      <c r="BJ21" t="str">
        <f ca="1">IF(AND(ISNUMBER($BJ$269),$B$252=1),$BJ$269,HLOOKUP(INDIRECT(ADDRESS(2,COLUMN())),OFFSET($CL$2,0,0,ROW()-1,84),ROW()-1,FALSE))</f>
        <v/>
      </c>
      <c r="BK21" t="str">
        <f ca="1">IF(AND(ISNUMBER($BK$269),$B$252=1),$BK$269,HLOOKUP(INDIRECT(ADDRESS(2,COLUMN())),OFFSET($CL$2,0,0,ROW()-1,84),ROW()-1,FALSE))</f>
        <v/>
      </c>
      <c r="BL21" t="str">
        <f ca="1">IF(AND(ISNUMBER($BL$269),$B$252=1),$BL$269,HLOOKUP(INDIRECT(ADDRESS(2,COLUMN())),OFFSET($CL$2,0,0,ROW()-1,84),ROW()-1,FALSE))</f>
        <v/>
      </c>
      <c r="BM21" t="str">
        <f ca="1">IF(AND(ISNUMBER($BM$269),$B$252=1),$BM$269,HLOOKUP(INDIRECT(ADDRESS(2,COLUMN())),OFFSET($CL$2,0,0,ROW()-1,84),ROW()-1,FALSE))</f>
        <v/>
      </c>
      <c r="BN21" t="str">
        <f ca="1">IF(AND(ISNUMBER($BN$269),$B$252=1),$BN$269,HLOOKUP(INDIRECT(ADDRESS(2,COLUMN())),OFFSET($CL$2,0,0,ROW()-1,84),ROW()-1,FALSE))</f>
        <v/>
      </c>
      <c r="BO21" t="str">
        <f ca="1">IF(AND(ISNUMBER($BO$269),$B$252=1),$BO$269,HLOOKUP(INDIRECT(ADDRESS(2,COLUMN())),OFFSET($CL$2,0,0,ROW()-1,84),ROW()-1,FALSE))</f>
        <v/>
      </c>
      <c r="BP21" t="str">
        <f ca="1">IF(AND(ISNUMBER($BP$269),$B$252=1),$BP$269,HLOOKUP(INDIRECT(ADDRESS(2,COLUMN())),OFFSET($CL$2,0,0,ROW()-1,84),ROW()-1,FALSE))</f>
        <v/>
      </c>
      <c r="BQ21" t="str">
        <f ca="1">IF(AND(ISNUMBER($BQ$269),$B$252=1),$BQ$269,HLOOKUP(INDIRECT(ADDRESS(2,COLUMN())),OFFSET($CL$2,0,0,ROW()-1,84),ROW()-1,FALSE))</f>
        <v/>
      </c>
      <c r="BR21" t="str">
        <f ca="1">IF(AND(ISNUMBER($BR$269),$B$252=1),$BR$269,HLOOKUP(INDIRECT(ADDRESS(2,COLUMN())),OFFSET($CL$2,0,0,ROW()-1,84),ROW()-1,FALSE))</f>
        <v/>
      </c>
      <c r="BS21" t="str">
        <f ca="1">IF(AND(ISNUMBER($BS$269),$B$252=1),$BS$269,HLOOKUP(INDIRECT(ADDRESS(2,COLUMN())),OFFSET($CL$2,0,0,ROW()-1,84),ROW()-1,FALSE))</f>
        <v/>
      </c>
      <c r="BT21" t="str">
        <f ca="1">IF(AND(ISNUMBER($BT$269),$B$252=1),$BT$269,HLOOKUP(INDIRECT(ADDRESS(2,COLUMN())),OFFSET($CL$2,0,0,ROW()-1,84),ROW()-1,FALSE))</f>
        <v/>
      </c>
      <c r="BU21" t="str">
        <f ca="1">IF(AND(ISNUMBER($BU$269),$B$252=1),$BU$269,HLOOKUP(INDIRECT(ADDRESS(2,COLUMN())),OFFSET($CL$2,0,0,ROW()-1,84),ROW()-1,FALSE))</f>
        <v/>
      </c>
      <c r="BV21" t="str">
        <f ca="1">IF(AND(ISNUMBER($BV$269),$B$252=1),$BV$269,HLOOKUP(INDIRECT(ADDRESS(2,COLUMN())),OFFSET($CL$2,0,0,ROW()-1,84),ROW()-1,FALSE))</f>
        <v/>
      </c>
      <c r="BW21" t="str">
        <f ca="1">IF(AND(ISNUMBER($BW$269),$B$252=1),$BW$269,HLOOKUP(INDIRECT(ADDRESS(2,COLUMN())),OFFSET($CL$2,0,0,ROW()-1,84),ROW()-1,FALSE))</f>
        <v/>
      </c>
      <c r="BX21" t="str">
        <f ca="1">IF(AND(ISNUMBER($BX$269),$B$252=1),$BX$269,HLOOKUP(INDIRECT(ADDRESS(2,COLUMN())),OFFSET($CL$2,0,0,ROW()-1,84),ROW()-1,FALSE))</f>
        <v/>
      </c>
      <c r="BY21" t="str">
        <f ca="1">IF(AND(ISNUMBER($BY$269),$B$252=1),$BY$269,HLOOKUP(INDIRECT(ADDRESS(2,COLUMN())),OFFSET($CL$2,0,0,ROW()-1,84),ROW()-1,FALSE))</f>
        <v/>
      </c>
      <c r="BZ21" t="str">
        <f ca="1">IF(AND(ISNUMBER($BZ$269),$B$252=1),$BZ$269,HLOOKUP(INDIRECT(ADDRESS(2,COLUMN())),OFFSET($CL$2,0,0,ROW()-1,84),ROW()-1,FALSE))</f>
        <v/>
      </c>
      <c r="CA21" t="str">
        <f ca="1">IF(AND(ISNUMBER($CA$269),$B$252=1),$CA$269,HLOOKUP(INDIRECT(ADDRESS(2,COLUMN())),OFFSET($CL$2,0,0,ROW()-1,84),ROW()-1,FALSE))</f>
        <v/>
      </c>
      <c r="CB21" t="str">
        <f ca="1">IF(AND(ISNUMBER($CB$269),$B$252=1),$CB$269,HLOOKUP(INDIRECT(ADDRESS(2,COLUMN())),OFFSET($CL$2,0,0,ROW()-1,84),ROW()-1,FALSE))</f>
        <v/>
      </c>
      <c r="CC21" t="str">
        <f ca="1">IF(AND(ISNUMBER($CC$269),$B$252=1),$CC$269,HLOOKUP(INDIRECT(ADDRESS(2,COLUMN())),OFFSET($CL$2,0,0,ROW()-1,84),ROW()-1,FALSE))</f>
        <v/>
      </c>
      <c r="CD21" t="str">
        <f ca="1">IF(AND(ISNUMBER($CD$269),$B$252=1),$CD$269,HLOOKUP(INDIRECT(ADDRESS(2,COLUMN())),OFFSET($CL$2,0,0,ROW()-1,84),ROW()-1,FALSE))</f>
        <v/>
      </c>
      <c r="CE21" t="str">
        <f ca="1">IF(AND(ISNUMBER($CE$269),$B$252=1),$CE$269,HLOOKUP(INDIRECT(ADDRESS(2,COLUMN())),OFFSET($CL$2,0,0,ROW()-1,84),ROW()-1,FALSE))</f>
        <v/>
      </c>
      <c r="CF21" t="str">
        <f ca="1">IF(AND(ISNUMBER($CF$269),$B$252=1),$CF$269,HLOOKUP(INDIRECT(ADDRESS(2,COLUMN())),OFFSET($CL$2,0,0,ROW()-1,84),ROW()-1,FALSE))</f>
        <v/>
      </c>
      <c r="CG21" t="str">
        <f ca="1">IF(AND(ISNUMBER($CG$269),$B$252=1),$CG$269,HLOOKUP(INDIRECT(ADDRESS(2,COLUMN())),OFFSET($CL$2,0,0,ROW()-1,84),ROW()-1,FALSE))</f>
        <v/>
      </c>
      <c r="CH21" t="str">
        <f ca="1">IF(AND(ISNUMBER($CH$269),$B$252=1),$CH$269,HLOOKUP(INDIRECT(ADDRESS(2,COLUMN())),OFFSET($CL$2,0,0,ROW()-1,84),ROW()-1,FALSE))</f>
        <v/>
      </c>
      <c r="CI21" t="str">
        <f ca="1">IF(AND(ISNUMBER($CI$269),$B$252=1),$CI$269,HLOOKUP(INDIRECT(ADDRESS(2,COLUMN())),OFFSET($CL$2,0,0,ROW()-1,84),ROW()-1,FALSE))</f>
        <v/>
      </c>
      <c r="CJ21" t="str">
        <f ca="1">IF(AND(ISNUMBER($CJ$269),$B$252=1),$CJ$269,HLOOKUP(INDIRECT(ADDRESS(2,COLUMN())),OFFSET($CL$2,0,0,ROW()-1,84),ROW()-1,FALSE))</f>
        <v/>
      </c>
      <c r="CK21" t="str">
        <f ca="1">IF(AND(ISNUMBER($CK$269),$B$252=1),$CK$269,HLOOKUP(INDIRECT(ADDRESS(2,COLUMN())),OFFSET($CL$2,0,0,ROW()-1,84),ROW()-1,FALSE))</f>
        <v/>
      </c>
      <c r="CL21">
        <f>18.82750505</f>
        <v>18.827505049999999</v>
      </c>
      <c r="CM21">
        <f>18.18414918</f>
        <v>18.184149179999999</v>
      </c>
      <c r="CN21">
        <f>19.86013986</f>
        <v>19.86013986</v>
      </c>
      <c r="CO21">
        <f>20.77433628</f>
        <v>20.77433628</v>
      </c>
      <c r="CP21">
        <f>21.20074828</f>
        <v>21.200748279999999</v>
      </c>
      <c r="CQ21">
        <f>21.22059684</f>
        <v>21.220596839999999</v>
      </c>
      <c r="CR21">
        <f>20.86295603</f>
        <v>20.862956029999999</v>
      </c>
      <c r="CS21">
        <f>21.91571329</f>
        <v>21.915713289999999</v>
      </c>
      <c r="CT21">
        <f>22.30144928</f>
        <v>22.30144928</v>
      </c>
      <c r="CU21">
        <f>22.24704793</f>
        <v>22.247047930000001</v>
      </c>
      <c r="CV21">
        <f>22.04749827</f>
        <v>22.047498269999998</v>
      </c>
      <c r="CW21">
        <f>21.8608936</f>
        <v>21.860893600000001</v>
      </c>
      <c r="CX21">
        <f>21.13016458</f>
        <v>21.130164579999999</v>
      </c>
      <c r="CY21">
        <f>21.17037208</f>
        <v>21.17037208</v>
      </c>
      <c r="CZ21">
        <f>19.84314174</f>
        <v>19.84314174</v>
      </c>
      <c r="DA21">
        <f>20.2967461</f>
        <v>20.2967461</v>
      </c>
      <c r="DB21">
        <f>18.81175663</f>
        <v>18.811756630000001</v>
      </c>
      <c r="DC21">
        <f>19.48992372</f>
        <v>19.48992372</v>
      </c>
      <c r="DD21">
        <f>20.08130081</f>
        <v>20.081300809999998</v>
      </c>
      <c r="DE21">
        <f>19.76844008</f>
        <v>19.768440080000001</v>
      </c>
      <c r="DF21">
        <f>20.81044726</f>
        <v>20.81044726</v>
      </c>
      <c r="DG21">
        <f>20.1733393</f>
        <v>20.173339299999999</v>
      </c>
      <c r="DH21">
        <f>20.11630508</f>
        <v>20.11630508</v>
      </c>
      <c r="DI21">
        <f>19.79952962</f>
        <v>19.799529620000001</v>
      </c>
      <c r="DJ21">
        <f>21.19692411</f>
        <v>21.196924110000001</v>
      </c>
      <c r="DK21">
        <f>19.11358575</f>
        <v>19.113585749999999</v>
      </c>
      <c r="DL21">
        <f>19.16303498</f>
        <v>19.163034979999999</v>
      </c>
      <c r="DM21">
        <f>20.5410531</f>
        <v>20.541053099999999</v>
      </c>
      <c r="DN21">
        <f>20.36178315</f>
        <v>20.361783150000001</v>
      </c>
      <c r="DO21">
        <f>19.6747693</f>
        <v>19.674769300000001</v>
      </c>
      <c r="DP21">
        <f>19.8118767</f>
        <v>19.811876699999999</v>
      </c>
      <c r="DQ21">
        <f>18.70580236</f>
        <v>18.70580236</v>
      </c>
      <c r="DR21">
        <f>19.8571264</f>
        <v>19.857126399999999</v>
      </c>
      <c r="DS21">
        <f>18.57873329</f>
        <v>18.578733289999999</v>
      </c>
      <c r="DT21">
        <f>19.39655172</f>
        <v>19.396551720000001</v>
      </c>
      <c r="DU21">
        <f>19.19859813</f>
        <v>19.198598130000001</v>
      </c>
      <c r="DV21">
        <f>20.52414605</f>
        <v>20.524146049999999</v>
      </c>
      <c r="DW21">
        <f>19.60405264</f>
        <v>19.604052639999999</v>
      </c>
      <c r="DX21">
        <f>20.54513064</f>
        <v>20.54513064</v>
      </c>
      <c r="DY21" t="str">
        <f>""</f>
        <v/>
      </c>
      <c r="DZ21" t="str">
        <f>""</f>
        <v/>
      </c>
      <c r="EA21" t="str">
        <f>""</f>
        <v/>
      </c>
      <c r="EB21" t="str">
        <f>""</f>
        <v/>
      </c>
      <c r="EC21" t="str">
        <f>""</f>
        <v/>
      </c>
      <c r="ED21" t="str">
        <f>""</f>
        <v/>
      </c>
      <c r="EE21" t="str">
        <f>""</f>
        <v/>
      </c>
      <c r="EF21" t="str">
        <f>""</f>
        <v/>
      </c>
      <c r="EG21" t="str">
        <f>""</f>
        <v/>
      </c>
      <c r="EH21" t="str">
        <f>""</f>
        <v/>
      </c>
      <c r="EI21" t="str">
        <f>""</f>
        <v/>
      </c>
      <c r="EJ21" t="str">
        <f>""</f>
        <v/>
      </c>
      <c r="EK21" t="str">
        <f>""</f>
        <v/>
      </c>
      <c r="EL21" t="str">
        <f>""</f>
        <v/>
      </c>
      <c r="EM21" t="str">
        <f>""</f>
        <v/>
      </c>
      <c r="EN21" t="str">
        <f>""</f>
        <v/>
      </c>
      <c r="EO21" t="str">
        <f>""</f>
        <v/>
      </c>
      <c r="EP21" t="str">
        <f>""</f>
        <v/>
      </c>
      <c r="EQ21" t="str">
        <f>""</f>
        <v/>
      </c>
      <c r="ER21" t="str">
        <f>""</f>
        <v/>
      </c>
      <c r="ES21" t="str">
        <f>""</f>
        <v/>
      </c>
      <c r="ET21" t="str">
        <f>""</f>
        <v/>
      </c>
      <c r="EU21" t="str">
        <f>""</f>
        <v/>
      </c>
      <c r="EV21" t="str">
        <f>""</f>
        <v/>
      </c>
      <c r="EW21" t="str">
        <f>""</f>
        <v/>
      </c>
      <c r="EX21" t="str">
        <f>""</f>
        <v/>
      </c>
      <c r="EY21" t="str">
        <f>""</f>
        <v/>
      </c>
      <c r="EZ21" t="str">
        <f>""</f>
        <v/>
      </c>
      <c r="FA21" t="str">
        <f>""</f>
        <v/>
      </c>
      <c r="FB21" t="str">
        <f>""</f>
        <v/>
      </c>
      <c r="FC21" t="str">
        <f>""</f>
        <v/>
      </c>
      <c r="FD21" t="str">
        <f>""</f>
        <v/>
      </c>
      <c r="FE21" t="str">
        <f>""</f>
        <v/>
      </c>
      <c r="FF21" t="str">
        <f>""</f>
        <v/>
      </c>
      <c r="FG21" t="str">
        <f>""</f>
        <v/>
      </c>
      <c r="FH21" t="str">
        <f>""</f>
        <v/>
      </c>
      <c r="FI21" t="str">
        <f>""</f>
        <v/>
      </c>
      <c r="FJ21" t="str">
        <f>""</f>
        <v/>
      </c>
      <c r="FK21" t="str">
        <f>""</f>
        <v/>
      </c>
      <c r="FL21" t="str">
        <f>""</f>
        <v/>
      </c>
      <c r="FM21" t="str">
        <f>""</f>
        <v/>
      </c>
      <c r="FN21" t="str">
        <f>""</f>
        <v/>
      </c>
      <c r="FO21" t="str">
        <f>""</f>
        <v/>
      </c>
      <c r="FP21" t="str">
        <f>""</f>
        <v/>
      </c>
      <c r="FQ21" t="str">
        <f>""</f>
        <v/>
      </c>
    </row>
    <row r="22" spans="1:173">
      <c r="A22" t="str">
        <f>"    Camden 房地产信托公司"</f>
        <v xml:space="preserve">    Camden 房地产信托公司</v>
      </c>
      <c r="B22" t="str">
        <f>"CPT US Equity"</f>
        <v>CPT US Equity</v>
      </c>
      <c r="C22" t="str">
        <f t="shared" si="6"/>
        <v>BE249</v>
      </c>
      <c r="D22" t="str">
        <f t="shared" si="7"/>
        <v>BEST_PRICE_FFO_RATIO</v>
      </c>
      <c r="E22" t="str">
        <f t="shared" si="8"/>
        <v>动态</v>
      </c>
      <c r="F22">
        <f ca="1">IF(AND(ISNUMBER($F$270),$B$252=1),$F$270,HLOOKUP(INDIRECT(ADDRESS(2,COLUMN())),OFFSET($CL$2,0,0,ROW()-1,84),ROW()-1,FALSE))</f>
        <v>18.344736869999998</v>
      </c>
      <c r="G22">
        <f ca="1">IF(AND(ISNUMBER($G$270),$B$252=1),$G$270,HLOOKUP(INDIRECT(ADDRESS(2,COLUMN())),OFFSET($CL$2,0,0,ROW()-1,84),ROW()-1,FALSE))</f>
        <v>17.592143010000001</v>
      </c>
      <c r="H22">
        <f ca="1">IF(AND(ISNUMBER($H$270),$B$252=1),$H$270,HLOOKUP(INDIRECT(ADDRESS(2,COLUMN())),OFFSET($CL$2,0,0,ROW()-1,84),ROW()-1,FALSE))</f>
        <v>19.108167770000001</v>
      </c>
      <c r="I22">
        <f ca="1">IF(AND(ISNUMBER($I$270),$B$252=1),$I$270,HLOOKUP(INDIRECT(ADDRESS(2,COLUMN())),OFFSET($CL$2,0,0,ROW()-1,84),ROW()-1,FALSE))</f>
        <v>20.317810640000001</v>
      </c>
      <c r="J22">
        <f ca="1">IF(AND(ISNUMBER($J$270),$B$252=1),$J$270,HLOOKUP(INDIRECT(ADDRESS(2,COLUMN())),OFFSET($CL$2,0,0,ROW()-1,84),ROW()-1,FALSE))</f>
        <v>20.123456789999999</v>
      </c>
      <c r="K22">
        <f ca="1">IF(AND(ISNUMBER($K$270),$B$252=1),$K$270,HLOOKUP(INDIRECT(ADDRESS(2,COLUMN())),OFFSET($CL$2,0,0,ROW()-1,84),ROW()-1,FALSE))</f>
        <v>20.12351125</v>
      </c>
      <c r="L22">
        <f ca="1">IF(AND(ISNUMBER($L$270),$B$252=1),$L$270,HLOOKUP(INDIRECT(ADDRESS(2,COLUMN())),OFFSET($CL$2,0,0,ROW()-1,84),ROW()-1,FALSE))</f>
        <v>20.05482456</v>
      </c>
      <c r="M22">
        <f ca="1">IF(AND(ISNUMBER($M$270),$B$252=1),$M$270,HLOOKUP(INDIRECT(ADDRESS(2,COLUMN())),OFFSET($CL$2,0,0,ROW()-1,84),ROW()-1,FALSE))</f>
        <v>19.469103570000001</v>
      </c>
      <c r="N22">
        <f ca="1">IF(AND(ISNUMBER($N$270),$B$252=1),$N$270,HLOOKUP(INDIRECT(ADDRESS(2,COLUMN())),OFFSET($CL$2,0,0,ROW()-1,84),ROW()-1,FALSE))</f>
        <v>19.546742210000001</v>
      </c>
      <c r="O22">
        <f ca="1">IF(AND(ISNUMBER($O$270),$B$252=1),$O$270,HLOOKUP(INDIRECT(ADDRESS(2,COLUMN())),OFFSET($CL$2,0,0,ROW()-1,84),ROW()-1,FALSE))</f>
        <v>18.68662587</v>
      </c>
      <c r="P22">
        <f ca="1">IF(AND(ISNUMBER($P$270),$B$252=1),$P$270,HLOOKUP(INDIRECT(ADDRESS(2,COLUMN())),OFFSET($CL$2,0,0,ROW()-1,84),ROW()-1,FALSE))</f>
        <v>18.217800130000001</v>
      </c>
      <c r="Q22">
        <f ca="1">IF(AND(ISNUMBER($Q$270),$B$252=1),$Q$270,HLOOKUP(INDIRECT(ADDRESS(2,COLUMN())),OFFSET($CL$2,0,0,ROW()-1,84),ROW()-1,FALSE))</f>
        <v>18.03900088</v>
      </c>
      <c r="R22">
        <f ca="1">IF(AND(ISNUMBER($R$270),$B$252=1),$R$270,HLOOKUP(INDIRECT(ADDRESS(2,COLUMN())),OFFSET($CL$2,0,0,ROW()-1,84),ROW()-1,FALSE))</f>
        <v>17.633136090000001</v>
      </c>
      <c r="S22">
        <f ca="1">IF(AND(ISNUMBER($S$270),$B$252=1),$S$270,HLOOKUP(INDIRECT(ADDRESS(2,COLUMN())),OFFSET($CL$2,0,0,ROW()-1,84),ROW()-1,FALSE))</f>
        <v>18.539202800000002</v>
      </c>
      <c r="T22">
        <f ca="1">IF(AND(ISNUMBER($T$270),$B$252=1),$T$270,HLOOKUP(INDIRECT(ADDRESS(2,COLUMN())),OFFSET($CL$2,0,0,ROW()-1,84),ROW()-1,FALSE))</f>
        <v>18.19507947</v>
      </c>
      <c r="U22">
        <f ca="1">IF(AND(ISNUMBER($U$270),$B$252=1),$U$270,HLOOKUP(INDIRECT(ADDRESS(2,COLUMN())),OFFSET($CL$2,0,0,ROW()-1,84),ROW()-1,FALSE))</f>
        <v>18.288013920000001</v>
      </c>
      <c r="V22">
        <f ca="1">IF(AND(ISNUMBER($V$270),$B$252=1),$V$270,HLOOKUP(INDIRECT(ADDRESS(2,COLUMN())),OFFSET($CL$2,0,0,ROW()-1,84),ROW()-1,FALSE))</f>
        <v>17.159363419999998</v>
      </c>
      <c r="W22">
        <f ca="1">IF(AND(ISNUMBER($W$270),$B$252=1),$W$270,HLOOKUP(INDIRECT(ADDRESS(2,COLUMN())),OFFSET($CL$2,0,0,ROW()-1,84),ROW()-1,FALSE))</f>
        <v>17.89496814</v>
      </c>
      <c r="X22">
        <f ca="1">IF(AND(ISNUMBER($X$270),$B$252=1),$X$270,HLOOKUP(INDIRECT(ADDRESS(2,COLUMN())),OFFSET($CL$2,0,0,ROW()-1,84),ROW()-1,FALSE))</f>
        <v>18.384193190000001</v>
      </c>
      <c r="Y22">
        <f ca="1">IF(AND(ISNUMBER($Y$270),$B$252=1),$Y$270,HLOOKUP(INDIRECT(ADDRESS(2,COLUMN())),OFFSET($CL$2,0,0,ROW()-1,84),ROW()-1,FALSE))</f>
        <v>19.24780702</v>
      </c>
      <c r="Z22">
        <f ca="1">IF(AND(ISNUMBER($Z$270),$B$252=1),$Z$270,HLOOKUP(INDIRECT(ADDRESS(2,COLUMN())),OFFSET($CL$2,0,0,ROW()-1,84),ROW()-1,FALSE))</f>
        <v>19.599649970000002</v>
      </c>
      <c r="AA22">
        <f ca="1">IF(AND(ISNUMBER($AA$270),$B$252=1),$AA$270,HLOOKUP(INDIRECT(ADDRESS(2,COLUMN())),OFFSET($CL$2,0,0,ROW()-1,84),ROW()-1,FALSE))</f>
        <v>19.242655060000001</v>
      </c>
      <c r="AB22">
        <f ca="1">IF(AND(ISNUMBER($AB$270),$B$252=1),$AB$270,HLOOKUP(INDIRECT(ADDRESS(2,COLUMN())),OFFSET($CL$2,0,0,ROW()-1,84),ROW()-1,FALSE))</f>
        <v>18.503800219999999</v>
      </c>
      <c r="AC22">
        <f ca="1">IF(AND(ISNUMBER($AC$270),$B$252=1),$AC$270,HLOOKUP(INDIRECT(ADDRESS(2,COLUMN())),OFFSET($CL$2,0,0,ROW()-1,84),ROW()-1,FALSE))</f>
        <v>15.98930481</v>
      </c>
      <c r="AD22">
        <f ca="1">IF(AND(ISNUMBER($AD$270),$B$252=1),$AD$270,HLOOKUP(INDIRECT(ADDRESS(2,COLUMN())),OFFSET($CL$2,0,0,ROW()-1,84),ROW()-1,FALSE))</f>
        <v>16.559669159999999</v>
      </c>
      <c r="AE22">
        <f ca="1">IF(AND(ISNUMBER($AE$270),$B$252=1),$AE$270,HLOOKUP(INDIRECT(ADDRESS(2,COLUMN())),OFFSET($CL$2,0,0,ROW()-1,84),ROW()-1,FALSE))</f>
        <v>14.69235306</v>
      </c>
      <c r="AF22">
        <f ca="1">IF(AND(ISNUMBER($AF$270),$B$252=1),$AF$270,HLOOKUP(INDIRECT(ADDRESS(2,COLUMN())),OFFSET($CL$2,0,0,ROW()-1,84),ROW()-1,FALSE))</f>
        <v>14.94613124</v>
      </c>
      <c r="AG22">
        <f ca="1">IF(AND(ISNUMBER($AG$270),$B$252=1),$AG$270,HLOOKUP(INDIRECT(ADDRESS(2,COLUMN())),OFFSET($CL$2,0,0,ROW()-1,84),ROW()-1,FALSE))</f>
        <v>14.93966524</v>
      </c>
      <c r="AH22">
        <f ca="1">IF(AND(ISNUMBER($AH$270),$B$252=1),$AH$270,HLOOKUP(INDIRECT(ADDRESS(2,COLUMN())),OFFSET($CL$2,0,0,ROW()-1,84),ROW()-1,FALSE))</f>
        <v>14.7908598</v>
      </c>
      <c r="AI22">
        <f ca="1">IF(AND(ISNUMBER($AI$270),$B$252=1),$AI$270,HLOOKUP(INDIRECT(ADDRESS(2,COLUMN())),OFFSET($CL$2,0,0,ROW()-1,84),ROW()-1,FALSE))</f>
        <v>14.31148177</v>
      </c>
      <c r="AJ22">
        <f ca="1">IF(AND(ISNUMBER($AJ$270),$B$252=1),$AJ$270,HLOOKUP(INDIRECT(ADDRESS(2,COLUMN())),OFFSET($CL$2,0,0,ROW()-1,84),ROW()-1,FALSE))</f>
        <v>14.349514559999999</v>
      </c>
      <c r="AK22">
        <f ca="1">IF(AND(ISNUMBER($AK$270),$B$252=1),$AK$270,HLOOKUP(INDIRECT(ADDRESS(2,COLUMN())),OFFSET($CL$2,0,0,ROW()-1,84),ROW()-1,FALSE))</f>
        <v>13.98640777</v>
      </c>
      <c r="AL22">
        <f ca="1">IF(AND(ISNUMBER($AL$270),$B$252=1),$AL$270,HLOOKUP(INDIRECT(ADDRESS(2,COLUMN())),OFFSET($CL$2,0,0,ROW()-1,84),ROW()-1,FALSE))</f>
        <v>15.699921140000001</v>
      </c>
      <c r="AM22">
        <f ca="1">IF(AND(ISNUMBER($AM$270),$B$252=1),$AM$270,HLOOKUP(INDIRECT(ADDRESS(2,COLUMN())),OFFSET($CL$2,0,0,ROW()-1,84),ROW()-1,FALSE))</f>
        <v>14.691455700000001</v>
      </c>
      <c r="AN22">
        <f ca="1">IF(AND(ISNUMBER($AN$270),$B$252=1),$AN$270,HLOOKUP(INDIRECT(ADDRESS(2,COLUMN())),OFFSET($CL$2,0,0,ROW()-1,84),ROW()-1,FALSE))</f>
        <v>14.82990506</v>
      </c>
      <c r="AO22">
        <f ca="1">IF(AND(ISNUMBER($AO$270),$B$252=1),$AO$270,HLOOKUP(INDIRECT(ADDRESS(2,COLUMN())),OFFSET($CL$2,0,0,ROW()-1,84),ROW()-1,FALSE))</f>
        <v>14.96810207</v>
      </c>
      <c r="AP22">
        <f ca="1">IF(AND(ISNUMBER($AP$270),$B$252=1),$AP$270,HLOOKUP(INDIRECT(ADDRESS(2,COLUMN())),OFFSET($CL$2,0,0,ROW()-1,84),ROW()-1,FALSE))</f>
        <v>15.538981700000001</v>
      </c>
      <c r="AQ22">
        <f ca="1">IF(AND(ISNUMBER($AQ$270),$B$252=1),$AQ$270,HLOOKUP(INDIRECT(ADDRESS(2,COLUMN())),OFFSET($CL$2,0,0,ROW()-1,84),ROW()-1,FALSE))</f>
        <v>14.476929200000001</v>
      </c>
      <c r="AR22">
        <f ca="1">IF(AND(ISNUMBER($AR$270),$B$252=1),$AR$270,HLOOKUP(INDIRECT(ADDRESS(2,COLUMN())),OFFSET($CL$2,0,0,ROW()-1,84),ROW()-1,FALSE))</f>
        <v>14.97570457</v>
      </c>
      <c r="AS22" t="str">
        <f ca="1">IF(AND(ISNUMBER($AS$270),$B$252=1),$AS$270,HLOOKUP(INDIRECT(ADDRESS(2,COLUMN())),OFFSET($CL$2,0,0,ROW()-1,84),ROW()-1,FALSE))</f>
        <v/>
      </c>
      <c r="AT22" t="str">
        <f ca="1">IF(AND(ISNUMBER($AT$270),$B$252=1),$AT$270,HLOOKUP(INDIRECT(ADDRESS(2,COLUMN())),OFFSET($CL$2,0,0,ROW()-1,84),ROW()-1,FALSE))</f>
        <v/>
      </c>
      <c r="AU22" t="str">
        <f ca="1">IF(AND(ISNUMBER($AU$270),$B$252=1),$AU$270,HLOOKUP(INDIRECT(ADDRESS(2,COLUMN())),OFFSET($CL$2,0,0,ROW()-1,84),ROW()-1,FALSE))</f>
        <v/>
      </c>
      <c r="AV22" t="str">
        <f ca="1">IF(AND(ISNUMBER($AV$270),$B$252=1),$AV$270,HLOOKUP(INDIRECT(ADDRESS(2,COLUMN())),OFFSET($CL$2,0,0,ROW()-1,84),ROW()-1,FALSE))</f>
        <v/>
      </c>
      <c r="AW22" t="str">
        <f ca="1">IF(AND(ISNUMBER($AW$270),$B$252=1),$AW$270,HLOOKUP(INDIRECT(ADDRESS(2,COLUMN())),OFFSET($CL$2,0,0,ROW()-1,84),ROW()-1,FALSE))</f>
        <v/>
      </c>
      <c r="AX22" t="str">
        <f ca="1">IF(AND(ISNUMBER($AX$270),$B$252=1),$AX$270,HLOOKUP(INDIRECT(ADDRESS(2,COLUMN())),OFFSET($CL$2,0,0,ROW()-1,84),ROW()-1,FALSE))</f>
        <v/>
      </c>
      <c r="AY22" t="str">
        <f ca="1">IF(AND(ISNUMBER($AY$270),$B$252=1),$AY$270,HLOOKUP(INDIRECT(ADDRESS(2,COLUMN())),OFFSET($CL$2,0,0,ROW()-1,84),ROW()-1,FALSE))</f>
        <v/>
      </c>
      <c r="AZ22" t="str">
        <f ca="1">IF(AND(ISNUMBER($AZ$270),$B$252=1),$AZ$270,HLOOKUP(INDIRECT(ADDRESS(2,COLUMN())),OFFSET($CL$2,0,0,ROW()-1,84),ROW()-1,FALSE))</f>
        <v/>
      </c>
      <c r="BA22" t="str">
        <f ca="1">IF(AND(ISNUMBER($BA$270),$B$252=1),$BA$270,HLOOKUP(INDIRECT(ADDRESS(2,COLUMN())),OFFSET($CL$2,0,0,ROW()-1,84),ROW()-1,FALSE))</f>
        <v/>
      </c>
      <c r="BB22" t="str">
        <f ca="1">IF(AND(ISNUMBER($BB$270),$B$252=1),$BB$270,HLOOKUP(INDIRECT(ADDRESS(2,COLUMN())),OFFSET($CL$2,0,0,ROW()-1,84),ROW()-1,FALSE))</f>
        <v/>
      </c>
      <c r="BC22" t="str">
        <f ca="1">IF(AND(ISNUMBER($BC$270),$B$252=1),$BC$270,HLOOKUP(INDIRECT(ADDRESS(2,COLUMN())),OFFSET($CL$2,0,0,ROW()-1,84),ROW()-1,FALSE))</f>
        <v/>
      </c>
      <c r="BD22" t="str">
        <f ca="1">IF(AND(ISNUMBER($BD$270),$B$252=1),$BD$270,HLOOKUP(INDIRECT(ADDRESS(2,COLUMN())),OFFSET($CL$2,0,0,ROW()-1,84),ROW()-1,FALSE))</f>
        <v/>
      </c>
      <c r="BE22" t="str">
        <f ca="1">IF(AND(ISNUMBER($BE$270),$B$252=1),$BE$270,HLOOKUP(INDIRECT(ADDRESS(2,COLUMN())),OFFSET($CL$2,0,0,ROW()-1,84),ROW()-1,FALSE))</f>
        <v/>
      </c>
      <c r="BF22" t="str">
        <f ca="1">IF(AND(ISNUMBER($BF$270),$B$252=1),$BF$270,HLOOKUP(INDIRECT(ADDRESS(2,COLUMN())),OFFSET($CL$2,0,0,ROW()-1,84),ROW()-1,FALSE))</f>
        <v/>
      </c>
      <c r="BG22" t="str">
        <f ca="1">IF(AND(ISNUMBER($BG$270),$B$252=1),$BG$270,HLOOKUP(INDIRECT(ADDRESS(2,COLUMN())),OFFSET($CL$2,0,0,ROW()-1,84),ROW()-1,FALSE))</f>
        <v/>
      </c>
      <c r="BH22" t="str">
        <f ca="1">IF(AND(ISNUMBER($BH$270),$B$252=1),$BH$270,HLOOKUP(INDIRECT(ADDRESS(2,COLUMN())),OFFSET($CL$2,0,0,ROW()-1,84),ROW()-1,FALSE))</f>
        <v/>
      </c>
      <c r="BI22" t="str">
        <f ca="1">IF(AND(ISNUMBER($BI$270),$B$252=1),$BI$270,HLOOKUP(INDIRECT(ADDRESS(2,COLUMN())),OFFSET($CL$2,0,0,ROW()-1,84),ROW()-1,FALSE))</f>
        <v/>
      </c>
      <c r="BJ22" t="str">
        <f ca="1">IF(AND(ISNUMBER($BJ$270),$B$252=1),$BJ$270,HLOOKUP(INDIRECT(ADDRESS(2,COLUMN())),OFFSET($CL$2,0,0,ROW()-1,84),ROW()-1,FALSE))</f>
        <v/>
      </c>
      <c r="BK22" t="str">
        <f ca="1">IF(AND(ISNUMBER($BK$270),$B$252=1),$BK$270,HLOOKUP(INDIRECT(ADDRESS(2,COLUMN())),OFFSET($CL$2,0,0,ROW()-1,84),ROW()-1,FALSE))</f>
        <v/>
      </c>
      <c r="BL22" t="str">
        <f ca="1">IF(AND(ISNUMBER($BL$270),$B$252=1),$BL$270,HLOOKUP(INDIRECT(ADDRESS(2,COLUMN())),OFFSET($CL$2,0,0,ROW()-1,84),ROW()-1,FALSE))</f>
        <v/>
      </c>
      <c r="BM22" t="str">
        <f ca="1">IF(AND(ISNUMBER($BM$270),$B$252=1),$BM$270,HLOOKUP(INDIRECT(ADDRESS(2,COLUMN())),OFFSET($CL$2,0,0,ROW()-1,84),ROW()-1,FALSE))</f>
        <v/>
      </c>
      <c r="BN22" t="str">
        <f ca="1">IF(AND(ISNUMBER($BN$270),$B$252=1),$BN$270,HLOOKUP(INDIRECT(ADDRESS(2,COLUMN())),OFFSET($CL$2,0,0,ROW()-1,84),ROW()-1,FALSE))</f>
        <v/>
      </c>
      <c r="BO22" t="str">
        <f ca="1">IF(AND(ISNUMBER($BO$270),$B$252=1),$BO$270,HLOOKUP(INDIRECT(ADDRESS(2,COLUMN())),OFFSET($CL$2,0,0,ROW()-1,84),ROW()-1,FALSE))</f>
        <v/>
      </c>
      <c r="BP22" t="str">
        <f ca="1">IF(AND(ISNUMBER($BP$270),$B$252=1),$BP$270,HLOOKUP(INDIRECT(ADDRESS(2,COLUMN())),OFFSET($CL$2,0,0,ROW()-1,84),ROW()-1,FALSE))</f>
        <v/>
      </c>
      <c r="BQ22" t="str">
        <f ca="1">IF(AND(ISNUMBER($BQ$270),$B$252=1),$BQ$270,HLOOKUP(INDIRECT(ADDRESS(2,COLUMN())),OFFSET($CL$2,0,0,ROW()-1,84),ROW()-1,FALSE))</f>
        <v/>
      </c>
      <c r="BR22" t="str">
        <f ca="1">IF(AND(ISNUMBER($BR$270),$B$252=1),$BR$270,HLOOKUP(INDIRECT(ADDRESS(2,COLUMN())),OFFSET($CL$2,0,0,ROW()-1,84),ROW()-1,FALSE))</f>
        <v/>
      </c>
      <c r="BS22" t="str">
        <f ca="1">IF(AND(ISNUMBER($BS$270),$B$252=1),$BS$270,HLOOKUP(INDIRECT(ADDRESS(2,COLUMN())),OFFSET($CL$2,0,0,ROW()-1,84),ROW()-1,FALSE))</f>
        <v/>
      </c>
      <c r="BT22" t="str">
        <f ca="1">IF(AND(ISNUMBER($BT$270),$B$252=1),$BT$270,HLOOKUP(INDIRECT(ADDRESS(2,COLUMN())),OFFSET($CL$2,0,0,ROW()-1,84),ROW()-1,FALSE))</f>
        <v/>
      </c>
      <c r="BU22" t="str">
        <f ca="1">IF(AND(ISNUMBER($BU$270),$B$252=1),$BU$270,HLOOKUP(INDIRECT(ADDRESS(2,COLUMN())),OFFSET($CL$2,0,0,ROW()-1,84),ROW()-1,FALSE))</f>
        <v/>
      </c>
      <c r="BV22" t="str">
        <f ca="1">IF(AND(ISNUMBER($BV$270),$B$252=1),$BV$270,HLOOKUP(INDIRECT(ADDRESS(2,COLUMN())),OFFSET($CL$2,0,0,ROW()-1,84),ROW()-1,FALSE))</f>
        <v/>
      </c>
      <c r="BW22" t="str">
        <f ca="1">IF(AND(ISNUMBER($BW$270),$B$252=1),$BW$270,HLOOKUP(INDIRECT(ADDRESS(2,COLUMN())),OFFSET($CL$2,0,0,ROW()-1,84),ROW()-1,FALSE))</f>
        <v/>
      </c>
      <c r="BX22" t="str">
        <f ca="1">IF(AND(ISNUMBER($BX$270),$B$252=1),$BX$270,HLOOKUP(INDIRECT(ADDRESS(2,COLUMN())),OFFSET($CL$2,0,0,ROW()-1,84),ROW()-1,FALSE))</f>
        <v/>
      </c>
      <c r="BY22" t="str">
        <f ca="1">IF(AND(ISNUMBER($BY$270),$B$252=1),$BY$270,HLOOKUP(INDIRECT(ADDRESS(2,COLUMN())),OFFSET($CL$2,0,0,ROW()-1,84),ROW()-1,FALSE))</f>
        <v/>
      </c>
      <c r="BZ22" t="str">
        <f ca="1">IF(AND(ISNUMBER($BZ$270),$B$252=1),$BZ$270,HLOOKUP(INDIRECT(ADDRESS(2,COLUMN())),OFFSET($CL$2,0,0,ROW()-1,84),ROW()-1,FALSE))</f>
        <v/>
      </c>
      <c r="CA22" t="str">
        <f ca="1">IF(AND(ISNUMBER($CA$270),$B$252=1),$CA$270,HLOOKUP(INDIRECT(ADDRESS(2,COLUMN())),OFFSET($CL$2,0,0,ROW()-1,84),ROW()-1,FALSE))</f>
        <v/>
      </c>
      <c r="CB22" t="str">
        <f ca="1">IF(AND(ISNUMBER($CB$270),$B$252=1),$CB$270,HLOOKUP(INDIRECT(ADDRESS(2,COLUMN())),OFFSET($CL$2,0,0,ROW()-1,84),ROW()-1,FALSE))</f>
        <v/>
      </c>
      <c r="CC22" t="str">
        <f ca="1">IF(AND(ISNUMBER($CC$270),$B$252=1),$CC$270,HLOOKUP(INDIRECT(ADDRESS(2,COLUMN())),OFFSET($CL$2,0,0,ROW()-1,84),ROW()-1,FALSE))</f>
        <v/>
      </c>
      <c r="CD22" t="str">
        <f ca="1">IF(AND(ISNUMBER($CD$270),$B$252=1),$CD$270,HLOOKUP(INDIRECT(ADDRESS(2,COLUMN())),OFFSET($CL$2,0,0,ROW()-1,84),ROW()-1,FALSE))</f>
        <v/>
      </c>
      <c r="CE22" t="str">
        <f ca="1">IF(AND(ISNUMBER($CE$270),$B$252=1),$CE$270,HLOOKUP(INDIRECT(ADDRESS(2,COLUMN())),OFFSET($CL$2,0,0,ROW()-1,84),ROW()-1,FALSE))</f>
        <v/>
      </c>
      <c r="CF22" t="str">
        <f ca="1">IF(AND(ISNUMBER($CF$270),$B$252=1),$CF$270,HLOOKUP(INDIRECT(ADDRESS(2,COLUMN())),OFFSET($CL$2,0,0,ROW()-1,84),ROW()-1,FALSE))</f>
        <v/>
      </c>
      <c r="CG22" t="str">
        <f ca="1">IF(AND(ISNUMBER($CG$270),$B$252=1),$CG$270,HLOOKUP(INDIRECT(ADDRESS(2,COLUMN())),OFFSET($CL$2,0,0,ROW()-1,84),ROW()-1,FALSE))</f>
        <v/>
      </c>
      <c r="CH22" t="str">
        <f ca="1">IF(AND(ISNUMBER($CH$270),$B$252=1),$CH$270,HLOOKUP(INDIRECT(ADDRESS(2,COLUMN())),OFFSET($CL$2,0,0,ROW()-1,84),ROW()-1,FALSE))</f>
        <v/>
      </c>
      <c r="CI22" t="str">
        <f ca="1">IF(AND(ISNUMBER($CI$270),$B$252=1),$CI$270,HLOOKUP(INDIRECT(ADDRESS(2,COLUMN())),OFFSET($CL$2,0,0,ROW()-1,84),ROW()-1,FALSE))</f>
        <v/>
      </c>
      <c r="CJ22" t="str">
        <f ca="1">IF(AND(ISNUMBER($CJ$270),$B$252=1),$CJ$270,HLOOKUP(INDIRECT(ADDRESS(2,COLUMN())),OFFSET($CL$2,0,0,ROW()-1,84),ROW()-1,FALSE))</f>
        <v/>
      </c>
      <c r="CK22" t="str">
        <f ca="1">IF(AND(ISNUMBER($CK$270),$B$252=1),$CK$270,HLOOKUP(INDIRECT(ADDRESS(2,COLUMN())),OFFSET($CL$2,0,0,ROW()-1,84),ROW()-1,FALSE))</f>
        <v/>
      </c>
      <c r="CL22">
        <f>18.34473687</f>
        <v>18.344736869999998</v>
      </c>
      <c r="CM22">
        <f>17.59214301</f>
        <v>17.592143010000001</v>
      </c>
      <c r="CN22">
        <f>19.10816777</f>
        <v>19.108167770000001</v>
      </c>
      <c r="CO22">
        <f>20.31781064</f>
        <v>20.317810640000001</v>
      </c>
      <c r="CP22">
        <f>20.12345679</f>
        <v>20.123456789999999</v>
      </c>
      <c r="CQ22">
        <f>20.12351125</f>
        <v>20.12351125</v>
      </c>
      <c r="CR22">
        <f>20.05482456</f>
        <v>20.05482456</v>
      </c>
      <c r="CS22">
        <f>19.46910357</f>
        <v>19.469103570000001</v>
      </c>
      <c r="CT22">
        <f>19.54674221</f>
        <v>19.546742210000001</v>
      </c>
      <c r="CU22">
        <f>18.68662587</f>
        <v>18.68662587</v>
      </c>
      <c r="CV22">
        <f>18.21780013</f>
        <v>18.217800130000001</v>
      </c>
      <c r="CW22">
        <f>18.03900088</f>
        <v>18.03900088</v>
      </c>
      <c r="CX22">
        <f>17.63313609</f>
        <v>17.633136090000001</v>
      </c>
      <c r="CY22">
        <f>18.5392028</f>
        <v>18.539202800000002</v>
      </c>
      <c r="CZ22">
        <f>18.19507947</f>
        <v>18.19507947</v>
      </c>
      <c r="DA22">
        <f>18.28801392</f>
        <v>18.288013920000001</v>
      </c>
      <c r="DB22">
        <f>17.15936342</f>
        <v>17.159363419999998</v>
      </c>
      <c r="DC22">
        <f>17.89496814</f>
        <v>17.89496814</v>
      </c>
      <c r="DD22">
        <f>18.38419319</f>
        <v>18.384193190000001</v>
      </c>
      <c r="DE22">
        <f>19.24780702</f>
        <v>19.24780702</v>
      </c>
      <c r="DF22">
        <f>19.59964997</f>
        <v>19.599649970000002</v>
      </c>
      <c r="DG22">
        <f>19.24265506</f>
        <v>19.242655060000001</v>
      </c>
      <c r="DH22">
        <f>18.50380022</f>
        <v>18.503800219999999</v>
      </c>
      <c r="DI22">
        <f>15.98930481</f>
        <v>15.98930481</v>
      </c>
      <c r="DJ22">
        <f>16.55966916</f>
        <v>16.559669159999999</v>
      </c>
      <c r="DK22">
        <f>14.69235306</f>
        <v>14.69235306</v>
      </c>
      <c r="DL22">
        <f>14.94613124</f>
        <v>14.94613124</v>
      </c>
      <c r="DM22">
        <f>14.93966524</f>
        <v>14.93966524</v>
      </c>
      <c r="DN22">
        <f>14.7908598</f>
        <v>14.7908598</v>
      </c>
      <c r="DO22">
        <f>14.31148177</f>
        <v>14.31148177</v>
      </c>
      <c r="DP22">
        <f>14.34951456</f>
        <v>14.349514559999999</v>
      </c>
      <c r="DQ22">
        <f>13.98640777</f>
        <v>13.98640777</v>
      </c>
      <c r="DR22">
        <f>15.69992114</f>
        <v>15.699921140000001</v>
      </c>
      <c r="DS22">
        <f>14.6914557</f>
        <v>14.691455700000001</v>
      </c>
      <c r="DT22">
        <f>14.82990506</f>
        <v>14.82990506</v>
      </c>
      <c r="DU22">
        <f>14.96810207</f>
        <v>14.96810207</v>
      </c>
      <c r="DV22">
        <f>15.5389817</f>
        <v>15.538981700000001</v>
      </c>
      <c r="DW22">
        <f>14.4769292</f>
        <v>14.476929200000001</v>
      </c>
      <c r="DX22">
        <f>14.97570457</f>
        <v>14.97570457</v>
      </c>
      <c r="DY22" t="str">
        <f>""</f>
        <v/>
      </c>
      <c r="DZ22" t="str">
        <f>""</f>
        <v/>
      </c>
      <c r="EA22" t="str">
        <f>""</f>
        <v/>
      </c>
      <c r="EB22" t="str">
        <f>""</f>
        <v/>
      </c>
      <c r="EC22" t="str">
        <f>""</f>
        <v/>
      </c>
      <c r="ED22" t="str">
        <f>""</f>
        <v/>
      </c>
      <c r="EE22" t="str">
        <f>""</f>
        <v/>
      </c>
      <c r="EF22" t="str">
        <f>""</f>
        <v/>
      </c>
      <c r="EG22" t="str">
        <f>""</f>
        <v/>
      </c>
      <c r="EH22" t="str">
        <f>""</f>
        <v/>
      </c>
      <c r="EI22" t="str">
        <f>""</f>
        <v/>
      </c>
      <c r="EJ22" t="str">
        <f>""</f>
        <v/>
      </c>
      <c r="EK22" t="str">
        <f>""</f>
        <v/>
      </c>
      <c r="EL22" t="str">
        <f>""</f>
        <v/>
      </c>
      <c r="EM22" t="str">
        <f>""</f>
        <v/>
      </c>
      <c r="EN22" t="str">
        <f>""</f>
        <v/>
      </c>
      <c r="EO22" t="str">
        <f>""</f>
        <v/>
      </c>
      <c r="EP22" t="str">
        <f>""</f>
        <v/>
      </c>
      <c r="EQ22" t="str">
        <f>""</f>
        <v/>
      </c>
      <c r="ER22" t="str">
        <f>""</f>
        <v/>
      </c>
      <c r="ES22" t="str">
        <f>""</f>
        <v/>
      </c>
      <c r="ET22" t="str">
        <f>""</f>
        <v/>
      </c>
      <c r="EU22" t="str">
        <f>""</f>
        <v/>
      </c>
      <c r="EV22" t="str">
        <f>""</f>
        <v/>
      </c>
      <c r="EW22" t="str">
        <f>""</f>
        <v/>
      </c>
      <c r="EX22" t="str">
        <f>""</f>
        <v/>
      </c>
      <c r="EY22" t="str">
        <f>""</f>
        <v/>
      </c>
      <c r="EZ22" t="str">
        <f>""</f>
        <v/>
      </c>
      <c r="FA22" t="str">
        <f>""</f>
        <v/>
      </c>
      <c r="FB22" t="str">
        <f>""</f>
        <v/>
      </c>
      <c r="FC22" t="str">
        <f>""</f>
        <v/>
      </c>
      <c r="FD22" t="str">
        <f>""</f>
        <v/>
      </c>
      <c r="FE22" t="str">
        <f>""</f>
        <v/>
      </c>
      <c r="FF22" t="str">
        <f>""</f>
        <v/>
      </c>
      <c r="FG22" t="str">
        <f>""</f>
        <v/>
      </c>
      <c r="FH22" t="str">
        <f>""</f>
        <v/>
      </c>
      <c r="FI22" t="str">
        <f>""</f>
        <v/>
      </c>
      <c r="FJ22" t="str">
        <f>""</f>
        <v/>
      </c>
      <c r="FK22" t="str">
        <f>""</f>
        <v/>
      </c>
      <c r="FL22" t="str">
        <f>""</f>
        <v/>
      </c>
      <c r="FM22" t="str">
        <f>""</f>
        <v/>
      </c>
      <c r="FN22" t="str">
        <f>""</f>
        <v/>
      </c>
      <c r="FO22" t="str">
        <f>""</f>
        <v/>
      </c>
      <c r="FP22" t="str">
        <f>""</f>
        <v/>
      </c>
      <c r="FQ22" t="str">
        <f>""</f>
        <v/>
      </c>
    </row>
    <row r="23" spans="1:173">
      <c r="A23" t="str">
        <f>"    公寓物业权益信托"</f>
        <v xml:space="preserve">    公寓物业权益信托</v>
      </c>
      <c r="B23" t="str">
        <f>"EQR US Equity"</f>
        <v>EQR US Equity</v>
      </c>
      <c r="C23" t="str">
        <f t="shared" si="6"/>
        <v>BE249</v>
      </c>
      <c r="D23" t="str">
        <f t="shared" si="7"/>
        <v>BEST_PRICE_FFO_RATIO</v>
      </c>
      <c r="E23" t="str">
        <f t="shared" si="8"/>
        <v>动态</v>
      </c>
      <c r="F23">
        <f ca="1">IF(AND(ISNUMBER($F$271),$B$252=1),$F$271,HLOOKUP(INDIRECT(ADDRESS(2,COLUMN())),OFFSET($CL$2,0,0,ROW()-1,84),ROW()-1,FALSE))</f>
        <v>18.992322120000001</v>
      </c>
      <c r="G23">
        <f ca="1">IF(AND(ISNUMBER($G$271),$B$252=1),$G$271,HLOOKUP(INDIRECT(ADDRESS(2,COLUMN())),OFFSET($CL$2,0,0,ROW()-1,84),ROW()-1,FALSE))</f>
        <v>17.987843890000001</v>
      </c>
      <c r="H23">
        <f ca="1">IF(AND(ISNUMBER($H$271),$B$252=1),$H$271,HLOOKUP(INDIRECT(ADDRESS(2,COLUMN())),OFFSET($CL$2,0,0,ROW()-1,84),ROW()-1,FALSE))</f>
        <v>19.708893150000002</v>
      </c>
      <c r="I23">
        <f ca="1">IF(AND(ISNUMBER($I$271),$B$252=1),$I$271,HLOOKUP(INDIRECT(ADDRESS(2,COLUMN())),OFFSET($CL$2,0,0,ROW()-1,84),ROW()-1,FALSE))</f>
        <v>20.406400000000001</v>
      </c>
      <c r="J23">
        <f ca="1">IF(AND(ISNUMBER($J$271),$B$252=1),$J$271,HLOOKUP(INDIRECT(ADDRESS(2,COLUMN())),OFFSET($CL$2,0,0,ROW()-1,84),ROW()-1,FALSE))</f>
        <v>21.396093499999999</v>
      </c>
      <c r="K23">
        <f ca="1">IF(AND(ISNUMBER($K$271),$B$252=1),$K$271,HLOOKUP(INDIRECT(ADDRESS(2,COLUMN())),OFFSET($CL$2,0,0,ROW()-1,84),ROW()-1,FALSE))</f>
        <v>21.536983670000001</v>
      </c>
      <c r="L23">
        <f ca="1">IF(AND(ISNUMBER($L$271),$B$252=1),$L$271,HLOOKUP(INDIRECT(ADDRESS(2,COLUMN())),OFFSET($CL$2,0,0,ROW()-1,84),ROW()-1,FALSE))</f>
        <v>21.158536590000001</v>
      </c>
      <c r="M23">
        <f ca="1">IF(AND(ISNUMBER($M$271),$B$252=1),$M$271,HLOOKUP(INDIRECT(ADDRESS(2,COLUMN())),OFFSET($CL$2,0,0,ROW()-1,84),ROW()-1,FALSE))</f>
        <v>21.54315047</v>
      </c>
      <c r="N23">
        <f ca="1">IF(AND(ISNUMBER($N$271),$B$252=1),$N$271,HLOOKUP(INDIRECT(ADDRESS(2,COLUMN())),OFFSET($CL$2,0,0,ROW()-1,84),ROW()-1,FALSE))</f>
        <v>21.8772099</v>
      </c>
      <c r="O23">
        <f ca="1">IF(AND(ISNUMBER($O$271),$B$252=1),$O$271,HLOOKUP(INDIRECT(ADDRESS(2,COLUMN())),OFFSET($CL$2,0,0,ROW()-1,84),ROW()-1,FALSE))</f>
        <v>21.20128824</v>
      </c>
      <c r="P23">
        <f ca="1">IF(AND(ISNUMBER($P$271),$B$252=1),$P$271,HLOOKUP(INDIRECT(ADDRESS(2,COLUMN())),OFFSET($CL$2,0,0,ROW()-1,84),ROW()-1,FALSE))</f>
        <v>20.990003219999998</v>
      </c>
      <c r="Q23">
        <f ca="1">IF(AND(ISNUMBER($Q$271),$B$252=1),$Q$271,HLOOKUP(INDIRECT(ADDRESS(2,COLUMN())),OFFSET($CL$2,0,0,ROW()-1,84),ROW()-1,FALSE))</f>
        <v>20.872656760000002</v>
      </c>
      <c r="R23">
        <f ca="1">IF(AND(ISNUMBER($R$271),$B$252=1),$R$271,HLOOKUP(INDIRECT(ADDRESS(2,COLUMN())),OFFSET($CL$2,0,0,ROW()-1,84),ROW()-1,FALSE))</f>
        <v>19.97431782</v>
      </c>
      <c r="S23">
        <f ca="1">IF(AND(ISNUMBER($S$271),$B$252=1),$S$271,HLOOKUP(INDIRECT(ADDRESS(2,COLUMN())),OFFSET($CL$2,0,0,ROW()-1,84),ROW()-1,FALSE))</f>
        <v>20.150159739999999</v>
      </c>
      <c r="T23">
        <f ca="1">IF(AND(ISNUMBER($T$271),$B$252=1),$T$271,HLOOKUP(INDIRECT(ADDRESS(2,COLUMN())),OFFSET($CL$2,0,0,ROW()-1,84),ROW()-1,FALSE))</f>
        <v>19.12208936</v>
      </c>
      <c r="U23">
        <f ca="1">IF(AND(ISNUMBER($U$271),$B$252=1),$U$271,HLOOKUP(INDIRECT(ADDRESS(2,COLUMN())),OFFSET($CL$2,0,0,ROW()-1,84),ROW()-1,FALSE))</f>
        <v>20.322071359999999</v>
      </c>
      <c r="V23">
        <f ca="1">IF(AND(ISNUMBER($V$271),$B$252=1),$V$271,HLOOKUP(INDIRECT(ADDRESS(2,COLUMN())),OFFSET($CL$2,0,0,ROW()-1,84),ROW()-1,FALSE))</f>
        <v>18.930599369999999</v>
      </c>
      <c r="W23">
        <f ca="1">IF(AND(ISNUMBER($W$271),$B$252=1),$W$271,HLOOKUP(INDIRECT(ADDRESS(2,COLUMN())),OFFSET($CL$2,0,0,ROW()-1,84),ROW()-1,FALSE))</f>
        <v>19.454946440000001</v>
      </c>
      <c r="X23">
        <f ca="1">IF(AND(ISNUMBER($X$271),$B$252=1),$X$271,HLOOKUP(INDIRECT(ADDRESS(2,COLUMN())),OFFSET($CL$2,0,0,ROW()-1,84),ROW()-1,FALSE))</f>
        <v>20.267800879999999</v>
      </c>
      <c r="Y23">
        <f ca="1">IF(AND(ISNUMBER($Y$271),$B$252=1),$Y$271,HLOOKUP(INDIRECT(ADDRESS(2,COLUMN())),OFFSET($CL$2,0,0,ROW()-1,84),ROW()-1,FALSE))</f>
        <v>20.431496060000001</v>
      </c>
      <c r="Z23">
        <f ca="1">IF(AND(ISNUMBER($Z$271),$B$252=1),$Z$271,HLOOKUP(INDIRECT(ADDRESS(2,COLUMN())),OFFSET($CL$2,0,0,ROW()-1,84),ROW()-1,FALSE))</f>
        <v>21.193890270000001</v>
      </c>
      <c r="AA23">
        <f ca="1">IF(AND(ISNUMBER($AA$271),$B$252=1),$AA$271,HLOOKUP(INDIRECT(ADDRESS(2,COLUMN())),OFFSET($CL$2,0,0,ROW()-1,84),ROW()-1,FALSE))</f>
        <v>21.25269978</v>
      </c>
      <c r="AB23">
        <f ca="1">IF(AND(ISNUMBER($AB$271),$B$252=1),$AB$271,HLOOKUP(INDIRECT(ADDRESS(2,COLUMN())),OFFSET($CL$2,0,0,ROW()-1,84),ROW()-1,FALSE))</f>
        <v>21.132824429999999</v>
      </c>
      <c r="AC23">
        <f ca="1">IF(AND(ISNUMBER($AC$271),$B$252=1),$AC$271,HLOOKUP(INDIRECT(ADDRESS(2,COLUMN())),OFFSET($CL$2,0,0,ROW()-1,84),ROW()-1,FALSE))</f>
        <v>20.696260259999999</v>
      </c>
      <c r="AD23">
        <f ca="1">IF(AND(ISNUMBER($AD$271),$B$252=1),$AD$271,HLOOKUP(INDIRECT(ADDRESS(2,COLUMN())),OFFSET($CL$2,0,0,ROW()-1,84),ROW()-1,FALSE))</f>
        <v>22.66082754</v>
      </c>
      <c r="AE23">
        <f ca="1">IF(AND(ISNUMBER($AE$271),$B$252=1),$AE$271,HLOOKUP(INDIRECT(ADDRESS(2,COLUMN())),OFFSET($CL$2,0,0,ROW()-1,84),ROW()-1,FALSE))</f>
        <v>22.403007519999999</v>
      </c>
      <c r="AF23">
        <f ca="1">IF(AND(ISNUMBER($AF$271),$B$252=1),$AF$271,HLOOKUP(INDIRECT(ADDRESS(2,COLUMN())),OFFSET($CL$2,0,0,ROW()-1,84),ROW()-1,FALSE))</f>
        <v>21.975484609999999</v>
      </c>
      <c r="AG23">
        <f ca="1">IF(AND(ISNUMBER($AG$271),$B$252=1),$AG$271,HLOOKUP(INDIRECT(ADDRESS(2,COLUMN())),OFFSET($CL$2,0,0,ROW()-1,84),ROW()-1,FALSE))</f>
        <v>23.358144859999999</v>
      </c>
      <c r="AH23">
        <f ca="1">IF(AND(ISNUMBER($AH$271),$B$252=1),$AH$271,HLOOKUP(INDIRECT(ADDRESS(2,COLUMN())),OFFSET($CL$2,0,0,ROW()-1,84),ROW()-1,FALSE))</f>
        <v>22.147613759999999</v>
      </c>
      <c r="AI23">
        <f ca="1">IF(AND(ISNUMBER($AI$271),$B$252=1),$AI$271,HLOOKUP(INDIRECT(ADDRESS(2,COLUMN())),OFFSET($CL$2,0,0,ROW()-1,84),ROW()-1,FALSE))</f>
        <v>20.299291149999998</v>
      </c>
      <c r="AJ23">
        <f ca="1">IF(AND(ISNUMBER($AJ$271),$B$252=1),$AJ$271,HLOOKUP(INDIRECT(ADDRESS(2,COLUMN())),OFFSET($CL$2,0,0,ROW()-1,84),ROW()-1,FALSE))</f>
        <v>18.733167080000001</v>
      </c>
      <c r="AK23">
        <f ca="1">IF(AND(ISNUMBER($AK$271),$B$252=1),$AK$271,HLOOKUP(INDIRECT(ADDRESS(2,COLUMN())),OFFSET($CL$2,0,0,ROW()-1,84),ROW()-1,FALSE))</f>
        <v>17.75922233</v>
      </c>
      <c r="AL23">
        <f ca="1">IF(AND(ISNUMBER($AL$271),$B$252=1),$AL$271,HLOOKUP(INDIRECT(ADDRESS(2,COLUMN())),OFFSET($CL$2,0,0,ROW()-1,84),ROW()-1,FALSE))</f>
        <v>18.73059589</v>
      </c>
      <c r="AM23">
        <f ca="1">IF(AND(ISNUMBER($AM$271),$B$252=1),$AM$271,HLOOKUP(INDIRECT(ADDRESS(2,COLUMN())),OFFSET($CL$2,0,0,ROW()-1,84),ROW()-1,FALSE))</f>
        <v>17.742098609999999</v>
      </c>
      <c r="AN23">
        <f ca="1">IF(AND(ISNUMBER($AN$271),$B$252=1),$AN$271,HLOOKUP(INDIRECT(ADDRESS(2,COLUMN())),OFFSET($CL$2,0,0,ROW()-1,84),ROW()-1,FALSE))</f>
        <v>18.762938649999999</v>
      </c>
      <c r="AO23">
        <f ca="1">IF(AND(ISNUMBER($AO$271),$B$252=1),$AO$271,HLOOKUP(INDIRECT(ADDRESS(2,COLUMN())),OFFSET($CL$2,0,0,ROW()-1,84),ROW()-1,FALSE))</f>
        <v>18.774783930000002</v>
      </c>
      <c r="AP23">
        <f ca="1">IF(AND(ISNUMBER($AP$271),$B$252=1),$AP$271,HLOOKUP(INDIRECT(ADDRESS(2,COLUMN())),OFFSET($CL$2,0,0,ROW()-1,84),ROW()-1,FALSE))</f>
        <v>19.746386000000001</v>
      </c>
      <c r="AQ23">
        <f ca="1">IF(AND(ISNUMBER($AQ$271),$B$252=1),$AQ$271,HLOOKUP(INDIRECT(ADDRESS(2,COLUMN())),OFFSET($CL$2,0,0,ROW()-1,84),ROW()-1,FALSE))</f>
        <v>19.5855581</v>
      </c>
      <c r="AR23" t="str">
        <f ca="1">IF(AND(ISNUMBER($AR$271),$B$252=1),$AR$271,HLOOKUP(INDIRECT(ADDRESS(2,COLUMN())),OFFSET($CL$2,0,0,ROW()-1,84),ROW()-1,FALSE))</f>
        <v/>
      </c>
      <c r="AS23" t="str">
        <f ca="1">IF(AND(ISNUMBER($AS$271),$B$252=1),$AS$271,HLOOKUP(INDIRECT(ADDRESS(2,COLUMN())),OFFSET($CL$2,0,0,ROW()-1,84),ROW()-1,FALSE))</f>
        <v/>
      </c>
      <c r="AT23" t="str">
        <f ca="1">IF(AND(ISNUMBER($AT$271),$B$252=1),$AT$271,HLOOKUP(INDIRECT(ADDRESS(2,COLUMN())),OFFSET($CL$2,0,0,ROW()-1,84),ROW()-1,FALSE))</f>
        <v/>
      </c>
      <c r="AU23" t="str">
        <f ca="1">IF(AND(ISNUMBER($AU$271),$B$252=1),$AU$271,HLOOKUP(INDIRECT(ADDRESS(2,COLUMN())),OFFSET($CL$2,0,0,ROW()-1,84),ROW()-1,FALSE))</f>
        <v/>
      </c>
      <c r="AV23" t="str">
        <f ca="1">IF(AND(ISNUMBER($AV$271),$B$252=1),$AV$271,HLOOKUP(INDIRECT(ADDRESS(2,COLUMN())),OFFSET($CL$2,0,0,ROW()-1,84),ROW()-1,FALSE))</f>
        <v/>
      </c>
      <c r="AW23" t="str">
        <f ca="1">IF(AND(ISNUMBER($AW$271),$B$252=1),$AW$271,HLOOKUP(INDIRECT(ADDRESS(2,COLUMN())),OFFSET($CL$2,0,0,ROW()-1,84),ROW()-1,FALSE))</f>
        <v/>
      </c>
      <c r="AX23" t="str">
        <f ca="1">IF(AND(ISNUMBER($AX$271),$B$252=1),$AX$271,HLOOKUP(INDIRECT(ADDRESS(2,COLUMN())),OFFSET($CL$2,0,0,ROW()-1,84),ROW()-1,FALSE))</f>
        <v/>
      </c>
      <c r="AY23" t="str">
        <f ca="1">IF(AND(ISNUMBER($AY$271),$B$252=1),$AY$271,HLOOKUP(INDIRECT(ADDRESS(2,COLUMN())),OFFSET($CL$2,0,0,ROW()-1,84),ROW()-1,FALSE))</f>
        <v/>
      </c>
      <c r="AZ23" t="str">
        <f ca="1">IF(AND(ISNUMBER($AZ$271),$B$252=1),$AZ$271,HLOOKUP(INDIRECT(ADDRESS(2,COLUMN())),OFFSET($CL$2,0,0,ROW()-1,84),ROW()-1,FALSE))</f>
        <v/>
      </c>
      <c r="BA23" t="str">
        <f ca="1">IF(AND(ISNUMBER($BA$271),$B$252=1),$BA$271,HLOOKUP(INDIRECT(ADDRESS(2,COLUMN())),OFFSET($CL$2,0,0,ROW()-1,84),ROW()-1,FALSE))</f>
        <v/>
      </c>
      <c r="BB23" t="str">
        <f ca="1">IF(AND(ISNUMBER($BB$271),$B$252=1),$BB$271,HLOOKUP(INDIRECT(ADDRESS(2,COLUMN())),OFFSET($CL$2,0,0,ROW()-1,84),ROW()-1,FALSE))</f>
        <v/>
      </c>
      <c r="BC23" t="str">
        <f ca="1">IF(AND(ISNUMBER($BC$271),$B$252=1),$BC$271,HLOOKUP(INDIRECT(ADDRESS(2,COLUMN())),OFFSET($CL$2,0,0,ROW()-1,84),ROW()-1,FALSE))</f>
        <v/>
      </c>
      <c r="BD23" t="str">
        <f ca="1">IF(AND(ISNUMBER($BD$271),$B$252=1),$BD$271,HLOOKUP(INDIRECT(ADDRESS(2,COLUMN())),OFFSET($CL$2,0,0,ROW()-1,84),ROW()-1,FALSE))</f>
        <v/>
      </c>
      <c r="BE23" t="str">
        <f ca="1">IF(AND(ISNUMBER($BE$271),$B$252=1),$BE$271,HLOOKUP(INDIRECT(ADDRESS(2,COLUMN())),OFFSET($CL$2,0,0,ROW()-1,84),ROW()-1,FALSE))</f>
        <v/>
      </c>
      <c r="BF23" t="str">
        <f ca="1">IF(AND(ISNUMBER($BF$271),$B$252=1),$BF$271,HLOOKUP(INDIRECT(ADDRESS(2,COLUMN())),OFFSET($CL$2,0,0,ROW()-1,84),ROW()-1,FALSE))</f>
        <v/>
      </c>
      <c r="BG23" t="str">
        <f ca="1">IF(AND(ISNUMBER($BG$271),$B$252=1),$BG$271,HLOOKUP(INDIRECT(ADDRESS(2,COLUMN())),OFFSET($CL$2,0,0,ROW()-1,84),ROW()-1,FALSE))</f>
        <v/>
      </c>
      <c r="BH23" t="str">
        <f ca="1">IF(AND(ISNUMBER($BH$271),$B$252=1),$BH$271,HLOOKUP(INDIRECT(ADDRESS(2,COLUMN())),OFFSET($CL$2,0,0,ROW()-1,84),ROW()-1,FALSE))</f>
        <v/>
      </c>
      <c r="BI23" t="str">
        <f ca="1">IF(AND(ISNUMBER($BI$271),$B$252=1),$BI$271,HLOOKUP(INDIRECT(ADDRESS(2,COLUMN())),OFFSET($CL$2,0,0,ROW()-1,84),ROW()-1,FALSE))</f>
        <v/>
      </c>
      <c r="BJ23" t="str">
        <f ca="1">IF(AND(ISNUMBER($BJ$271),$B$252=1),$BJ$271,HLOOKUP(INDIRECT(ADDRESS(2,COLUMN())),OFFSET($CL$2,0,0,ROW()-1,84),ROW()-1,FALSE))</f>
        <v/>
      </c>
      <c r="BK23" t="str">
        <f ca="1">IF(AND(ISNUMBER($BK$271),$B$252=1),$BK$271,HLOOKUP(INDIRECT(ADDRESS(2,COLUMN())),OFFSET($CL$2,0,0,ROW()-1,84),ROW()-1,FALSE))</f>
        <v/>
      </c>
      <c r="BL23" t="str">
        <f ca="1">IF(AND(ISNUMBER($BL$271),$B$252=1),$BL$271,HLOOKUP(INDIRECT(ADDRESS(2,COLUMN())),OFFSET($CL$2,0,0,ROW()-1,84),ROW()-1,FALSE))</f>
        <v/>
      </c>
      <c r="BM23" t="str">
        <f ca="1">IF(AND(ISNUMBER($BM$271),$B$252=1),$BM$271,HLOOKUP(INDIRECT(ADDRESS(2,COLUMN())),OFFSET($CL$2,0,0,ROW()-1,84),ROW()-1,FALSE))</f>
        <v/>
      </c>
      <c r="BN23" t="str">
        <f ca="1">IF(AND(ISNUMBER($BN$271),$B$252=1),$BN$271,HLOOKUP(INDIRECT(ADDRESS(2,COLUMN())),OFFSET($CL$2,0,0,ROW()-1,84),ROW()-1,FALSE))</f>
        <v/>
      </c>
      <c r="BO23" t="str">
        <f ca="1">IF(AND(ISNUMBER($BO$271),$B$252=1),$BO$271,HLOOKUP(INDIRECT(ADDRESS(2,COLUMN())),OFFSET($CL$2,0,0,ROW()-1,84),ROW()-1,FALSE))</f>
        <v/>
      </c>
      <c r="BP23" t="str">
        <f ca="1">IF(AND(ISNUMBER($BP$271),$B$252=1),$BP$271,HLOOKUP(INDIRECT(ADDRESS(2,COLUMN())),OFFSET($CL$2,0,0,ROW()-1,84),ROW()-1,FALSE))</f>
        <v/>
      </c>
      <c r="BQ23" t="str">
        <f ca="1">IF(AND(ISNUMBER($BQ$271),$B$252=1),$BQ$271,HLOOKUP(INDIRECT(ADDRESS(2,COLUMN())),OFFSET($CL$2,0,0,ROW()-1,84),ROW()-1,FALSE))</f>
        <v/>
      </c>
      <c r="BR23" t="str">
        <f ca="1">IF(AND(ISNUMBER($BR$271),$B$252=1),$BR$271,HLOOKUP(INDIRECT(ADDRESS(2,COLUMN())),OFFSET($CL$2,0,0,ROW()-1,84),ROW()-1,FALSE))</f>
        <v/>
      </c>
      <c r="BS23" t="str">
        <f ca="1">IF(AND(ISNUMBER($BS$271),$B$252=1),$BS$271,HLOOKUP(INDIRECT(ADDRESS(2,COLUMN())),OFFSET($CL$2,0,0,ROW()-1,84),ROW()-1,FALSE))</f>
        <v/>
      </c>
      <c r="BT23" t="str">
        <f ca="1">IF(AND(ISNUMBER($BT$271),$B$252=1),$BT$271,HLOOKUP(INDIRECT(ADDRESS(2,COLUMN())),OFFSET($CL$2,0,0,ROW()-1,84),ROW()-1,FALSE))</f>
        <v/>
      </c>
      <c r="BU23" t="str">
        <f ca="1">IF(AND(ISNUMBER($BU$271),$B$252=1),$BU$271,HLOOKUP(INDIRECT(ADDRESS(2,COLUMN())),OFFSET($CL$2,0,0,ROW()-1,84),ROW()-1,FALSE))</f>
        <v/>
      </c>
      <c r="BV23" t="str">
        <f ca="1">IF(AND(ISNUMBER($BV$271),$B$252=1),$BV$271,HLOOKUP(INDIRECT(ADDRESS(2,COLUMN())),OFFSET($CL$2,0,0,ROW()-1,84),ROW()-1,FALSE))</f>
        <v/>
      </c>
      <c r="BW23" t="str">
        <f ca="1">IF(AND(ISNUMBER($BW$271),$B$252=1),$BW$271,HLOOKUP(INDIRECT(ADDRESS(2,COLUMN())),OFFSET($CL$2,0,0,ROW()-1,84),ROW()-1,FALSE))</f>
        <v/>
      </c>
      <c r="BX23" t="str">
        <f ca="1">IF(AND(ISNUMBER($BX$271),$B$252=1),$BX$271,HLOOKUP(INDIRECT(ADDRESS(2,COLUMN())),OFFSET($CL$2,0,0,ROW()-1,84),ROW()-1,FALSE))</f>
        <v/>
      </c>
      <c r="BY23" t="str">
        <f ca="1">IF(AND(ISNUMBER($BY$271),$B$252=1),$BY$271,HLOOKUP(INDIRECT(ADDRESS(2,COLUMN())),OFFSET($CL$2,0,0,ROW()-1,84),ROW()-1,FALSE))</f>
        <v/>
      </c>
      <c r="BZ23" t="str">
        <f ca="1">IF(AND(ISNUMBER($BZ$271),$B$252=1),$BZ$271,HLOOKUP(INDIRECT(ADDRESS(2,COLUMN())),OFFSET($CL$2,0,0,ROW()-1,84),ROW()-1,FALSE))</f>
        <v/>
      </c>
      <c r="CA23" t="str">
        <f ca="1">IF(AND(ISNUMBER($CA$271),$B$252=1),$CA$271,HLOOKUP(INDIRECT(ADDRESS(2,COLUMN())),OFFSET($CL$2,0,0,ROW()-1,84),ROW()-1,FALSE))</f>
        <v/>
      </c>
      <c r="CB23" t="str">
        <f ca="1">IF(AND(ISNUMBER($CB$271),$B$252=1),$CB$271,HLOOKUP(INDIRECT(ADDRESS(2,COLUMN())),OFFSET($CL$2,0,0,ROW()-1,84),ROW()-1,FALSE))</f>
        <v/>
      </c>
      <c r="CC23" t="str">
        <f ca="1">IF(AND(ISNUMBER($CC$271),$B$252=1),$CC$271,HLOOKUP(INDIRECT(ADDRESS(2,COLUMN())),OFFSET($CL$2,0,0,ROW()-1,84),ROW()-1,FALSE))</f>
        <v/>
      </c>
      <c r="CD23" t="str">
        <f ca="1">IF(AND(ISNUMBER($CD$271),$B$252=1),$CD$271,HLOOKUP(INDIRECT(ADDRESS(2,COLUMN())),OFFSET($CL$2,0,0,ROW()-1,84),ROW()-1,FALSE))</f>
        <v/>
      </c>
      <c r="CE23" t="str">
        <f ca="1">IF(AND(ISNUMBER($CE$271),$B$252=1),$CE$271,HLOOKUP(INDIRECT(ADDRESS(2,COLUMN())),OFFSET($CL$2,0,0,ROW()-1,84),ROW()-1,FALSE))</f>
        <v/>
      </c>
      <c r="CF23" t="str">
        <f ca="1">IF(AND(ISNUMBER($CF$271),$B$252=1),$CF$271,HLOOKUP(INDIRECT(ADDRESS(2,COLUMN())),OFFSET($CL$2,0,0,ROW()-1,84),ROW()-1,FALSE))</f>
        <v/>
      </c>
      <c r="CG23" t="str">
        <f ca="1">IF(AND(ISNUMBER($CG$271),$B$252=1),$CG$271,HLOOKUP(INDIRECT(ADDRESS(2,COLUMN())),OFFSET($CL$2,0,0,ROW()-1,84),ROW()-1,FALSE))</f>
        <v/>
      </c>
      <c r="CH23" t="str">
        <f ca="1">IF(AND(ISNUMBER($CH$271),$B$252=1),$CH$271,HLOOKUP(INDIRECT(ADDRESS(2,COLUMN())),OFFSET($CL$2,0,0,ROW()-1,84),ROW()-1,FALSE))</f>
        <v/>
      </c>
      <c r="CI23" t="str">
        <f ca="1">IF(AND(ISNUMBER($CI$271),$B$252=1),$CI$271,HLOOKUP(INDIRECT(ADDRESS(2,COLUMN())),OFFSET($CL$2,0,0,ROW()-1,84),ROW()-1,FALSE))</f>
        <v/>
      </c>
      <c r="CJ23" t="str">
        <f ca="1">IF(AND(ISNUMBER($CJ$271),$B$252=1),$CJ$271,HLOOKUP(INDIRECT(ADDRESS(2,COLUMN())),OFFSET($CL$2,0,0,ROW()-1,84),ROW()-1,FALSE))</f>
        <v/>
      </c>
      <c r="CK23" t="str">
        <f ca="1">IF(AND(ISNUMBER($CK$271),$B$252=1),$CK$271,HLOOKUP(INDIRECT(ADDRESS(2,COLUMN())),OFFSET($CL$2,0,0,ROW()-1,84),ROW()-1,FALSE))</f>
        <v/>
      </c>
      <c r="CL23">
        <f>18.99232212</f>
        <v>18.992322120000001</v>
      </c>
      <c r="CM23">
        <f>17.98784389</f>
        <v>17.987843890000001</v>
      </c>
      <c r="CN23">
        <f>19.70889315</f>
        <v>19.708893150000002</v>
      </c>
      <c r="CO23">
        <f>20.4064</f>
        <v>20.406400000000001</v>
      </c>
      <c r="CP23">
        <f>21.3960935</f>
        <v>21.396093499999999</v>
      </c>
      <c r="CQ23">
        <f>21.53698367</f>
        <v>21.536983670000001</v>
      </c>
      <c r="CR23">
        <f>21.15853659</f>
        <v>21.158536590000001</v>
      </c>
      <c r="CS23">
        <f>21.54315047</f>
        <v>21.54315047</v>
      </c>
      <c r="CT23">
        <f>21.8772099</f>
        <v>21.8772099</v>
      </c>
      <c r="CU23">
        <f>21.20128824</f>
        <v>21.20128824</v>
      </c>
      <c r="CV23">
        <f>20.99000322</f>
        <v>20.990003219999998</v>
      </c>
      <c r="CW23">
        <f>20.87265676</f>
        <v>20.872656760000002</v>
      </c>
      <c r="CX23">
        <f>19.97431782</f>
        <v>19.97431782</v>
      </c>
      <c r="CY23">
        <f>20.15015974</f>
        <v>20.150159739999999</v>
      </c>
      <c r="CZ23">
        <f>19.12208936</f>
        <v>19.12208936</v>
      </c>
      <c r="DA23">
        <f>20.32207136</f>
        <v>20.322071359999999</v>
      </c>
      <c r="DB23">
        <f>18.93059937</f>
        <v>18.930599369999999</v>
      </c>
      <c r="DC23">
        <f>19.45494644</f>
        <v>19.454946440000001</v>
      </c>
      <c r="DD23">
        <f>20.26780088</f>
        <v>20.267800879999999</v>
      </c>
      <c r="DE23">
        <f>20.43149606</f>
        <v>20.431496060000001</v>
      </c>
      <c r="DF23">
        <f>21.19389027</f>
        <v>21.193890270000001</v>
      </c>
      <c r="DG23">
        <f>21.25269978</f>
        <v>21.25269978</v>
      </c>
      <c r="DH23">
        <f>21.13282443</f>
        <v>21.132824429999999</v>
      </c>
      <c r="DI23">
        <f>20.69626026</f>
        <v>20.696260259999999</v>
      </c>
      <c r="DJ23">
        <f>22.66082754</f>
        <v>22.66082754</v>
      </c>
      <c r="DK23">
        <f>22.40300752</f>
        <v>22.403007519999999</v>
      </c>
      <c r="DL23">
        <f>21.97548461</f>
        <v>21.975484609999999</v>
      </c>
      <c r="DM23">
        <f>23.35814486</f>
        <v>23.358144859999999</v>
      </c>
      <c r="DN23">
        <f>22.14761376</f>
        <v>22.147613759999999</v>
      </c>
      <c r="DO23">
        <f>20.29929115</f>
        <v>20.299291149999998</v>
      </c>
      <c r="DP23">
        <f>18.73316708</f>
        <v>18.733167080000001</v>
      </c>
      <c r="DQ23">
        <f>17.75922233</f>
        <v>17.75922233</v>
      </c>
      <c r="DR23">
        <f>18.73059589</f>
        <v>18.73059589</v>
      </c>
      <c r="DS23">
        <f>17.74209861</f>
        <v>17.742098609999999</v>
      </c>
      <c r="DT23">
        <f>18.76293865</f>
        <v>18.762938649999999</v>
      </c>
      <c r="DU23">
        <f>18.77478393</f>
        <v>18.774783930000002</v>
      </c>
      <c r="DV23">
        <f>19.746386</f>
        <v>19.746386000000001</v>
      </c>
      <c r="DW23">
        <f>19.5855581</f>
        <v>19.5855581</v>
      </c>
      <c r="DX23" t="str">
        <f>""</f>
        <v/>
      </c>
      <c r="DY23" t="str">
        <f>""</f>
        <v/>
      </c>
      <c r="DZ23" t="str">
        <f>""</f>
        <v/>
      </c>
      <c r="EA23" t="str">
        <f>""</f>
        <v/>
      </c>
      <c r="EB23" t="str">
        <f>""</f>
        <v/>
      </c>
      <c r="EC23" t="str">
        <f>""</f>
        <v/>
      </c>
      <c r="ED23" t="str">
        <f>""</f>
        <v/>
      </c>
      <c r="EE23" t="str">
        <f>""</f>
        <v/>
      </c>
      <c r="EF23" t="str">
        <f>""</f>
        <v/>
      </c>
      <c r="EG23" t="str">
        <f>""</f>
        <v/>
      </c>
      <c r="EH23" t="str">
        <f>""</f>
        <v/>
      </c>
      <c r="EI23" t="str">
        <f>""</f>
        <v/>
      </c>
      <c r="EJ23" t="str">
        <f>""</f>
        <v/>
      </c>
      <c r="EK23" t="str">
        <f>""</f>
        <v/>
      </c>
      <c r="EL23" t="str">
        <f>""</f>
        <v/>
      </c>
      <c r="EM23" t="str">
        <f>""</f>
        <v/>
      </c>
      <c r="EN23" t="str">
        <f>""</f>
        <v/>
      </c>
      <c r="EO23" t="str">
        <f>""</f>
        <v/>
      </c>
      <c r="EP23" t="str">
        <f>""</f>
        <v/>
      </c>
      <c r="EQ23" t="str">
        <f>""</f>
        <v/>
      </c>
      <c r="ER23" t="str">
        <f>""</f>
        <v/>
      </c>
      <c r="ES23" t="str">
        <f>""</f>
        <v/>
      </c>
      <c r="ET23" t="str">
        <f>""</f>
        <v/>
      </c>
      <c r="EU23" t="str">
        <f>""</f>
        <v/>
      </c>
      <c r="EV23" t="str">
        <f>""</f>
        <v/>
      </c>
      <c r="EW23" t="str">
        <f>""</f>
        <v/>
      </c>
      <c r="EX23" t="str">
        <f>""</f>
        <v/>
      </c>
      <c r="EY23" t="str">
        <f>""</f>
        <v/>
      </c>
      <c r="EZ23" t="str">
        <f>""</f>
        <v/>
      </c>
      <c r="FA23" t="str">
        <f>""</f>
        <v/>
      </c>
      <c r="FB23" t="str">
        <f>""</f>
        <v/>
      </c>
      <c r="FC23" t="str">
        <f>""</f>
        <v/>
      </c>
      <c r="FD23" t="str">
        <f>""</f>
        <v/>
      </c>
      <c r="FE23" t="str">
        <f>""</f>
        <v/>
      </c>
      <c r="FF23" t="str">
        <f>""</f>
        <v/>
      </c>
      <c r="FG23" t="str">
        <f>""</f>
        <v/>
      </c>
      <c r="FH23" t="str">
        <f>""</f>
        <v/>
      </c>
      <c r="FI23" t="str">
        <f>""</f>
        <v/>
      </c>
      <c r="FJ23" t="str">
        <f>""</f>
        <v/>
      </c>
      <c r="FK23" t="str">
        <f>""</f>
        <v/>
      </c>
      <c r="FL23" t="str">
        <f>""</f>
        <v/>
      </c>
      <c r="FM23" t="str">
        <f>""</f>
        <v/>
      </c>
      <c r="FN23" t="str">
        <f>""</f>
        <v/>
      </c>
      <c r="FO23" t="str">
        <f>""</f>
        <v/>
      </c>
      <c r="FP23" t="str">
        <f>""</f>
        <v/>
      </c>
      <c r="FQ23" t="str">
        <f>""</f>
        <v/>
      </c>
    </row>
    <row r="24" spans="1:173">
      <c r="A24" t="str">
        <f>"    埃塞克斯房地产信托公司"</f>
        <v xml:space="preserve">    埃塞克斯房地产信托公司</v>
      </c>
      <c r="B24" t="str">
        <f>"ESS US Equity"</f>
        <v>ESS US Equity</v>
      </c>
      <c r="C24" t="str">
        <f t="shared" si="6"/>
        <v>BE249</v>
      </c>
      <c r="D24" t="str">
        <f t="shared" si="7"/>
        <v>BEST_PRICE_FFO_RATIO</v>
      </c>
      <c r="E24" t="str">
        <f t="shared" si="8"/>
        <v>动态</v>
      </c>
      <c r="F24">
        <f ca="1">IF(AND(ISNUMBER($F$272),$B$252=1),$F$272,HLOOKUP(INDIRECT(ADDRESS(2,COLUMN())),OFFSET($CL$2,0,0,ROW()-1,84),ROW()-1,FALSE))</f>
        <v>20.01765919</v>
      </c>
      <c r="G24">
        <f ca="1">IF(AND(ISNUMBER($G$272),$B$252=1),$G$272,HLOOKUP(INDIRECT(ADDRESS(2,COLUMN())),OFFSET($CL$2,0,0,ROW()-1,84),ROW()-1,FALSE))</f>
        <v>18.821897069999999</v>
      </c>
      <c r="H24">
        <f ca="1">IF(AND(ISNUMBER($H$272),$B$252=1),$H$272,HLOOKUP(INDIRECT(ADDRESS(2,COLUMN())),OFFSET($CL$2,0,0,ROW()-1,84),ROW()-1,FALSE))</f>
        <v>19.591321900000001</v>
      </c>
      <c r="I24">
        <f ca="1">IF(AND(ISNUMBER($I$272),$B$252=1),$I$272,HLOOKUP(INDIRECT(ADDRESS(2,COLUMN())),OFFSET($CL$2,0,0,ROW()-1,84),ROW()-1,FALSE))</f>
        <v>20.296838210000001</v>
      </c>
      <c r="J24">
        <f ca="1">IF(AND(ISNUMBER($J$272),$B$252=1),$J$272,HLOOKUP(INDIRECT(ADDRESS(2,COLUMN())),OFFSET($CL$2,0,0,ROW()-1,84),ROW()-1,FALSE))</f>
        <v>20.78340626</v>
      </c>
      <c r="K24">
        <f ca="1">IF(AND(ISNUMBER($K$272),$B$252=1),$K$272,HLOOKUP(INDIRECT(ADDRESS(2,COLUMN())),OFFSET($CL$2,0,0,ROW()-1,84),ROW()-1,FALSE))</f>
        <v>22.099368420000001</v>
      </c>
      <c r="L24">
        <f ca="1">IF(AND(ISNUMBER($L$272),$B$252=1),$L$272,HLOOKUP(INDIRECT(ADDRESS(2,COLUMN())),OFFSET($CL$2,0,0,ROW()-1,84),ROW()-1,FALSE))</f>
        <v>21.384796699999999</v>
      </c>
      <c r="M24">
        <f ca="1">IF(AND(ISNUMBER($M$272),$B$252=1),$M$272,HLOOKUP(INDIRECT(ADDRESS(2,COLUMN())),OFFSET($CL$2,0,0,ROW()-1,84),ROW()-1,FALSE))</f>
        <v>22.418240050000001</v>
      </c>
      <c r="N24">
        <f ca="1">IF(AND(ISNUMBER($N$272),$B$252=1),$N$272,HLOOKUP(INDIRECT(ADDRESS(2,COLUMN())),OFFSET($CL$2,0,0,ROW()-1,84),ROW()-1,FALSE))</f>
        <v>22.110510309999999</v>
      </c>
      <c r="O24">
        <f ca="1">IF(AND(ISNUMBER($O$272),$B$252=1),$O$272,HLOOKUP(INDIRECT(ADDRESS(2,COLUMN())),OFFSET($CL$2,0,0,ROW()-1,84),ROW()-1,FALSE))</f>
        <v>21.789616330000001</v>
      </c>
      <c r="P24">
        <f ca="1">IF(AND(ISNUMBER($P$272),$B$252=1),$P$272,HLOOKUP(INDIRECT(ADDRESS(2,COLUMN())),OFFSET($CL$2,0,0,ROW()-1,84),ROW()-1,FALSE))</f>
        <v>21.785805140000001</v>
      </c>
      <c r="Q24">
        <f ca="1">IF(AND(ISNUMBER($Q$272),$B$252=1),$Q$272,HLOOKUP(INDIRECT(ADDRESS(2,COLUMN())),OFFSET($CL$2,0,0,ROW()-1,84),ROW()-1,FALSE))</f>
        <v>20.875245499999998</v>
      </c>
      <c r="R24">
        <f ca="1">IF(AND(ISNUMBER($R$272),$B$252=1),$R$272,HLOOKUP(INDIRECT(ADDRESS(2,COLUMN())),OFFSET($CL$2,0,0,ROW()-1,84),ROW()-1,FALSE))</f>
        <v>19.74837939</v>
      </c>
      <c r="S24">
        <f ca="1">IF(AND(ISNUMBER($S$272),$B$252=1),$S$272,HLOOKUP(INDIRECT(ADDRESS(2,COLUMN())),OFFSET($CL$2,0,0,ROW()-1,84),ROW()-1,FALSE))</f>
        <v>20.025597269999999</v>
      </c>
      <c r="T24">
        <f ca="1">IF(AND(ISNUMBER($T$272),$B$252=1),$T$272,HLOOKUP(INDIRECT(ADDRESS(2,COLUMN())),OFFSET($CL$2,0,0,ROW()-1,84),ROW()-1,FALSE))</f>
        <v>19.068264899999999</v>
      </c>
      <c r="U24">
        <f ca="1">IF(AND(ISNUMBER($U$272),$B$252=1),$U$272,HLOOKUP(INDIRECT(ADDRESS(2,COLUMN())),OFFSET($CL$2,0,0,ROW()-1,84),ROW()-1,FALSE))</f>
        <v>19.751932719999999</v>
      </c>
      <c r="V24">
        <f ca="1">IF(AND(ISNUMBER($V$272),$B$252=1),$V$272,HLOOKUP(INDIRECT(ADDRESS(2,COLUMN())),OFFSET($CL$2,0,0,ROW()-1,84),ROW()-1,FALSE))</f>
        <v>18.287456590000001</v>
      </c>
      <c r="W24">
        <f ca="1">IF(AND(ISNUMBER($W$272),$B$252=1),$W$272,HLOOKUP(INDIRECT(ADDRESS(2,COLUMN())),OFFSET($CL$2,0,0,ROW()-1,84),ROW()-1,FALSE))</f>
        <v>18.164771760000001</v>
      </c>
      <c r="X24">
        <f ca="1">IF(AND(ISNUMBER($X$272),$B$252=1),$X$272,HLOOKUP(INDIRECT(ADDRESS(2,COLUMN())),OFFSET($CL$2,0,0,ROW()-1,84),ROW()-1,FALSE))</f>
        <v>18.84892086</v>
      </c>
      <c r="Y24">
        <f ca="1">IF(AND(ISNUMBER($Y$272),$B$252=1),$Y$272,HLOOKUP(INDIRECT(ADDRESS(2,COLUMN())),OFFSET($CL$2,0,0,ROW()-1,84),ROW()-1,FALSE))</f>
        <v>19.218075649999999</v>
      </c>
      <c r="Z24">
        <f ca="1">IF(AND(ISNUMBER($Z$272),$B$252=1),$Z$272,HLOOKUP(INDIRECT(ADDRESS(2,COLUMN())),OFFSET($CL$2,0,0,ROW()-1,84),ROW()-1,FALSE))</f>
        <v>19.796851190000002</v>
      </c>
      <c r="AA24">
        <f ca="1">IF(AND(ISNUMBER($AA$272),$B$252=1),$AA$272,HLOOKUP(INDIRECT(ADDRESS(2,COLUMN())),OFFSET($CL$2,0,0,ROW()-1,84),ROW()-1,FALSE))</f>
        <v>19.275754249999999</v>
      </c>
      <c r="AB24">
        <f ca="1">IF(AND(ISNUMBER($AB$272),$B$252=1),$AB$272,HLOOKUP(INDIRECT(ADDRESS(2,COLUMN())),OFFSET($CL$2,0,0,ROW()-1,84),ROW()-1,FALSE))</f>
        <v>19.156128809999998</v>
      </c>
      <c r="AC24">
        <f ca="1">IF(AND(ISNUMBER($AC$272),$B$252=1),$AC$272,HLOOKUP(INDIRECT(ADDRESS(2,COLUMN())),OFFSET($CL$2,0,0,ROW()-1,84),ROW()-1,FALSE))</f>
        <v>18.495679169999999</v>
      </c>
      <c r="AD24">
        <f ca="1">IF(AND(ISNUMBER($AD$272),$B$252=1),$AD$272,HLOOKUP(INDIRECT(ADDRESS(2,COLUMN())),OFFSET($CL$2,0,0,ROW()-1,84),ROW()-1,FALSE))</f>
        <v>19.60596915</v>
      </c>
      <c r="AE24">
        <f ca="1">IF(AND(ISNUMBER($AE$272),$B$252=1),$AE$272,HLOOKUP(INDIRECT(ADDRESS(2,COLUMN())),OFFSET($CL$2,0,0,ROW()-1,84),ROW()-1,FALSE))</f>
        <v>17.614678900000001</v>
      </c>
      <c r="AF24">
        <f ca="1">IF(AND(ISNUMBER($AF$272),$B$252=1),$AF$272,HLOOKUP(INDIRECT(ADDRESS(2,COLUMN())),OFFSET($CL$2,0,0,ROW()-1,84),ROW()-1,FALSE))</f>
        <v>18.002196319999999</v>
      </c>
      <c r="AG24">
        <f ca="1">IF(AND(ISNUMBER($AG$272),$B$252=1),$AG$272,HLOOKUP(INDIRECT(ADDRESS(2,COLUMN())),OFFSET($CL$2,0,0,ROW()-1,84),ROW()-1,FALSE))</f>
        <v>20.11172715</v>
      </c>
      <c r="AH24">
        <f ca="1">IF(AND(ISNUMBER($AH$272),$B$252=1),$AH$272,HLOOKUP(INDIRECT(ADDRESS(2,COLUMN())),OFFSET($CL$2,0,0,ROW()-1,84),ROW()-1,FALSE))</f>
        <v>19.423497730000001</v>
      </c>
      <c r="AI24">
        <f ca="1">IF(AND(ISNUMBER($AI$272),$B$252=1),$AI$272,HLOOKUP(INDIRECT(ADDRESS(2,COLUMN())),OFFSET($CL$2,0,0,ROW()-1,84),ROW()-1,FALSE))</f>
        <v>18.733746920000002</v>
      </c>
      <c r="AJ24">
        <f ca="1">IF(AND(ISNUMBER($AJ$272),$B$252=1),$AJ$272,HLOOKUP(INDIRECT(ADDRESS(2,COLUMN())),OFFSET($CL$2,0,0,ROW()-1,84),ROW()-1,FALSE))</f>
        <v>19.11206159</v>
      </c>
      <c r="AK24">
        <f ca="1">IF(AND(ISNUMBER($AK$272),$B$252=1),$AK$272,HLOOKUP(INDIRECT(ADDRESS(2,COLUMN())),OFFSET($CL$2,0,0,ROW()-1,84),ROW()-1,FALSE))</f>
        <v>18.35928144</v>
      </c>
      <c r="AL24">
        <f ca="1">IF(AND(ISNUMBER($AL$272),$B$252=1),$AL$272,HLOOKUP(INDIRECT(ADDRESS(2,COLUMN())),OFFSET($CL$2,0,0,ROW()-1,84),ROW()-1,FALSE))</f>
        <v>19.62222998</v>
      </c>
      <c r="AM24">
        <f ca="1">IF(AND(ISNUMBER($AM$272),$B$252=1),$AM$272,HLOOKUP(INDIRECT(ADDRESS(2,COLUMN())),OFFSET($CL$2,0,0,ROW()-1,84),ROW()-1,FALSE))</f>
        <v>18.64035088</v>
      </c>
      <c r="AN24">
        <f ca="1">IF(AND(ISNUMBER($AN$272),$B$252=1),$AN$272,HLOOKUP(INDIRECT(ADDRESS(2,COLUMN())),OFFSET($CL$2,0,0,ROW()-1,84),ROW()-1,FALSE))</f>
        <v>19.662603780000001</v>
      </c>
      <c r="AO24">
        <f ca="1">IF(AND(ISNUMBER($AO$272),$B$252=1),$AO$272,HLOOKUP(INDIRECT(ADDRESS(2,COLUMN())),OFFSET($CL$2,0,0,ROW()-1,84),ROW()-1,FALSE))</f>
        <v>19.87374642</v>
      </c>
      <c r="AP24">
        <f ca="1">IF(AND(ISNUMBER($AP$272),$B$252=1),$AP$272,HLOOKUP(INDIRECT(ADDRESS(2,COLUMN())),OFFSET($CL$2,0,0,ROW()-1,84),ROW()-1,FALSE))</f>
        <v>20.569025679999999</v>
      </c>
      <c r="AQ24">
        <f ca="1">IF(AND(ISNUMBER($AQ$272),$B$252=1),$AQ$272,HLOOKUP(INDIRECT(ADDRESS(2,COLUMN())),OFFSET($CL$2,0,0,ROW()-1,84),ROW()-1,FALSE))</f>
        <v>20.31324201</v>
      </c>
      <c r="AR24" t="str">
        <f ca="1">IF(AND(ISNUMBER($AR$272),$B$252=1),$AR$272,HLOOKUP(INDIRECT(ADDRESS(2,COLUMN())),OFFSET($CL$2,0,0,ROW()-1,84),ROW()-1,FALSE))</f>
        <v/>
      </c>
      <c r="AS24" t="str">
        <f ca="1">IF(AND(ISNUMBER($AS$272),$B$252=1),$AS$272,HLOOKUP(INDIRECT(ADDRESS(2,COLUMN())),OFFSET($CL$2,0,0,ROW()-1,84),ROW()-1,FALSE))</f>
        <v/>
      </c>
      <c r="AT24" t="str">
        <f ca="1">IF(AND(ISNUMBER($AT$272),$B$252=1),$AT$272,HLOOKUP(INDIRECT(ADDRESS(2,COLUMN())),OFFSET($CL$2,0,0,ROW()-1,84),ROW()-1,FALSE))</f>
        <v/>
      </c>
      <c r="AU24" t="str">
        <f ca="1">IF(AND(ISNUMBER($AU$272),$B$252=1),$AU$272,HLOOKUP(INDIRECT(ADDRESS(2,COLUMN())),OFFSET($CL$2,0,0,ROW()-1,84),ROW()-1,FALSE))</f>
        <v/>
      </c>
      <c r="AV24" t="str">
        <f ca="1">IF(AND(ISNUMBER($AV$272),$B$252=1),$AV$272,HLOOKUP(INDIRECT(ADDRESS(2,COLUMN())),OFFSET($CL$2,0,0,ROW()-1,84),ROW()-1,FALSE))</f>
        <v/>
      </c>
      <c r="AW24" t="str">
        <f ca="1">IF(AND(ISNUMBER($AW$272),$B$252=1),$AW$272,HLOOKUP(INDIRECT(ADDRESS(2,COLUMN())),OFFSET($CL$2,0,0,ROW()-1,84),ROW()-1,FALSE))</f>
        <v/>
      </c>
      <c r="AX24" t="str">
        <f ca="1">IF(AND(ISNUMBER($AX$272),$B$252=1),$AX$272,HLOOKUP(INDIRECT(ADDRESS(2,COLUMN())),OFFSET($CL$2,0,0,ROW()-1,84),ROW()-1,FALSE))</f>
        <v/>
      </c>
      <c r="AY24" t="str">
        <f ca="1">IF(AND(ISNUMBER($AY$272),$B$252=1),$AY$272,HLOOKUP(INDIRECT(ADDRESS(2,COLUMN())),OFFSET($CL$2,0,0,ROW()-1,84),ROW()-1,FALSE))</f>
        <v/>
      </c>
      <c r="AZ24" t="str">
        <f ca="1">IF(AND(ISNUMBER($AZ$272),$B$252=1),$AZ$272,HLOOKUP(INDIRECT(ADDRESS(2,COLUMN())),OFFSET($CL$2,0,0,ROW()-1,84),ROW()-1,FALSE))</f>
        <v/>
      </c>
      <c r="BA24" t="str">
        <f ca="1">IF(AND(ISNUMBER($BA$272),$B$252=1),$BA$272,HLOOKUP(INDIRECT(ADDRESS(2,COLUMN())),OFFSET($CL$2,0,0,ROW()-1,84),ROW()-1,FALSE))</f>
        <v/>
      </c>
      <c r="BB24" t="str">
        <f ca="1">IF(AND(ISNUMBER($BB$272),$B$252=1),$BB$272,HLOOKUP(INDIRECT(ADDRESS(2,COLUMN())),OFFSET($CL$2,0,0,ROW()-1,84),ROW()-1,FALSE))</f>
        <v/>
      </c>
      <c r="BC24" t="str">
        <f ca="1">IF(AND(ISNUMBER($BC$272),$B$252=1),$BC$272,HLOOKUP(INDIRECT(ADDRESS(2,COLUMN())),OFFSET($CL$2,0,0,ROW()-1,84),ROW()-1,FALSE))</f>
        <v/>
      </c>
      <c r="BD24" t="str">
        <f ca="1">IF(AND(ISNUMBER($BD$272),$B$252=1),$BD$272,HLOOKUP(INDIRECT(ADDRESS(2,COLUMN())),OFFSET($CL$2,0,0,ROW()-1,84),ROW()-1,FALSE))</f>
        <v/>
      </c>
      <c r="BE24" t="str">
        <f ca="1">IF(AND(ISNUMBER($BE$272),$B$252=1),$BE$272,HLOOKUP(INDIRECT(ADDRESS(2,COLUMN())),OFFSET($CL$2,0,0,ROW()-1,84),ROW()-1,FALSE))</f>
        <v/>
      </c>
      <c r="BF24" t="str">
        <f ca="1">IF(AND(ISNUMBER($BF$272),$B$252=1),$BF$272,HLOOKUP(INDIRECT(ADDRESS(2,COLUMN())),OFFSET($CL$2,0,0,ROW()-1,84),ROW()-1,FALSE))</f>
        <v/>
      </c>
      <c r="BG24" t="str">
        <f ca="1">IF(AND(ISNUMBER($BG$272),$B$252=1),$BG$272,HLOOKUP(INDIRECT(ADDRESS(2,COLUMN())),OFFSET($CL$2,0,0,ROW()-1,84),ROW()-1,FALSE))</f>
        <v/>
      </c>
      <c r="BH24" t="str">
        <f ca="1">IF(AND(ISNUMBER($BH$272),$B$252=1),$BH$272,HLOOKUP(INDIRECT(ADDRESS(2,COLUMN())),OFFSET($CL$2,0,0,ROW()-1,84),ROW()-1,FALSE))</f>
        <v/>
      </c>
      <c r="BI24" t="str">
        <f ca="1">IF(AND(ISNUMBER($BI$272),$B$252=1),$BI$272,HLOOKUP(INDIRECT(ADDRESS(2,COLUMN())),OFFSET($CL$2,0,0,ROW()-1,84),ROW()-1,FALSE))</f>
        <v/>
      </c>
      <c r="BJ24" t="str">
        <f ca="1">IF(AND(ISNUMBER($BJ$272),$B$252=1),$BJ$272,HLOOKUP(INDIRECT(ADDRESS(2,COLUMN())),OFFSET($CL$2,0,0,ROW()-1,84),ROW()-1,FALSE))</f>
        <v/>
      </c>
      <c r="BK24" t="str">
        <f ca="1">IF(AND(ISNUMBER($BK$272),$B$252=1),$BK$272,HLOOKUP(INDIRECT(ADDRESS(2,COLUMN())),OFFSET($CL$2,0,0,ROW()-1,84),ROW()-1,FALSE))</f>
        <v/>
      </c>
      <c r="BL24" t="str">
        <f ca="1">IF(AND(ISNUMBER($BL$272),$B$252=1),$BL$272,HLOOKUP(INDIRECT(ADDRESS(2,COLUMN())),OFFSET($CL$2,0,0,ROW()-1,84),ROW()-1,FALSE))</f>
        <v/>
      </c>
      <c r="BM24" t="str">
        <f ca="1">IF(AND(ISNUMBER($BM$272),$B$252=1),$BM$272,HLOOKUP(INDIRECT(ADDRESS(2,COLUMN())),OFFSET($CL$2,0,0,ROW()-1,84),ROW()-1,FALSE))</f>
        <v/>
      </c>
      <c r="BN24" t="str">
        <f ca="1">IF(AND(ISNUMBER($BN$272),$B$252=1),$BN$272,HLOOKUP(INDIRECT(ADDRESS(2,COLUMN())),OFFSET($CL$2,0,0,ROW()-1,84),ROW()-1,FALSE))</f>
        <v/>
      </c>
      <c r="BO24" t="str">
        <f ca="1">IF(AND(ISNUMBER($BO$272),$B$252=1),$BO$272,HLOOKUP(INDIRECT(ADDRESS(2,COLUMN())),OFFSET($CL$2,0,0,ROW()-1,84),ROW()-1,FALSE))</f>
        <v/>
      </c>
      <c r="BP24" t="str">
        <f ca="1">IF(AND(ISNUMBER($BP$272),$B$252=1),$BP$272,HLOOKUP(INDIRECT(ADDRESS(2,COLUMN())),OFFSET($CL$2,0,0,ROW()-1,84),ROW()-1,FALSE))</f>
        <v/>
      </c>
      <c r="BQ24" t="str">
        <f ca="1">IF(AND(ISNUMBER($BQ$272),$B$252=1),$BQ$272,HLOOKUP(INDIRECT(ADDRESS(2,COLUMN())),OFFSET($CL$2,0,0,ROW()-1,84),ROW()-1,FALSE))</f>
        <v/>
      </c>
      <c r="BR24" t="str">
        <f ca="1">IF(AND(ISNUMBER($BR$272),$B$252=1),$BR$272,HLOOKUP(INDIRECT(ADDRESS(2,COLUMN())),OFFSET($CL$2,0,0,ROW()-1,84),ROW()-1,FALSE))</f>
        <v/>
      </c>
      <c r="BS24" t="str">
        <f ca="1">IF(AND(ISNUMBER($BS$272),$B$252=1),$BS$272,HLOOKUP(INDIRECT(ADDRESS(2,COLUMN())),OFFSET($CL$2,0,0,ROW()-1,84),ROW()-1,FALSE))</f>
        <v/>
      </c>
      <c r="BT24" t="str">
        <f ca="1">IF(AND(ISNUMBER($BT$272),$B$252=1),$BT$272,HLOOKUP(INDIRECT(ADDRESS(2,COLUMN())),OFFSET($CL$2,0,0,ROW()-1,84),ROW()-1,FALSE))</f>
        <v/>
      </c>
      <c r="BU24" t="str">
        <f ca="1">IF(AND(ISNUMBER($BU$272),$B$252=1),$BU$272,HLOOKUP(INDIRECT(ADDRESS(2,COLUMN())),OFFSET($CL$2,0,0,ROW()-1,84),ROW()-1,FALSE))</f>
        <v/>
      </c>
      <c r="BV24" t="str">
        <f ca="1">IF(AND(ISNUMBER($BV$272),$B$252=1),$BV$272,HLOOKUP(INDIRECT(ADDRESS(2,COLUMN())),OFFSET($CL$2,0,0,ROW()-1,84),ROW()-1,FALSE))</f>
        <v/>
      </c>
      <c r="BW24" t="str">
        <f ca="1">IF(AND(ISNUMBER($BW$272),$B$252=1),$BW$272,HLOOKUP(INDIRECT(ADDRESS(2,COLUMN())),OFFSET($CL$2,0,0,ROW()-1,84),ROW()-1,FALSE))</f>
        <v/>
      </c>
      <c r="BX24" t="str">
        <f ca="1">IF(AND(ISNUMBER($BX$272),$B$252=1),$BX$272,HLOOKUP(INDIRECT(ADDRESS(2,COLUMN())),OFFSET($CL$2,0,0,ROW()-1,84),ROW()-1,FALSE))</f>
        <v/>
      </c>
      <c r="BY24" t="str">
        <f ca="1">IF(AND(ISNUMBER($BY$272),$B$252=1),$BY$272,HLOOKUP(INDIRECT(ADDRESS(2,COLUMN())),OFFSET($CL$2,0,0,ROW()-1,84),ROW()-1,FALSE))</f>
        <v/>
      </c>
      <c r="BZ24" t="str">
        <f ca="1">IF(AND(ISNUMBER($BZ$272),$B$252=1),$BZ$272,HLOOKUP(INDIRECT(ADDRESS(2,COLUMN())),OFFSET($CL$2,0,0,ROW()-1,84),ROW()-1,FALSE))</f>
        <v/>
      </c>
      <c r="CA24" t="str">
        <f ca="1">IF(AND(ISNUMBER($CA$272),$B$252=1),$CA$272,HLOOKUP(INDIRECT(ADDRESS(2,COLUMN())),OFFSET($CL$2,0,0,ROW()-1,84),ROW()-1,FALSE))</f>
        <v/>
      </c>
      <c r="CB24" t="str">
        <f ca="1">IF(AND(ISNUMBER($CB$272),$B$252=1),$CB$272,HLOOKUP(INDIRECT(ADDRESS(2,COLUMN())),OFFSET($CL$2,0,0,ROW()-1,84),ROW()-1,FALSE))</f>
        <v/>
      </c>
      <c r="CC24" t="str">
        <f ca="1">IF(AND(ISNUMBER($CC$272),$B$252=1),$CC$272,HLOOKUP(INDIRECT(ADDRESS(2,COLUMN())),OFFSET($CL$2,0,0,ROW()-1,84),ROW()-1,FALSE))</f>
        <v/>
      </c>
      <c r="CD24" t="str">
        <f ca="1">IF(AND(ISNUMBER($CD$272),$B$252=1),$CD$272,HLOOKUP(INDIRECT(ADDRESS(2,COLUMN())),OFFSET($CL$2,0,0,ROW()-1,84),ROW()-1,FALSE))</f>
        <v/>
      </c>
      <c r="CE24" t="str">
        <f ca="1">IF(AND(ISNUMBER($CE$272),$B$252=1),$CE$272,HLOOKUP(INDIRECT(ADDRESS(2,COLUMN())),OFFSET($CL$2,0,0,ROW()-1,84),ROW()-1,FALSE))</f>
        <v/>
      </c>
      <c r="CF24" t="str">
        <f ca="1">IF(AND(ISNUMBER($CF$272),$B$252=1),$CF$272,HLOOKUP(INDIRECT(ADDRESS(2,COLUMN())),OFFSET($CL$2,0,0,ROW()-1,84),ROW()-1,FALSE))</f>
        <v/>
      </c>
      <c r="CG24" t="str">
        <f ca="1">IF(AND(ISNUMBER($CG$272),$B$252=1),$CG$272,HLOOKUP(INDIRECT(ADDRESS(2,COLUMN())),OFFSET($CL$2,0,0,ROW()-1,84),ROW()-1,FALSE))</f>
        <v/>
      </c>
      <c r="CH24" t="str">
        <f ca="1">IF(AND(ISNUMBER($CH$272),$B$252=1),$CH$272,HLOOKUP(INDIRECT(ADDRESS(2,COLUMN())),OFFSET($CL$2,0,0,ROW()-1,84),ROW()-1,FALSE))</f>
        <v/>
      </c>
      <c r="CI24" t="str">
        <f ca="1">IF(AND(ISNUMBER($CI$272),$B$252=1),$CI$272,HLOOKUP(INDIRECT(ADDRESS(2,COLUMN())),OFFSET($CL$2,0,0,ROW()-1,84),ROW()-1,FALSE))</f>
        <v/>
      </c>
      <c r="CJ24" t="str">
        <f ca="1">IF(AND(ISNUMBER($CJ$272),$B$252=1),$CJ$272,HLOOKUP(INDIRECT(ADDRESS(2,COLUMN())),OFFSET($CL$2,0,0,ROW()-1,84),ROW()-1,FALSE))</f>
        <v/>
      </c>
      <c r="CK24" t="str">
        <f ca="1">IF(AND(ISNUMBER($CK$272),$B$252=1),$CK$272,HLOOKUP(INDIRECT(ADDRESS(2,COLUMN())),OFFSET($CL$2,0,0,ROW()-1,84),ROW()-1,FALSE))</f>
        <v/>
      </c>
      <c r="CL24">
        <f>20.01765919</f>
        <v>20.01765919</v>
      </c>
      <c r="CM24">
        <f>18.82189707</f>
        <v>18.821897069999999</v>
      </c>
      <c r="CN24">
        <f>19.5913219</f>
        <v>19.591321900000001</v>
      </c>
      <c r="CO24">
        <f>20.29683821</f>
        <v>20.296838210000001</v>
      </c>
      <c r="CP24">
        <f>20.78340626</f>
        <v>20.78340626</v>
      </c>
      <c r="CQ24">
        <f>22.09936842</f>
        <v>22.099368420000001</v>
      </c>
      <c r="CR24">
        <f>21.3847967</f>
        <v>21.384796699999999</v>
      </c>
      <c r="CS24">
        <f>22.41824005</f>
        <v>22.418240050000001</v>
      </c>
      <c r="CT24">
        <f>22.11051031</f>
        <v>22.110510309999999</v>
      </c>
      <c r="CU24">
        <f>21.78961633</f>
        <v>21.789616330000001</v>
      </c>
      <c r="CV24">
        <f>21.78580514</f>
        <v>21.785805140000001</v>
      </c>
      <c r="CW24">
        <f>20.8752455</f>
        <v>20.875245499999998</v>
      </c>
      <c r="CX24">
        <f>19.74837939</f>
        <v>19.74837939</v>
      </c>
      <c r="CY24">
        <f>20.02559727</f>
        <v>20.025597269999999</v>
      </c>
      <c r="CZ24">
        <f>19.0682649</f>
        <v>19.068264899999999</v>
      </c>
      <c r="DA24">
        <f>19.75193272</f>
        <v>19.751932719999999</v>
      </c>
      <c r="DB24">
        <f>18.28745659</f>
        <v>18.287456590000001</v>
      </c>
      <c r="DC24">
        <f>18.16477176</f>
        <v>18.164771760000001</v>
      </c>
      <c r="DD24">
        <f>18.84892086</f>
        <v>18.84892086</v>
      </c>
      <c r="DE24">
        <f>19.21807565</f>
        <v>19.218075649999999</v>
      </c>
      <c r="DF24">
        <f>19.79685119</f>
        <v>19.796851190000002</v>
      </c>
      <c r="DG24">
        <f>19.27575425</f>
        <v>19.275754249999999</v>
      </c>
      <c r="DH24">
        <f>19.15612881</f>
        <v>19.156128809999998</v>
      </c>
      <c r="DI24">
        <f>18.49567917</f>
        <v>18.495679169999999</v>
      </c>
      <c r="DJ24">
        <f>19.60596915</f>
        <v>19.60596915</v>
      </c>
      <c r="DK24">
        <f>17.6146789</f>
        <v>17.614678900000001</v>
      </c>
      <c r="DL24">
        <f>18.00219632</f>
        <v>18.002196319999999</v>
      </c>
      <c r="DM24">
        <f>20.11172715</f>
        <v>20.11172715</v>
      </c>
      <c r="DN24">
        <f>19.42349773</f>
        <v>19.423497730000001</v>
      </c>
      <c r="DO24">
        <f>18.73374692</f>
        <v>18.733746920000002</v>
      </c>
      <c r="DP24">
        <f>19.11206159</f>
        <v>19.11206159</v>
      </c>
      <c r="DQ24">
        <f>18.35928144</f>
        <v>18.35928144</v>
      </c>
      <c r="DR24">
        <f>19.62222998</f>
        <v>19.62222998</v>
      </c>
      <c r="DS24">
        <f>18.64035088</f>
        <v>18.64035088</v>
      </c>
      <c r="DT24">
        <f>19.66260378</f>
        <v>19.662603780000001</v>
      </c>
      <c r="DU24">
        <f>19.87374642</f>
        <v>19.87374642</v>
      </c>
      <c r="DV24">
        <f>20.56902568</f>
        <v>20.569025679999999</v>
      </c>
      <c r="DW24">
        <f>20.31324201</f>
        <v>20.31324201</v>
      </c>
      <c r="DX24" t="str">
        <f>""</f>
        <v/>
      </c>
      <c r="DY24" t="str">
        <f>""</f>
        <v/>
      </c>
      <c r="DZ24" t="str">
        <f>""</f>
        <v/>
      </c>
      <c r="EA24" t="str">
        <f>""</f>
        <v/>
      </c>
      <c r="EB24" t="str">
        <f>""</f>
        <v/>
      </c>
      <c r="EC24" t="str">
        <f>""</f>
        <v/>
      </c>
      <c r="ED24" t="str">
        <f>""</f>
        <v/>
      </c>
      <c r="EE24" t="str">
        <f>""</f>
        <v/>
      </c>
      <c r="EF24" t="str">
        <f>""</f>
        <v/>
      </c>
      <c r="EG24" t="str">
        <f>""</f>
        <v/>
      </c>
      <c r="EH24" t="str">
        <f>""</f>
        <v/>
      </c>
      <c r="EI24" t="str">
        <f>""</f>
        <v/>
      </c>
      <c r="EJ24" t="str">
        <f>""</f>
        <v/>
      </c>
      <c r="EK24" t="str">
        <f>""</f>
        <v/>
      </c>
      <c r="EL24" t="str">
        <f>""</f>
        <v/>
      </c>
      <c r="EM24" t="str">
        <f>""</f>
        <v/>
      </c>
      <c r="EN24" t="str">
        <f>""</f>
        <v/>
      </c>
      <c r="EO24" t="str">
        <f>""</f>
        <v/>
      </c>
      <c r="EP24" t="str">
        <f>""</f>
        <v/>
      </c>
      <c r="EQ24" t="str">
        <f>""</f>
        <v/>
      </c>
      <c r="ER24" t="str">
        <f>""</f>
        <v/>
      </c>
      <c r="ES24" t="str">
        <f>""</f>
        <v/>
      </c>
      <c r="ET24" t="str">
        <f>""</f>
        <v/>
      </c>
      <c r="EU24" t="str">
        <f>""</f>
        <v/>
      </c>
      <c r="EV24" t="str">
        <f>""</f>
        <v/>
      </c>
      <c r="EW24" t="str">
        <f>""</f>
        <v/>
      </c>
      <c r="EX24" t="str">
        <f>""</f>
        <v/>
      </c>
      <c r="EY24" t="str">
        <f>""</f>
        <v/>
      </c>
      <c r="EZ24" t="str">
        <f>""</f>
        <v/>
      </c>
      <c r="FA24" t="str">
        <f>""</f>
        <v/>
      </c>
      <c r="FB24" t="str">
        <f>""</f>
        <v/>
      </c>
      <c r="FC24" t="str">
        <f>""</f>
        <v/>
      </c>
      <c r="FD24" t="str">
        <f>""</f>
        <v/>
      </c>
      <c r="FE24" t="str">
        <f>""</f>
        <v/>
      </c>
      <c r="FF24" t="str">
        <f>""</f>
        <v/>
      </c>
      <c r="FG24" t="str">
        <f>""</f>
        <v/>
      </c>
      <c r="FH24" t="str">
        <f>""</f>
        <v/>
      </c>
      <c r="FI24" t="str">
        <f>""</f>
        <v/>
      </c>
      <c r="FJ24" t="str">
        <f>""</f>
        <v/>
      </c>
      <c r="FK24" t="str">
        <f>""</f>
        <v/>
      </c>
      <c r="FL24" t="str">
        <f>""</f>
        <v/>
      </c>
      <c r="FM24" t="str">
        <f>""</f>
        <v/>
      </c>
      <c r="FN24" t="str">
        <f>""</f>
        <v/>
      </c>
      <c r="FO24" t="str">
        <f>""</f>
        <v/>
      </c>
      <c r="FP24" t="str">
        <f>""</f>
        <v/>
      </c>
      <c r="FQ24" t="str">
        <f>""</f>
        <v/>
      </c>
    </row>
    <row r="25" spans="1:173">
      <c r="A25" t="str">
        <f>"    Mid-America Apartment Communities股份有限公司"</f>
        <v xml:space="preserve">    Mid-America Apartment Communities股份有限公司</v>
      </c>
      <c r="B25" t="str">
        <f>"MAA US Equity"</f>
        <v>MAA US Equity</v>
      </c>
      <c r="C25" t="str">
        <f t="shared" si="6"/>
        <v>BE249</v>
      </c>
      <c r="D25" t="str">
        <f t="shared" si="7"/>
        <v>BEST_PRICE_FFO_RATIO</v>
      </c>
      <c r="E25" t="str">
        <f t="shared" si="8"/>
        <v>动态</v>
      </c>
      <c r="F25">
        <f ca="1">IF(AND(ISNUMBER($F$273),$B$252=1),$F$273,HLOOKUP(INDIRECT(ADDRESS(2,COLUMN())),OFFSET($CL$2,0,0,ROW()-1,84),ROW()-1,FALSE))</f>
        <v>15.149001220000001</v>
      </c>
      <c r="G25">
        <f ca="1">IF(AND(ISNUMBER($G$273),$B$252=1),$G$273,HLOOKUP(INDIRECT(ADDRESS(2,COLUMN())),OFFSET($CL$2,0,0,ROW()-1,84),ROW()-1,FALSE))</f>
        <v>14.53098544</v>
      </c>
      <c r="H25">
        <f ca="1">IF(AND(ISNUMBER($H$273),$B$252=1),$H$273,HLOOKUP(INDIRECT(ADDRESS(2,COLUMN())),OFFSET($CL$2,0,0,ROW()-1,84),ROW()-1,FALSE))</f>
        <v>16.1479851</v>
      </c>
      <c r="I25">
        <f ca="1">IF(AND(ISNUMBER($I$273),$B$252=1),$I$273,HLOOKUP(INDIRECT(ADDRESS(2,COLUMN())),OFFSET($CL$2,0,0,ROW()-1,84),ROW()-1,FALSE))</f>
        <v>16.9979716</v>
      </c>
      <c r="J25">
        <f ca="1">IF(AND(ISNUMBER($J$273),$B$252=1),$J$273,HLOOKUP(INDIRECT(ADDRESS(2,COLUMN())),OFFSET($CL$2,0,0,ROW()-1,84),ROW()-1,FALSE))</f>
        <v>17.304054050000001</v>
      </c>
      <c r="K25">
        <f ca="1">IF(AND(ISNUMBER($K$273),$B$252=1),$K$273,HLOOKUP(INDIRECT(ADDRESS(2,COLUMN())),OFFSET($CL$2,0,0,ROW()-1,84),ROW()-1,FALSE))</f>
        <v>17.291772259999998</v>
      </c>
      <c r="L25">
        <f ca="1">IF(AND(ISNUMBER($L$273),$B$252=1),$L$273,HLOOKUP(INDIRECT(ADDRESS(2,COLUMN())),OFFSET($CL$2,0,0,ROW()-1,84),ROW()-1,FALSE))</f>
        <v>18.03881857</v>
      </c>
      <c r="M25">
        <f ca="1">IF(AND(ISNUMBER($M$273),$B$252=1),$M$273,HLOOKUP(INDIRECT(ADDRESS(2,COLUMN())),OFFSET($CL$2,0,0,ROW()-1,84),ROW()-1,FALSE))</f>
        <v>18.007442489999999</v>
      </c>
      <c r="N25">
        <f ca="1">IF(AND(ISNUMBER($N$273),$B$252=1),$N$273,HLOOKUP(INDIRECT(ADDRESS(2,COLUMN())),OFFSET($CL$2,0,0,ROW()-1,84),ROW()-1,FALSE))</f>
        <v>17.56830137</v>
      </c>
      <c r="O25">
        <f ca="1">IF(AND(ISNUMBER($O$273),$B$252=1),$O$273,HLOOKUP(INDIRECT(ADDRESS(2,COLUMN())),OFFSET($CL$2,0,0,ROW()-1,84),ROW()-1,FALSE))</f>
        <v>17.82174869</v>
      </c>
      <c r="P25">
        <f ca="1">IF(AND(ISNUMBER($P$273),$B$252=1),$P$273,HLOOKUP(INDIRECT(ADDRESS(2,COLUMN())),OFFSET($CL$2,0,0,ROW()-1,84),ROW()-1,FALSE))</f>
        <v>17.24289581</v>
      </c>
      <c r="Q25">
        <f ca="1">IF(AND(ISNUMBER($Q$273),$B$252=1),$Q$273,HLOOKUP(INDIRECT(ADDRESS(2,COLUMN())),OFFSET($CL$2,0,0,ROW()-1,84),ROW()-1,FALSE))</f>
        <v>16.85238661</v>
      </c>
      <c r="R25">
        <f ca="1">IF(AND(ISNUMBER($R$273),$B$252=1),$R$273,HLOOKUP(INDIRECT(ADDRESS(2,COLUMN())),OFFSET($CL$2,0,0,ROW()-1,84),ROW()-1,FALSE))</f>
        <v>17.323344120000002</v>
      </c>
      <c r="S25">
        <f ca="1">IF(AND(ISNUMBER($S$273),$B$252=1),$S$273,HLOOKUP(INDIRECT(ADDRESS(2,COLUMN())),OFFSET($CL$2,0,0,ROW()-1,84),ROW()-1,FALSE))</f>
        <v>17.474060210000001</v>
      </c>
      <c r="T25">
        <f ca="1">IF(AND(ISNUMBER($T$273),$B$252=1),$T$273,HLOOKUP(INDIRECT(ADDRESS(2,COLUMN())),OFFSET($CL$2,0,0,ROW()-1,84),ROW()-1,FALSE))</f>
        <v>15.98215789</v>
      </c>
      <c r="U25">
        <f ca="1">IF(AND(ISNUMBER($U$273),$B$252=1),$U$273,HLOOKUP(INDIRECT(ADDRESS(2,COLUMN())),OFFSET($CL$2,0,0,ROW()-1,84),ROW()-1,FALSE))</f>
        <v>16.43504532</v>
      </c>
      <c r="V25">
        <f ca="1">IF(AND(ISNUMBER($V$273),$B$252=1),$V$273,HLOOKUP(INDIRECT(ADDRESS(2,COLUMN())),OFFSET($CL$2,0,0,ROW()-1,84),ROW()-1,FALSE))</f>
        <v>14.865347180000001</v>
      </c>
      <c r="W25">
        <f ca="1">IF(AND(ISNUMBER($W$273),$B$252=1),$W$273,HLOOKUP(INDIRECT(ADDRESS(2,COLUMN())),OFFSET($CL$2,0,0,ROW()-1,84),ROW()-1,FALSE))</f>
        <v>15.08130081</v>
      </c>
      <c r="X25">
        <f ca="1">IF(AND(ISNUMBER($X$273),$B$252=1),$X$273,HLOOKUP(INDIRECT(ADDRESS(2,COLUMN())),OFFSET($CL$2,0,0,ROW()-1,84),ROW()-1,FALSE))</f>
        <v>15.201358559999999</v>
      </c>
      <c r="Y25">
        <f ca="1">IF(AND(ISNUMBER($Y$273),$B$252=1),$Y$273,HLOOKUP(INDIRECT(ADDRESS(2,COLUMN())),OFFSET($CL$2,0,0,ROW()-1,84),ROW()-1,FALSE))</f>
        <v>15.27795839</v>
      </c>
      <c r="Z25">
        <f ca="1">IF(AND(ISNUMBER($Z$273),$B$252=1),$Z$273,HLOOKUP(INDIRECT(ADDRESS(2,COLUMN())),OFFSET($CL$2,0,0,ROW()-1,84),ROW()-1,FALSE))</f>
        <v>16.866051540000001</v>
      </c>
      <c r="AA25">
        <f ca="1">IF(AND(ISNUMBER($AA$273),$B$252=1),$AA$273,HLOOKUP(INDIRECT(ADDRESS(2,COLUMN())),OFFSET($CL$2,0,0,ROW()-1,84),ROW()-1,FALSE))</f>
        <v>16.939977710000001</v>
      </c>
      <c r="AB25">
        <f ca="1">IF(AND(ISNUMBER($AB$273),$B$252=1),$AB$273,HLOOKUP(INDIRECT(ADDRESS(2,COLUMN())),OFFSET($CL$2,0,0,ROW()-1,84),ROW()-1,FALSE))</f>
        <v>16.415365000000001</v>
      </c>
      <c r="AC25">
        <f ca="1">IF(AND(ISNUMBER($AC$273),$B$252=1),$AC$273,HLOOKUP(INDIRECT(ADDRESS(2,COLUMN())),OFFSET($CL$2,0,0,ROW()-1,84),ROW()-1,FALSE))</f>
        <v>15.28425423</v>
      </c>
      <c r="AD25">
        <f ca="1">IF(AND(ISNUMBER($AD$273),$B$252=1),$AD$273,HLOOKUP(INDIRECT(ADDRESS(2,COLUMN())),OFFSET($CL$2,0,0,ROW()-1,84),ROW()-1,FALSE))</f>
        <v>16.2341169</v>
      </c>
      <c r="AE25">
        <f ca="1">IF(AND(ISNUMBER($AE$273),$B$252=1),$AE$273,HLOOKUP(INDIRECT(ADDRESS(2,COLUMN())),OFFSET($CL$2,0,0,ROW()-1,84),ROW()-1,FALSE))</f>
        <v>14.29434202</v>
      </c>
      <c r="AF25">
        <f ca="1">IF(AND(ISNUMBER($AF$273),$B$252=1),$AF$273,HLOOKUP(INDIRECT(ADDRESS(2,COLUMN())),OFFSET($CL$2,0,0,ROW()-1,84),ROW()-1,FALSE))</f>
        <v>15.124939550000001</v>
      </c>
      <c r="AG25">
        <f ca="1">IF(AND(ISNUMBER($AG$273),$B$252=1),$AG$273,HLOOKUP(INDIRECT(ADDRESS(2,COLUMN())),OFFSET($CL$2,0,0,ROW()-1,84),ROW()-1,FALSE))</f>
        <v>14.501756629999999</v>
      </c>
      <c r="AH25">
        <f ca="1">IF(AND(ISNUMBER($AH$273),$B$252=1),$AH$273,HLOOKUP(INDIRECT(ADDRESS(2,COLUMN())),OFFSET($CL$2,0,0,ROW()-1,84),ROW()-1,FALSE))</f>
        <v>14.10415671</v>
      </c>
      <c r="AI25">
        <f ca="1">IF(AND(ISNUMBER($AI$273),$B$252=1),$AI$273,HLOOKUP(INDIRECT(ADDRESS(2,COLUMN())),OFFSET($CL$2,0,0,ROW()-1,84),ROW()-1,FALSE))</f>
        <v>13.599936140000001</v>
      </c>
      <c r="AJ25">
        <f ca="1">IF(AND(ISNUMBER($AJ$273),$B$252=1),$AJ$273,HLOOKUP(INDIRECT(ADDRESS(2,COLUMN())),OFFSET($CL$2,0,0,ROW()-1,84),ROW()-1,FALSE))</f>
        <v>13.436730669999999</v>
      </c>
      <c r="AK25">
        <f ca="1">IF(AND(ISNUMBER($AK$273),$B$252=1),$AK$273,HLOOKUP(INDIRECT(ADDRESS(2,COLUMN())),OFFSET($CL$2,0,0,ROW()-1,84),ROW()-1,FALSE))</f>
        <v>12.898408010000001</v>
      </c>
      <c r="AL25">
        <f ca="1">IF(AND(ISNUMBER($AL$273),$B$252=1),$AL$273,HLOOKUP(INDIRECT(ADDRESS(2,COLUMN())),OFFSET($CL$2,0,0,ROW()-1,84),ROW()-1,FALSE))</f>
        <v>13.0528026</v>
      </c>
      <c r="AM25">
        <f ca="1">IF(AND(ISNUMBER($AM$273),$B$252=1),$AM$273,HLOOKUP(INDIRECT(ADDRESS(2,COLUMN())),OFFSET($CL$2,0,0,ROW()-1,84),ROW()-1,FALSE))</f>
        <v>11.7815534</v>
      </c>
      <c r="AN25">
        <f ca="1">IF(AND(ISNUMBER($AN$273),$B$252=1),$AN$273,HLOOKUP(INDIRECT(ADDRESS(2,COLUMN())),OFFSET($CL$2,0,0,ROW()-1,84),ROW()-1,FALSE))</f>
        <v>12.574485599999999</v>
      </c>
      <c r="AO25">
        <f ca="1">IF(AND(ISNUMBER($AO$273),$B$252=1),$AO$273,HLOOKUP(INDIRECT(ADDRESS(2,COLUMN())),OFFSET($CL$2,0,0,ROW()-1,84),ROW()-1,FALSE))</f>
        <v>13.02094241</v>
      </c>
      <c r="AP25" t="str">
        <f ca="1">IF(AND(ISNUMBER($AP$273),$B$252=1),$AP$273,HLOOKUP(INDIRECT(ADDRESS(2,COLUMN())),OFFSET($CL$2,0,0,ROW()-1,84),ROW()-1,FALSE))</f>
        <v/>
      </c>
      <c r="AQ25" t="str">
        <f ca="1">IF(AND(ISNUMBER($AQ$273),$B$252=1),$AQ$273,HLOOKUP(INDIRECT(ADDRESS(2,COLUMN())),OFFSET($CL$2,0,0,ROW()-1,84),ROW()-1,FALSE))</f>
        <v/>
      </c>
      <c r="AR25" t="str">
        <f ca="1">IF(AND(ISNUMBER($AR$273),$B$252=1),$AR$273,HLOOKUP(INDIRECT(ADDRESS(2,COLUMN())),OFFSET($CL$2,0,0,ROW()-1,84),ROW()-1,FALSE))</f>
        <v/>
      </c>
      <c r="AS25" t="str">
        <f ca="1">IF(AND(ISNUMBER($AS$273),$B$252=1),$AS$273,HLOOKUP(INDIRECT(ADDRESS(2,COLUMN())),OFFSET($CL$2,0,0,ROW()-1,84),ROW()-1,FALSE))</f>
        <v/>
      </c>
      <c r="AT25" t="str">
        <f ca="1">IF(AND(ISNUMBER($AT$273),$B$252=1),$AT$273,HLOOKUP(INDIRECT(ADDRESS(2,COLUMN())),OFFSET($CL$2,0,0,ROW()-1,84),ROW()-1,FALSE))</f>
        <v/>
      </c>
      <c r="AU25" t="str">
        <f ca="1">IF(AND(ISNUMBER($AU$273),$B$252=1),$AU$273,HLOOKUP(INDIRECT(ADDRESS(2,COLUMN())),OFFSET($CL$2,0,0,ROW()-1,84),ROW()-1,FALSE))</f>
        <v/>
      </c>
      <c r="AV25" t="str">
        <f ca="1">IF(AND(ISNUMBER($AV$273),$B$252=1),$AV$273,HLOOKUP(INDIRECT(ADDRESS(2,COLUMN())),OFFSET($CL$2,0,0,ROW()-1,84),ROW()-1,FALSE))</f>
        <v/>
      </c>
      <c r="AW25" t="str">
        <f ca="1">IF(AND(ISNUMBER($AW$273),$B$252=1),$AW$273,HLOOKUP(INDIRECT(ADDRESS(2,COLUMN())),OFFSET($CL$2,0,0,ROW()-1,84),ROW()-1,FALSE))</f>
        <v/>
      </c>
      <c r="AX25" t="str">
        <f ca="1">IF(AND(ISNUMBER($AX$273),$B$252=1),$AX$273,HLOOKUP(INDIRECT(ADDRESS(2,COLUMN())),OFFSET($CL$2,0,0,ROW()-1,84),ROW()-1,FALSE))</f>
        <v/>
      </c>
      <c r="AY25" t="str">
        <f ca="1">IF(AND(ISNUMBER($AY$273),$B$252=1),$AY$273,HLOOKUP(INDIRECT(ADDRESS(2,COLUMN())),OFFSET($CL$2,0,0,ROW()-1,84),ROW()-1,FALSE))</f>
        <v/>
      </c>
      <c r="AZ25" t="str">
        <f ca="1">IF(AND(ISNUMBER($AZ$273),$B$252=1),$AZ$273,HLOOKUP(INDIRECT(ADDRESS(2,COLUMN())),OFFSET($CL$2,0,0,ROW()-1,84),ROW()-1,FALSE))</f>
        <v/>
      </c>
      <c r="BA25" t="str">
        <f ca="1">IF(AND(ISNUMBER($BA$273),$B$252=1),$BA$273,HLOOKUP(INDIRECT(ADDRESS(2,COLUMN())),OFFSET($CL$2,0,0,ROW()-1,84),ROW()-1,FALSE))</f>
        <v/>
      </c>
      <c r="BB25" t="str">
        <f ca="1">IF(AND(ISNUMBER($BB$273),$B$252=1),$BB$273,HLOOKUP(INDIRECT(ADDRESS(2,COLUMN())),OFFSET($CL$2,0,0,ROW()-1,84),ROW()-1,FALSE))</f>
        <v/>
      </c>
      <c r="BC25" t="str">
        <f ca="1">IF(AND(ISNUMBER($BC$273),$B$252=1),$BC$273,HLOOKUP(INDIRECT(ADDRESS(2,COLUMN())),OFFSET($CL$2,0,0,ROW()-1,84),ROW()-1,FALSE))</f>
        <v/>
      </c>
      <c r="BD25" t="str">
        <f ca="1">IF(AND(ISNUMBER($BD$273),$B$252=1),$BD$273,HLOOKUP(INDIRECT(ADDRESS(2,COLUMN())),OFFSET($CL$2,0,0,ROW()-1,84),ROW()-1,FALSE))</f>
        <v/>
      </c>
      <c r="BE25" t="str">
        <f ca="1">IF(AND(ISNUMBER($BE$273),$B$252=1),$BE$273,HLOOKUP(INDIRECT(ADDRESS(2,COLUMN())),OFFSET($CL$2,0,0,ROW()-1,84),ROW()-1,FALSE))</f>
        <v/>
      </c>
      <c r="BF25" t="str">
        <f ca="1">IF(AND(ISNUMBER($BF$273),$B$252=1),$BF$273,HLOOKUP(INDIRECT(ADDRESS(2,COLUMN())),OFFSET($CL$2,0,0,ROW()-1,84),ROW()-1,FALSE))</f>
        <v/>
      </c>
      <c r="BG25" t="str">
        <f ca="1">IF(AND(ISNUMBER($BG$273),$B$252=1),$BG$273,HLOOKUP(INDIRECT(ADDRESS(2,COLUMN())),OFFSET($CL$2,0,0,ROW()-1,84),ROW()-1,FALSE))</f>
        <v/>
      </c>
      <c r="BH25" t="str">
        <f ca="1">IF(AND(ISNUMBER($BH$273),$B$252=1),$BH$273,HLOOKUP(INDIRECT(ADDRESS(2,COLUMN())),OFFSET($CL$2,0,0,ROW()-1,84),ROW()-1,FALSE))</f>
        <v/>
      </c>
      <c r="BI25" t="str">
        <f ca="1">IF(AND(ISNUMBER($BI$273),$B$252=1),$BI$273,HLOOKUP(INDIRECT(ADDRESS(2,COLUMN())),OFFSET($CL$2,0,0,ROW()-1,84),ROW()-1,FALSE))</f>
        <v/>
      </c>
      <c r="BJ25" t="str">
        <f ca="1">IF(AND(ISNUMBER($BJ$273),$B$252=1),$BJ$273,HLOOKUP(INDIRECT(ADDRESS(2,COLUMN())),OFFSET($CL$2,0,0,ROW()-1,84),ROW()-1,FALSE))</f>
        <v/>
      </c>
      <c r="BK25" t="str">
        <f ca="1">IF(AND(ISNUMBER($BK$273),$B$252=1),$BK$273,HLOOKUP(INDIRECT(ADDRESS(2,COLUMN())),OFFSET($CL$2,0,0,ROW()-1,84),ROW()-1,FALSE))</f>
        <v/>
      </c>
      <c r="BL25" t="str">
        <f ca="1">IF(AND(ISNUMBER($BL$273),$B$252=1),$BL$273,HLOOKUP(INDIRECT(ADDRESS(2,COLUMN())),OFFSET($CL$2,0,0,ROW()-1,84),ROW()-1,FALSE))</f>
        <v/>
      </c>
      <c r="BM25" t="str">
        <f ca="1">IF(AND(ISNUMBER($BM$273),$B$252=1),$BM$273,HLOOKUP(INDIRECT(ADDRESS(2,COLUMN())),OFFSET($CL$2,0,0,ROW()-1,84),ROW()-1,FALSE))</f>
        <v/>
      </c>
      <c r="BN25" t="str">
        <f ca="1">IF(AND(ISNUMBER($BN$273),$B$252=1),$BN$273,HLOOKUP(INDIRECT(ADDRESS(2,COLUMN())),OFFSET($CL$2,0,0,ROW()-1,84),ROW()-1,FALSE))</f>
        <v/>
      </c>
      <c r="BO25" t="str">
        <f ca="1">IF(AND(ISNUMBER($BO$273),$B$252=1),$BO$273,HLOOKUP(INDIRECT(ADDRESS(2,COLUMN())),OFFSET($CL$2,0,0,ROW()-1,84),ROW()-1,FALSE))</f>
        <v/>
      </c>
      <c r="BP25" t="str">
        <f ca="1">IF(AND(ISNUMBER($BP$273),$B$252=1),$BP$273,HLOOKUP(INDIRECT(ADDRESS(2,COLUMN())),OFFSET($CL$2,0,0,ROW()-1,84),ROW()-1,FALSE))</f>
        <v/>
      </c>
      <c r="BQ25" t="str">
        <f ca="1">IF(AND(ISNUMBER($BQ$273),$B$252=1),$BQ$273,HLOOKUP(INDIRECT(ADDRESS(2,COLUMN())),OFFSET($CL$2,0,0,ROW()-1,84),ROW()-1,FALSE))</f>
        <v/>
      </c>
      <c r="BR25" t="str">
        <f ca="1">IF(AND(ISNUMBER($BR$273),$B$252=1),$BR$273,HLOOKUP(INDIRECT(ADDRESS(2,COLUMN())),OFFSET($CL$2,0,0,ROW()-1,84),ROW()-1,FALSE))</f>
        <v/>
      </c>
      <c r="BS25" t="str">
        <f ca="1">IF(AND(ISNUMBER($BS$273),$B$252=1),$BS$273,HLOOKUP(INDIRECT(ADDRESS(2,COLUMN())),OFFSET($CL$2,0,0,ROW()-1,84),ROW()-1,FALSE))</f>
        <v/>
      </c>
      <c r="BT25" t="str">
        <f ca="1">IF(AND(ISNUMBER($BT$273),$B$252=1),$BT$273,HLOOKUP(INDIRECT(ADDRESS(2,COLUMN())),OFFSET($CL$2,0,0,ROW()-1,84),ROW()-1,FALSE))</f>
        <v/>
      </c>
      <c r="BU25" t="str">
        <f ca="1">IF(AND(ISNUMBER($BU$273),$B$252=1),$BU$273,HLOOKUP(INDIRECT(ADDRESS(2,COLUMN())),OFFSET($CL$2,0,0,ROW()-1,84),ROW()-1,FALSE))</f>
        <v/>
      </c>
      <c r="BV25" t="str">
        <f ca="1">IF(AND(ISNUMBER($BV$273),$B$252=1),$BV$273,HLOOKUP(INDIRECT(ADDRESS(2,COLUMN())),OFFSET($CL$2,0,0,ROW()-1,84),ROW()-1,FALSE))</f>
        <v/>
      </c>
      <c r="BW25" t="str">
        <f ca="1">IF(AND(ISNUMBER($BW$273),$B$252=1),$BW$273,HLOOKUP(INDIRECT(ADDRESS(2,COLUMN())),OFFSET($CL$2,0,0,ROW()-1,84),ROW()-1,FALSE))</f>
        <v/>
      </c>
      <c r="BX25" t="str">
        <f ca="1">IF(AND(ISNUMBER($BX$273),$B$252=1),$BX$273,HLOOKUP(INDIRECT(ADDRESS(2,COLUMN())),OFFSET($CL$2,0,0,ROW()-1,84),ROW()-1,FALSE))</f>
        <v/>
      </c>
      <c r="BY25" t="str">
        <f ca="1">IF(AND(ISNUMBER($BY$273),$B$252=1),$BY$273,HLOOKUP(INDIRECT(ADDRESS(2,COLUMN())),OFFSET($CL$2,0,0,ROW()-1,84),ROW()-1,FALSE))</f>
        <v/>
      </c>
      <c r="BZ25" t="str">
        <f ca="1">IF(AND(ISNUMBER($BZ$273),$B$252=1),$BZ$273,HLOOKUP(INDIRECT(ADDRESS(2,COLUMN())),OFFSET($CL$2,0,0,ROW()-1,84),ROW()-1,FALSE))</f>
        <v/>
      </c>
      <c r="CA25" t="str">
        <f ca="1">IF(AND(ISNUMBER($CA$273),$B$252=1),$CA$273,HLOOKUP(INDIRECT(ADDRESS(2,COLUMN())),OFFSET($CL$2,0,0,ROW()-1,84),ROW()-1,FALSE))</f>
        <v/>
      </c>
      <c r="CB25" t="str">
        <f ca="1">IF(AND(ISNUMBER($CB$273),$B$252=1),$CB$273,HLOOKUP(INDIRECT(ADDRESS(2,COLUMN())),OFFSET($CL$2,0,0,ROW()-1,84),ROW()-1,FALSE))</f>
        <v/>
      </c>
      <c r="CC25" t="str">
        <f ca="1">IF(AND(ISNUMBER($CC$273),$B$252=1),$CC$273,HLOOKUP(INDIRECT(ADDRESS(2,COLUMN())),OFFSET($CL$2,0,0,ROW()-1,84),ROW()-1,FALSE))</f>
        <v/>
      </c>
      <c r="CD25" t="str">
        <f ca="1">IF(AND(ISNUMBER($CD$273),$B$252=1),$CD$273,HLOOKUP(INDIRECT(ADDRESS(2,COLUMN())),OFFSET($CL$2,0,0,ROW()-1,84),ROW()-1,FALSE))</f>
        <v/>
      </c>
      <c r="CE25" t="str">
        <f ca="1">IF(AND(ISNUMBER($CE$273),$B$252=1),$CE$273,HLOOKUP(INDIRECT(ADDRESS(2,COLUMN())),OFFSET($CL$2,0,0,ROW()-1,84),ROW()-1,FALSE))</f>
        <v/>
      </c>
      <c r="CF25" t="str">
        <f ca="1">IF(AND(ISNUMBER($CF$273),$B$252=1),$CF$273,HLOOKUP(INDIRECT(ADDRESS(2,COLUMN())),OFFSET($CL$2,0,0,ROW()-1,84),ROW()-1,FALSE))</f>
        <v/>
      </c>
      <c r="CG25" t="str">
        <f ca="1">IF(AND(ISNUMBER($CG$273),$B$252=1),$CG$273,HLOOKUP(INDIRECT(ADDRESS(2,COLUMN())),OFFSET($CL$2,0,0,ROW()-1,84),ROW()-1,FALSE))</f>
        <v/>
      </c>
      <c r="CH25" t="str">
        <f ca="1">IF(AND(ISNUMBER($CH$273),$B$252=1),$CH$273,HLOOKUP(INDIRECT(ADDRESS(2,COLUMN())),OFFSET($CL$2,0,0,ROW()-1,84),ROW()-1,FALSE))</f>
        <v/>
      </c>
      <c r="CI25" t="str">
        <f ca="1">IF(AND(ISNUMBER($CI$273),$B$252=1),$CI$273,HLOOKUP(INDIRECT(ADDRESS(2,COLUMN())),OFFSET($CL$2,0,0,ROW()-1,84),ROW()-1,FALSE))</f>
        <v/>
      </c>
      <c r="CJ25" t="str">
        <f ca="1">IF(AND(ISNUMBER($CJ$273),$B$252=1),$CJ$273,HLOOKUP(INDIRECT(ADDRESS(2,COLUMN())),OFFSET($CL$2,0,0,ROW()-1,84),ROW()-1,FALSE))</f>
        <v/>
      </c>
      <c r="CK25" t="str">
        <f ca="1">IF(AND(ISNUMBER($CK$273),$B$252=1),$CK$273,HLOOKUP(INDIRECT(ADDRESS(2,COLUMN())),OFFSET($CL$2,0,0,ROW()-1,84),ROW()-1,FALSE))</f>
        <v/>
      </c>
      <c r="CL25">
        <f>15.14900122</f>
        <v>15.149001220000001</v>
      </c>
      <c r="CM25">
        <f>14.53098544</f>
        <v>14.53098544</v>
      </c>
      <c r="CN25">
        <f>16.1479851</f>
        <v>16.1479851</v>
      </c>
      <c r="CO25">
        <f>16.9979716</f>
        <v>16.9979716</v>
      </c>
      <c r="CP25">
        <f>17.30405405</f>
        <v>17.304054050000001</v>
      </c>
      <c r="CQ25">
        <f>17.29177226</f>
        <v>17.291772259999998</v>
      </c>
      <c r="CR25">
        <f>18.03881857</f>
        <v>18.03881857</v>
      </c>
      <c r="CS25">
        <f>18.00744249</f>
        <v>18.007442489999999</v>
      </c>
      <c r="CT25">
        <f>17.56830137</f>
        <v>17.56830137</v>
      </c>
      <c r="CU25">
        <f>17.82174869</f>
        <v>17.82174869</v>
      </c>
      <c r="CV25">
        <f>17.24289581</f>
        <v>17.24289581</v>
      </c>
      <c r="CW25">
        <f>16.85238661</f>
        <v>16.85238661</v>
      </c>
      <c r="CX25">
        <f>17.32334412</f>
        <v>17.323344120000002</v>
      </c>
      <c r="CY25">
        <f>17.47406021</f>
        <v>17.474060210000001</v>
      </c>
      <c r="CZ25">
        <f>15.98215789</f>
        <v>15.98215789</v>
      </c>
      <c r="DA25">
        <f>16.43504532</f>
        <v>16.43504532</v>
      </c>
      <c r="DB25">
        <f>14.86534718</f>
        <v>14.865347180000001</v>
      </c>
      <c r="DC25">
        <f>15.08130081</f>
        <v>15.08130081</v>
      </c>
      <c r="DD25">
        <f>15.20135856</f>
        <v>15.201358559999999</v>
      </c>
      <c r="DE25">
        <f>15.27795839</f>
        <v>15.27795839</v>
      </c>
      <c r="DF25">
        <f>16.86605154</f>
        <v>16.866051540000001</v>
      </c>
      <c r="DG25">
        <f>16.93997771</f>
        <v>16.939977710000001</v>
      </c>
      <c r="DH25">
        <f>16.415365</f>
        <v>16.415365000000001</v>
      </c>
      <c r="DI25">
        <f>15.28425423</f>
        <v>15.28425423</v>
      </c>
      <c r="DJ25">
        <f>16.2341169</f>
        <v>16.2341169</v>
      </c>
      <c r="DK25">
        <f>14.29434202</f>
        <v>14.29434202</v>
      </c>
      <c r="DL25">
        <f>15.12493955</f>
        <v>15.124939550000001</v>
      </c>
      <c r="DM25">
        <f>14.50175663</f>
        <v>14.501756629999999</v>
      </c>
      <c r="DN25">
        <f>14.10415671</f>
        <v>14.10415671</v>
      </c>
      <c r="DO25">
        <f>13.59993614</f>
        <v>13.599936140000001</v>
      </c>
      <c r="DP25">
        <f>13.43673067</f>
        <v>13.436730669999999</v>
      </c>
      <c r="DQ25">
        <f>12.89840801</f>
        <v>12.898408010000001</v>
      </c>
      <c r="DR25">
        <f>13.0528026</f>
        <v>13.0528026</v>
      </c>
      <c r="DS25">
        <f>11.7815534</f>
        <v>11.7815534</v>
      </c>
      <c r="DT25">
        <f>12.5744856</f>
        <v>12.574485599999999</v>
      </c>
      <c r="DU25">
        <f>13.02094241</f>
        <v>13.02094241</v>
      </c>
      <c r="DV25" t="str">
        <f>""</f>
        <v/>
      </c>
      <c r="DW25" t="str">
        <f>""</f>
        <v/>
      </c>
      <c r="DX25" t="str">
        <f>""</f>
        <v/>
      </c>
      <c r="DY25" t="str">
        <f>""</f>
        <v/>
      </c>
      <c r="DZ25" t="str">
        <f>""</f>
        <v/>
      </c>
      <c r="EA25" t="str">
        <f>""</f>
        <v/>
      </c>
      <c r="EB25" t="str">
        <f>""</f>
        <v/>
      </c>
      <c r="EC25" t="str">
        <f>""</f>
        <v/>
      </c>
      <c r="ED25" t="str">
        <f>""</f>
        <v/>
      </c>
      <c r="EE25" t="str">
        <f>""</f>
        <v/>
      </c>
      <c r="EF25" t="str">
        <f>""</f>
        <v/>
      </c>
      <c r="EG25" t="str">
        <f>""</f>
        <v/>
      </c>
      <c r="EH25" t="str">
        <f>""</f>
        <v/>
      </c>
      <c r="EI25" t="str">
        <f>""</f>
        <v/>
      </c>
      <c r="EJ25" t="str">
        <f>""</f>
        <v/>
      </c>
      <c r="EK25" t="str">
        <f>""</f>
        <v/>
      </c>
      <c r="EL25" t="str">
        <f>""</f>
        <v/>
      </c>
      <c r="EM25" t="str">
        <f>""</f>
        <v/>
      </c>
      <c r="EN25" t="str">
        <f>""</f>
        <v/>
      </c>
      <c r="EO25" t="str">
        <f>""</f>
        <v/>
      </c>
      <c r="EP25" t="str">
        <f>""</f>
        <v/>
      </c>
      <c r="EQ25" t="str">
        <f>""</f>
        <v/>
      </c>
      <c r="ER25" t="str">
        <f>""</f>
        <v/>
      </c>
      <c r="ES25" t="str">
        <f>""</f>
        <v/>
      </c>
      <c r="ET25" t="str">
        <f>""</f>
        <v/>
      </c>
      <c r="EU25" t="str">
        <f>""</f>
        <v/>
      </c>
      <c r="EV25" t="str">
        <f>""</f>
        <v/>
      </c>
      <c r="EW25" t="str">
        <f>""</f>
        <v/>
      </c>
      <c r="EX25" t="str">
        <f>""</f>
        <v/>
      </c>
      <c r="EY25" t="str">
        <f>""</f>
        <v/>
      </c>
      <c r="EZ25" t="str">
        <f>""</f>
        <v/>
      </c>
      <c r="FA25" t="str">
        <f>""</f>
        <v/>
      </c>
      <c r="FB25" t="str">
        <f>""</f>
        <v/>
      </c>
      <c r="FC25" t="str">
        <f>""</f>
        <v/>
      </c>
      <c r="FD25" t="str">
        <f>""</f>
        <v/>
      </c>
      <c r="FE25" t="str">
        <f>""</f>
        <v/>
      </c>
      <c r="FF25" t="str">
        <f>""</f>
        <v/>
      </c>
      <c r="FG25" t="str">
        <f>""</f>
        <v/>
      </c>
      <c r="FH25" t="str">
        <f>""</f>
        <v/>
      </c>
      <c r="FI25" t="str">
        <f>""</f>
        <v/>
      </c>
      <c r="FJ25" t="str">
        <f>""</f>
        <v/>
      </c>
      <c r="FK25" t="str">
        <f>""</f>
        <v/>
      </c>
      <c r="FL25" t="str">
        <f>""</f>
        <v/>
      </c>
      <c r="FM25" t="str">
        <f>""</f>
        <v/>
      </c>
      <c r="FN25" t="str">
        <f>""</f>
        <v/>
      </c>
      <c r="FO25" t="str">
        <f>""</f>
        <v/>
      </c>
      <c r="FP25" t="str">
        <f>""</f>
        <v/>
      </c>
      <c r="FQ25" t="str">
        <f>""</f>
        <v/>
      </c>
    </row>
    <row r="26" spans="1:173">
      <c r="A26" t="str">
        <f>"    UDR 公司"</f>
        <v xml:space="preserve">    UDR 公司</v>
      </c>
      <c r="B26" t="str">
        <f>"UDR US Equity"</f>
        <v>UDR US Equity</v>
      </c>
      <c r="C26" t="str">
        <f t="shared" si="6"/>
        <v>BE249</v>
      </c>
      <c r="D26" t="str">
        <f t="shared" si="7"/>
        <v>BEST_PRICE_FFO_RATIO</v>
      </c>
      <c r="E26" t="str">
        <f t="shared" si="8"/>
        <v>动态</v>
      </c>
      <c r="F26">
        <f ca="1">IF(AND(ISNUMBER($F$274),$B$252=1),$F$274,HLOOKUP(INDIRECT(ADDRESS(2,COLUMN())),OFFSET($CL$2,0,0,ROW()-1,84),ROW()-1,FALSE))</f>
        <v>18.94849769</v>
      </c>
      <c r="G26">
        <f ca="1">IF(AND(ISNUMBER($G$274),$B$252=1),$G$274,HLOOKUP(INDIRECT(ADDRESS(2,COLUMN())),OFFSET($CL$2,0,0,ROW()-1,84),ROW()-1,FALSE))</f>
        <v>18.036480690000001</v>
      </c>
      <c r="H26">
        <f ca="1">IF(AND(ISNUMBER($H$274),$B$252=1),$H$274,HLOOKUP(INDIRECT(ADDRESS(2,COLUMN())),OFFSET($CL$2,0,0,ROW()-1,84),ROW()-1,FALSE))</f>
        <v>19.597639480000002</v>
      </c>
      <c r="I26">
        <f ca="1">IF(AND(ISNUMBER($I$274),$B$252=1),$I$274,HLOOKUP(INDIRECT(ADDRESS(2,COLUMN())),OFFSET($CL$2,0,0,ROW()-1,84),ROW()-1,FALSE))</f>
        <v>20.643086820000001</v>
      </c>
      <c r="J26">
        <f ca="1">IF(AND(ISNUMBER($J$274),$B$252=1),$J$274,HLOOKUP(INDIRECT(ADDRESS(2,COLUMN())),OFFSET($CL$2,0,0,ROW()-1,84),ROW()-1,FALSE))</f>
        <v>21.088471850000001</v>
      </c>
      <c r="K26">
        <f ca="1">IF(AND(ISNUMBER($K$274),$B$252=1),$K$274,HLOOKUP(INDIRECT(ADDRESS(2,COLUMN())),OFFSET($CL$2,0,0,ROW()-1,84),ROW()-1,FALSE))</f>
        <v>20.877287410000001</v>
      </c>
      <c r="L26">
        <f ca="1">IF(AND(ISNUMBER($L$274),$B$252=1),$L$274,HLOOKUP(INDIRECT(ADDRESS(2,COLUMN())),OFFSET($CL$2,0,0,ROW()-1,84),ROW()-1,FALSE))</f>
        <v>20.41331186</v>
      </c>
      <c r="M26">
        <f ca="1">IF(AND(ISNUMBER($M$274),$B$252=1),$M$274,HLOOKUP(INDIRECT(ADDRESS(2,COLUMN())),OFFSET($CL$2,0,0,ROW()-1,84),ROW()-1,FALSE))</f>
        <v>20.859752820000001</v>
      </c>
      <c r="N26">
        <f ca="1">IF(AND(ISNUMBER($N$274),$B$252=1),$N$274,HLOOKUP(INDIRECT(ADDRESS(2,COLUMN())),OFFSET($CL$2,0,0,ROW()-1,84),ROW()-1,FALSE))</f>
        <v>21.016129029999998</v>
      </c>
      <c r="O26">
        <f ca="1">IF(AND(ISNUMBER($O$274),$B$252=1),$O$274,HLOOKUP(INDIRECT(ADDRESS(2,COLUMN())),OFFSET($CL$2,0,0,ROW()-1,84),ROW()-1,FALSE))</f>
        <v>20.974165769999999</v>
      </c>
      <c r="P26">
        <f ca="1">IF(AND(ISNUMBER($P$274),$B$252=1),$P$274,HLOOKUP(INDIRECT(ADDRESS(2,COLUMN())),OFFSET($CL$2,0,0,ROW()-1,84),ROW()-1,FALSE))</f>
        <v>20.780409039999999</v>
      </c>
      <c r="Q26">
        <f ca="1">IF(AND(ISNUMBER($Q$274),$B$252=1),$Q$274,HLOOKUP(INDIRECT(ADDRESS(2,COLUMN())),OFFSET($CL$2,0,0,ROW()-1,84),ROW()-1,FALSE))</f>
        <v>20.129380050000002</v>
      </c>
      <c r="R26">
        <f ca="1">IF(AND(ISNUMBER($R$274),$B$252=1),$R$274,HLOOKUP(INDIRECT(ADDRESS(2,COLUMN())),OFFSET($CL$2,0,0,ROW()-1,84),ROW()-1,FALSE))</f>
        <v>19.55771305</v>
      </c>
      <c r="S26">
        <f ca="1">IF(AND(ISNUMBER($S$274),$B$252=1),$S$274,HLOOKUP(INDIRECT(ADDRESS(2,COLUMN())),OFFSET($CL$2,0,0,ROW()-1,84),ROW()-1,FALSE))</f>
        <v>19.68716289</v>
      </c>
      <c r="T26">
        <f ca="1">IF(AND(ISNUMBER($T$274),$B$252=1),$T$274,HLOOKUP(INDIRECT(ADDRESS(2,COLUMN())),OFFSET($CL$2,0,0,ROW()-1,84),ROW()-1,FALSE))</f>
        <v>18.75</v>
      </c>
      <c r="U26">
        <f ca="1">IF(AND(ISNUMBER($U$274),$B$252=1),$U$274,HLOOKUP(INDIRECT(ADDRESS(2,COLUMN())),OFFSET($CL$2,0,0,ROW()-1,84),ROW()-1,FALSE))</f>
        <v>19.560321720000001</v>
      </c>
      <c r="V26">
        <f ca="1">IF(AND(ISNUMBER($V$274),$B$252=1),$V$274,HLOOKUP(INDIRECT(ADDRESS(2,COLUMN())),OFFSET($CL$2,0,0,ROW()-1,84),ROW()-1,FALSE))</f>
        <v>18.20320856</v>
      </c>
      <c r="W26">
        <f ca="1">IF(AND(ISNUMBER($W$274),$B$252=1),$W$274,HLOOKUP(INDIRECT(ADDRESS(2,COLUMN())),OFFSET($CL$2,0,0,ROW()-1,84),ROW()-1,FALSE))</f>
        <v>18.70053476</v>
      </c>
      <c r="X26">
        <f ca="1">IF(AND(ISNUMBER($X$274),$B$252=1),$X$274,HLOOKUP(INDIRECT(ADDRESS(2,COLUMN())),OFFSET($CL$2,0,0,ROW()-1,84),ROW()-1,FALSE))</f>
        <v>19.12327311</v>
      </c>
      <c r="Y26">
        <f ca="1">IF(AND(ISNUMBER($Y$274),$B$252=1),$Y$274,HLOOKUP(INDIRECT(ADDRESS(2,COLUMN())),OFFSET($CL$2,0,0,ROW()-1,84),ROW()-1,FALSE))</f>
        <v>19.173290940000001</v>
      </c>
      <c r="Z26">
        <f ca="1">IF(AND(ISNUMBER($Z$274),$B$252=1),$Z$274,HLOOKUP(INDIRECT(ADDRESS(2,COLUMN())),OFFSET($CL$2,0,0,ROW()-1,84),ROW()-1,FALSE))</f>
        <v>19.698412699999999</v>
      </c>
      <c r="AA26">
        <f ca="1">IF(AND(ISNUMBER($AA$274),$B$252=1),$AA$274,HLOOKUP(INDIRECT(ADDRESS(2,COLUMN())),OFFSET($CL$2,0,0,ROW()-1,84),ROW()-1,FALSE))</f>
        <v>19.534391530000001</v>
      </c>
      <c r="AB26">
        <f ca="1">IF(AND(ISNUMBER($AB$274),$B$252=1),$AB$274,HLOOKUP(INDIRECT(ADDRESS(2,COLUMN())),OFFSET($CL$2,0,0,ROW()-1,84),ROW()-1,FALSE))</f>
        <v>18.973143759999999</v>
      </c>
      <c r="AC26">
        <f ca="1">IF(AND(ISNUMBER($AC$274),$B$252=1),$AC$274,HLOOKUP(INDIRECT(ADDRESS(2,COLUMN())),OFFSET($CL$2,0,0,ROW()-1,84),ROW()-1,FALSE))</f>
        <v>18.39831401</v>
      </c>
      <c r="AD26">
        <f ca="1">IF(AND(ISNUMBER($AD$274),$B$252=1),$AD$274,HLOOKUP(INDIRECT(ADDRESS(2,COLUMN())),OFFSET($CL$2,0,0,ROW()-1,84),ROW()-1,FALSE))</f>
        <v>20.236344540000001</v>
      </c>
      <c r="AE26">
        <f ca="1">IF(AND(ISNUMBER($AE$274),$B$252=1),$AE$274,HLOOKUP(INDIRECT(ADDRESS(2,COLUMN())),OFFSET($CL$2,0,0,ROW()-1,84),ROW()-1,FALSE))</f>
        <v>18.020997380000001</v>
      </c>
      <c r="AF26">
        <f ca="1">IF(AND(ISNUMBER($AF$274),$B$252=1),$AF$274,HLOOKUP(INDIRECT(ADDRESS(2,COLUMN())),OFFSET($CL$2,0,0,ROW()-1,84),ROW()-1,FALSE))</f>
        <v>18.555787280000001</v>
      </c>
      <c r="AG26">
        <f ca="1">IF(AND(ISNUMBER($AG$274),$B$252=1),$AG$274,HLOOKUP(INDIRECT(ADDRESS(2,COLUMN())),OFFSET($CL$2,0,0,ROW()-1,84),ROW()-1,FALSE))</f>
        <v>19.527027029999999</v>
      </c>
      <c r="AH26">
        <f ca="1">IF(AND(ISNUMBER($AH$274),$B$252=1),$AH$274,HLOOKUP(INDIRECT(ADDRESS(2,COLUMN())),OFFSET($CL$2,0,0,ROW()-1,84),ROW()-1,FALSE))</f>
        <v>19.203954209999999</v>
      </c>
      <c r="AI26">
        <f ca="1">IF(AND(ISNUMBER($AI$274),$B$252=1),$AI$274,HLOOKUP(INDIRECT(ADDRESS(2,COLUMN())),OFFSET($CL$2,0,0,ROW()-1,84),ROW()-1,FALSE))</f>
        <v>18.051335779999999</v>
      </c>
      <c r="AJ26">
        <f ca="1">IF(AND(ISNUMBER($AJ$274),$B$252=1),$AJ$274,HLOOKUP(INDIRECT(ADDRESS(2,COLUMN())),OFFSET($CL$2,0,0,ROW()-1,84),ROW()-1,FALSE))</f>
        <v>18.340425530000001</v>
      </c>
      <c r="AK26">
        <f ca="1">IF(AND(ISNUMBER($AK$274),$B$252=1),$AK$274,HLOOKUP(INDIRECT(ADDRESS(2,COLUMN())),OFFSET($CL$2,0,0,ROW()-1,84),ROW()-1,FALSE))</f>
        <v>17.21748401</v>
      </c>
      <c r="AL26">
        <f ca="1">IF(AND(ISNUMBER($AL$274),$B$252=1),$AL$274,HLOOKUP(INDIRECT(ADDRESS(2,COLUMN())),OFFSET($CL$2,0,0,ROW()-1,84),ROW()-1,FALSE))</f>
        <v>18.167651800000002</v>
      </c>
      <c r="AM26">
        <f ca="1">IF(AND(ISNUMBER($AM$274),$B$252=1),$AM$274,HLOOKUP(INDIRECT(ADDRESS(2,COLUMN())),OFFSET($CL$2,0,0,ROW()-1,84),ROW()-1,FALSE))</f>
        <v>17.332251079999999</v>
      </c>
      <c r="AN26">
        <f ca="1">IF(AND(ISNUMBER($AN$274),$B$252=1),$AN$274,HLOOKUP(INDIRECT(ADDRESS(2,COLUMN())),OFFSET($CL$2,0,0,ROW()-1,84),ROW()-1,FALSE))</f>
        <v>17.792349730000002</v>
      </c>
      <c r="AO26">
        <f ca="1">IF(AND(ISNUMBER($AO$274),$B$252=1),$AO$274,HLOOKUP(INDIRECT(ADDRESS(2,COLUMN())),OFFSET($CL$2,0,0,ROW()-1,84),ROW()-1,FALSE))</f>
        <v>17.936507939999998</v>
      </c>
      <c r="AP26">
        <f ca="1">IF(AND(ISNUMBER($AP$274),$B$252=1),$AP$274,HLOOKUP(INDIRECT(ADDRESS(2,COLUMN())),OFFSET($CL$2,0,0,ROW()-1,84),ROW()-1,FALSE))</f>
        <v>18.646575339999998</v>
      </c>
      <c r="AQ26">
        <f ca="1">IF(AND(ISNUMBER($AQ$274),$B$252=1),$AQ$274,HLOOKUP(INDIRECT(ADDRESS(2,COLUMN())),OFFSET($CL$2,0,0,ROW()-1,84),ROW()-1,FALSE))</f>
        <v>17.520570490000001</v>
      </c>
      <c r="AR26" t="str">
        <f ca="1">IF(AND(ISNUMBER($AR$274),$B$252=1),$AR$274,HLOOKUP(INDIRECT(ADDRESS(2,COLUMN())),OFFSET($CL$2,0,0,ROW()-1,84),ROW()-1,FALSE))</f>
        <v/>
      </c>
      <c r="AS26" t="str">
        <f ca="1">IF(AND(ISNUMBER($AS$274),$B$252=1),$AS$274,HLOOKUP(INDIRECT(ADDRESS(2,COLUMN())),OFFSET($CL$2,0,0,ROW()-1,84),ROW()-1,FALSE))</f>
        <v/>
      </c>
      <c r="AT26" t="str">
        <f ca="1">IF(AND(ISNUMBER($AT$274),$B$252=1),$AT$274,HLOOKUP(INDIRECT(ADDRESS(2,COLUMN())),OFFSET($CL$2,0,0,ROW()-1,84),ROW()-1,FALSE))</f>
        <v/>
      </c>
      <c r="AU26" t="str">
        <f ca="1">IF(AND(ISNUMBER($AU$274),$B$252=1),$AU$274,HLOOKUP(INDIRECT(ADDRESS(2,COLUMN())),OFFSET($CL$2,0,0,ROW()-1,84),ROW()-1,FALSE))</f>
        <v/>
      </c>
      <c r="AV26" t="str">
        <f ca="1">IF(AND(ISNUMBER($AV$274),$B$252=1),$AV$274,HLOOKUP(INDIRECT(ADDRESS(2,COLUMN())),OFFSET($CL$2,0,0,ROW()-1,84),ROW()-1,FALSE))</f>
        <v/>
      </c>
      <c r="AW26" t="str">
        <f ca="1">IF(AND(ISNUMBER($AW$274),$B$252=1),$AW$274,HLOOKUP(INDIRECT(ADDRESS(2,COLUMN())),OFFSET($CL$2,0,0,ROW()-1,84),ROW()-1,FALSE))</f>
        <v/>
      </c>
      <c r="AX26" t="str">
        <f ca="1">IF(AND(ISNUMBER($AX$274),$B$252=1),$AX$274,HLOOKUP(INDIRECT(ADDRESS(2,COLUMN())),OFFSET($CL$2,0,0,ROW()-1,84),ROW()-1,FALSE))</f>
        <v/>
      </c>
      <c r="AY26" t="str">
        <f ca="1">IF(AND(ISNUMBER($AY$274),$B$252=1),$AY$274,HLOOKUP(INDIRECT(ADDRESS(2,COLUMN())),OFFSET($CL$2,0,0,ROW()-1,84),ROW()-1,FALSE))</f>
        <v/>
      </c>
      <c r="AZ26" t="str">
        <f ca="1">IF(AND(ISNUMBER($AZ$274),$B$252=1),$AZ$274,HLOOKUP(INDIRECT(ADDRESS(2,COLUMN())),OFFSET($CL$2,0,0,ROW()-1,84),ROW()-1,FALSE))</f>
        <v/>
      </c>
      <c r="BA26" t="str">
        <f ca="1">IF(AND(ISNUMBER($BA$274),$B$252=1),$BA$274,HLOOKUP(INDIRECT(ADDRESS(2,COLUMN())),OFFSET($CL$2,0,0,ROW()-1,84),ROW()-1,FALSE))</f>
        <v/>
      </c>
      <c r="BB26" t="str">
        <f ca="1">IF(AND(ISNUMBER($BB$274),$B$252=1),$BB$274,HLOOKUP(INDIRECT(ADDRESS(2,COLUMN())),OFFSET($CL$2,0,0,ROW()-1,84),ROW()-1,FALSE))</f>
        <v/>
      </c>
      <c r="BC26" t="str">
        <f ca="1">IF(AND(ISNUMBER($BC$274),$B$252=1),$BC$274,HLOOKUP(INDIRECT(ADDRESS(2,COLUMN())),OFFSET($CL$2,0,0,ROW()-1,84),ROW()-1,FALSE))</f>
        <v/>
      </c>
      <c r="BD26" t="str">
        <f ca="1">IF(AND(ISNUMBER($BD$274),$B$252=1),$BD$274,HLOOKUP(INDIRECT(ADDRESS(2,COLUMN())),OFFSET($CL$2,0,0,ROW()-1,84),ROW()-1,FALSE))</f>
        <v/>
      </c>
      <c r="BE26" t="str">
        <f ca="1">IF(AND(ISNUMBER($BE$274),$B$252=1),$BE$274,HLOOKUP(INDIRECT(ADDRESS(2,COLUMN())),OFFSET($CL$2,0,0,ROW()-1,84),ROW()-1,FALSE))</f>
        <v/>
      </c>
      <c r="BF26" t="str">
        <f ca="1">IF(AND(ISNUMBER($BF$274),$B$252=1),$BF$274,HLOOKUP(INDIRECT(ADDRESS(2,COLUMN())),OFFSET($CL$2,0,0,ROW()-1,84),ROW()-1,FALSE))</f>
        <v/>
      </c>
      <c r="BG26" t="str">
        <f ca="1">IF(AND(ISNUMBER($BG$274),$B$252=1),$BG$274,HLOOKUP(INDIRECT(ADDRESS(2,COLUMN())),OFFSET($CL$2,0,0,ROW()-1,84),ROW()-1,FALSE))</f>
        <v/>
      </c>
      <c r="BH26" t="str">
        <f ca="1">IF(AND(ISNUMBER($BH$274),$B$252=1),$BH$274,HLOOKUP(INDIRECT(ADDRESS(2,COLUMN())),OFFSET($CL$2,0,0,ROW()-1,84),ROW()-1,FALSE))</f>
        <v/>
      </c>
      <c r="BI26" t="str">
        <f ca="1">IF(AND(ISNUMBER($BI$274),$B$252=1),$BI$274,HLOOKUP(INDIRECT(ADDRESS(2,COLUMN())),OFFSET($CL$2,0,0,ROW()-1,84),ROW()-1,FALSE))</f>
        <v/>
      </c>
      <c r="BJ26" t="str">
        <f ca="1">IF(AND(ISNUMBER($BJ$274),$B$252=1),$BJ$274,HLOOKUP(INDIRECT(ADDRESS(2,COLUMN())),OFFSET($CL$2,0,0,ROW()-1,84),ROW()-1,FALSE))</f>
        <v/>
      </c>
      <c r="BK26" t="str">
        <f ca="1">IF(AND(ISNUMBER($BK$274),$B$252=1),$BK$274,HLOOKUP(INDIRECT(ADDRESS(2,COLUMN())),OFFSET($CL$2,0,0,ROW()-1,84),ROW()-1,FALSE))</f>
        <v/>
      </c>
      <c r="BL26" t="str">
        <f ca="1">IF(AND(ISNUMBER($BL$274),$B$252=1),$BL$274,HLOOKUP(INDIRECT(ADDRESS(2,COLUMN())),OFFSET($CL$2,0,0,ROW()-1,84),ROW()-1,FALSE))</f>
        <v/>
      </c>
      <c r="BM26" t="str">
        <f ca="1">IF(AND(ISNUMBER($BM$274),$B$252=1),$BM$274,HLOOKUP(INDIRECT(ADDRESS(2,COLUMN())),OFFSET($CL$2,0,0,ROW()-1,84),ROW()-1,FALSE))</f>
        <v/>
      </c>
      <c r="BN26" t="str">
        <f ca="1">IF(AND(ISNUMBER($BN$274),$B$252=1),$BN$274,HLOOKUP(INDIRECT(ADDRESS(2,COLUMN())),OFFSET($CL$2,0,0,ROW()-1,84),ROW()-1,FALSE))</f>
        <v/>
      </c>
      <c r="BO26" t="str">
        <f ca="1">IF(AND(ISNUMBER($BO$274),$B$252=1),$BO$274,HLOOKUP(INDIRECT(ADDRESS(2,COLUMN())),OFFSET($CL$2,0,0,ROW()-1,84),ROW()-1,FALSE))</f>
        <v/>
      </c>
      <c r="BP26" t="str">
        <f ca="1">IF(AND(ISNUMBER($BP$274),$B$252=1),$BP$274,HLOOKUP(INDIRECT(ADDRESS(2,COLUMN())),OFFSET($CL$2,0,0,ROW()-1,84),ROW()-1,FALSE))</f>
        <v/>
      </c>
      <c r="BQ26" t="str">
        <f ca="1">IF(AND(ISNUMBER($BQ$274),$B$252=1),$BQ$274,HLOOKUP(INDIRECT(ADDRESS(2,COLUMN())),OFFSET($CL$2,0,0,ROW()-1,84),ROW()-1,FALSE))</f>
        <v/>
      </c>
      <c r="BR26" t="str">
        <f ca="1">IF(AND(ISNUMBER($BR$274),$B$252=1),$BR$274,HLOOKUP(INDIRECT(ADDRESS(2,COLUMN())),OFFSET($CL$2,0,0,ROW()-1,84),ROW()-1,FALSE))</f>
        <v/>
      </c>
      <c r="BS26" t="str">
        <f ca="1">IF(AND(ISNUMBER($BS$274),$B$252=1),$BS$274,HLOOKUP(INDIRECT(ADDRESS(2,COLUMN())),OFFSET($CL$2,0,0,ROW()-1,84),ROW()-1,FALSE))</f>
        <v/>
      </c>
      <c r="BT26" t="str">
        <f ca="1">IF(AND(ISNUMBER($BT$274),$B$252=1),$BT$274,HLOOKUP(INDIRECT(ADDRESS(2,COLUMN())),OFFSET($CL$2,0,0,ROW()-1,84),ROW()-1,FALSE))</f>
        <v/>
      </c>
      <c r="BU26" t="str">
        <f ca="1">IF(AND(ISNUMBER($BU$274),$B$252=1),$BU$274,HLOOKUP(INDIRECT(ADDRESS(2,COLUMN())),OFFSET($CL$2,0,0,ROW()-1,84),ROW()-1,FALSE))</f>
        <v/>
      </c>
      <c r="BV26" t="str">
        <f ca="1">IF(AND(ISNUMBER($BV$274),$B$252=1),$BV$274,HLOOKUP(INDIRECT(ADDRESS(2,COLUMN())),OFFSET($CL$2,0,0,ROW()-1,84),ROW()-1,FALSE))</f>
        <v/>
      </c>
      <c r="BW26" t="str">
        <f ca="1">IF(AND(ISNUMBER($BW$274),$B$252=1),$BW$274,HLOOKUP(INDIRECT(ADDRESS(2,COLUMN())),OFFSET($CL$2,0,0,ROW()-1,84),ROW()-1,FALSE))</f>
        <v/>
      </c>
      <c r="BX26" t="str">
        <f ca="1">IF(AND(ISNUMBER($BX$274),$B$252=1),$BX$274,HLOOKUP(INDIRECT(ADDRESS(2,COLUMN())),OFFSET($CL$2,0,0,ROW()-1,84),ROW()-1,FALSE))</f>
        <v/>
      </c>
      <c r="BY26" t="str">
        <f ca="1">IF(AND(ISNUMBER($BY$274),$B$252=1),$BY$274,HLOOKUP(INDIRECT(ADDRESS(2,COLUMN())),OFFSET($CL$2,0,0,ROW()-1,84),ROW()-1,FALSE))</f>
        <v/>
      </c>
      <c r="BZ26" t="str">
        <f ca="1">IF(AND(ISNUMBER($BZ$274),$B$252=1),$BZ$274,HLOOKUP(INDIRECT(ADDRESS(2,COLUMN())),OFFSET($CL$2,0,0,ROW()-1,84),ROW()-1,FALSE))</f>
        <v/>
      </c>
      <c r="CA26" t="str">
        <f ca="1">IF(AND(ISNUMBER($CA$274),$B$252=1),$CA$274,HLOOKUP(INDIRECT(ADDRESS(2,COLUMN())),OFFSET($CL$2,0,0,ROW()-1,84),ROW()-1,FALSE))</f>
        <v/>
      </c>
      <c r="CB26" t="str">
        <f ca="1">IF(AND(ISNUMBER($CB$274),$B$252=1),$CB$274,HLOOKUP(INDIRECT(ADDRESS(2,COLUMN())),OFFSET($CL$2,0,0,ROW()-1,84),ROW()-1,FALSE))</f>
        <v/>
      </c>
      <c r="CC26" t="str">
        <f ca="1">IF(AND(ISNUMBER($CC$274),$B$252=1),$CC$274,HLOOKUP(INDIRECT(ADDRESS(2,COLUMN())),OFFSET($CL$2,0,0,ROW()-1,84),ROW()-1,FALSE))</f>
        <v/>
      </c>
      <c r="CD26" t="str">
        <f ca="1">IF(AND(ISNUMBER($CD$274),$B$252=1),$CD$274,HLOOKUP(INDIRECT(ADDRESS(2,COLUMN())),OFFSET($CL$2,0,0,ROW()-1,84),ROW()-1,FALSE))</f>
        <v/>
      </c>
      <c r="CE26" t="str">
        <f ca="1">IF(AND(ISNUMBER($CE$274),$B$252=1),$CE$274,HLOOKUP(INDIRECT(ADDRESS(2,COLUMN())),OFFSET($CL$2,0,0,ROW()-1,84),ROW()-1,FALSE))</f>
        <v/>
      </c>
      <c r="CF26" t="str">
        <f ca="1">IF(AND(ISNUMBER($CF$274),$B$252=1),$CF$274,HLOOKUP(INDIRECT(ADDRESS(2,COLUMN())),OFFSET($CL$2,0,0,ROW()-1,84),ROW()-1,FALSE))</f>
        <v/>
      </c>
      <c r="CG26" t="str">
        <f ca="1">IF(AND(ISNUMBER($CG$274),$B$252=1),$CG$274,HLOOKUP(INDIRECT(ADDRESS(2,COLUMN())),OFFSET($CL$2,0,0,ROW()-1,84),ROW()-1,FALSE))</f>
        <v/>
      </c>
      <c r="CH26" t="str">
        <f ca="1">IF(AND(ISNUMBER($CH$274),$B$252=1),$CH$274,HLOOKUP(INDIRECT(ADDRESS(2,COLUMN())),OFFSET($CL$2,0,0,ROW()-1,84),ROW()-1,FALSE))</f>
        <v/>
      </c>
      <c r="CI26" t="str">
        <f ca="1">IF(AND(ISNUMBER($CI$274),$B$252=1),$CI$274,HLOOKUP(INDIRECT(ADDRESS(2,COLUMN())),OFFSET($CL$2,0,0,ROW()-1,84),ROW()-1,FALSE))</f>
        <v/>
      </c>
      <c r="CJ26" t="str">
        <f ca="1">IF(AND(ISNUMBER($CJ$274),$B$252=1),$CJ$274,HLOOKUP(INDIRECT(ADDRESS(2,COLUMN())),OFFSET($CL$2,0,0,ROW()-1,84),ROW()-1,FALSE))</f>
        <v/>
      </c>
      <c r="CK26" t="str">
        <f ca="1">IF(AND(ISNUMBER($CK$274),$B$252=1),$CK$274,HLOOKUP(INDIRECT(ADDRESS(2,COLUMN())),OFFSET($CL$2,0,0,ROW()-1,84),ROW()-1,FALSE))</f>
        <v/>
      </c>
      <c r="CL26">
        <f>18.94849769</f>
        <v>18.94849769</v>
      </c>
      <c r="CM26">
        <f>18.03648069</f>
        <v>18.036480690000001</v>
      </c>
      <c r="CN26">
        <f>19.59763948</f>
        <v>19.597639480000002</v>
      </c>
      <c r="CO26">
        <f>20.64308682</f>
        <v>20.643086820000001</v>
      </c>
      <c r="CP26">
        <f>21.08847185</f>
        <v>21.088471850000001</v>
      </c>
      <c r="CQ26">
        <f>20.87728741</f>
        <v>20.877287410000001</v>
      </c>
      <c r="CR26">
        <f>20.41331186</f>
        <v>20.41331186</v>
      </c>
      <c r="CS26">
        <f>20.85975282</f>
        <v>20.859752820000001</v>
      </c>
      <c r="CT26">
        <f>21.01612903</f>
        <v>21.016129029999998</v>
      </c>
      <c r="CU26">
        <f>20.97416577</f>
        <v>20.974165769999999</v>
      </c>
      <c r="CV26">
        <f>20.78040904</f>
        <v>20.780409039999999</v>
      </c>
      <c r="CW26">
        <f>20.12938005</f>
        <v>20.129380050000002</v>
      </c>
      <c r="CX26">
        <f>19.55771305</f>
        <v>19.55771305</v>
      </c>
      <c r="CY26">
        <f>19.68716289</f>
        <v>19.68716289</v>
      </c>
      <c r="CZ26">
        <f>18.75</f>
        <v>18.75</v>
      </c>
      <c r="DA26">
        <f>19.56032172</f>
        <v>19.560321720000001</v>
      </c>
      <c r="DB26">
        <f>18.20320856</f>
        <v>18.20320856</v>
      </c>
      <c r="DC26">
        <f>18.70053476</f>
        <v>18.70053476</v>
      </c>
      <c r="DD26">
        <f>19.12327311</f>
        <v>19.12327311</v>
      </c>
      <c r="DE26">
        <f>19.17329094</f>
        <v>19.173290940000001</v>
      </c>
      <c r="DF26">
        <f>19.6984127</f>
        <v>19.698412699999999</v>
      </c>
      <c r="DG26">
        <f>19.53439153</f>
        <v>19.534391530000001</v>
      </c>
      <c r="DH26">
        <f>18.97314376</f>
        <v>18.973143759999999</v>
      </c>
      <c r="DI26">
        <f>18.39831401</f>
        <v>18.39831401</v>
      </c>
      <c r="DJ26">
        <f>20.23634454</f>
        <v>20.236344540000001</v>
      </c>
      <c r="DK26">
        <f>18.02099738</f>
        <v>18.020997380000001</v>
      </c>
      <c r="DL26">
        <f>18.55578728</f>
        <v>18.555787280000001</v>
      </c>
      <c r="DM26">
        <f>19.52702703</f>
        <v>19.527027029999999</v>
      </c>
      <c r="DN26">
        <f>19.20395421</f>
        <v>19.203954209999999</v>
      </c>
      <c r="DO26">
        <f>18.05133578</f>
        <v>18.051335779999999</v>
      </c>
      <c r="DP26">
        <f>18.34042553</f>
        <v>18.340425530000001</v>
      </c>
      <c r="DQ26">
        <f>17.21748401</f>
        <v>17.21748401</v>
      </c>
      <c r="DR26">
        <f>18.1676518</f>
        <v>18.167651800000002</v>
      </c>
      <c r="DS26">
        <f>17.33225108</f>
        <v>17.332251079999999</v>
      </c>
      <c r="DT26">
        <f>17.79234973</f>
        <v>17.792349730000002</v>
      </c>
      <c r="DU26">
        <f>17.93650794</f>
        <v>17.936507939999998</v>
      </c>
      <c r="DV26">
        <f>18.64657534</f>
        <v>18.646575339999998</v>
      </c>
      <c r="DW26">
        <f>17.52057049</f>
        <v>17.520570490000001</v>
      </c>
      <c r="DX26" t="str">
        <f>""</f>
        <v/>
      </c>
      <c r="DY26" t="str">
        <f>""</f>
        <v/>
      </c>
      <c r="DZ26" t="str">
        <f>""</f>
        <v/>
      </c>
      <c r="EA26" t="str">
        <f>""</f>
        <v/>
      </c>
      <c r="EB26" t="str">
        <f>""</f>
        <v/>
      </c>
      <c r="EC26" t="str">
        <f>""</f>
        <v/>
      </c>
      <c r="ED26" t="str">
        <f>""</f>
        <v/>
      </c>
      <c r="EE26" t="str">
        <f>""</f>
        <v/>
      </c>
      <c r="EF26" t="str">
        <f>""</f>
        <v/>
      </c>
      <c r="EG26" t="str">
        <f>""</f>
        <v/>
      </c>
      <c r="EH26" t="str">
        <f>""</f>
        <v/>
      </c>
      <c r="EI26" t="str">
        <f>""</f>
        <v/>
      </c>
      <c r="EJ26" t="str">
        <f>""</f>
        <v/>
      </c>
      <c r="EK26" t="str">
        <f>""</f>
        <v/>
      </c>
      <c r="EL26" t="str">
        <f>""</f>
        <v/>
      </c>
      <c r="EM26" t="str">
        <f>""</f>
        <v/>
      </c>
      <c r="EN26" t="str">
        <f>""</f>
        <v/>
      </c>
      <c r="EO26" t="str">
        <f>""</f>
        <v/>
      </c>
      <c r="EP26" t="str">
        <f>""</f>
        <v/>
      </c>
      <c r="EQ26" t="str">
        <f>""</f>
        <v/>
      </c>
      <c r="ER26" t="str">
        <f>""</f>
        <v/>
      </c>
      <c r="ES26" t="str">
        <f>""</f>
        <v/>
      </c>
      <c r="ET26" t="str">
        <f>""</f>
        <v/>
      </c>
      <c r="EU26" t="str">
        <f>""</f>
        <v/>
      </c>
      <c r="EV26" t="str">
        <f>""</f>
        <v/>
      </c>
      <c r="EW26" t="str">
        <f>""</f>
        <v/>
      </c>
      <c r="EX26" t="str">
        <f>""</f>
        <v/>
      </c>
      <c r="EY26" t="str">
        <f>""</f>
        <v/>
      </c>
      <c r="EZ26" t="str">
        <f>""</f>
        <v/>
      </c>
      <c r="FA26" t="str">
        <f>""</f>
        <v/>
      </c>
      <c r="FB26" t="str">
        <f>""</f>
        <v/>
      </c>
      <c r="FC26" t="str">
        <f>""</f>
        <v/>
      </c>
      <c r="FD26" t="str">
        <f>""</f>
        <v/>
      </c>
      <c r="FE26" t="str">
        <f>""</f>
        <v/>
      </c>
      <c r="FF26" t="str">
        <f>""</f>
        <v/>
      </c>
      <c r="FG26" t="str">
        <f>""</f>
        <v/>
      </c>
      <c r="FH26" t="str">
        <f>""</f>
        <v/>
      </c>
      <c r="FI26" t="str">
        <f>""</f>
        <v/>
      </c>
      <c r="FJ26" t="str">
        <f>""</f>
        <v/>
      </c>
      <c r="FK26" t="str">
        <f>""</f>
        <v/>
      </c>
      <c r="FL26" t="str">
        <f>""</f>
        <v/>
      </c>
      <c r="FM26" t="str">
        <f>""</f>
        <v/>
      </c>
      <c r="FN26" t="str">
        <f>""</f>
        <v/>
      </c>
      <c r="FO26" t="str">
        <f>""</f>
        <v/>
      </c>
      <c r="FP26" t="str">
        <f>""</f>
        <v/>
      </c>
      <c r="FQ26" t="str">
        <f>""</f>
        <v/>
      </c>
    </row>
    <row r="27" spans="1:173">
      <c r="A27" t="str">
        <f>"2018年预测P/FFO"</f>
        <v>2018年预测P/FFO</v>
      </c>
      <c r="B27" t="str">
        <f>"BRFREITV Index"</f>
        <v>BRFREITV Index</v>
      </c>
      <c r="E27" t="str">
        <f>"Median"</f>
        <v>Median</v>
      </c>
      <c r="F27">
        <f ca="1">IF(ISERROR(IF(MEDIAN($F$28:$F$34) = 0, "", MEDIAN($F$28:$F$34))), "", (IF(MEDIAN($F$28:$F$34) = 0, "", MEDIAN($F$28:$F$34))))</f>
        <v>18.067114570000001</v>
      </c>
      <c r="G27">
        <f ca="1">IF(ISERROR(IF(MEDIAN($G$28:$G$34) = 0, "", MEDIAN($G$28:$G$34))), "", (IF(MEDIAN($G$28:$G$34) = 0, "", MEDIAN($G$28:$G$34))))</f>
        <v>17.303139479999999</v>
      </c>
      <c r="H27">
        <f ca="1">IF(ISERROR(IF(MEDIAN($H$28:$H$34) = 0, "", MEDIAN($H$28:$H$34))), "", (IF(MEDIAN($H$28:$H$34) = 0, "", MEDIAN($H$28:$H$34))))</f>
        <v>18.543147210000001</v>
      </c>
      <c r="I27">
        <f ca="1">IF(ISERROR(IF(MEDIAN($I$28:$I$34) = 0, "", MEDIAN($I$28:$I$34))), "", (IF(MEDIAN($I$28:$I$34) = 0, "", MEDIAN($I$28:$I$34))))</f>
        <v>19.387148589999999</v>
      </c>
      <c r="J27">
        <f ca="1">IF(ISERROR(IF(MEDIAN($J$28:$J$34) = 0, "", MEDIAN($J$28:$J$34))), "", (IF(MEDIAN($J$28:$J$34) = 0, "", MEDIAN($J$28:$J$34))))</f>
        <v>19.83218243</v>
      </c>
      <c r="K27">
        <f ca="1">IF(ISERROR(IF(MEDIAN($K$28:$K$34) = 0, "", MEDIAN($K$28:$K$34))), "", (IF(MEDIAN($K$28:$K$34) = 0, "", MEDIAN($K$28:$K$34))))</f>
        <v>19.770642200000001</v>
      </c>
      <c r="L27">
        <f ca="1">IF(ISERROR(IF(MEDIAN($L$28:$L$34) = 0, "", MEDIAN($L$28:$L$34))), "", (IF(MEDIAN($L$28:$L$34) = 0, "", MEDIAN($L$28:$L$34))))</f>
        <v>19.412965799999998</v>
      </c>
      <c r="M27">
        <f ca="1">IF(ISERROR(IF(MEDIAN($M$28:$M$34) = 0, "", MEDIAN($M$28:$M$34))), "", (IF(MEDIAN($M$28:$M$34) = 0, "", MEDIAN($M$28:$M$34))))</f>
        <v>19.80612245</v>
      </c>
      <c r="N27">
        <f ca="1">IF(ISERROR(IF(MEDIAN($N$28:$N$34) = 0, "", MEDIAN($N$28:$N$34))), "", (IF(MEDIAN($N$28:$N$34) = 0, "", MEDIAN($N$28:$N$34))))</f>
        <v>19.96424923</v>
      </c>
      <c r="O27">
        <f ca="1">IF(ISERROR(IF(MEDIAN($O$28:$O$34) = 0, "", MEDIAN($O$28:$O$34))), "", (IF(MEDIAN($O$28:$O$34) = 0, "", MEDIAN($O$28:$O$34))))</f>
        <v>19.93350384</v>
      </c>
      <c r="P27">
        <f ca="1">IF(ISERROR(IF(MEDIAN($P$28:$P$34) = 0, "", MEDIAN($P$28:$P$34))), "", (IF(MEDIAN($P$28:$P$34) = 0, "", MEDIAN($P$28:$P$34))))</f>
        <v>19.78985136</v>
      </c>
      <c r="Q27">
        <f ca="1">IF(ISERROR(IF(MEDIAN($Q$28:$Q$34) = 0, "", MEDIAN($Q$28:$Q$34))), "", (IF(MEDIAN($Q$28:$Q$34) = 0, "", MEDIAN($Q$28:$Q$34))))</f>
        <v>19.237506440000001</v>
      </c>
      <c r="R27">
        <f ca="1">IF(ISERROR(IF(MEDIAN($R$28:$R$34) = 0, "", MEDIAN($R$28:$R$34))), "", (IF(MEDIAN($R$28:$R$34) = 0, "", MEDIAN($R$28:$R$34))))</f>
        <v>18.68109222</v>
      </c>
      <c r="S27">
        <f ca="1">IF(ISERROR(IF(MEDIAN($S$28:$S$34) = 0, "", MEDIAN($S$28:$S$34))), "", (IF(MEDIAN($S$28:$S$34) = 0, "", MEDIAN($S$28:$S$34))))</f>
        <v>18.81443299</v>
      </c>
      <c r="T27">
        <f ca="1">IF(ISERROR(IF(MEDIAN($T$28:$T$34) = 0, "", MEDIAN($T$28:$T$34))), "", (IF(MEDIAN($T$28:$T$34) = 0, "", MEDIAN($T$28:$T$34))))</f>
        <v>17.768174890000001</v>
      </c>
      <c r="U27">
        <f ca="1">IF(ISERROR(IF(MEDIAN($U$28:$U$34) = 0, "", MEDIAN($U$28:$U$34))), "", (IF(MEDIAN($U$28:$U$34) = 0, "", MEDIAN($U$28:$U$34))))</f>
        <v>18.46153846</v>
      </c>
      <c r="V27">
        <f ca="1">IF(ISERROR(IF(MEDIAN($V$28:$V$34) = 0, "", MEDIAN($V$28:$V$34))), "", (IF(MEDIAN($V$28:$V$34) = 0, "", MEDIAN($V$28:$V$34))))</f>
        <v>17.237745489999998</v>
      </c>
      <c r="W27">
        <f ca="1">IF(ISERROR(IF(MEDIAN($W$28:$W$34) = 0, "", MEDIAN($W$28:$W$34))), "", (IF(MEDIAN($W$28:$W$34) = 0, "", MEDIAN($W$28:$W$34))))</f>
        <v>17.14091273</v>
      </c>
      <c r="X27">
        <f ca="1">IF(ISERROR(IF(MEDIAN($X$28:$X$34) = 0, "", MEDIAN($X$28:$X$34))), "", (IF(MEDIAN($X$28:$X$34) = 0, "", MEDIAN($X$28:$X$34))))</f>
        <v>17.769089600000001</v>
      </c>
      <c r="Y27">
        <f ca="1">IF(ISERROR(IF(MEDIAN($Y$28:$Y$34) = 0, "", MEDIAN($Y$28:$Y$34))), "", (IF(MEDIAN($Y$28:$Y$34) = 0, "", MEDIAN($Y$28:$Y$34))))</f>
        <v>18.09994421</v>
      </c>
      <c r="Z27">
        <f ca="1">IF(ISERROR(IF(MEDIAN($Z$28:$Z$34) = 0, "", MEDIAN($Z$28:$Z$34))), "", (IF(MEDIAN($Z$28:$Z$34) = 0, "", MEDIAN($Z$28:$Z$34))))</f>
        <v>18.531607770000001</v>
      </c>
      <c r="AA27">
        <f ca="1">IF(ISERROR(IF(MEDIAN($AA$28:$AA$34) = 0, "", MEDIAN($AA$28:$AA$34))), "", (IF(MEDIAN($AA$28:$AA$34) = 0, "", MEDIAN($AA$28:$AA$34))))</f>
        <v>18.223099699999999</v>
      </c>
      <c r="AB27">
        <f ca="1">IF(ISERROR(IF(MEDIAN($AB$28:$AB$34) = 0, "", MEDIAN($AB$28:$AB$34))), "", (IF(MEDIAN($AB$28:$AB$34) = 0, "", MEDIAN($AB$28:$AB$34))))</f>
        <v>17.740029539999998</v>
      </c>
      <c r="AC27">
        <f ca="1">IF(ISERROR(IF(MEDIAN($AC$28:$AC$34) = 0, "", MEDIAN($AC$28:$AC$34))), "", (IF(MEDIAN($AC$28:$AC$34) = 0, "", MEDIAN($AC$28:$AC$34))))</f>
        <v>17.126320700000001</v>
      </c>
      <c r="AD27">
        <f ca="1">IF(ISERROR(IF(MEDIAN($AD$28:$AD$34) = 0, "", MEDIAN($AD$28:$AD$34))), "", (IF(MEDIAN($AD$28:$AD$34) = 0, "", MEDIAN($AD$28:$AD$34))))</f>
        <v>18.081026749999999</v>
      </c>
      <c r="AE27">
        <f ca="1">IF(ISERROR(IF(MEDIAN($AE$28:$AE$34) = 0, "", MEDIAN($AE$28:$AE$34))), "", (IF(MEDIAN($AE$28:$AE$34) = 0, "", MEDIAN($AE$28:$AE$34))))</f>
        <v>16.329588009999998</v>
      </c>
      <c r="AF27">
        <f ca="1">IF(ISERROR(IF(MEDIAN($AF$28:$AF$34) = 0, "", MEDIAN($AF$28:$AF$34))), "", (IF(MEDIAN($AF$28:$AF$34) = 0, "", MEDIAN($AF$28:$AF$34))))</f>
        <v>15.63904629</v>
      </c>
      <c r="AG27">
        <f ca="1">IF(ISERROR(IF(MEDIAN($AG$28:$AG$34) = 0, "", MEDIAN($AG$28:$AG$34))), "", (IF(MEDIAN($AG$28:$AG$34) = 0, "", MEDIAN($AG$28:$AG$34))))</f>
        <v>16.039167150000001</v>
      </c>
      <c r="AH27">
        <f ca="1">IF(ISERROR(IF(MEDIAN($AH$28:$AH$34) = 0, "", MEDIAN($AH$28:$AH$34))), "", (IF(MEDIAN($AH$28:$AH$34) = 0, "", MEDIAN($AH$28:$AH$34))))</f>
        <v>18.97117154</v>
      </c>
      <c r="AI27">
        <f ca="1">IF(ISERROR(IF(MEDIAN($AI$28:$AI$34) = 0, "", MEDIAN($AI$28:$AI$34))), "", (IF(MEDIAN($AI$28:$AI$34) = 0, "", MEDIAN($AI$28:$AI$34))))</f>
        <v>16.331775700000001</v>
      </c>
      <c r="AJ27">
        <f ca="1">IF(ISERROR(IF(MEDIAN($AJ$28:$AJ$34) = 0, "", MEDIAN($AJ$28:$AJ$34))), "", (IF(MEDIAN($AJ$28:$AJ$34) = 0, "", MEDIAN($AJ$28:$AJ$34))))</f>
        <v>16.11214953</v>
      </c>
      <c r="AK27">
        <f ca="1">IF(ISERROR(IF(MEDIAN($AK$28:$AK$34) = 0, "", MEDIAN($AK$28:$AK$34))), "", (IF(MEDIAN($AK$28:$AK$34) = 0, "", MEDIAN($AK$28:$AK$34))))</f>
        <v>15.914772724999999</v>
      </c>
      <c r="AL27">
        <f ca="1">IF(ISERROR(IF(MEDIAN($AL$28:$AL$34) = 0, "", MEDIAN($AL$28:$AL$34))), "", (IF(MEDIAN($AL$28:$AL$34) = 0, "", MEDIAN($AL$28:$AL$34))))</f>
        <v>16.51599702</v>
      </c>
      <c r="AM27" t="str">
        <f ca="1">IF(ISERROR(IF(MEDIAN($AM$28:$AM$34) = 0, "", MEDIAN($AM$28:$AM$34))), "", (IF(MEDIAN($AM$28:$AM$34) = 0, "", MEDIAN($AM$28:$AM$34))))</f>
        <v/>
      </c>
      <c r="AN27" t="str">
        <f ca="1">IF(ISERROR(IF(MEDIAN($AN$28:$AN$34) = 0, "", MEDIAN($AN$28:$AN$34))), "", (IF(MEDIAN($AN$28:$AN$34) = 0, "", MEDIAN($AN$28:$AN$34))))</f>
        <v/>
      </c>
      <c r="AO27" t="str">
        <f ca="1">IF(ISERROR(IF(MEDIAN($AO$28:$AO$34) = 0, "", MEDIAN($AO$28:$AO$34))), "", (IF(MEDIAN($AO$28:$AO$34) = 0, "", MEDIAN($AO$28:$AO$34))))</f>
        <v/>
      </c>
      <c r="AP27" t="str">
        <f ca="1">IF(ISERROR(IF(MEDIAN($AP$28:$AP$34) = 0, "", MEDIAN($AP$28:$AP$34))), "", (IF(MEDIAN($AP$28:$AP$34) = 0, "", MEDIAN($AP$28:$AP$34))))</f>
        <v/>
      </c>
      <c r="AQ27" t="str">
        <f ca="1">IF(ISERROR(IF(MEDIAN($AQ$28:$AQ$34) = 0, "", MEDIAN($AQ$28:$AQ$34))), "", (IF(MEDIAN($AQ$28:$AQ$34) = 0, "", MEDIAN($AQ$28:$AQ$34))))</f>
        <v/>
      </c>
      <c r="AR27" t="str">
        <f ca="1">IF(ISERROR(IF(MEDIAN($AR$28:$AR$34) = 0, "", MEDIAN($AR$28:$AR$34))), "", (IF(MEDIAN($AR$28:$AR$34) = 0, "", MEDIAN($AR$28:$AR$34))))</f>
        <v/>
      </c>
      <c r="AS27" t="str">
        <f ca="1">IF(ISERROR(IF(MEDIAN($AS$28:$AS$34) = 0, "", MEDIAN($AS$28:$AS$34))), "", (IF(MEDIAN($AS$28:$AS$34) = 0, "", MEDIAN($AS$28:$AS$34))))</f>
        <v/>
      </c>
      <c r="AT27" t="str">
        <f ca="1">IF(ISERROR(IF(MEDIAN($AT$28:$AT$34) = 0, "", MEDIAN($AT$28:$AT$34))), "", (IF(MEDIAN($AT$28:$AT$34) = 0, "", MEDIAN($AT$28:$AT$34))))</f>
        <v/>
      </c>
      <c r="AU27" t="str">
        <f ca="1">IF(ISERROR(IF(MEDIAN($AU$28:$AU$34) = 0, "", MEDIAN($AU$28:$AU$34))), "", (IF(MEDIAN($AU$28:$AU$34) = 0, "", MEDIAN($AU$28:$AU$34))))</f>
        <v/>
      </c>
      <c r="AV27" t="str">
        <f ca="1">IF(ISERROR(IF(MEDIAN($AV$28:$AV$34) = 0, "", MEDIAN($AV$28:$AV$34))), "", (IF(MEDIAN($AV$28:$AV$34) = 0, "", MEDIAN($AV$28:$AV$34))))</f>
        <v/>
      </c>
      <c r="AW27" t="str">
        <f ca="1">IF(ISERROR(IF(MEDIAN($AW$28:$AW$34) = 0, "", MEDIAN($AW$28:$AW$34))), "", (IF(MEDIAN($AW$28:$AW$34) = 0, "", MEDIAN($AW$28:$AW$34))))</f>
        <v/>
      </c>
      <c r="AX27" t="str">
        <f ca="1">IF(ISERROR(IF(MEDIAN($AX$28:$AX$34) = 0, "", MEDIAN($AX$28:$AX$34))), "", (IF(MEDIAN($AX$28:$AX$34) = 0, "", MEDIAN($AX$28:$AX$34))))</f>
        <v/>
      </c>
      <c r="AY27" t="str">
        <f ca="1">IF(ISERROR(IF(MEDIAN($AY$28:$AY$34) = 0, "", MEDIAN($AY$28:$AY$34))), "", (IF(MEDIAN($AY$28:$AY$34) = 0, "", MEDIAN($AY$28:$AY$34))))</f>
        <v/>
      </c>
      <c r="AZ27" t="str">
        <f ca="1">IF(ISERROR(IF(MEDIAN($AZ$28:$AZ$34) = 0, "", MEDIAN($AZ$28:$AZ$34))), "", (IF(MEDIAN($AZ$28:$AZ$34) = 0, "", MEDIAN($AZ$28:$AZ$34))))</f>
        <v/>
      </c>
      <c r="BA27" t="str">
        <f ca="1">IF(ISERROR(IF(MEDIAN($BA$28:$BA$34) = 0, "", MEDIAN($BA$28:$BA$34))), "", (IF(MEDIAN($BA$28:$BA$34) = 0, "", MEDIAN($BA$28:$BA$34))))</f>
        <v/>
      </c>
      <c r="BB27" t="str">
        <f ca="1">IF(ISERROR(IF(MEDIAN($BB$28:$BB$34) = 0, "", MEDIAN($BB$28:$BB$34))), "", (IF(MEDIAN($BB$28:$BB$34) = 0, "", MEDIAN($BB$28:$BB$34))))</f>
        <v/>
      </c>
      <c r="BC27" t="str">
        <f ca="1">IF(ISERROR(IF(MEDIAN($BC$28:$BC$34) = 0, "", MEDIAN($BC$28:$BC$34))), "", (IF(MEDIAN($BC$28:$BC$34) = 0, "", MEDIAN($BC$28:$BC$34))))</f>
        <v/>
      </c>
      <c r="BD27" t="str">
        <f ca="1">IF(ISERROR(IF(MEDIAN($BD$28:$BD$34) = 0, "", MEDIAN($BD$28:$BD$34))), "", (IF(MEDIAN($BD$28:$BD$34) = 0, "", MEDIAN($BD$28:$BD$34))))</f>
        <v/>
      </c>
      <c r="BE27" t="str">
        <f ca="1">IF(ISERROR(IF(MEDIAN($BE$28:$BE$34) = 0, "", MEDIAN($BE$28:$BE$34))), "", (IF(MEDIAN($BE$28:$BE$34) = 0, "", MEDIAN($BE$28:$BE$34))))</f>
        <v/>
      </c>
      <c r="BF27" t="str">
        <f ca="1">IF(ISERROR(IF(MEDIAN($BF$28:$BF$34) = 0, "", MEDIAN($BF$28:$BF$34))), "", (IF(MEDIAN($BF$28:$BF$34) = 0, "", MEDIAN($BF$28:$BF$34))))</f>
        <v/>
      </c>
      <c r="BG27" t="str">
        <f ca="1">IF(ISERROR(IF(MEDIAN($BG$28:$BG$34) = 0, "", MEDIAN($BG$28:$BG$34))), "", (IF(MEDIAN($BG$28:$BG$34) = 0, "", MEDIAN($BG$28:$BG$34))))</f>
        <v/>
      </c>
      <c r="BH27" t="str">
        <f ca="1">IF(ISERROR(IF(MEDIAN($BH$28:$BH$34) = 0, "", MEDIAN($BH$28:$BH$34))), "", (IF(MEDIAN($BH$28:$BH$34) = 0, "", MEDIAN($BH$28:$BH$34))))</f>
        <v/>
      </c>
      <c r="BI27" t="str">
        <f ca="1">IF(ISERROR(IF(MEDIAN($BI$28:$BI$34) = 0, "", MEDIAN($BI$28:$BI$34))), "", (IF(MEDIAN($BI$28:$BI$34) = 0, "", MEDIAN($BI$28:$BI$34))))</f>
        <v/>
      </c>
      <c r="BJ27" t="str">
        <f ca="1">IF(ISERROR(IF(MEDIAN($BJ$28:$BJ$34) = 0, "", MEDIAN($BJ$28:$BJ$34))), "", (IF(MEDIAN($BJ$28:$BJ$34) = 0, "", MEDIAN($BJ$28:$BJ$34))))</f>
        <v/>
      </c>
      <c r="BK27" t="str">
        <f ca="1">IF(ISERROR(IF(MEDIAN($BK$28:$BK$34) = 0, "", MEDIAN($BK$28:$BK$34))), "", (IF(MEDIAN($BK$28:$BK$34) = 0, "", MEDIAN($BK$28:$BK$34))))</f>
        <v/>
      </c>
      <c r="BL27" t="str">
        <f ca="1">IF(ISERROR(IF(MEDIAN($BL$28:$BL$34) = 0, "", MEDIAN($BL$28:$BL$34))), "", (IF(MEDIAN($BL$28:$BL$34) = 0, "", MEDIAN($BL$28:$BL$34))))</f>
        <v/>
      </c>
      <c r="BM27" t="str">
        <f ca="1">IF(ISERROR(IF(MEDIAN($BM$28:$BM$34) = 0, "", MEDIAN($BM$28:$BM$34))), "", (IF(MEDIAN($BM$28:$BM$34) = 0, "", MEDIAN($BM$28:$BM$34))))</f>
        <v/>
      </c>
      <c r="BN27" t="str">
        <f ca="1">IF(ISERROR(IF(MEDIAN($BN$28:$BN$34) = 0, "", MEDIAN($BN$28:$BN$34))), "", (IF(MEDIAN($BN$28:$BN$34) = 0, "", MEDIAN($BN$28:$BN$34))))</f>
        <v/>
      </c>
      <c r="BO27" t="str">
        <f ca="1">IF(ISERROR(IF(MEDIAN($BO$28:$BO$34) = 0, "", MEDIAN($BO$28:$BO$34))), "", (IF(MEDIAN($BO$28:$BO$34) = 0, "", MEDIAN($BO$28:$BO$34))))</f>
        <v/>
      </c>
      <c r="BP27" t="str">
        <f ca="1">IF(ISERROR(IF(MEDIAN($BP$28:$BP$34) = 0, "", MEDIAN($BP$28:$BP$34))), "", (IF(MEDIAN($BP$28:$BP$34) = 0, "", MEDIAN($BP$28:$BP$34))))</f>
        <v/>
      </c>
      <c r="BQ27" t="str">
        <f ca="1">IF(ISERROR(IF(MEDIAN($BQ$28:$BQ$34) = 0, "", MEDIAN($BQ$28:$BQ$34))), "", (IF(MEDIAN($BQ$28:$BQ$34) = 0, "", MEDIAN($BQ$28:$BQ$34))))</f>
        <v/>
      </c>
      <c r="BR27" t="str">
        <f ca="1">IF(ISERROR(IF(MEDIAN($BR$28:$BR$34) = 0, "", MEDIAN($BR$28:$BR$34))), "", (IF(MEDIAN($BR$28:$BR$34) = 0, "", MEDIAN($BR$28:$BR$34))))</f>
        <v/>
      </c>
      <c r="BS27" t="str">
        <f ca="1">IF(ISERROR(IF(MEDIAN($BS$28:$BS$34) = 0, "", MEDIAN($BS$28:$BS$34))), "", (IF(MEDIAN($BS$28:$BS$34) = 0, "", MEDIAN($BS$28:$BS$34))))</f>
        <v/>
      </c>
      <c r="BT27" t="str">
        <f ca="1">IF(ISERROR(IF(MEDIAN($BT$28:$BT$34) = 0, "", MEDIAN($BT$28:$BT$34))), "", (IF(MEDIAN($BT$28:$BT$34) = 0, "", MEDIAN($BT$28:$BT$34))))</f>
        <v/>
      </c>
      <c r="BU27" t="str">
        <f ca="1">IF(ISERROR(IF(MEDIAN($BU$28:$BU$34) = 0, "", MEDIAN($BU$28:$BU$34))), "", (IF(MEDIAN($BU$28:$BU$34) = 0, "", MEDIAN($BU$28:$BU$34))))</f>
        <v/>
      </c>
      <c r="BV27" t="str">
        <f ca="1">IF(ISERROR(IF(MEDIAN($BV$28:$BV$34) = 0, "", MEDIAN($BV$28:$BV$34))), "", (IF(MEDIAN($BV$28:$BV$34) = 0, "", MEDIAN($BV$28:$BV$34))))</f>
        <v/>
      </c>
      <c r="BW27" t="str">
        <f ca="1">IF(ISERROR(IF(MEDIAN($BW$28:$BW$34) = 0, "", MEDIAN($BW$28:$BW$34))), "", (IF(MEDIAN($BW$28:$BW$34) = 0, "", MEDIAN($BW$28:$BW$34))))</f>
        <v/>
      </c>
      <c r="BX27" t="str">
        <f ca="1">IF(ISERROR(IF(MEDIAN($BX$28:$BX$34) = 0, "", MEDIAN($BX$28:$BX$34))), "", (IF(MEDIAN($BX$28:$BX$34) = 0, "", MEDIAN($BX$28:$BX$34))))</f>
        <v/>
      </c>
      <c r="BY27" t="str">
        <f ca="1">IF(ISERROR(IF(MEDIAN($BY$28:$BY$34) = 0, "", MEDIAN($BY$28:$BY$34))), "", (IF(MEDIAN($BY$28:$BY$34) = 0, "", MEDIAN($BY$28:$BY$34))))</f>
        <v/>
      </c>
      <c r="BZ27" t="str">
        <f ca="1">IF(ISERROR(IF(MEDIAN($BZ$28:$BZ$34) = 0, "", MEDIAN($BZ$28:$BZ$34))), "", (IF(MEDIAN($BZ$28:$BZ$34) = 0, "", MEDIAN($BZ$28:$BZ$34))))</f>
        <v/>
      </c>
      <c r="CA27" t="str">
        <f ca="1">IF(ISERROR(IF(MEDIAN($CA$28:$CA$34) = 0, "", MEDIAN($CA$28:$CA$34))), "", (IF(MEDIAN($CA$28:$CA$34) = 0, "", MEDIAN($CA$28:$CA$34))))</f>
        <v/>
      </c>
      <c r="CB27" t="str">
        <f ca="1">IF(ISERROR(IF(MEDIAN($CB$28:$CB$34) = 0, "", MEDIAN($CB$28:$CB$34))), "", (IF(MEDIAN($CB$28:$CB$34) = 0, "", MEDIAN($CB$28:$CB$34))))</f>
        <v/>
      </c>
      <c r="CC27" t="str">
        <f ca="1">IF(ISERROR(IF(MEDIAN($CC$28:$CC$34) = 0, "", MEDIAN($CC$28:$CC$34))), "", (IF(MEDIAN($CC$28:$CC$34) = 0, "", MEDIAN($CC$28:$CC$34))))</f>
        <v/>
      </c>
      <c r="CD27" t="str">
        <f ca="1">IF(ISERROR(IF(MEDIAN($CD$28:$CD$34) = 0, "", MEDIAN($CD$28:$CD$34))), "", (IF(MEDIAN($CD$28:$CD$34) = 0, "", MEDIAN($CD$28:$CD$34))))</f>
        <v/>
      </c>
      <c r="CE27" t="str">
        <f ca="1">IF(ISERROR(IF(MEDIAN($CE$28:$CE$34) = 0, "", MEDIAN($CE$28:$CE$34))), "", (IF(MEDIAN($CE$28:$CE$34) = 0, "", MEDIAN($CE$28:$CE$34))))</f>
        <v/>
      </c>
      <c r="CF27" t="str">
        <f ca="1">IF(ISERROR(IF(MEDIAN($CF$28:$CF$34) = 0, "", MEDIAN($CF$28:$CF$34))), "", (IF(MEDIAN($CF$28:$CF$34) = 0, "", MEDIAN($CF$28:$CF$34))))</f>
        <v/>
      </c>
      <c r="CG27" t="str">
        <f ca="1">IF(ISERROR(IF(MEDIAN($CG$28:$CG$34) = 0, "", MEDIAN($CG$28:$CG$34))), "", (IF(MEDIAN($CG$28:$CG$34) = 0, "", MEDIAN($CG$28:$CG$34))))</f>
        <v/>
      </c>
      <c r="CH27" t="str">
        <f ca="1">IF(ISERROR(IF(MEDIAN($CH$28:$CH$34) = 0, "", MEDIAN($CH$28:$CH$34))), "", (IF(MEDIAN($CH$28:$CH$34) = 0, "", MEDIAN($CH$28:$CH$34))))</f>
        <v/>
      </c>
      <c r="CI27" t="str">
        <f ca="1">IF(ISERROR(IF(MEDIAN($CI$28:$CI$34) = 0, "", MEDIAN($CI$28:$CI$34))), "", (IF(MEDIAN($CI$28:$CI$34) = 0, "", MEDIAN($CI$28:$CI$34))))</f>
        <v/>
      </c>
      <c r="CJ27" t="str">
        <f ca="1">IF(ISERROR(IF(MEDIAN($CJ$28:$CJ$34) = 0, "", MEDIAN($CJ$28:$CJ$34))), "", (IF(MEDIAN($CJ$28:$CJ$34) = 0, "", MEDIAN($CJ$28:$CJ$34))))</f>
        <v/>
      </c>
      <c r="CK27" t="str">
        <f ca="1">IF(ISERROR(IF(MEDIAN($CK$28:$CK$34) = 0, "", MEDIAN($CK$28:$CK$34))), "", (IF(MEDIAN($CK$28:$CK$34) = 0, "", MEDIAN($CK$28:$CK$34))))</f>
        <v/>
      </c>
      <c r="CL27">
        <f>18.06711457</f>
        <v>18.067114570000001</v>
      </c>
      <c r="CM27">
        <f>17.30313948</f>
        <v>17.303139479999999</v>
      </c>
      <c r="CN27">
        <f>18.54314721</f>
        <v>18.543147210000001</v>
      </c>
      <c r="CO27">
        <f>19.38714859</f>
        <v>19.387148589999999</v>
      </c>
      <c r="CP27">
        <f>19.83218243</f>
        <v>19.83218243</v>
      </c>
      <c r="CQ27">
        <f>19.7706422</f>
        <v>19.770642200000001</v>
      </c>
      <c r="CR27">
        <f>19.4129658</f>
        <v>19.412965799999998</v>
      </c>
      <c r="CS27">
        <f>19.80612245</f>
        <v>19.80612245</v>
      </c>
      <c r="CT27">
        <f>19.96424923</f>
        <v>19.96424923</v>
      </c>
      <c r="CU27">
        <f>19.93350384</f>
        <v>19.93350384</v>
      </c>
      <c r="CV27">
        <f>19.78985136</f>
        <v>19.78985136</v>
      </c>
      <c r="CW27">
        <f>19.23750644</f>
        <v>19.237506440000001</v>
      </c>
      <c r="CX27">
        <f>18.68109222</f>
        <v>18.68109222</v>
      </c>
      <c r="CY27">
        <f>18.81443299</f>
        <v>18.81443299</v>
      </c>
      <c r="CZ27">
        <f>17.76817489</f>
        <v>17.768174890000001</v>
      </c>
      <c r="DA27">
        <f>18.46153846</f>
        <v>18.46153846</v>
      </c>
      <c r="DB27">
        <f>17.23774549</f>
        <v>17.237745489999998</v>
      </c>
      <c r="DC27">
        <f>17.14091273</f>
        <v>17.14091273</v>
      </c>
      <c r="DD27">
        <f>17.7690896</f>
        <v>17.769089600000001</v>
      </c>
      <c r="DE27">
        <f>18.09994421</f>
        <v>18.09994421</v>
      </c>
      <c r="DF27">
        <f>18.53160777</f>
        <v>18.531607770000001</v>
      </c>
      <c r="DG27">
        <f>18.2230997</f>
        <v>18.223099699999999</v>
      </c>
      <c r="DH27">
        <f>17.74002954</f>
        <v>17.740029539999998</v>
      </c>
      <c r="DI27">
        <f>17.1263207</f>
        <v>17.126320700000001</v>
      </c>
      <c r="DJ27">
        <f>18.08102675</f>
        <v>18.081026749999999</v>
      </c>
      <c r="DK27">
        <f>16.32958801</f>
        <v>16.329588009999998</v>
      </c>
      <c r="DL27">
        <f>15.63904629</f>
        <v>15.63904629</v>
      </c>
      <c r="DM27">
        <f>16.03916715</f>
        <v>16.039167150000001</v>
      </c>
      <c r="DN27">
        <f>18.97117154</f>
        <v>18.97117154</v>
      </c>
      <c r="DO27">
        <f>16.3317757</f>
        <v>16.331775700000001</v>
      </c>
      <c r="DP27">
        <f>16.11214953</f>
        <v>16.11214953</v>
      </c>
      <c r="DQ27">
        <f>15.91477273</f>
        <v>15.914772729999999</v>
      </c>
      <c r="DR27">
        <f>16.51599702</f>
        <v>16.51599702</v>
      </c>
      <c r="DS27" t="str">
        <f>""</f>
        <v/>
      </c>
      <c r="DT27" t="str">
        <f>""</f>
        <v/>
      </c>
      <c r="DU27" t="str">
        <f>""</f>
        <v/>
      </c>
      <c r="DV27" t="str">
        <f>""</f>
        <v/>
      </c>
      <c r="DW27" t="str">
        <f>""</f>
        <v/>
      </c>
      <c r="DX27" t="str">
        <f>""</f>
        <v/>
      </c>
      <c r="DY27" t="str">
        <f>""</f>
        <v/>
      </c>
      <c r="DZ27" t="str">
        <f>""</f>
        <v/>
      </c>
      <c r="EA27" t="str">
        <f>""</f>
        <v/>
      </c>
      <c r="EB27" t="str">
        <f>""</f>
        <v/>
      </c>
      <c r="EC27" t="str">
        <f>""</f>
        <v/>
      </c>
      <c r="ED27" t="str">
        <f>""</f>
        <v/>
      </c>
      <c r="EE27" t="str">
        <f>""</f>
        <v/>
      </c>
      <c r="EF27" t="str">
        <f>""</f>
        <v/>
      </c>
      <c r="EG27" t="str">
        <f>""</f>
        <v/>
      </c>
      <c r="EH27" t="str">
        <f>""</f>
        <v/>
      </c>
      <c r="EI27" t="str">
        <f>""</f>
        <v/>
      </c>
      <c r="EJ27" t="str">
        <f>""</f>
        <v/>
      </c>
      <c r="EK27" t="str">
        <f>""</f>
        <v/>
      </c>
      <c r="EL27" t="str">
        <f>""</f>
        <v/>
      </c>
      <c r="EM27" t="str">
        <f>""</f>
        <v/>
      </c>
      <c r="EN27" t="str">
        <f>""</f>
        <v/>
      </c>
      <c r="EO27" t="str">
        <f>""</f>
        <v/>
      </c>
      <c r="EP27" t="str">
        <f>""</f>
        <v/>
      </c>
      <c r="EQ27" t="str">
        <f>""</f>
        <v/>
      </c>
      <c r="ER27" t="str">
        <f>""</f>
        <v/>
      </c>
      <c r="ES27" t="str">
        <f>""</f>
        <v/>
      </c>
      <c r="ET27" t="str">
        <f>""</f>
        <v/>
      </c>
      <c r="EU27" t="str">
        <f>""</f>
        <v/>
      </c>
      <c r="EV27" t="str">
        <f>""</f>
        <v/>
      </c>
      <c r="EW27" t="str">
        <f>""</f>
        <v/>
      </c>
      <c r="EX27" t="str">
        <f>""</f>
        <v/>
      </c>
      <c r="EY27" t="str">
        <f>""</f>
        <v/>
      </c>
      <c r="EZ27" t="str">
        <f>""</f>
        <v/>
      </c>
      <c r="FA27" t="str">
        <f>""</f>
        <v/>
      </c>
      <c r="FB27" t="str">
        <f>""</f>
        <v/>
      </c>
      <c r="FC27" t="str">
        <f>""</f>
        <v/>
      </c>
      <c r="FD27" t="str">
        <f>""</f>
        <v/>
      </c>
      <c r="FE27" t="str">
        <f>""</f>
        <v/>
      </c>
      <c r="FF27" t="str">
        <f>""</f>
        <v/>
      </c>
      <c r="FG27" t="str">
        <f>""</f>
        <v/>
      </c>
      <c r="FH27" t="str">
        <f>""</f>
        <v/>
      </c>
      <c r="FI27" t="str">
        <f>""</f>
        <v/>
      </c>
      <c r="FJ27" t="str">
        <f>""</f>
        <v/>
      </c>
      <c r="FK27" t="str">
        <f>""</f>
        <v/>
      </c>
      <c r="FL27" t="str">
        <f>""</f>
        <v/>
      </c>
      <c r="FM27" t="str">
        <f>""</f>
        <v/>
      </c>
      <c r="FN27" t="str">
        <f>""</f>
        <v/>
      </c>
      <c r="FO27" t="str">
        <f>""</f>
        <v/>
      </c>
      <c r="FP27" t="str">
        <f>""</f>
        <v/>
      </c>
      <c r="FQ27" t="str">
        <f>""</f>
        <v/>
      </c>
    </row>
    <row r="28" spans="1:173">
      <c r="A28" t="str">
        <f>"    公寓投资与管理"</f>
        <v xml:space="preserve">    公寓投资与管理</v>
      </c>
      <c r="B28" t="str">
        <f>"AIV US Equity"</f>
        <v>AIV US Equity</v>
      </c>
      <c r="C28" t="str">
        <f t="shared" ref="C28:C34" si="9">"BE249"</f>
        <v>BE249</v>
      </c>
      <c r="D28" t="str">
        <f t="shared" ref="D28:D34" si="10">"BEST_PRICE_FFO_RATIO"</f>
        <v>BEST_PRICE_FFO_RATIO</v>
      </c>
      <c r="E28" t="str">
        <f t="shared" ref="E28:E34" si="11">"动态"</f>
        <v>动态</v>
      </c>
      <c r="F28">
        <f ca="1">IF(AND(ISNUMBER($F$275),$B$252=1),$F$275,HLOOKUP(INDIRECT(ADDRESS(2,COLUMN())),OFFSET($CL$2,0,0,ROW()-1,84),ROW()-1,FALSE))</f>
        <v>16.054531239999999</v>
      </c>
      <c r="G28">
        <f ca="1">IF(AND(ISNUMBER($G$275),$B$252=1),$G$275,HLOOKUP(INDIRECT(ADDRESS(2,COLUMN())),OFFSET($CL$2,0,0,ROW()-1,84),ROW()-1,FALSE))</f>
        <v>15.426975260000001</v>
      </c>
      <c r="H28">
        <f ca="1">IF(AND(ISNUMBER($H$275),$B$252=1),$H$275,HLOOKUP(INDIRECT(ADDRESS(2,COLUMN())),OFFSET($CL$2,0,0,ROW()-1,84),ROW()-1,FALSE))</f>
        <v>16.472440939999998</v>
      </c>
      <c r="I28">
        <f ca="1">IF(AND(ISNUMBER($I$275),$B$252=1),$I$275,HLOOKUP(INDIRECT(ADDRESS(2,COLUMN())),OFFSET($CL$2,0,0,ROW()-1,84),ROW()-1,FALSE))</f>
        <v>17.195121950000001</v>
      </c>
      <c r="J28">
        <f ca="1">IF(AND(ISNUMBER($J$275),$B$252=1),$J$275,HLOOKUP(INDIRECT(ADDRESS(2,COLUMN())),OFFSET($CL$2,0,0,ROW()-1,84),ROW()-1,FALSE))</f>
        <v>17.317360570000002</v>
      </c>
      <c r="K28">
        <f ca="1">IF(AND(ISNUMBER($K$275),$B$252=1),$K$275,HLOOKUP(INDIRECT(ADDRESS(2,COLUMN())),OFFSET($CL$2,0,0,ROW()-1,84),ROW()-1,FALSE))</f>
        <v>17.24029792</v>
      </c>
      <c r="L28">
        <f ca="1">IF(AND(ISNUMBER($L$275),$B$252=1),$L$275,HLOOKUP(INDIRECT(ADDRESS(2,COLUMN())),OFFSET($CL$2,0,0,ROW()-1,84),ROW()-1,FALSE))</f>
        <v>17.21350078</v>
      </c>
      <c r="M28">
        <f ca="1">IF(AND(ISNUMBER($M$275),$B$252=1),$M$275,HLOOKUP(INDIRECT(ADDRESS(2,COLUMN())),OFFSET($CL$2,0,0,ROW()-1,84),ROW()-1,FALSE))</f>
        <v>17.769502159999998</v>
      </c>
      <c r="N28">
        <f ca="1">IF(AND(ISNUMBER($N$275),$B$252=1),$N$275,HLOOKUP(INDIRECT(ADDRESS(2,COLUMN())),OFFSET($CL$2,0,0,ROW()-1,84),ROW()-1,FALSE))</f>
        <v>17.87676609</v>
      </c>
      <c r="O28">
        <f ca="1">IF(AND(ISNUMBER($O$275),$B$252=1),$O$275,HLOOKUP(INDIRECT(ADDRESS(2,COLUMN())),OFFSET($CL$2,0,0,ROW()-1,84),ROW()-1,FALSE))</f>
        <v>16.83117901</v>
      </c>
      <c r="P28">
        <f ca="1">IF(AND(ISNUMBER($P$275),$B$252=1),$P$275,HLOOKUP(INDIRECT(ADDRESS(2,COLUMN())),OFFSET($CL$2,0,0,ROW()-1,84),ROW()-1,FALSE))</f>
        <v>16.778733389999999</v>
      </c>
      <c r="Q28">
        <f ca="1">IF(AND(ISNUMBER($Q$275),$B$252=1),$Q$275,HLOOKUP(INDIRECT(ADDRESS(2,COLUMN())),OFFSET($CL$2,0,0,ROW()-1,84),ROW()-1,FALSE))</f>
        <v>16.993006990000001</v>
      </c>
      <c r="R28">
        <f ca="1">IF(AND(ISNUMBER($R$275),$B$252=1),$R$275,HLOOKUP(INDIRECT(ADDRESS(2,COLUMN())),OFFSET($CL$2,0,0,ROW()-1,84),ROW()-1,FALSE))</f>
        <v>17.229992230000001</v>
      </c>
      <c r="S28">
        <f ca="1">IF(AND(ISNUMBER($S$275),$B$252=1),$S$275,HLOOKUP(INDIRECT(ADDRESS(2,COLUMN())),OFFSET($CL$2,0,0,ROW()-1,84),ROW()-1,FALSE))</f>
        <v>18.07692308</v>
      </c>
      <c r="T28">
        <f ca="1">IF(AND(ISNUMBER($T$275),$B$252=1),$T$275,HLOOKUP(INDIRECT(ADDRESS(2,COLUMN())),OFFSET($CL$2,0,0,ROW()-1,84),ROW()-1,FALSE))</f>
        <v>17.048355900000001</v>
      </c>
      <c r="U28">
        <f ca="1">IF(AND(ISNUMBER($U$275),$B$252=1),$U$275,HLOOKUP(INDIRECT(ADDRESS(2,COLUMN())),OFFSET($CL$2,0,0,ROW()-1,84),ROW()-1,FALSE))</f>
        <v>17.636786959999998</v>
      </c>
      <c r="V28">
        <f ca="1">IF(AND(ISNUMBER($V$275),$B$252=1),$V$275,HLOOKUP(INDIRECT(ADDRESS(2,COLUMN())),OFFSET($CL$2,0,0,ROW()-1,84),ROW()-1,FALSE))</f>
        <v>16.217257320000002</v>
      </c>
      <c r="W28">
        <f ca="1">IF(AND(ISNUMBER($W$275),$B$252=1),$W$275,HLOOKUP(INDIRECT(ADDRESS(2,COLUMN())),OFFSET($CL$2,0,0,ROW()-1,84),ROW()-1,FALSE))</f>
        <v>16.782178219999999</v>
      </c>
      <c r="X28">
        <f ca="1">IF(AND(ISNUMBER($X$275),$B$252=1),$X$275,HLOOKUP(INDIRECT(ADDRESS(2,COLUMN())),OFFSET($CL$2,0,0,ROW()-1,84),ROW()-1,FALSE))</f>
        <v>17.220555139999998</v>
      </c>
      <c r="Y28">
        <f ca="1">IF(AND(ISNUMBER($Y$275),$B$252=1),$Y$275,HLOOKUP(INDIRECT(ADDRESS(2,COLUMN())),OFFSET($CL$2,0,0,ROW()-1,84),ROW()-1,FALSE))</f>
        <v>16.946736680000001</v>
      </c>
      <c r="Z28">
        <f ca="1">IF(AND(ISNUMBER($Z$275),$B$252=1),$Z$275,HLOOKUP(INDIRECT(ADDRESS(2,COLUMN())),OFFSET($CL$2,0,0,ROW()-1,84),ROW()-1,FALSE))</f>
        <v>17.512380950000001</v>
      </c>
      <c r="AA28">
        <f ca="1">IF(AND(ISNUMBER($AA$275),$B$252=1),$AA$275,HLOOKUP(INDIRECT(ADDRESS(2,COLUMN())),OFFSET($CL$2,0,0,ROW()-1,84),ROW()-1,FALSE))</f>
        <v>16.835684329999999</v>
      </c>
      <c r="AB28">
        <f ca="1">IF(AND(ISNUMBER($AB$275),$B$252=1),$AB$275,HLOOKUP(INDIRECT(ADDRESS(2,COLUMN())),OFFSET($CL$2,0,0,ROW()-1,84),ROW()-1,FALSE))</f>
        <v>16.26000762</v>
      </c>
      <c r="AC28">
        <f ca="1">IF(AND(ISNUMBER($AC$275),$B$252=1),$AC$275,HLOOKUP(INDIRECT(ADDRESS(2,COLUMN())),OFFSET($CL$2,0,0,ROW()-1,84),ROW()-1,FALSE))</f>
        <v>15.485117900000001</v>
      </c>
      <c r="AD28">
        <f ca="1">IF(AND(ISNUMBER($AD$275),$B$252=1),$AD$275,HLOOKUP(INDIRECT(ADDRESS(2,COLUMN())),OFFSET($CL$2,0,0,ROW()-1,84),ROW()-1,FALSE))</f>
        <v>16.165442599999999</v>
      </c>
      <c r="AE28">
        <f ca="1">IF(AND(ISNUMBER($AE$275),$B$252=1),$AE$275,HLOOKUP(INDIRECT(ADDRESS(2,COLUMN())),OFFSET($CL$2,0,0,ROW()-1,84),ROW()-1,FALSE))</f>
        <v>14.28404214</v>
      </c>
      <c r="AF28" t="str">
        <f ca="1">IF(AND(ISNUMBER($AF$275),$B$252=1),$AF$275,HLOOKUP(INDIRECT(ADDRESS(2,COLUMN())),OFFSET($CL$2,0,0,ROW()-1,84),ROW()-1,FALSE))</f>
        <v/>
      </c>
      <c r="AG28" t="str">
        <f ca="1">IF(AND(ISNUMBER($AG$275),$B$252=1),$AG$275,HLOOKUP(INDIRECT(ADDRESS(2,COLUMN())),OFFSET($CL$2,0,0,ROW()-1,84),ROW()-1,FALSE))</f>
        <v/>
      </c>
      <c r="AH28" t="str">
        <f ca="1">IF(AND(ISNUMBER($AH$275),$B$252=1),$AH$275,HLOOKUP(INDIRECT(ADDRESS(2,COLUMN())),OFFSET($CL$2,0,0,ROW()-1,84),ROW()-1,FALSE))</f>
        <v/>
      </c>
      <c r="AI28">
        <f ca="1">IF(AND(ISNUMBER($AI$275),$B$252=1),$AI$275,HLOOKUP(INDIRECT(ADDRESS(2,COLUMN())),OFFSET($CL$2,0,0,ROW()-1,84),ROW()-1,FALSE))</f>
        <v>13.956678699999999</v>
      </c>
      <c r="AJ28">
        <f ca="1">IF(AND(ISNUMBER($AJ$275),$B$252=1),$AJ$275,HLOOKUP(INDIRECT(ADDRESS(2,COLUMN())),OFFSET($CL$2,0,0,ROW()-1,84),ROW()-1,FALSE))</f>
        <v>13.36462094</v>
      </c>
      <c r="AK28">
        <f ca="1">IF(AND(ISNUMBER($AK$275),$B$252=1),$AK$275,HLOOKUP(INDIRECT(ADDRESS(2,COLUMN())),OFFSET($CL$2,0,0,ROW()-1,84),ROW()-1,FALSE))</f>
        <v>13.007220220000001</v>
      </c>
      <c r="AL28">
        <f ca="1">IF(AND(ISNUMBER($AL$275),$B$252=1),$AL$275,HLOOKUP(INDIRECT(ADDRESS(2,COLUMN())),OFFSET($CL$2,0,0,ROW()-1,84),ROW()-1,FALSE))</f>
        <v>14.42066421</v>
      </c>
      <c r="AM28" t="str">
        <f ca="1">IF(AND(ISNUMBER($AM$275),$B$252=1),$AM$275,HLOOKUP(INDIRECT(ADDRESS(2,COLUMN())),OFFSET($CL$2,0,0,ROW()-1,84),ROW()-1,FALSE))</f>
        <v/>
      </c>
      <c r="AN28" t="str">
        <f ca="1">IF(AND(ISNUMBER($AN$275),$B$252=1),$AN$275,HLOOKUP(INDIRECT(ADDRESS(2,COLUMN())),OFFSET($CL$2,0,0,ROW()-1,84),ROW()-1,FALSE))</f>
        <v/>
      </c>
      <c r="AO28" t="str">
        <f ca="1">IF(AND(ISNUMBER($AO$275),$B$252=1),$AO$275,HLOOKUP(INDIRECT(ADDRESS(2,COLUMN())),OFFSET($CL$2,0,0,ROW()-1,84),ROW()-1,FALSE))</f>
        <v/>
      </c>
      <c r="AP28" t="str">
        <f ca="1">IF(AND(ISNUMBER($AP$275),$B$252=1),$AP$275,HLOOKUP(INDIRECT(ADDRESS(2,COLUMN())),OFFSET($CL$2,0,0,ROW()-1,84),ROW()-1,FALSE))</f>
        <v/>
      </c>
      <c r="AQ28" t="str">
        <f ca="1">IF(AND(ISNUMBER($AQ$275),$B$252=1),$AQ$275,HLOOKUP(INDIRECT(ADDRESS(2,COLUMN())),OFFSET($CL$2,0,0,ROW()-1,84),ROW()-1,FALSE))</f>
        <v/>
      </c>
      <c r="AR28" t="str">
        <f ca="1">IF(AND(ISNUMBER($AR$275),$B$252=1),$AR$275,HLOOKUP(INDIRECT(ADDRESS(2,COLUMN())),OFFSET($CL$2,0,0,ROW()-1,84),ROW()-1,FALSE))</f>
        <v/>
      </c>
      <c r="AS28" t="str">
        <f ca="1">IF(AND(ISNUMBER($AS$275),$B$252=1),$AS$275,HLOOKUP(INDIRECT(ADDRESS(2,COLUMN())),OFFSET($CL$2,0,0,ROW()-1,84),ROW()-1,FALSE))</f>
        <v/>
      </c>
      <c r="AT28" t="str">
        <f ca="1">IF(AND(ISNUMBER($AT$275),$B$252=1),$AT$275,HLOOKUP(INDIRECT(ADDRESS(2,COLUMN())),OFFSET($CL$2,0,0,ROW()-1,84),ROW()-1,FALSE))</f>
        <v/>
      </c>
      <c r="AU28" t="str">
        <f ca="1">IF(AND(ISNUMBER($AU$275),$B$252=1),$AU$275,HLOOKUP(INDIRECT(ADDRESS(2,COLUMN())),OFFSET($CL$2,0,0,ROW()-1,84),ROW()-1,FALSE))</f>
        <v/>
      </c>
      <c r="AV28" t="str">
        <f ca="1">IF(AND(ISNUMBER($AV$275),$B$252=1),$AV$275,HLOOKUP(INDIRECT(ADDRESS(2,COLUMN())),OFFSET($CL$2,0,0,ROW()-1,84),ROW()-1,FALSE))</f>
        <v/>
      </c>
      <c r="AW28" t="str">
        <f ca="1">IF(AND(ISNUMBER($AW$275),$B$252=1),$AW$275,HLOOKUP(INDIRECT(ADDRESS(2,COLUMN())),OFFSET($CL$2,0,0,ROW()-1,84),ROW()-1,FALSE))</f>
        <v/>
      </c>
      <c r="AX28" t="str">
        <f ca="1">IF(AND(ISNUMBER($AX$275),$B$252=1),$AX$275,HLOOKUP(INDIRECT(ADDRESS(2,COLUMN())),OFFSET($CL$2,0,0,ROW()-1,84),ROW()-1,FALSE))</f>
        <v/>
      </c>
      <c r="AY28" t="str">
        <f ca="1">IF(AND(ISNUMBER($AY$275),$B$252=1),$AY$275,HLOOKUP(INDIRECT(ADDRESS(2,COLUMN())),OFFSET($CL$2,0,0,ROW()-1,84),ROW()-1,FALSE))</f>
        <v/>
      </c>
      <c r="AZ28" t="str">
        <f ca="1">IF(AND(ISNUMBER($AZ$275),$B$252=1),$AZ$275,HLOOKUP(INDIRECT(ADDRESS(2,COLUMN())),OFFSET($CL$2,0,0,ROW()-1,84),ROW()-1,FALSE))</f>
        <v/>
      </c>
      <c r="BA28" t="str">
        <f ca="1">IF(AND(ISNUMBER($BA$275),$B$252=1),$BA$275,HLOOKUP(INDIRECT(ADDRESS(2,COLUMN())),OFFSET($CL$2,0,0,ROW()-1,84),ROW()-1,FALSE))</f>
        <v/>
      </c>
      <c r="BB28" t="str">
        <f ca="1">IF(AND(ISNUMBER($BB$275),$B$252=1),$BB$275,HLOOKUP(INDIRECT(ADDRESS(2,COLUMN())),OFFSET($CL$2,0,0,ROW()-1,84),ROW()-1,FALSE))</f>
        <v/>
      </c>
      <c r="BC28" t="str">
        <f ca="1">IF(AND(ISNUMBER($BC$275),$B$252=1),$BC$275,HLOOKUP(INDIRECT(ADDRESS(2,COLUMN())),OFFSET($CL$2,0,0,ROW()-1,84),ROW()-1,FALSE))</f>
        <v/>
      </c>
      <c r="BD28" t="str">
        <f ca="1">IF(AND(ISNUMBER($BD$275),$B$252=1),$BD$275,HLOOKUP(INDIRECT(ADDRESS(2,COLUMN())),OFFSET($CL$2,0,0,ROW()-1,84),ROW()-1,FALSE))</f>
        <v/>
      </c>
      <c r="BE28" t="str">
        <f ca="1">IF(AND(ISNUMBER($BE$275),$B$252=1),$BE$275,HLOOKUP(INDIRECT(ADDRESS(2,COLUMN())),OFFSET($CL$2,0,0,ROW()-1,84),ROW()-1,FALSE))</f>
        <v/>
      </c>
      <c r="BF28" t="str">
        <f ca="1">IF(AND(ISNUMBER($BF$275),$B$252=1),$BF$275,HLOOKUP(INDIRECT(ADDRESS(2,COLUMN())),OFFSET($CL$2,0,0,ROW()-1,84),ROW()-1,FALSE))</f>
        <v/>
      </c>
      <c r="BG28" t="str">
        <f ca="1">IF(AND(ISNUMBER($BG$275),$B$252=1),$BG$275,HLOOKUP(INDIRECT(ADDRESS(2,COLUMN())),OFFSET($CL$2,0,0,ROW()-1,84),ROW()-1,FALSE))</f>
        <v/>
      </c>
      <c r="BH28" t="str">
        <f ca="1">IF(AND(ISNUMBER($BH$275),$B$252=1),$BH$275,HLOOKUP(INDIRECT(ADDRESS(2,COLUMN())),OFFSET($CL$2,0,0,ROW()-1,84),ROW()-1,FALSE))</f>
        <v/>
      </c>
      <c r="BI28" t="str">
        <f ca="1">IF(AND(ISNUMBER($BI$275),$B$252=1),$BI$275,HLOOKUP(INDIRECT(ADDRESS(2,COLUMN())),OFFSET($CL$2,0,0,ROW()-1,84),ROW()-1,FALSE))</f>
        <v/>
      </c>
      <c r="BJ28" t="str">
        <f ca="1">IF(AND(ISNUMBER($BJ$275),$B$252=1),$BJ$275,HLOOKUP(INDIRECT(ADDRESS(2,COLUMN())),OFFSET($CL$2,0,0,ROW()-1,84),ROW()-1,FALSE))</f>
        <v/>
      </c>
      <c r="BK28" t="str">
        <f ca="1">IF(AND(ISNUMBER($BK$275),$B$252=1),$BK$275,HLOOKUP(INDIRECT(ADDRESS(2,COLUMN())),OFFSET($CL$2,0,0,ROW()-1,84),ROW()-1,FALSE))</f>
        <v/>
      </c>
      <c r="BL28" t="str">
        <f ca="1">IF(AND(ISNUMBER($BL$275),$B$252=1),$BL$275,HLOOKUP(INDIRECT(ADDRESS(2,COLUMN())),OFFSET($CL$2,0,0,ROW()-1,84),ROW()-1,FALSE))</f>
        <v/>
      </c>
      <c r="BM28" t="str">
        <f ca="1">IF(AND(ISNUMBER($BM$275),$B$252=1),$BM$275,HLOOKUP(INDIRECT(ADDRESS(2,COLUMN())),OFFSET($CL$2,0,0,ROW()-1,84),ROW()-1,FALSE))</f>
        <v/>
      </c>
      <c r="BN28" t="str">
        <f ca="1">IF(AND(ISNUMBER($BN$275),$B$252=1),$BN$275,HLOOKUP(INDIRECT(ADDRESS(2,COLUMN())),OFFSET($CL$2,0,0,ROW()-1,84),ROW()-1,FALSE))</f>
        <v/>
      </c>
      <c r="BO28" t="str">
        <f ca="1">IF(AND(ISNUMBER($BO$275),$B$252=1),$BO$275,HLOOKUP(INDIRECT(ADDRESS(2,COLUMN())),OFFSET($CL$2,0,0,ROW()-1,84),ROW()-1,FALSE))</f>
        <v/>
      </c>
      <c r="BP28" t="str">
        <f ca="1">IF(AND(ISNUMBER($BP$275),$B$252=1),$BP$275,HLOOKUP(INDIRECT(ADDRESS(2,COLUMN())),OFFSET($CL$2,0,0,ROW()-1,84),ROW()-1,FALSE))</f>
        <v/>
      </c>
      <c r="BQ28" t="str">
        <f ca="1">IF(AND(ISNUMBER($BQ$275),$B$252=1),$BQ$275,HLOOKUP(INDIRECT(ADDRESS(2,COLUMN())),OFFSET($CL$2,0,0,ROW()-1,84),ROW()-1,FALSE))</f>
        <v/>
      </c>
      <c r="BR28" t="str">
        <f ca="1">IF(AND(ISNUMBER($BR$275),$B$252=1),$BR$275,HLOOKUP(INDIRECT(ADDRESS(2,COLUMN())),OFFSET($CL$2,0,0,ROW()-1,84),ROW()-1,FALSE))</f>
        <v/>
      </c>
      <c r="BS28" t="str">
        <f ca="1">IF(AND(ISNUMBER($BS$275),$B$252=1),$BS$275,HLOOKUP(INDIRECT(ADDRESS(2,COLUMN())),OFFSET($CL$2,0,0,ROW()-1,84),ROW()-1,FALSE))</f>
        <v/>
      </c>
      <c r="BT28" t="str">
        <f ca="1">IF(AND(ISNUMBER($BT$275),$B$252=1),$BT$275,HLOOKUP(INDIRECT(ADDRESS(2,COLUMN())),OFFSET($CL$2,0,0,ROW()-1,84),ROW()-1,FALSE))</f>
        <v/>
      </c>
      <c r="BU28" t="str">
        <f ca="1">IF(AND(ISNUMBER($BU$275),$B$252=1),$BU$275,HLOOKUP(INDIRECT(ADDRESS(2,COLUMN())),OFFSET($CL$2,0,0,ROW()-1,84),ROW()-1,FALSE))</f>
        <v/>
      </c>
      <c r="BV28" t="str">
        <f ca="1">IF(AND(ISNUMBER($BV$275),$B$252=1),$BV$275,HLOOKUP(INDIRECT(ADDRESS(2,COLUMN())),OFFSET($CL$2,0,0,ROW()-1,84),ROW()-1,FALSE))</f>
        <v/>
      </c>
      <c r="BW28" t="str">
        <f ca="1">IF(AND(ISNUMBER($BW$275),$B$252=1),$BW$275,HLOOKUP(INDIRECT(ADDRESS(2,COLUMN())),OFFSET($CL$2,0,0,ROW()-1,84),ROW()-1,FALSE))</f>
        <v/>
      </c>
      <c r="BX28" t="str">
        <f ca="1">IF(AND(ISNUMBER($BX$275),$B$252=1),$BX$275,HLOOKUP(INDIRECT(ADDRESS(2,COLUMN())),OFFSET($CL$2,0,0,ROW()-1,84),ROW()-1,FALSE))</f>
        <v/>
      </c>
      <c r="BY28" t="str">
        <f ca="1">IF(AND(ISNUMBER($BY$275),$B$252=1),$BY$275,HLOOKUP(INDIRECT(ADDRESS(2,COLUMN())),OFFSET($CL$2,0,0,ROW()-1,84),ROW()-1,FALSE))</f>
        <v/>
      </c>
      <c r="BZ28" t="str">
        <f ca="1">IF(AND(ISNUMBER($BZ$275),$B$252=1),$BZ$275,HLOOKUP(INDIRECT(ADDRESS(2,COLUMN())),OFFSET($CL$2,0,0,ROW()-1,84),ROW()-1,FALSE))</f>
        <v/>
      </c>
      <c r="CA28" t="str">
        <f ca="1">IF(AND(ISNUMBER($CA$275),$B$252=1),$CA$275,HLOOKUP(INDIRECT(ADDRESS(2,COLUMN())),OFFSET($CL$2,0,0,ROW()-1,84),ROW()-1,FALSE))</f>
        <v/>
      </c>
      <c r="CB28" t="str">
        <f ca="1">IF(AND(ISNUMBER($CB$275),$B$252=1),$CB$275,HLOOKUP(INDIRECT(ADDRESS(2,COLUMN())),OFFSET($CL$2,0,0,ROW()-1,84),ROW()-1,FALSE))</f>
        <v/>
      </c>
      <c r="CC28" t="str">
        <f ca="1">IF(AND(ISNUMBER($CC$275),$B$252=1),$CC$275,HLOOKUP(INDIRECT(ADDRESS(2,COLUMN())),OFFSET($CL$2,0,0,ROW()-1,84),ROW()-1,FALSE))</f>
        <v/>
      </c>
      <c r="CD28" t="str">
        <f ca="1">IF(AND(ISNUMBER($CD$275),$B$252=1),$CD$275,HLOOKUP(INDIRECT(ADDRESS(2,COLUMN())),OFFSET($CL$2,0,0,ROW()-1,84),ROW()-1,FALSE))</f>
        <v/>
      </c>
      <c r="CE28" t="str">
        <f ca="1">IF(AND(ISNUMBER($CE$275),$B$252=1),$CE$275,HLOOKUP(INDIRECT(ADDRESS(2,COLUMN())),OFFSET($CL$2,0,0,ROW()-1,84),ROW()-1,FALSE))</f>
        <v/>
      </c>
      <c r="CF28" t="str">
        <f ca="1">IF(AND(ISNUMBER($CF$275),$B$252=1),$CF$275,HLOOKUP(INDIRECT(ADDRESS(2,COLUMN())),OFFSET($CL$2,0,0,ROW()-1,84),ROW()-1,FALSE))</f>
        <v/>
      </c>
      <c r="CG28" t="str">
        <f ca="1">IF(AND(ISNUMBER($CG$275),$B$252=1),$CG$275,HLOOKUP(INDIRECT(ADDRESS(2,COLUMN())),OFFSET($CL$2,0,0,ROW()-1,84),ROW()-1,FALSE))</f>
        <v/>
      </c>
      <c r="CH28" t="str">
        <f ca="1">IF(AND(ISNUMBER($CH$275),$B$252=1),$CH$275,HLOOKUP(INDIRECT(ADDRESS(2,COLUMN())),OFFSET($CL$2,0,0,ROW()-1,84),ROW()-1,FALSE))</f>
        <v/>
      </c>
      <c r="CI28" t="str">
        <f ca="1">IF(AND(ISNUMBER($CI$275),$B$252=1),$CI$275,HLOOKUP(INDIRECT(ADDRESS(2,COLUMN())),OFFSET($CL$2,0,0,ROW()-1,84),ROW()-1,FALSE))</f>
        <v/>
      </c>
      <c r="CJ28" t="str">
        <f ca="1">IF(AND(ISNUMBER($CJ$275),$B$252=1),$CJ$275,HLOOKUP(INDIRECT(ADDRESS(2,COLUMN())),OFFSET($CL$2,0,0,ROW()-1,84),ROW()-1,FALSE))</f>
        <v/>
      </c>
      <c r="CK28" t="str">
        <f ca="1">IF(AND(ISNUMBER($CK$275),$B$252=1),$CK$275,HLOOKUP(INDIRECT(ADDRESS(2,COLUMN())),OFFSET($CL$2,0,0,ROW()-1,84),ROW()-1,FALSE))</f>
        <v/>
      </c>
      <c r="CL28">
        <f>16.05453124</f>
        <v>16.054531239999999</v>
      </c>
      <c r="CM28">
        <f>15.42697526</f>
        <v>15.426975260000001</v>
      </c>
      <c r="CN28">
        <f>16.47244094</f>
        <v>16.472440939999998</v>
      </c>
      <c r="CO28">
        <f>17.19512195</f>
        <v>17.195121950000001</v>
      </c>
      <c r="CP28">
        <f>17.31736057</f>
        <v>17.317360570000002</v>
      </c>
      <c r="CQ28">
        <f>17.24029792</f>
        <v>17.24029792</v>
      </c>
      <c r="CR28">
        <f>17.21350078</f>
        <v>17.21350078</v>
      </c>
      <c r="CS28">
        <f>17.76950216</f>
        <v>17.769502159999998</v>
      </c>
      <c r="CT28">
        <f>17.87676609</f>
        <v>17.87676609</v>
      </c>
      <c r="CU28">
        <f>16.83117901</f>
        <v>16.83117901</v>
      </c>
      <c r="CV28">
        <f>16.77873339</f>
        <v>16.778733389999999</v>
      </c>
      <c r="CW28">
        <f>16.99300699</f>
        <v>16.993006990000001</v>
      </c>
      <c r="CX28">
        <f>17.22999223</f>
        <v>17.229992230000001</v>
      </c>
      <c r="CY28">
        <f>18.07692308</f>
        <v>18.07692308</v>
      </c>
      <c r="CZ28">
        <f>17.0483559</f>
        <v>17.048355900000001</v>
      </c>
      <c r="DA28">
        <f>17.63678696</f>
        <v>17.636786959999998</v>
      </c>
      <c r="DB28">
        <f>16.21725732</f>
        <v>16.217257320000002</v>
      </c>
      <c r="DC28">
        <f>16.78217822</f>
        <v>16.782178219999999</v>
      </c>
      <c r="DD28">
        <f>17.22055514</f>
        <v>17.220555139999998</v>
      </c>
      <c r="DE28">
        <f>16.94673668</f>
        <v>16.946736680000001</v>
      </c>
      <c r="DF28">
        <f>17.51238095</f>
        <v>17.512380950000001</v>
      </c>
      <c r="DG28">
        <f>16.83568433</f>
        <v>16.835684329999999</v>
      </c>
      <c r="DH28">
        <f>16.26000762</f>
        <v>16.26000762</v>
      </c>
      <c r="DI28">
        <f>15.4851179</f>
        <v>15.485117900000001</v>
      </c>
      <c r="DJ28">
        <f>16.1654426</f>
        <v>16.165442599999999</v>
      </c>
      <c r="DK28">
        <f>14.28404214</f>
        <v>14.28404214</v>
      </c>
      <c r="DL28" t="str">
        <f>""</f>
        <v/>
      </c>
      <c r="DM28" t="str">
        <f>""</f>
        <v/>
      </c>
      <c r="DN28" t="str">
        <f>""</f>
        <v/>
      </c>
      <c r="DO28">
        <f>13.9566787</f>
        <v>13.956678699999999</v>
      </c>
      <c r="DP28">
        <f>13.36462094</f>
        <v>13.36462094</v>
      </c>
      <c r="DQ28">
        <f>13.00722022</f>
        <v>13.007220220000001</v>
      </c>
      <c r="DR28">
        <f>14.42066421</f>
        <v>14.42066421</v>
      </c>
      <c r="DS28" t="str">
        <f>""</f>
        <v/>
      </c>
      <c r="DT28" t="str">
        <f>""</f>
        <v/>
      </c>
      <c r="DU28" t="str">
        <f>""</f>
        <v/>
      </c>
      <c r="DV28" t="str">
        <f>""</f>
        <v/>
      </c>
      <c r="DW28" t="str">
        <f>""</f>
        <v/>
      </c>
      <c r="DX28" t="str">
        <f>""</f>
        <v/>
      </c>
      <c r="DY28" t="str">
        <f>""</f>
        <v/>
      </c>
      <c r="DZ28" t="str">
        <f>""</f>
        <v/>
      </c>
      <c r="EA28" t="str">
        <f>""</f>
        <v/>
      </c>
      <c r="EB28" t="str">
        <f>""</f>
        <v/>
      </c>
      <c r="EC28" t="str">
        <f>""</f>
        <v/>
      </c>
      <c r="ED28" t="str">
        <f>""</f>
        <v/>
      </c>
      <c r="EE28" t="str">
        <f>""</f>
        <v/>
      </c>
      <c r="EF28" t="str">
        <f>""</f>
        <v/>
      </c>
      <c r="EG28" t="str">
        <f>""</f>
        <v/>
      </c>
      <c r="EH28" t="str">
        <f>""</f>
        <v/>
      </c>
      <c r="EI28" t="str">
        <f>""</f>
        <v/>
      </c>
      <c r="EJ28" t="str">
        <f>""</f>
        <v/>
      </c>
      <c r="EK28" t="str">
        <f>""</f>
        <v/>
      </c>
      <c r="EL28" t="str">
        <f>""</f>
        <v/>
      </c>
      <c r="EM28" t="str">
        <f>""</f>
        <v/>
      </c>
      <c r="EN28" t="str">
        <f>""</f>
        <v/>
      </c>
      <c r="EO28" t="str">
        <f>""</f>
        <v/>
      </c>
      <c r="EP28" t="str">
        <f>""</f>
        <v/>
      </c>
      <c r="EQ28" t="str">
        <f>""</f>
        <v/>
      </c>
      <c r="ER28" t="str">
        <f>""</f>
        <v/>
      </c>
      <c r="ES28" t="str">
        <f>""</f>
        <v/>
      </c>
      <c r="ET28" t="str">
        <f>""</f>
        <v/>
      </c>
      <c r="EU28" t="str">
        <f>""</f>
        <v/>
      </c>
      <c r="EV28" t="str">
        <f>""</f>
        <v/>
      </c>
      <c r="EW28" t="str">
        <f>""</f>
        <v/>
      </c>
      <c r="EX28" t="str">
        <f>""</f>
        <v/>
      </c>
      <c r="EY28" t="str">
        <f>""</f>
        <v/>
      </c>
      <c r="EZ28" t="str">
        <f>""</f>
        <v/>
      </c>
      <c r="FA28" t="str">
        <f>""</f>
        <v/>
      </c>
      <c r="FB28" t="str">
        <f>""</f>
        <v/>
      </c>
      <c r="FC28" t="str">
        <f>""</f>
        <v/>
      </c>
      <c r="FD28" t="str">
        <f>""</f>
        <v/>
      </c>
      <c r="FE28" t="str">
        <f>""</f>
        <v/>
      </c>
      <c r="FF28" t="str">
        <f>""</f>
        <v/>
      </c>
      <c r="FG28" t="str">
        <f>""</f>
        <v/>
      </c>
      <c r="FH28" t="str">
        <f>""</f>
        <v/>
      </c>
      <c r="FI28" t="str">
        <f>""</f>
        <v/>
      </c>
      <c r="FJ28" t="str">
        <f>""</f>
        <v/>
      </c>
      <c r="FK28" t="str">
        <f>""</f>
        <v/>
      </c>
      <c r="FL28" t="str">
        <f>""</f>
        <v/>
      </c>
      <c r="FM28" t="str">
        <f>""</f>
        <v/>
      </c>
      <c r="FN28" t="str">
        <f>""</f>
        <v/>
      </c>
      <c r="FO28" t="str">
        <f>""</f>
        <v/>
      </c>
      <c r="FP28" t="str">
        <f>""</f>
        <v/>
      </c>
      <c r="FQ28" t="str">
        <f>""</f>
        <v/>
      </c>
    </row>
    <row r="29" spans="1:173">
      <c r="A29" t="str">
        <f>"    AvalonBay社区股份有限公司"</f>
        <v xml:space="preserve">    AvalonBay社区股份有限公司</v>
      </c>
      <c r="B29" t="str">
        <f>"AVB US Equity"</f>
        <v>AVB US Equity</v>
      </c>
      <c r="C29" t="str">
        <f t="shared" si="9"/>
        <v>BE249</v>
      </c>
      <c r="D29" t="str">
        <f t="shared" si="10"/>
        <v>BEST_PRICE_FFO_RATIO</v>
      </c>
      <c r="E29" t="str">
        <f t="shared" si="11"/>
        <v>动态</v>
      </c>
      <c r="F29">
        <f ca="1">IF(AND(ISNUMBER($F$276),$B$252=1),$F$276,HLOOKUP(INDIRECT(ADDRESS(2,COLUMN())),OFFSET($CL$2,0,0,ROW()-1,84),ROW()-1,FALSE))</f>
        <v>18.067114570000001</v>
      </c>
      <c r="G29">
        <f ca="1">IF(AND(ISNUMBER($G$276),$B$252=1),$G$276,HLOOKUP(INDIRECT(ADDRESS(2,COLUMN())),OFFSET($CL$2,0,0,ROW()-1,84),ROW()-1,FALSE))</f>
        <v>17.436298610000001</v>
      </c>
      <c r="H29">
        <f ca="1">IF(AND(ISNUMBER($H$276),$B$252=1),$H$276,HLOOKUP(INDIRECT(ADDRESS(2,COLUMN())),OFFSET($CL$2,0,0,ROW()-1,84),ROW()-1,FALSE))</f>
        <v>18.783068780000001</v>
      </c>
      <c r="I29">
        <f ca="1">IF(AND(ISNUMBER($I$276),$B$252=1),$I$276,HLOOKUP(INDIRECT(ADDRESS(2,COLUMN())),OFFSET($CL$2,0,0,ROW()-1,84),ROW()-1,FALSE))</f>
        <v>19.599033290000001</v>
      </c>
      <c r="J29">
        <f ca="1">IF(AND(ISNUMBER($J$276),$B$252=1),$J$276,HLOOKUP(INDIRECT(ADDRESS(2,COLUMN())),OFFSET($CL$2,0,0,ROW()-1,84),ROW()-1,FALSE))</f>
        <v>19.948294829999998</v>
      </c>
      <c r="K29">
        <f ca="1">IF(AND(ISNUMBER($K$276),$B$252=1),$K$276,HLOOKUP(INDIRECT(ADDRESS(2,COLUMN())),OFFSET($CL$2,0,0,ROW()-1,84),ROW()-1,FALSE))</f>
        <v>19.970264319999998</v>
      </c>
      <c r="L29">
        <f ca="1">IF(AND(ISNUMBER($L$276),$B$252=1),$L$276,HLOOKUP(INDIRECT(ADDRESS(2,COLUMN())),OFFSET($CL$2,0,0,ROW()-1,84),ROW()-1,FALSE))</f>
        <v>19.613059249999999</v>
      </c>
      <c r="M29">
        <f ca="1">IF(AND(ISNUMBER($M$276),$B$252=1),$M$276,HLOOKUP(INDIRECT(ADDRESS(2,COLUMN())),OFFSET($CL$2,0,0,ROW()-1,84),ROW()-1,FALSE))</f>
        <v>20.62967033</v>
      </c>
      <c r="N29">
        <f ca="1">IF(AND(ISNUMBER($N$276),$B$252=1),$N$276,HLOOKUP(INDIRECT(ADDRESS(2,COLUMN())),OFFSET($CL$2,0,0,ROW()-1,84),ROW()-1,FALSE))</f>
        <v>20.914428619999999</v>
      </c>
      <c r="O29">
        <f ca="1">IF(AND(ISNUMBER($O$276),$B$252=1),$O$276,HLOOKUP(INDIRECT(ADDRESS(2,COLUMN())),OFFSET($CL$2,0,0,ROW()-1,84),ROW()-1,FALSE))</f>
        <v>20.906222799999998</v>
      </c>
      <c r="P29">
        <f ca="1">IF(AND(ISNUMBER($P$276),$B$252=1),$P$276,HLOOKUP(INDIRECT(ADDRESS(2,COLUMN())),OFFSET($CL$2,0,0,ROW()-1,84),ROW()-1,FALSE))</f>
        <v>20.827706379999999</v>
      </c>
      <c r="Q29">
        <f ca="1">IF(AND(ISNUMBER($Q$276),$B$252=1),$Q$276,HLOOKUP(INDIRECT(ADDRESS(2,COLUMN())),OFFSET($CL$2,0,0,ROW()-1,84),ROW()-1,FALSE))</f>
        <v>20.648248859999999</v>
      </c>
      <c r="R29">
        <f ca="1">IF(AND(ISNUMBER($R$276),$B$252=1),$R$276,HLOOKUP(INDIRECT(ADDRESS(2,COLUMN())),OFFSET($CL$2,0,0,ROW()-1,84),ROW()-1,FALSE))</f>
        <v>19.98258598</v>
      </c>
      <c r="S29">
        <f ca="1">IF(AND(ISNUMBER($S$276),$B$252=1),$S$276,HLOOKUP(INDIRECT(ADDRESS(2,COLUMN())),OFFSET($CL$2,0,0,ROW()-1,84),ROW()-1,FALSE))</f>
        <v>20.006531679999998</v>
      </c>
      <c r="T29">
        <f ca="1">IF(AND(ISNUMBER($T$276),$B$252=1),$T$276,HLOOKUP(INDIRECT(ADDRESS(2,COLUMN())),OFFSET($CL$2,0,0,ROW()-1,84),ROW()-1,FALSE))</f>
        <v>18.791065809999999</v>
      </c>
      <c r="U29">
        <f ca="1">IF(AND(ISNUMBER($U$276),$B$252=1),$U$276,HLOOKUP(INDIRECT(ADDRESS(2,COLUMN())),OFFSET($CL$2,0,0,ROW()-1,84),ROW()-1,FALSE))</f>
        <v>19.255434780000002</v>
      </c>
      <c r="V29">
        <f ca="1">IF(AND(ISNUMBER($V$276),$B$252=1),$V$276,HLOOKUP(INDIRECT(ADDRESS(2,COLUMN())),OFFSET($CL$2,0,0,ROW()-1,84),ROW()-1,FALSE))</f>
        <v>17.750080929999999</v>
      </c>
      <c r="W29">
        <f ca="1">IF(AND(ISNUMBER($W$276),$B$252=1),$W$276,HLOOKUP(INDIRECT(ADDRESS(2,COLUMN())),OFFSET($CL$2,0,0,ROW()-1,84),ROW()-1,FALSE))</f>
        <v>18.487957659999999</v>
      </c>
      <c r="X29">
        <f ca="1">IF(AND(ISNUMBER($X$276),$B$252=1),$X$276,HLOOKUP(INDIRECT(ADDRESS(2,COLUMN())),OFFSET($CL$2,0,0,ROW()-1,84),ROW()-1,FALSE))</f>
        <v>18.785254040000002</v>
      </c>
      <c r="Y29">
        <f ca="1">IF(AND(ISNUMBER($Y$276),$B$252=1),$Y$276,HLOOKUP(INDIRECT(ADDRESS(2,COLUMN())),OFFSET($CL$2,0,0,ROW()-1,84),ROW()-1,FALSE))</f>
        <v>18.494135050000001</v>
      </c>
      <c r="Z29">
        <f ca="1">IF(AND(ISNUMBER($Z$276),$B$252=1),$Z$276,HLOOKUP(INDIRECT(ADDRESS(2,COLUMN())),OFFSET($CL$2,0,0,ROW()-1,84),ROW()-1,FALSE))</f>
        <v>19.372847749999998</v>
      </c>
      <c r="AA29">
        <f ca="1">IF(AND(ISNUMBER($AA$276),$B$252=1),$AA$276,HLOOKUP(INDIRECT(ADDRESS(2,COLUMN())),OFFSET($CL$2,0,0,ROW()-1,84),ROW()-1,FALSE))</f>
        <v>18.741818179999999</v>
      </c>
      <c r="AB29">
        <f ca="1">IF(AND(ISNUMBER($AB$276),$B$252=1),$AB$276,HLOOKUP(INDIRECT(ADDRESS(2,COLUMN())),OFFSET($CL$2,0,0,ROW()-1,84),ROW()-1,FALSE))</f>
        <v>18.65975104</v>
      </c>
      <c r="AC29">
        <f ca="1">IF(AND(ISNUMBER($AC$276),$B$252=1),$AC$276,HLOOKUP(INDIRECT(ADDRESS(2,COLUMN())),OFFSET($CL$2,0,0,ROW()-1,84),ROW()-1,FALSE))</f>
        <v>18.282316439999999</v>
      </c>
      <c r="AD29">
        <f ca="1">IF(AND(ISNUMBER($AD$276),$B$252=1),$AD$276,HLOOKUP(INDIRECT(ADDRESS(2,COLUMN())),OFFSET($CL$2,0,0,ROW()-1,84),ROW()-1,FALSE))</f>
        <v>19.582003499999999</v>
      </c>
      <c r="AE29">
        <f ca="1">IF(AND(ISNUMBER($AE$276),$B$252=1),$AE$276,HLOOKUP(INDIRECT(ADDRESS(2,COLUMN())),OFFSET($CL$2,0,0,ROW()-1,84),ROW()-1,FALSE))</f>
        <v>17.694845359999999</v>
      </c>
      <c r="AF29">
        <f ca="1">IF(AND(ISNUMBER($AF$276),$B$252=1),$AF$276,HLOOKUP(INDIRECT(ADDRESS(2,COLUMN())),OFFSET($CL$2,0,0,ROW()-1,84),ROW()-1,FALSE))</f>
        <v>17.200601809999998</v>
      </c>
      <c r="AG29">
        <f ca="1">IF(AND(ISNUMBER($AG$276),$B$252=1),$AG$276,HLOOKUP(INDIRECT(ADDRESS(2,COLUMN())),OFFSET($CL$2,0,0,ROW()-1,84),ROW()-1,FALSE))</f>
        <v>18.468405220000001</v>
      </c>
      <c r="AH29">
        <f ca="1">IF(AND(ISNUMBER($AH$276),$B$252=1),$AH$276,HLOOKUP(INDIRECT(ADDRESS(2,COLUMN())),OFFSET($CL$2,0,0,ROW()-1,84),ROW()-1,FALSE))</f>
        <v>18.233701100000001</v>
      </c>
      <c r="AI29">
        <f ca="1">IF(AND(ISNUMBER($AI$276),$B$252=1),$AI$276,HLOOKUP(INDIRECT(ADDRESS(2,COLUMN())),OFFSET($CL$2,0,0,ROW()-1,84),ROW()-1,FALSE))</f>
        <v>17.631944440000002</v>
      </c>
      <c r="AJ29">
        <f ca="1">IF(AND(ISNUMBER($AJ$276),$B$252=1),$AJ$276,HLOOKUP(INDIRECT(ADDRESS(2,COLUMN())),OFFSET($CL$2,0,0,ROW()-1,84),ROW()-1,FALSE))</f>
        <v>17.343253969999999</v>
      </c>
      <c r="AK29">
        <f ca="1">IF(AND(ISNUMBER($AK$276),$B$252=1),$AK$276,HLOOKUP(INDIRECT(ADDRESS(2,COLUMN())),OFFSET($CL$2,0,0,ROW()-1,84),ROW()-1,FALSE))</f>
        <v>16.375</v>
      </c>
      <c r="AL29">
        <f ca="1">IF(AND(ISNUMBER($AL$276),$B$252=1),$AL$276,HLOOKUP(INDIRECT(ADDRESS(2,COLUMN())),OFFSET($CL$2,0,0,ROW()-1,84),ROW()-1,FALSE))</f>
        <v>17.803719009999998</v>
      </c>
      <c r="AM29" t="str">
        <f ca="1">IF(AND(ISNUMBER($AM$276),$B$252=1),$AM$276,HLOOKUP(INDIRECT(ADDRESS(2,COLUMN())),OFFSET($CL$2,0,0,ROW()-1,84),ROW()-1,FALSE))</f>
        <v/>
      </c>
      <c r="AN29" t="str">
        <f ca="1">IF(AND(ISNUMBER($AN$276),$B$252=1),$AN$276,HLOOKUP(INDIRECT(ADDRESS(2,COLUMN())),OFFSET($CL$2,0,0,ROW()-1,84),ROW()-1,FALSE))</f>
        <v/>
      </c>
      <c r="AO29" t="str">
        <f ca="1">IF(AND(ISNUMBER($AO$276),$B$252=1),$AO$276,HLOOKUP(INDIRECT(ADDRESS(2,COLUMN())),OFFSET($CL$2,0,0,ROW()-1,84),ROW()-1,FALSE))</f>
        <v/>
      </c>
      <c r="AP29" t="str">
        <f ca="1">IF(AND(ISNUMBER($AP$276),$B$252=1),$AP$276,HLOOKUP(INDIRECT(ADDRESS(2,COLUMN())),OFFSET($CL$2,0,0,ROW()-1,84),ROW()-1,FALSE))</f>
        <v/>
      </c>
      <c r="AQ29" t="str">
        <f ca="1">IF(AND(ISNUMBER($AQ$276),$B$252=1),$AQ$276,HLOOKUP(INDIRECT(ADDRESS(2,COLUMN())),OFFSET($CL$2,0,0,ROW()-1,84),ROW()-1,FALSE))</f>
        <v/>
      </c>
      <c r="AR29" t="str">
        <f ca="1">IF(AND(ISNUMBER($AR$276),$B$252=1),$AR$276,HLOOKUP(INDIRECT(ADDRESS(2,COLUMN())),OFFSET($CL$2,0,0,ROW()-1,84),ROW()-1,FALSE))</f>
        <v/>
      </c>
      <c r="AS29" t="str">
        <f ca="1">IF(AND(ISNUMBER($AS$276),$B$252=1),$AS$276,HLOOKUP(INDIRECT(ADDRESS(2,COLUMN())),OFFSET($CL$2,0,0,ROW()-1,84),ROW()-1,FALSE))</f>
        <v/>
      </c>
      <c r="AT29" t="str">
        <f ca="1">IF(AND(ISNUMBER($AT$276),$B$252=1),$AT$276,HLOOKUP(INDIRECT(ADDRESS(2,COLUMN())),OFFSET($CL$2,0,0,ROW()-1,84),ROW()-1,FALSE))</f>
        <v/>
      </c>
      <c r="AU29" t="str">
        <f ca="1">IF(AND(ISNUMBER($AU$276),$B$252=1),$AU$276,HLOOKUP(INDIRECT(ADDRESS(2,COLUMN())),OFFSET($CL$2,0,0,ROW()-1,84),ROW()-1,FALSE))</f>
        <v/>
      </c>
      <c r="AV29" t="str">
        <f ca="1">IF(AND(ISNUMBER($AV$276),$B$252=1),$AV$276,HLOOKUP(INDIRECT(ADDRESS(2,COLUMN())),OFFSET($CL$2,0,0,ROW()-1,84),ROW()-1,FALSE))</f>
        <v/>
      </c>
      <c r="AW29" t="str">
        <f ca="1">IF(AND(ISNUMBER($AW$276),$B$252=1),$AW$276,HLOOKUP(INDIRECT(ADDRESS(2,COLUMN())),OFFSET($CL$2,0,0,ROW()-1,84),ROW()-1,FALSE))</f>
        <v/>
      </c>
      <c r="AX29" t="str">
        <f ca="1">IF(AND(ISNUMBER($AX$276),$B$252=1),$AX$276,HLOOKUP(INDIRECT(ADDRESS(2,COLUMN())),OFFSET($CL$2,0,0,ROW()-1,84),ROW()-1,FALSE))</f>
        <v/>
      </c>
      <c r="AY29" t="str">
        <f ca="1">IF(AND(ISNUMBER($AY$276),$B$252=1),$AY$276,HLOOKUP(INDIRECT(ADDRESS(2,COLUMN())),OFFSET($CL$2,0,0,ROW()-1,84),ROW()-1,FALSE))</f>
        <v/>
      </c>
      <c r="AZ29" t="str">
        <f ca="1">IF(AND(ISNUMBER($AZ$276),$B$252=1),$AZ$276,HLOOKUP(INDIRECT(ADDRESS(2,COLUMN())),OFFSET($CL$2,0,0,ROW()-1,84),ROW()-1,FALSE))</f>
        <v/>
      </c>
      <c r="BA29" t="str">
        <f ca="1">IF(AND(ISNUMBER($BA$276),$B$252=1),$BA$276,HLOOKUP(INDIRECT(ADDRESS(2,COLUMN())),OFFSET($CL$2,0,0,ROW()-1,84),ROW()-1,FALSE))</f>
        <v/>
      </c>
      <c r="BB29" t="str">
        <f ca="1">IF(AND(ISNUMBER($BB$276),$B$252=1),$BB$276,HLOOKUP(INDIRECT(ADDRESS(2,COLUMN())),OFFSET($CL$2,0,0,ROW()-1,84),ROW()-1,FALSE))</f>
        <v/>
      </c>
      <c r="BC29" t="str">
        <f ca="1">IF(AND(ISNUMBER($BC$276),$B$252=1),$BC$276,HLOOKUP(INDIRECT(ADDRESS(2,COLUMN())),OFFSET($CL$2,0,0,ROW()-1,84),ROW()-1,FALSE))</f>
        <v/>
      </c>
      <c r="BD29" t="str">
        <f ca="1">IF(AND(ISNUMBER($BD$276),$B$252=1),$BD$276,HLOOKUP(INDIRECT(ADDRESS(2,COLUMN())),OFFSET($CL$2,0,0,ROW()-1,84),ROW()-1,FALSE))</f>
        <v/>
      </c>
      <c r="BE29" t="str">
        <f ca="1">IF(AND(ISNUMBER($BE$276),$B$252=1),$BE$276,HLOOKUP(INDIRECT(ADDRESS(2,COLUMN())),OFFSET($CL$2,0,0,ROW()-1,84),ROW()-1,FALSE))</f>
        <v/>
      </c>
      <c r="BF29" t="str">
        <f ca="1">IF(AND(ISNUMBER($BF$276),$B$252=1),$BF$276,HLOOKUP(INDIRECT(ADDRESS(2,COLUMN())),OFFSET($CL$2,0,0,ROW()-1,84),ROW()-1,FALSE))</f>
        <v/>
      </c>
      <c r="BG29" t="str">
        <f ca="1">IF(AND(ISNUMBER($BG$276),$B$252=1),$BG$276,HLOOKUP(INDIRECT(ADDRESS(2,COLUMN())),OFFSET($CL$2,0,0,ROW()-1,84),ROW()-1,FALSE))</f>
        <v/>
      </c>
      <c r="BH29" t="str">
        <f ca="1">IF(AND(ISNUMBER($BH$276),$B$252=1),$BH$276,HLOOKUP(INDIRECT(ADDRESS(2,COLUMN())),OFFSET($CL$2,0,0,ROW()-1,84),ROW()-1,FALSE))</f>
        <v/>
      </c>
      <c r="BI29" t="str">
        <f ca="1">IF(AND(ISNUMBER($BI$276),$B$252=1),$BI$276,HLOOKUP(INDIRECT(ADDRESS(2,COLUMN())),OFFSET($CL$2,0,0,ROW()-1,84),ROW()-1,FALSE))</f>
        <v/>
      </c>
      <c r="BJ29" t="str">
        <f ca="1">IF(AND(ISNUMBER($BJ$276),$B$252=1),$BJ$276,HLOOKUP(INDIRECT(ADDRESS(2,COLUMN())),OFFSET($CL$2,0,0,ROW()-1,84),ROW()-1,FALSE))</f>
        <v/>
      </c>
      <c r="BK29" t="str">
        <f ca="1">IF(AND(ISNUMBER($BK$276),$B$252=1),$BK$276,HLOOKUP(INDIRECT(ADDRESS(2,COLUMN())),OFFSET($CL$2,0,0,ROW()-1,84),ROW()-1,FALSE))</f>
        <v/>
      </c>
      <c r="BL29" t="str">
        <f ca="1">IF(AND(ISNUMBER($BL$276),$B$252=1),$BL$276,HLOOKUP(INDIRECT(ADDRESS(2,COLUMN())),OFFSET($CL$2,0,0,ROW()-1,84),ROW()-1,FALSE))</f>
        <v/>
      </c>
      <c r="BM29" t="str">
        <f ca="1">IF(AND(ISNUMBER($BM$276),$B$252=1),$BM$276,HLOOKUP(INDIRECT(ADDRESS(2,COLUMN())),OFFSET($CL$2,0,0,ROW()-1,84),ROW()-1,FALSE))</f>
        <v/>
      </c>
      <c r="BN29" t="str">
        <f ca="1">IF(AND(ISNUMBER($BN$276),$B$252=1),$BN$276,HLOOKUP(INDIRECT(ADDRESS(2,COLUMN())),OFFSET($CL$2,0,0,ROW()-1,84),ROW()-1,FALSE))</f>
        <v/>
      </c>
      <c r="BO29" t="str">
        <f ca="1">IF(AND(ISNUMBER($BO$276),$B$252=1),$BO$276,HLOOKUP(INDIRECT(ADDRESS(2,COLUMN())),OFFSET($CL$2,0,0,ROW()-1,84),ROW()-1,FALSE))</f>
        <v/>
      </c>
      <c r="BP29" t="str">
        <f ca="1">IF(AND(ISNUMBER($BP$276),$B$252=1),$BP$276,HLOOKUP(INDIRECT(ADDRESS(2,COLUMN())),OFFSET($CL$2,0,0,ROW()-1,84),ROW()-1,FALSE))</f>
        <v/>
      </c>
      <c r="BQ29" t="str">
        <f ca="1">IF(AND(ISNUMBER($BQ$276),$B$252=1),$BQ$276,HLOOKUP(INDIRECT(ADDRESS(2,COLUMN())),OFFSET($CL$2,0,0,ROW()-1,84),ROW()-1,FALSE))</f>
        <v/>
      </c>
      <c r="BR29" t="str">
        <f ca="1">IF(AND(ISNUMBER($BR$276),$B$252=1),$BR$276,HLOOKUP(INDIRECT(ADDRESS(2,COLUMN())),OFFSET($CL$2,0,0,ROW()-1,84),ROW()-1,FALSE))</f>
        <v/>
      </c>
      <c r="BS29" t="str">
        <f ca="1">IF(AND(ISNUMBER($BS$276),$B$252=1),$BS$276,HLOOKUP(INDIRECT(ADDRESS(2,COLUMN())),OFFSET($CL$2,0,0,ROW()-1,84),ROW()-1,FALSE))</f>
        <v/>
      </c>
      <c r="BT29" t="str">
        <f ca="1">IF(AND(ISNUMBER($BT$276),$B$252=1),$BT$276,HLOOKUP(INDIRECT(ADDRESS(2,COLUMN())),OFFSET($CL$2,0,0,ROW()-1,84),ROW()-1,FALSE))</f>
        <v/>
      </c>
      <c r="BU29" t="str">
        <f ca="1">IF(AND(ISNUMBER($BU$276),$B$252=1),$BU$276,HLOOKUP(INDIRECT(ADDRESS(2,COLUMN())),OFFSET($CL$2,0,0,ROW()-1,84),ROW()-1,FALSE))</f>
        <v/>
      </c>
      <c r="BV29" t="str">
        <f ca="1">IF(AND(ISNUMBER($BV$276),$B$252=1),$BV$276,HLOOKUP(INDIRECT(ADDRESS(2,COLUMN())),OFFSET($CL$2,0,0,ROW()-1,84),ROW()-1,FALSE))</f>
        <v/>
      </c>
      <c r="BW29" t="str">
        <f ca="1">IF(AND(ISNUMBER($BW$276),$B$252=1),$BW$276,HLOOKUP(INDIRECT(ADDRESS(2,COLUMN())),OFFSET($CL$2,0,0,ROW()-1,84),ROW()-1,FALSE))</f>
        <v/>
      </c>
      <c r="BX29" t="str">
        <f ca="1">IF(AND(ISNUMBER($BX$276),$B$252=1),$BX$276,HLOOKUP(INDIRECT(ADDRESS(2,COLUMN())),OFFSET($CL$2,0,0,ROW()-1,84),ROW()-1,FALSE))</f>
        <v/>
      </c>
      <c r="BY29" t="str">
        <f ca="1">IF(AND(ISNUMBER($BY$276),$B$252=1),$BY$276,HLOOKUP(INDIRECT(ADDRESS(2,COLUMN())),OFFSET($CL$2,0,0,ROW()-1,84),ROW()-1,FALSE))</f>
        <v/>
      </c>
      <c r="BZ29" t="str">
        <f ca="1">IF(AND(ISNUMBER($BZ$276),$B$252=1),$BZ$276,HLOOKUP(INDIRECT(ADDRESS(2,COLUMN())),OFFSET($CL$2,0,0,ROW()-1,84),ROW()-1,FALSE))</f>
        <v/>
      </c>
      <c r="CA29" t="str">
        <f ca="1">IF(AND(ISNUMBER($CA$276),$B$252=1),$CA$276,HLOOKUP(INDIRECT(ADDRESS(2,COLUMN())),OFFSET($CL$2,0,0,ROW()-1,84),ROW()-1,FALSE))</f>
        <v/>
      </c>
      <c r="CB29" t="str">
        <f ca="1">IF(AND(ISNUMBER($CB$276),$B$252=1),$CB$276,HLOOKUP(INDIRECT(ADDRESS(2,COLUMN())),OFFSET($CL$2,0,0,ROW()-1,84),ROW()-1,FALSE))</f>
        <v/>
      </c>
      <c r="CC29" t="str">
        <f ca="1">IF(AND(ISNUMBER($CC$276),$B$252=1),$CC$276,HLOOKUP(INDIRECT(ADDRESS(2,COLUMN())),OFFSET($CL$2,0,0,ROW()-1,84),ROW()-1,FALSE))</f>
        <v/>
      </c>
      <c r="CD29" t="str">
        <f ca="1">IF(AND(ISNUMBER($CD$276),$B$252=1),$CD$276,HLOOKUP(INDIRECT(ADDRESS(2,COLUMN())),OFFSET($CL$2,0,0,ROW()-1,84),ROW()-1,FALSE))</f>
        <v/>
      </c>
      <c r="CE29" t="str">
        <f ca="1">IF(AND(ISNUMBER($CE$276),$B$252=1),$CE$276,HLOOKUP(INDIRECT(ADDRESS(2,COLUMN())),OFFSET($CL$2,0,0,ROW()-1,84),ROW()-1,FALSE))</f>
        <v/>
      </c>
      <c r="CF29" t="str">
        <f ca="1">IF(AND(ISNUMBER($CF$276),$B$252=1),$CF$276,HLOOKUP(INDIRECT(ADDRESS(2,COLUMN())),OFFSET($CL$2,0,0,ROW()-1,84),ROW()-1,FALSE))</f>
        <v/>
      </c>
      <c r="CG29" t="str">
        <f ca="1">IF(AND(ISNUMBER($CG$276),$B$252=1),$CG$276,HLOOKUP(INDIRECT(ADDRESS(2,COLUMN())),OFFSET($CL$2,0,0,ROW()-1,84),ROW()-1,FALSE))</f>
        <v/>
      </c>
      <c r="CH29" t="str">
        <f ca="1">IF(AND(ISNUMBER($CH$276),$B$252=1),$CH$276,HLOOKUP(INDIRECT(ADDRESS(2,COLUMN())),OFFSET($CL$2,0,0,ROW()-1,84),ROW()-1,FALSE))</f>
        <v/>
      </c>
      <c r="CI29" t="str">
        <f ca="1">IF(AND(ISNUMBER($CI$276),$B$252=1),$CI$276,HLOOKUP(INDIRECT(ADDRESS(2,COLUMN())),OFFSET($CL$2,0,0,ROW()-1,84),ROW()-1,FALSE))</f>
        <v/>
      </c>
      <c r="CJ29" t="str">
        <f ca="1">IF(AND(ISNUMBER($CJ$276),$B$252=1),$CJ$276,HLOOKUP(INDIRECT(ADDRESS(2,COLUMN())),OFFSET($CL$2,0,0,ROW()-1,84),ROW()-1,FALSE))</f>
        <v/>
      </c>
      <c r="CK29" t="str">
        <f ca="1">IF(AND(ISNUMBER($CK$276),$B$252=1),$CK$276,HLOOKUP(INDIRECT(ADDRESS(2,COLUMN())),OFFSET($CL$2,0,0,ROW()-1,84),ROW()-1,FALSE))</f>
        <v/>
      </c>
      <c r="CL29">
        <f>18.06711457</f>
        <v>18.067114570000001</v>
      </c>
      <c r="CM29">
        <f>17.43629861</f>
        <v>17.436298610000001</v>
      </c>
      <c r="CN29">
        <f>18.78306878</f>
        <v>18.783068780000001</v>
      </c>
      <c r="CO29">
        <f>19.59903329</f>
        <v>19.599033290000001</v>
      </c>
      <c r="CP29">
        <f>19.94829483</f>
        <v>19.948294829999998</v>
      </c>
      <c r="CQ29">
        <f>19.97026432</f>
        <v>19.970264319999998</v>
      </c>
      <c r="CR29">
        <f>19.61305925</f>
        <v>19.613059249999999</v>
      </c>
      <c r="CS29">
        <f>20.62967033</f>
        <v>20.62967033</v>
      </c>
      <c r="CT29">
        <f>20.91442862</f>
        <v>20.914428619999999</v>
      </c>
      <c r="CU29">
        <f>20.9062228</f>
        <v>20.906222799999998</v>
      </c>
      <c r="CV29">
        <f>20.82770638</f>
        <v>20.827706379999999</v>
      </c>
      <c r="CW29">
        <f>20.64824886</f>
        <v>20.648248859999999</v>
      </c>
      <c r="CX29">
        <f>19.98258598</f>
        <v>19.98258598</v>
      </c>
      <c r="CY29">
        <f>20.00653168</f>
        <v>20.006531679999998</v>
      </c>
      <c r="CZ29">
        <f>18.79106581</f>
        <v>18.791065809999999</v>
      </c>
      <c r="DA29">
        <f>19.25543478</f>
        <v>19.255434780000002</v>
      </c>
      <c r="DB29">
        <f>17.75008093</f>
        <v>17.750080929999999</v>
      </c>
      <c r="DC29">
        <f>18.48795766</f>
        <v>18.487957659999999</v>
      </c>
      <c r="DD29">
        <f>18.78525404</f>
        <v>18.785254040000002</v>
      </c>
      <c r="DE29">
        <f>18.49413505</f>
        <v>18.494135050000001</v>
      </c>
      <c r="DF29">
        <f>19.37284775</f>
        <v>19.372847749999998</v>
      </c>
      <c r="DG29">
        <f>18.74181818</f>
        <v>18.741818179999999</v>
      </c>
      <c r="DH29">
        <f>18.65975104</f>
        <v>18.65975104</v>
      </c>
      <c r="DI29">
        <f>18.28231644</f>
        <v>18.282316439999999</v>
      </c>
      <c r="DJ29">
        <f>19.5820035</f>
        <v>19.582003499999999</v>
      </c>
      <c r="DK29">
        <f>17.69484536</f>
        <v>17.694845359999999</v>
      </c>
      <c r="DL29">
        <f>17.20060181</f>
        <v>17.200601809999998</v>
      </c>
      <c r="DM29">
        <f>18.46840522</f>
        <v>18.468405220000001</v>
      </c>
      <c r="DN29">
        <f>18.2337011</f>
        <v>18.233701100000001</v>
      </c>
      <c r="DO29">
        <f>17.63194444</f>
        <v>17.631944440000002</v>
      </c>
      <c r="DP29">
        <f>17.34325397</f>
        <v>17.343253969999999</v>
      </c>
      <c r="DQ29">
        <f>16.375</f>
        <v>16.375</v>
      </c>
      <c r="DR29">
        <f>17.80371901</f>
        <v>17.803719009999998</v>
      </c>
      <c r="DS29" t="str">
        <f>""</f>
        <v/>
      </c>
      <c r="DT29" t="str">
        <f>""</f>
        <v/>
      </c>
      <c r="DU29" t="str">
        <f>""</f>
        <v/>
      </c>
      <c r="DV29" t="str">
        <f>""</f>
        <v/>
      </c>
      <c r="DW29" t="str">
        <f>""</f>
        <v/>
      </c>
      <c r="DX29" t="str">
        <f>""</f>
        <v/>
      </c>
      <c r="DY29" t="str">
        <f>""</f>
        <v/>
      </c>
      <c r="DZ29" t="str">
        <f>""</f>
        <v/>
      </c>
      <c r="EA29" t="str">
        <f>""</f>
        <v/>
      </c>
      <c r="EB29" t="str">
        <f>""</f>
        <v/>
      </c>
      <c r="EC29" t="str">
        <f>""</f>
        <v/>
      </c>
      <c r="ED29" t="str">
        <f>""</f>
        <v/>
      </c>
      <c r="EE29" t="str">
        <f>""</f>
        <v/>
      </c>
      <c r="EF29" t="str">
        <f>""</f>
        <v/>
      </c>
      <c r="EG29" t="str">
        <f>""</f>
        <v/>
      </c>
      <c r="EH29" t="str">
        <f>""</f>
        <v/>
      </c>
      <c r="EI29" t="str">
        <f>""</f>
        <v/>
      </c>
      <c r="EJ29" t="str">
        <f>""</f>
        <v/>
      </c>
      <c r="EK29" t="str">
        <f>""</f>
        <v/>
      </c>
      <c r="EL29" t="str">
        <f>""</f>
        <v/>
      </c>
      <c r="EM29" t="str">
        <f>""</f>
        <v/>
      </c>
      <c r="EN29" t="str">
        <f>""</f>
        <v/>
      </c>
      <c r="EO29" t="str">
        <f>""</f>
        <v/>
      </c>
      <c r="EP29" t="str">
        <f>""</f>
        <v/>
      </c>
      <c r="EQ29" t="str">
        <f>""</f>
        <v/>
      </c>
      <c r="ER29" t="str">
        <f>""</f>
        <v/>
      </c>
      <c r="ES29" t="str">
        <f>""</f>
        <v/>
      </c>
      <c r="ET29" t="str">
        <f>""</f>
        <v/>
      </c>
      <c r="EU29" t="str">
        <f>""</f>
        <v/>
      </c>
      <c r="EV29" t="str">
        <f>""</f>
        <v/>
      </c>
      <c r="EW29" t="str">
        <f>""</f>
        <v/>
      </c>
      <c r="EX29" t="str">
        <f>""</f>
        <v/>
      </c>
      <c r="EY29" t="str">
        <f>""</f>
        <v/>
      </c>
      <c r="EZ29" t="str">
        <f>""</f>
        <v/>
      </c>
      <c r="FA29" t="str">
        <f>""</f>
        <v/>
      </c>
      <c r="FB29" t="str">
        <f>""</f>
        <v/>
      </c>
      <c r="FC29" t="str">
        <f>""</f>
        <v/>
      </c>
      <c r="FD29" t="str">
        <f>""</f>
        <v/>
      </c>
      <c r="FE29" t="str">
        <f>""</f>
        <v/>
      </c>
      <c r="FF29" t="str">
        <f>""</f>
        <v/>
      </c>
      <c r="FG29" t="str">
        <f>""</f>
        <v/>
      </c>
      <c r="FH29" t="str">
        <f>""</f>
        <v/>
      </c>
      <c r="FI29" t="str">
        <f>""</f>
        <v/>
      </c>
      <c r="FJ29" t="str">
        <f>""</f>
        <v/>
      </c>
      <c r="FK29" t="str">
        <f>""</f>
        <v/>
      </c>
      <c r="FL29" t="str">
        <f>""</f>
        <v/>
      </c>
      <c r="FM29" t="str">
        <f>""</f>
        <v/>
      </c>
      <c r="FN29" t="str">
        <f>""</f>
        <v/>
      </c>
      <c r="FO29" t="str">
        <f>""</f>
        <v/>
      </c>
      <c r="FP29" t="str">
        <f>""</f>
        <v/>
      </c>
      <c r="FQ29" t="str">
        <f>""</f>
        <v/>
      </c>
    </row>
    <row r="30" spans="1:173">
      <c r="A30" t="str">
        <f>"    Camden 房地产信托公司"</f>
        <v xml:space="preserve">    Camden 房地产信托公司</v>
      </c>
      <c r="B30" t="str">
        <f>"CPT US Equity"</f>
        <v>CPT US Equity</v>
      </c>
      <c r="C30" t="str">
        <f t="shared" si="9"/>
        <v>BE249</v>
      </c>
      <c r="D30" t="str">
        <f t="shared" si="10"/>
        <v>BEST_PRICE_FFO_RATIO</v>
      </c>
      <c r="E30" t="str">
        <f t="shared" si="11"/>
        <v>动态</v>
      </c>
      <c r="F30">
        <f ca="1">IF(AND(ISNUMBER($F$277),$B$252=1),$F$277,HLOOKUP(INDIRECT(ADDRESS(2,COLUMN())),OFFSET($CL$2,0,0,ROW()-1,84),ROW()-1,FALSE))</f>
        <v>17.48790296</v>
      </c>
      <c r="G30">
        <f ca="1">IF(AND(ISNUMBER($G$277),$B$252=1),$G$277,HLOOKUP(INDIRECT(ADDRESS(2,COLUMN())),OFFSET($CL$2,0,0,ROW()-1,84),ROW()-1,FALSE))</f>
        <v>16.75635905</v>
      </c>
      <c r="H30">
        <f ca="1">IF(AND(ISNUMBER($H$277),$B$252=1),$H$277,HLOOKUP(INDIRECT(ADDRESS(2,COLUMN())),OFFSET($CL$2,0,0,ROW()-1,84),ROW()-1,FALSE))</f>
        <v>18.063439070000001</v>
      </c>
      <c r="I30">
        <f ca="1">IF(AND(ISNUMBER($I$277),$B$252=1),$I$277,HLOOKUP(INDIRECT(ADDRESS(2,COLUMN())),OFFSET($CL$2,0,0,ROW()-1,84),ROW()-1,FALSE))</f>
        <v>19.191161139999998</v>
      </c>
      <c r="J30">
        <f ca="1">IF(AND(ISNUMBER($J$277),$B$252=1),$J$277,HLOOKUP(INDIRECT(ADDRESS(2,COLUMN())),OFFSET($CL$2,0,0,ROW()-1,84),ROW()-1,FALSE))</f>
        <v>19.016666669999999</v>
      </c>
      <c r="K30">
        <f ca="1">IF(AND(ISNUMBER($K$277),$B$252=1),$K$277,HLOOKUP(INDIRECT(ADDRESS(2,COLUMN())),OFFSET($CL$2,0,0,ROW()-1,84),ROW()-1,FALSE))</f>
        <v>19.06792059</v>
      </c>
      <c r="L30">
        <f ca="1">IF(AND(ISNUMBER($L$277),$B$252=1),$L$277,HLOOKUP(INDIRECT(ADDRESS(2,COLUMN())),OFFSET($CL$2,0,0,ROW()-1,84),ROW()-1,FALSE))</f>
        <v>19.056053339999998</v>
      </c>
      <c r="M30">
        <f ca="1">IF(AND(ISNUMBER($M$277),$B$252=1),$M$277,HLOOKUP(INDIRECT(ADDRESS(2,COLUMN())),OFFSET($CL$2,0,0,ROW()-1,84),ROW()-1,FALSE))</f>
        <v>18.61839367</v>
      </c>
      <c r="N30">
        <f ca="1">IF(AND(ISNUMBER($N$277),$B$252=1),$N$277,HLOOKUP(INDIRECT(ADDRESS(2,COLUMN())),OFFSET($CL$2,0,0,ROW()-1,84),ROW()-1,FALSE))</f>
        <v>18.68360758</v>
      </c>
      <c r="O30">
        <f ca="1">IF(AND(ISNUMBER($O$277),$B$252=1),$O$277,HLOOKUP(INDIRECT(ADDRESS(2,COLUMN())),OFFSET($CL$2,0,0,ROW()-1,84),ROW()-1,FALSE))</f>
        <v>17.87042842</v>
      </c>
      <c r="P30">
        <f ca="1">IF(AND(ISNUMBER($P$277),$B$252=1),$P$277,HLOOKUP(INDIRECT(ADDRESS(2,COLUMN())),OFFSET($CL$2,0,0,ROW()-1,84),ROW()-1,FALSE))</f>
        <v>17.436165760000002</v>
      </c>
      <c r="Q30">
        <f ca="1">IF(AND(ISNUMBER($Q$277),$B$252=1),$Q$277,HLOOKUP(INDIRECT(ADDRESS(2,COLUMN())),OFFSET($CL$2,0,0,ROW()-1,84),ROW()-1,FALSE))</f>
        <v>17.292585590000002</v>
      </c>
      <c r="R30">
        <f ca="1">IF(AND(ISNUMBER($R$277),$B$252=1),$R$277,HLOOKUP(INDIRECT(ADDRESS(2,COLUMN())),OFFSET($CL$2,0,0,ROW()-1,84),ROW()-1,FALSE))</f>
        <v>16.928255839999998</v>
      </c>
      <c r="S30">
        <f ca="1">IF(AND(ISNUMBER($S$277),$B$252=1),$S$277,HLOOKUP(INDIRECT(ADDRESS(2,COLUMN())),OFFSET($CL$2,0,0,ROW()-1,84),ROW()-1,FALSE))</f>
        <v>17.798570229999999</v>
      </c>
      <c r="T30">
        <f ca="1">IF(AND(ISNUMBER($T$277),$B$252=1),$T$277,HLOOKUP(INDIRECT(ADDRESS(2,COLUMN())),OFFSET($CL$2,0,0,ROW()-1,84),ROW()-1,FALSE))</f>
        <v>17.439482470000002</v>
      </c>
      <c r="U30">
        <f ca="1">IF(AND(ISNUMBER($U$277),$B$252=1),$U$277,HLOOKUP(INDIRECT(ADDRESS(2,COLUMN())),OFFSET($CL$2,0,0,ROW()-1,84),ROW()-1,FALSE))</f>
        <v>17.54016274</v>
      </c>
      <c r="V30">
        <f ca="1">IF(AND(ISNUMBER($V$277),$B$252=1),$V$277,HLOOKUP(INDIRECT(ADDRESS(2,COLUMN())),OFFSET($CL$2,0,0,ROW()-1,84),ROW()-1,FALSE))</f>
        <v>16.435581540000001</v>
      </c>
      <c r="W30">
        <f ca="1">IF(AND(ISNUMBER($W$277),$B$252=1),$W$277,HLOOKUP(INDIRECT(ADDRESS(2,COLUMN())),OFFSET($CL$2,0,0,ROW()-1,84),ROW()-1,FALSE))</f>
        <v>17.094878250000001</v>
      </c>
      <c r="X30">
        <f ca="1">IF(AND(ISNUMBER($X$277),$B$252=1),$X$277,HLOOKUP(INDIRECT(ADDRESS(2,COLUMN())),OFFSET($CL$2,0,0,ROW()-1,84),ROW()-1,FALSE))</f>
        <v>17.49686586</v>
      </c>
      <c r="Y30">
        <f ca="1">IF(AND(ISNUMBER($Y$277),$B$252=1),$Y$277,HLOOKUP(INDIRECT(ADDRESS(2,COLUMN())),OFFSET($CL$2,0,0,ROW()-1,84),ROW()-1,FALSE))</f>
        <v>18.22466777</v>
      </c>
      <c r="Z30">
        <f ca="1">IF(AND(ISNUMBER($Z$277),$B$252=1),$Z$277,HLOOKUP(INDIRECT(ADDRESS(2,COLUMN())),OFFSET($CL$2,0,0,ROW()-1,84),ROW()-1,FALSE))</f>
        <v>18.90882229</v>
      </c>
      <c r="AA30">
        <f ca="1">IF(AND(ISNUMBER($AA$277),$B$252=1),$AA$277,HLOOKUP(INDIRECT(ADDRESS(2,COLUMN())),OFFSET($CL$2,0,0,ROW()-1,84),ROW()-1,FALSE))</f>
        <v>18.34059324</v>
      </c>
      <c r="AB30">
        <f ca="1">IF(AND(ISNUMBER($AB$277),$B$252=1),$AB$277,HLOOKUP(INDIRECT(ADDRESS(2,COLUMN())),OFFSET($CL$2,0,0,ROW()-1,84),ROW()-1,FALSE))</f>
        <v>17.627223829999998</v>
      </c>
      <c r="AC30">
        <f ca="1">IF(AND(ISNUMBER($AC$277),$B$252=1),$AC$277,HLOOKUP(INDIRECT(ADDRESS(2,COLUMN())),OFFSET($CL$2,0,0,ROW()-1,84),ROW()-1,FALSE))</f>
        <v>15.33916017</v>
      </c>
      <c r="AD30">
        <f ca="1">IF(AND(ISNUMBER($AD$277),$B$252=1),$AD$277,HLOOKUP(INDIRECT(ADDRESS(2,COLUMN())),OFFSET($CL$2,0,0,ROW()-1,84),ROW()-1,FALSE))</f>
        <v>15.82423786</v>
      </c>
      <c r="AE30">
        <f ca="1">IF(AND(ISNUMBER($AE$277),$B$252=1),$AE$277,HLOOKUP(INDIRECT(ADDRESS(2,COLUMN())),OFFSET($CL$2,0,0,ROW()-1,84),ROW()-1,FALSE))</f>
        <v>14.04887218</v>
      </c>
      <c r="AF30">
        <f ca="1">IF(AND(ISNUMBER($AF$277),$B$252=1),$AF$277,HLOOKUP(INDIRECT(ADDRESS(2,COLUMN())),OFFSET($CL$2,0,0,ROW()-1,84),ROW()-1,FALSE))</f>
        <v>14.077490770000001</v>
      </c>
      <c r="AG30">
        <f ca="1">IF(AND(ISNUMBER($AG$277),$B$252=1),$AG$277,HLOOKUP(INDIRECT(ADDRESS(2,COLUMN())),OFFSET($CL$2,0,0,ROW()-1,84),ROW()-1,FALSE))</f>
        <v>13.609929080000001</v>
      </c>
      <c r="AH30" t="str">
        <f ca="1">IF(AND(ISNUMBER($AH$277),$B$252=1),$AH$277,HLOOKUP(INDIRECT(ADDRESS(2,COLUMN())),OFFSET($CL$2,0,0,ROW()-1,84),ROW()-1,FALSE))</f>
        <v/>
      </c>
      <c r="AI30" t="str">
        <f ca="1">IF(AND(ISNUMBER($AI$277),$B$252=1),$AI$277,HLOOKUP(INDIRECT(ADDRESS(2,COLUMN())),OFFSET($CL$2,0,0,ROW()-1,84),ROW()-1,FALSE))</f>
        <v/>
      </c>
      <c r="AJ30" t="str">
        <f ca="1">IF(AND(ISNUMBER($AJ$277),$B$252=1),$AJ$277,HLOOKUP(INDIRECT(ADDRESS(2,COLUMN())),OFFSET($CL$2,0,0,ROW()-1,84),ROW()-1,FALSE))</f>
        <v/>
      </c>
      <c r="AK30" t="str">
        <f ca="1">IF(AND(ISNUMBER($AK$277),$B$252=1),$AK$277,HLOOKUP(INDIRECT(ADDRESS(2,COLUMN())),OFFSET($CL$2,0,0,ROW()-1,84),ROW()-1,FALSE))</f>
        <v/>
      </c>
      <c r="AL30" t="str">
        <f ca="1">IF(AND(ISNUMBER($AL$277),$B$252=1),$AL$277,HLOOKUP(INDIRECT(ADDRESS(2,COLUMN())),OFFSET($CL$2,0,0,ROW()-1,84),ROW()-1,FALSE))</f>
        <v/>
      </c>
      <c r="AM30" t="str">
        <f ca="1">IF(AND(ISNUMBER($AM$277),$B$252=1),$AM$277,HLOOKUP(INDIRECT(ADDRESS(2,COLUMN())),OFFSET($CL$2,0,0,ROW()-1,84),ROW()-1,FALSE))</f>
        <v/>
      </c>
      <c r="AN30" t="str">
        <f ca="1">IF(AND(ISNUMBER($AN$277),$B$252=1),$AN$277,HLOOKUP(INDIRECT(ADDRESS(2,COLUMN())),OFFSET($CL$2,0,0,ROW()-1,84),ROW()-1,FALSE))</f>
        <v/>
      </c>
      <c r="AO30" t="str">
        <f ca="1">IF(AND(ISNUMBER($AO$277),$B$252=1),$AO$277,HLOOKUP(INDIRECT(ADDRESS(2,COLUMN())),OFFSET($CL$2,0,0,ROW()-1,84),ROW()-1,FALSE))</f>
        <v/>
      </c>
      <c r="AP30" t="str">
        <f ca="1">IF(AND(ISNUMBER($AP$277),$B$252=1),$AP$277,HLOOKUP(INDIRECT(ADDRESS(2,COLUMN())),OFFSET($CL$2,0,0,ROW()-1,84),ROW()-1,FALSE))</f>
        <v/>
      </c>
      <c r="AQ30" t="str">
        <f ca="1">IF(AND(ISNUMBER($AQ$277),$B$252=1),$AQ$277,HLOOKUP(INDIRECT(ADDRESS(2,COLUMN())),OFFSET($CL$2,0,0,ROW()-1,84),ROW()-1,FALSE))</f>
        <v/>
      </c>
      <c r="AR30" t="str">
        <f ca="1">IF(AND(ISNUMBER($AR$277),$B$252=1),$AR$277,HLOOKUP(INDIRECT(ADDRESS(2,COLUMN())),OFFSET($CL$2,0,0,ROW()-1,84),ROW()-1,FALSE))</f>
        <v/>
      </c>
      <c r="AS30" t="str">
        <f ca="1">IF(AND(ISNUMBER($AS$277),$B$252=1),$AS$277,HLOOKUP(INDIRECT(ADDRESS(2,COLUMN())),OFFSET($CL$2,0,0,ROW()-1,84),ROW()-1,FALSE))</f>
        <v/>
      </c>
      <c r="AT30" t="str">
        <f ca="1">IF(AND(ISNUMBER($AT$277),$B$252=1),$AT$277,HLOOKUP(INDIRECT(ADDRESS(2,COLUMN())),OFFSET($CL$2,0,0,ROW()-1,84),ROW()-1,FALSE))</f>
        <v/>
      </c>
      <c r="AU30" t="str">
        <f ca="1">IF(AND(ISNUMBER($AU$277),$B$252=1),$AU$277,HLOOKUP(INDIRECT(ADDRESS(2,COLUMN())),OFFSET($CL$2,0,0,ROW()-1,84),ROW()-1,FALSE))</f>
        <v/>
      </c>
      <c r="AV30" t="str">
        <f ca="1">IF(AND(ISNUMBER($AV$277),$B$252=1),$AV$277,HLOOKUP(INDIRECT(ADDRESS(2,COLUMN())),OFFSET($CL$2,0,0,ROW()-1,84),ROW()-1,FALSE))</f>
        <v/>
      </c>
      <c r="AW30" t="str">
        <f ca="1">IF(AND(ISNUMBER($AW$277),$B$252=1),$AW$277,HLOOKUP(INDIRECT(ADDRESS(2,COLUMN())),OFFSET($CL$2,0,0,ROW()-1,84),ROW()-1,FALSE))</f>
        <v/>
      </c>
      <c r="AX30" t="str">
        <f ca="1">IF(AND(ISNUMBER($AX$277),$B$252=1),$AX$277,HLOOKUP(INDIRECT(ADDRESS(2,COLUMN())),OFFSET($CL$2,0,0,ROW()-1,84),ROW()-1,FALSE))</f>
        <v/>
      </c>
      <c r="AY30" t="str">
        <f ca="1">IF(AND(ISNUMBER($AY$277),$B$252=1),$AY$277,HLOOKUP(INDIRECT(ADDRESS(2,COLUMN())),OFFSET($CL$2,0,0,ROW()-1,84),ROW()-1,FALSE))</f>
        <v/>
      </c>
      <c r="AZ30" t="str">
        <f ca="1">IF(AND(ISNUMBER($AZ$277),$B$252=1),$AZ$277,HLOOKUP(INDIRECT(ADDRESS(2,COLUMN())),OFFSET($CL$2,0,0,ROW()-1,84),ROW()-1,FALSE))</f>
        <v/>
      </c>
      <c r="BA30" t="str">
        <f ca="1">IF(AND(ISNUMBER($BA$277),$B$252=1),$BA$277,HLOOKUP(INDIRECT(ADDRESS(2,COLUMN())),OFFSET($CL$2,0,0,ROW()-1,84),ROW()-1,FALSE))</f>
        <v/>
      </c>
      <c r="BB30" t="str">
        <f ca="1">IF(AND(ISNUMBER($BB$277),$B$252=1),$BB$277,HLOOKUP(INDIRECT(ADDRESS(2,COLUMN())),OFFSET($CL$2,0,0,ROW()-1,84),ROW()-1,FALSE))</f>
        <v/>
      </c>
      <c r="BC30" t="str">
        <f ca="1">IF(AND(ISNUMBER($BC$277),$B$252=1),$BC$277,HLOOKUP(INDIRECT(ADDRESS(2,COLUMN())),OFFSET($CL$2,0,0,ROW()-1,84),ROW()-1,FALSE))</f>
        <v/>
      </c>
      <c r="BD30" t="str">
        <f ca="1">IF(AND(ISNUMBER($BD$277),$B$252=1),$BD$277,HLOOKUP(INDIRECT(ADDRESS(2,COLUMN())),OFFSET($CL$2,0,0,ROW()-1,84),ROW()-1,FALSE))</f>
        <v/>
      </c>
      <c r="BE30" t="str">
        <f ca="1">IF(AND(ISNUMBER($BE$277),$B$252=1),$BE$277,HLOOKUP(INDIRECT(ADDRESS(2,COLUMN())),OFFSET($CL$2,0,0,ROW()-1,84),ROW()-1,FALSE))</f>
        <v/>
      </c>
      <c r="BF30" t="str">
        <f ca="1">IF(AND(ISNUMBER($BF$277),$B$252=1),$BF$277,HLOOKUP(INDIRECT(ADDRESS(2,COLUMN())),OFFSET($CL$2,0,0,ROW()-1,84),ROW()-1,FALSE))</f>
        <v/>
      </c>
      <c r="BG30" t="str">
        <f ca="1">IF(AND(ISNUMBER($BG$277),$B$252=1),$BG$277,HLOOKUP(INDIRECT(ADDRESS(2,COLUMN())),OFFSET($CL$2,0,0,ROW()-1,84),ROW()-1,FALSE))</f>
        <v/>
      </c>
      <c r="BH30" t="str">
        <f ca="1">IF(AND(ISNUMBER($BH$277),$B$252=1),$BH$277,HLOOKUP(INDIRECT(ADDRESS(2,COLUMN())),OFFSET($CL$2,0,0,ROW()-1,84),ROW()-1,FALSE))</f>
        <v/>
      </c>
      <c r="BI30" t="str">
        <f ca="1">IF(AND(ISNUMBER($BI$277),$B$252=1),$BI$277,HLOOKUP(INDIRECT(ADDRESS(2,COLUMN())),OFFSET($CL$2,0,0,ROW()-1,84),ROW()-1,FALSE))</f>
        <v/>
      </c>
      <c r="BJ30" t="str">
        <f ca="1">IF(AND(ISNUMBER($BJ$277),$B$252=1),$BJ$277,HLOOKUP(INDIRECT(ADDRESS(2,COLUMN())),OFFSET($CL$2,0,0,ROW()-1,84),ROW()-1,FALSE))</f>
        <v/>
      </c>
      <c r="BK30" t="str">
        <f ca="1">IF(AND(ISNUMBER($BK$277),$B$252=1),$BK$277,HLOOKUP(INDIRECT(ADDRESS(2,COLUMN())),OFFSET($CL$2,0,0,ROW()-1,84),ROW()-1,FALSE))</f>
        <v/>
      </c>
      <c r="BL30" t="str">
        <f ca="1">IF(AND(ISNUMBER($BL$277),$B$252=1),$BL$277,HLOOKUP(INDIRECT(ADDRESS(2,COLUMN())),OFFSET($CL$2,0,0,ROW()-1,84),ROW()-1,FALSE))</f>
        <v/>
      </c>
      <c r="BM30" t="str">
        <f ca="1">IF(AND(ISNUMBER($BM$277),$B$252=1),$BM$277,HLOOKUP(INDIRECT(ADDRESS(2,COLUMN())),OFFSET($CL$2,0,0,ROW()-1,84),ROW()-1,FALSE))</f>
        <v/>
      </c>
      <c r="BN30" t="str">
        <f ca="1">IF(AND(ISNUMBER($BN$277),$B$252=1),$BN$277,HLOOKUP(INDIRECT(ADDRESS(2,COLUMN())),OFFSET($CL$2,0,0,ROW()-1,84),ROW()-1,FALSE))</f>
        <v/>
      </c>
      <c r="BO30" t="str">
        <f ca="1">IF(AND(ISNUMBER($BO$277),$B$252=1),$BO$277,HLOOKUP(INDIRECT(ADDRESS(2,COLUMN())),OFFSET($CL$2,0,0,ROW()-1,84),ROW()-1,FALSE))</f>
        <v/>
      </c>
      <c r="BP30" t="str">
        <f ca="1">IF(AND(ISNUMBER($BP$277),$B$252=1),$BP$277,HLOOKUP(INDIRECT(ADDRESS(2,COLUMN())),OFFSET($CL$2,0,0,ROW()-1,84),ROW()-1,FALSE))</f>
        <v/>
      </c>
      <c r="BQ30" t="str">
        <f ca="1">IF(AND(ISNUMBER($BQ$277),$B$252=1),$BQ$277,HLOOKUP(INDIRECT(ADDRESS(2,COLUMN())),OFFSET($CL$2,0,0,ROW()-1,84),ROW()-1,FALSE))</f>
        <v/>
      </c>
      <c r="BR30" t="str">
        <f ca="1">IF(AND(ISNUMBER($BR$277),$B$252=1),$BR$277,HLOOKUP(INDIRECT(ADDRESS(2,COLUMN())),OFFSET($CL$2,0,0,ROW()-1,84),ROW()-1,FALSE))</f>
        <v/>
      </c>
      <c r="BS30" t="str">
        <f ca="1">IF(AND(ISNUMBER($BS$277),$B$252=1),$BS$277,HLOOKUP(INDIRECT(ADDRESS(2,COLUMN())),OFFSET($CL$2,0,0,ROW()-1,84),ROW()-1,FALSE))</f>
        <v/>
      </c>
      <c r="BT30" t="str">
        <f ca="1">IF(AND(ISNUMBER($BT$277),$B$252=1),$BT$277,HLOOKUP(INDIRECT(ADDRESS(2,COLUMN())),OFFSET($CL$2,0,0,ROW()-1,84),ROW()-1,FALSE))</f>
        <v/>
      </c>
      <c r="BU30" t="str">
        <f ca="1">IF(AND(ISNUMBER($BU$277),$B$252=1),$BU$277,HLOOKUP(INDIRECT(ADDRESS(2,COLUMN())),OFFSET($CL$2,0,0,ROW()-1,84),ROW()-1,FALSE))</f>
        <v/>
      </c>
      <c r="BV30" t="str">
        <f ca="1">IF(AND(ISNUMBER($BV$277),$B$252=1),$BV$277,HLOOKUP(INDIRECT(ADDRESS(2,COLUMN())),OFFSET($CL$2,0,0,ROW()-1,84),ROW()-1,FALSE))</f>
        <v/>
      </c>
      <c r="BW30" t="str">
        <f ca="1">IF(AND(ISNUMBER($BW$277),$B$252=1),$BW$277,HLOOKUP(INDIRECT(ADDRESS(2,COLUMN())),OFFSET($CL$2,0,0,ROW()-1,84),ROW()-1,FALSE))</f>
        <v/>
      </c>
      <c r="BX30" t="str">
        <f ca="1">IF(AND(ISNUMBER($BX$277),$B$252=1),$BX$277,HLOOKUP(INDIRECT(ADDRESS(2,COLUMN())),OFFSET($CL$2,0,0,ROW()-1,84),ROW()-1,FALSE))</f>
        <v/>
      </c>
      <c r="BY30" t="str">
        <f ca="1">IF(AND(ISNUMBER($BY$277),$B$252=1),$BY$277,HLOOKUP(INDIRECT(ADDRESS(2,COLUMN())),OFFSET($CL$2,0,0,ROW()-1,84),ROW()-1,FALSE))</f>
        <v/>
      </c>
      <c r="BZ30" t="str">
        <f ca="1">IF(AND(ISNUMBER($BZ$277),$B$252=1),$BZ$277,HLOOKUP(INDIRECT(ADDRESS(2,COLUMN())),OFFSET($CL$2,0,0,ROW()-1,84),ROW()-1,FALSE))</f>
        <v/>
      </c>
      <c r="CA30" t="str">
        <f ca="1">IF(AND(ISNUMBER($CA$277),$B$252=1),$CA$277,HLOOKUP(INDIRECT(ADDRESS(2,COLUMN())),OFFSET($CL$2,0,0,ROW()-1,84),ROW()-1,FALSE))</f>
        <v/>
      </c>
      <c r="CB30" t="str">
        <f ca="1">IF(AND(ISNUMBER($CB$277),$B$252=1),$CB$277,HLOOKUP(INDIRECT(ADDRESS(2,COLUMN())),OFFSET($CL$2,0,0,ROW()-1,84),ROW()-1,FALSE))</f>
        <v/>
      </c>
      <c r="CC30" t="str">
        <f ca="1">IF(AND(ISNUMBER($CC$277),$B$252=1),$CC$277,HLOOKUP(INDIRECT(ADDRESS(2,COLUMN())),OFFSET($CL$2,0,0,ROW()-1,84),ROW()-1,FALSE))</f>
        <v/>
      </c>
      <c r="CD30" t="str">
        <f ca="1">IF(AND(ISNUMBER($CD$277),$B$252=1),$CD$277,HLOOKUP(INDIRECT(ADDRESS(2,COLUMN())),OFFSET($CL$2,0,0,ROW()-1,84),ROW()-1,FALSE))</f>
        <v/>
      </c>
      <c r="CE30" t="str">
        <f ca="1">IF(AND(ISNUMBER($CE$277),$B$252=1),$CE$277,HLOOKUP(INDIRECT(ADDRESS(2,COLUMN())),OFFSET($CL$2,0,0,ROW()-1,84),ROW()-1,FALSE))</f>
        <v/>
      </c>
      <c r="CF30" t="str">
        <f ca="1">IF(AND(ISNUMBER($CF$277),$B$252=1),$CF$277,HLOOKUP(INDIRECT(ADDRESS(2,COLUMN())),OFFSET($CL$2,0,0,ROW()-1,84),ROW()-1,FALSE))</f>
        <v/>
      </c>
      <c r="CG30" t="str">
        <f ca="1">IF(AND(ISNUMBER($CG$277),$B$252=1),$CG$277,HLOOKUP(INDIRECT(ADDRESS(2,COLUMN())),OFFSET($CL$2,0,0,ROW()-1,84),ROW()-1,FALSE))</f>
        <v/>
      </c>
      <c r="CH30" t="str">
        <f ca="1">IF(AND(ISNUMBER($CH$277),$B$252=1),$CH$277,HLOOKUP(INDIRECT(ADDRESS(2,COLUMN())),OFFSET($CL$2,0,0,ROW()-1,84),ROW()-1,FALSE))</f>
        <v/>
      </c>
      <c r="CI30" t="str">
        <f ca="1">IF(AND(ISNUMBER($CI$277),$B$252=1),$CI$277,HLOOKUP(INDIRECT(ADDRESS(2,COLUMN())),OFFSET($CL$2,0,0,ROW()-1,84),ROW()-1,FALSE))</f>
        <v/>
      </c>
      <c r="CJ30" t="str">
        <f ca="1">IF(AND(ISNUMBER($CJ$277),$B$252=1),$CJ$277,HLOOKUP(INDIRECT(ADDRESS(2,COLUMN())),OFFSET($CL$2,0,0,ROW()-1,84),ROW()-1,FALSE))</f>
        <v/>
      </c>
      <c r="CK30" t="str">
        <f ca="1">IF(AND(ISNUMBER($CK$277),$B$252=1),$CK$277,HLOOKUP(INDIRECT(ADDRESS(2,COLUMN())),OFFSET($CL$2,0,0,ROW()-1,84),ROW()-1,FALSE))</f>
        <v/>
      </c>
      <c r="CL30">
        <f>17.48790296</f>
        <v>17.48790296</v>
      </c>
      <c r="CM30">
        <f>16.75635905</f>
        <v>16.75635905</v>
      </c>
      <c r="CN30">
        <f>18.06343907</f>
        <v>18.063439070000001</v>
      </c>
      <c r="CO30">
        <f>19.19116114</f>
        <v>19.191161139999998</v>
      </c>
      <c r="CP30">
        <f>19.01666667</f>
        <v>19.016666669999999</v>
      </c>
      <c r="CQ30">
        <f>19.06792059</f>
        <v>19.06792059</v>
      </c>
      <c r="CR30">
        <f>19.05605334</f>
        <v>19.056053339999998</v>
      </c>
      <c r="CS30">
        <f>18.61839367</f>
        <v>18.61839367</v>
      </c>
      <c r="CT30">
        <f>18.68360758</f>
        <v>18.68360758</v>
      </c>
      <c r="CU30">
        <f>17.87042842</f>
        <v>17.87042842</v>
      </c>
      <c r="CV30">
        <f>17.43616576</f>
        <v>17.436165760000002</v>
      </c>
      <c r="CW30">
        <f>17.29258559</f>
        <v>17.292585590000002</v>
      </c>
      <c r="CX30">
        <f>16.92825584</f>
        <v>16.928255839999998</v>
      </c>
      <c r="CY30">
        <f>17.79857023</f>
        <v>17.798570229999999</v>
      </c>
      <c r="CZ30">
        <f>17.43948247</f>
        <v>17.439482470000002</v>
      </c>
      <c r="DA30">
        <f>17.54016274</f>
        <v>17.54016274</v>
      </c>
      <c r="DB30">
        <f>16.43558154</f>
        <v>16.435581540000001</v>
      </c>
      <c r="DC30">
        <f>17.09487825</f>
        <v>17.094878250000001</v>
      </c>
      <c r="DD30">
        <f>17.49686586</f>
        <v>17.49686586</v>
      </c>
      <c r="DE30">
        <f>18.22466777</f>
        <v>18.22466777</v>
      </c>
      <c r="DF30">
        <f>18.90882229</f>
        <v>18.90882229</v>
      </c>
      <c r="DG30">
        <f>18.34059324</f>
        <v>18.34059324</v>
      </c>
      <c r="DH30">
        <f>17.62722383</f>
        <v>17.627223829999998</v>
      </c>
      <c r="DI30">
        <f>15.33916017</f>
        <v>15.33916017</v>
      </c>
      <c r="DJ30">
        <f>15.82423786</f>
        <v>15.82423786</v>
      </c>
      <c r="DK30">
        <f>14.04887218</f>
        <v>14.04887218</v>
      </c>
      <c r="DL30">
        <f>14.07749077</f>
        <v>14.077490770000001</v>
      </c>
      <c r="DM30">
        <f>13.60992908</f>
        <v>13.609929080000001</v>
      </c>
      <c r="DN30" t="str">
        <f>""</f>
        <v/>
      </c>
      <c r="DO30" t="str">
        <f>""</f>
        <v/>
      </c>
      <c r="DP30" t="str">
        <f>""</f>
        <v/>
      </c>
      <c r="DQ30" t="str">
        <f>""</f>
        <v/>
      </c>
      <c r="DR30" t="str">
        <f>""</f>
        <v/>
      </c>
      <c r="DS30" t="str">
        <f>""</f>
        <v/>
      </c>
      <c r="DT30" t="str">
        <f>""</f>
        <v/>
      </c>
      <c r="DU30" t="str">
        <f>""</f>
        <v/>
      </c>
      <c r="DV30" t="str">
        <f>""</f>
        <v/>
      </c>
      <c r="DW30" t="str">
        <f>""</f>
        <v/>
      </c>
      <c r="DX30" t="str">
        <f>""</f>
        <v/>
      </c>
      <c r="DY30" t="str">
        <f>""</f>
        <v/>
      </c>
      <c r="DZ30" t="str">
        <f>""</f>
        <v/>
      </c>
      <c r="EA30" t="str">
        <f>""</f>
        <v/>
      </c>
      <c r="EB30" t="str">
        <f>""</f>
        <v/>
      </c>
      <c r="EC30" t="str">
        <f>""</f>
        <v/>
      </c>
      <c r="ED30" t="str">
        <f>""</f>
        <v/>
      </c>
      <c r="EE30" t="str">
        <f>""</f>
        <v/>
      </c>
      <c r="EF30" t="str">
        <f>""</f>
        <v/>
      </c>
      <c r="EG30" t="str">
        <f>""</f>
        <v/>
      </c>
      <c r="EH30" t="str">
        <f>""</f>
        <v/>
      </c>
      <c r="EI30" t="str">
        <f>""</f>
        <v/>
      </c>
      <c r="EJ30" t="str">
        <f>""</f>
        <v/>
      </c>
      <c r="EK30" t="str">
        <f>""</f>
        <v/>
      </c>
      <c r="EL30" t="str">
        <f>""</f>
        <v/>
      </c>
      <c r="EM30" t="str">
        <f>""</f>
        <v/>
      </c>
      <c r="EN30" t="str">
        <f>""</f>
        <v/>
      </c>
      <c r="EO30" t="str">
        <f>""</f>
        <v/>
      </c>
      <c r="EP30" t="str">
        <f>""</f>
        <v/>
      </c>
      <c r="EQ30" t="str">
        <f>""</f>
        <v/>
      </c>
      <c r="ER30" t="str">
        <f>""</f>
        <v/>
      </c>
      <c r="ES30" t="str">
        <f>""</f>
        <v/>
      </c>
      <c r="ET30" t="str">
        <f>""</f>
        <v/>
      </c>
      <c r="EU30" t="str">
        <f>""</f>
        <v/>
      </c>
      <c r="EV30" t="str">
        <f>""</f>
        <v/>
      </c>
      <c r="EW30" t="str">
        <f>""</f>
        <v/>
      </c>
      <c r="EX30" t="str">
        <f>""</f>
        <v/>
      </c>
      <c r="EY30" t="str">
        <f>""</f>
        <v/>
      </c>
      <c r="EZ30" t="str">
        <f>""</f>
        <v/>
      </c>
      <c r="FA30" t="str">
        <f>""</f>
        <v/>
      </c>
      <c r="FB30" t="str">
        <f>""</f>
        <v/>
      </c>
      <c r="FC30" t="str">
        <f>""</f>
        <v/>
      </c>
      <c r="FD30" t="str">
        <f>""</f>
        <v/>
      </c>
      <c r="FE30" t="str">
        <f>""</f>
        <v/>
      </c>
      <c r="FF30" t="str">
        <f>""</f>
        <v/>
      </c>
      <c r="FG30" t="str">
        <f>""</f>
        <v/>
      </c>
      <c r="FH30" t="str">
        <f>""</f>
        <v/>
      </c>
      <c r="FI30" t="str">
        <f>""</f>
        <v/>
      </c>
      <c r="FJ30" t="str">
        <f>""</f>
        <v/>
      </c>
      <c r="FK30" t="str">
        <f>""</f>
        <v/>
      </c>
      <c r="FL30" t="str">
        <f>""</f>
        <v/>
      </c>
      <c r="FM30" t="str">
        <f>""</f>
        <v/>
      </c>
      <c r="FN30" t="str">
        <f>""</f>
        <v/>
      </c>
      <c r="FO30" t="str">
        <f>""</f>
        <v/>
      </c>
      <c r="FP30" t="str">
        <f>""</f>
        <v/>
      </c>
      <c r="FQ30" t="str">
        <f>""</f>
        <v/>
      </c>
    </row>
    <row r="31" spans="1:173">
      <c r="A31" t="str">
        <f>"    公寓物业权益信托"</f>
        <v xml:space="preserve">    公寓物业权益信托</v>
      </c>
      <c r="B31" t="str">
        <f>"EQR US Equity"</f>
        <v>EQR US Equity</v>
      </c>
      <c r="C31" t="str">
        <f t="shared" si="9"/>
        <v>BE249</v>
      </c>
      <c r="D31" t="str">
        <f t="shared" si="10"/>
        <v>BEST_PRICE_FFO_RATIO</v>
      </c>
      <c r="E31" t="str">
        <f t="shared" si="11"/>
        <v>动态</v>
      </c>
      <c r="F31">
        <f ca="1">IF(AND(ISNUMBER($F$278),$B$252=1),$F$278,HLOOKUP(INDIRECT(ADDRESS(2,COLUMN())),OFFSET($CL$2,0,0,ROW()-1,84),ROW()-1,FALSE))</f>
        <v>18.364197529999998</v>
      </c>
      <c r="G31">
        <f ca="1">IF(AND(ISNUMBER($G$278),$B$252=1),$G$278,HLOOKUP(INDIRECT(ADDRESS(2,COLUMN())),OFFSET($CL$2,0,0,ROW()-1,84),ROW()-1,FALSE))</f>
        <v>17.349583460000002</v>
      </c>
      <c r="H31">
        <f ca="1">IF(AND(ISNUMBER($H$278),$B$252=1),$H$278,HLOOKUP(INDIRECT(ADDRESS(2,COLUMN())),OFFSET($CL$2,0,0,ROW()-1,84),ROW()-1,FALSE))</f>
        <v>18.91037446</v>
      </c>
      <c r="I31">
        <f ca="1">IF(AND(ISNUMBER($I$278),$B$252=1),$I$278,HLOOKUP(INDIRECT(ADDRESS(2,COLUMN())),OFFSET($CL$2,0,0,ROW()-1,84),ROW()-1,FALSE))</f>
        <v>19.54935622</v>
      </c>
      <c r="J31">
        <f ca="1">IF(AND(ISNUMBER($J$278),$B$252=1),$J$278,HLOOKUP(INDIRECT(ADDRESS(2,COLUMN())),OFFSET($CL$2,0,0,ROW()-1,84),ROW()-1,FALSE))</f>
        <v>20.478087649999999</v>
      </c>
      <c r="K31">
        <f ca="1">IF(AND(ISNUMBER($K$278),$B$252=1),$K$278,HLOOKUP(INDIRECT(ADDRESS(2,COLUMN())),OFFSET($CL$2,0,0,ROW()-1,84),ROW()-1,FALSE))</f>
        <v>20.59399878</v>
      </c>
      <c r="L31">
        <f ca="1">IF(AND(ISNUMBER($L$278),$B$252=1),$L$278,HLOOKUP(INDIRECT(ADDRESS(2,COLUMN())),OFFSET($CL$2,0,0,ROW()-1,84),ROW()-1,FALSE))</f>
        <v>20.155915619999998</v>
      </c>
      <c r="M31">
        <f ca="1">IF(AND(ISNUMBER($M$278),$B$252=1),$M$278,HLOOKUP(INDIRECT(ADDRESS(2,COLUMN())),OFFSET($CL$2,0,0,ROW()-1,84),ROW()-1,FALSE))</f>
        <v>20.516345860000001</v>
      </c>
      <c r="N31">
        <f ca="1">IF(AND(ISNUMBER($N$278),$B$252=1),$N$278,HLOOKUP(INDIRECT(ADDRESS(2,COLUMN())),OFFSET($CL$2,0,0,ROW()-1,84),ROW()-1,FALSE))</f>
        <v>20.8007335</v>
      </c>
      <c r="O31">
        <f ca="1">IF(AND(ISNUMBER($O$278),$B$252=1),$O$278,HLOOKUP(INDIRECT(ADDRESS(2,COLUMN())),OFFSET($CL$2,0,0,ROW()-1,84),ROW()-1,FALSE))</f>
        <v>20.255384620000001</v>
      </c>
      <c r="P31">
        <f ca="1">IF(AND(ISNUMBER($P$278),$B$252=1),$P$278,HLOOKUP(INDIRECT(ADDRESS(2,COLUMN())),OFFSET($CL$2,0,0,ROW()-1,84),ROW()-1,FALSE))</f>
        <v>20.04619649</v>
      </c>
      <c r="Q31">
        <f ca="1">IF(AND(ISNUMBER($Q$278),$B$252=1),$Q$278,HLOOKUP(INDIRECT(ADDRESS(2,COLUMN())),OFFSET($CL$2,0,0,ROW()-1,84),ROW()-1,FALSE))</f>
        <v>19.88912843</v>
      </c>
      <c r="R31">
        <f ca="1">IF(AND(ISNUMBER($R$278),$B$252=1),$R$278,HLOOKUP(INDIRECT(ADDRESS(2,COLUMN())),OFFSET($CL$2,0,0,ROW()-1,84),ROW()-1,FALSE))</f>
        <v>19.097605890000001</v>
      </c>
      <c r="S31">
        <f ca="1">IF(AND(ISNUMBER($S$278),$B$252=1),$S$278,HLOOKUP(INDIRECT(ADDRESS(2,COLUMN())),OFFSET($CL$2,0,0,ROW()-1,84),ROW()-1,FALSE))</f>
        <v>19.275672369999999</v>
      </c>
      <c r="T31">
        <f ca="1">IF(AND(ISNUMBER($T$278),$B$252=1),$T$278,HLOOKUP(INDIRECT(ADDRESS(2,COLUMN())),OFFSET($CL$2,0,0,ROW()-1,84),ROW()-1,FALSE))</f>
        <v>18.28219013</v>
      </c>
      <c r="U31">
        <f ca="1">IF(AND(ISNUMBER($U$278),$B$252=1),$U$278,HLOOKUP(INDIRECT(ADDRESS(2,COLUMN())),OFFSET($CL$2,0,0,ROW()-1,84),ROW()-1,FALSE))</f>
        <v>19.315726290000001</v>
      </c>
      <c r="V31">
        <f ca="1">IF(AND(ISNUMBER($V$278),$B$252=1),$V$278,HLOOKUP(INDIRECT(ADDRESS(2,COLUMN())),OFFSET($CL$2,0,0,ROW()-1,84),ROW()-1,FALSE))</f>
        <v>17.918781729999999</v>
      </c>
      <c r="W31">
        <f ca="1">IF(AND(ISNUMBER($W$278),$B$252=1),$W$278,HLOOKUP(INDIRECT(ADDRESS(2,COLUMN())),OFFSET($CL$2,0,0,ROW()-1,84),ROW()-1,FALSE))</f>
        <v>18.427335119999999</v>
      </c>
      <c r="X31">
        <f ca="1">IF(AND(ISNUMBER($X$278),$B$252=1),$X$278,HLOOKUP(INDIRECT(ADDRESS(2,COLUMN())),OFFSET($CL$2,0,0,ROW()-1,84),ROW()-1,FALSE))</f>
        <v>18.931724540000001</v>
      </c>
      <c r="Y31">
        <f ca="1">IF(AND(ISNUMBER($Y$278),$B$252=1),$Y$278,HLOOKUP(INDIRECT(ADDRESS(2,COLUMN())),OFFSET($CL$2,0,0,ROW()-1,84),ROW()-1,FALSE))</f>
        <v>19.101884569999999</v>
      </c>
      <c r="Z31">
        <f ca="1">IF(AND(ISNUMBER($Z$278),$B$252=1),$Z$278,HLOOKUP(INDIRECT(ADDRESS(2,COLUMN())),OFFSET($CL$2,0,0,ROW()-1,84),ROW()-1,FALSE))</f>
        <v>19.73584906</v>
      </c>
      <c r="AA31">
        <f ca="1">IF(AND(ISNUMBER($AA$278),$B$252=1),$AA$278,HLOOKUP(INDIRECT(ADDRESS(2,COLUMN())),OFFSET($CL$2,0,0,ROW()-1,84),ROW()-1,FALSE))</f>
        <v>19.663145870000001</v>
      </c>
      <c r="AB31">
        <f ca="1">IF(AND(ISNUMBER($AB$278),$B$252=1),$AB$278,HLOOKUP(INDIRECT(ADDRESS(2,COLUMN())),OFFSET($CL$2,0,0,ROW()-1,84),ROW()-1,FALSE))</f>
        <v>19.729190419999998</v>
      </c>
      <c r="AC31">
        <f ca="1">IF(AND(ISNUMBER($AC$278),$B$252=1),$AC$278,HLOOKUP(INDIRECT(ADDRESS(2,COLUMN())),OFFSET($CL$2,0,0,ROW()-1,84),ROW()-1,FALSE))</f>
        <v>19.142294710000002</v>
      </c>
      <c r="AD31">
        <f ca="1">IF(AND(ISNUMBER($AD$278),$B$252=1),$AD$278,HLOOKUP(INDIRECT(ADDRESS(2,COLUMN())),OFFSET($CL$2,0,0,ROW()-1,84),ROW()-1,FALSE))</f>
        <v>20.940552610000001</v>
      </c>
      <c r="AE31">
        <f ca="1">IF(AND(ISNUMBER($AE$278),$B$252=1),$AE$278,HLOOKUP(INDIRECT(ADDRESS(2,COLUMN())),OFFSET($CL$2,0,0,ROW()-1,84),ROW()-1,FALSE))</f>
        <v>20.865546219999999</v>
      </c>
      <c r="AF31">
        <f ca="1">IF(AND(ISNUMBER($AF$278),$B$252=1),$AF$278,HLOOKUP(INDIRECT(ADDRESS(2,COLUMN())),OFFSET($CL$2,0,0,ROW()-1,84),ROW()-1,FALSE))</f>
        <v>19.034567899999999</v>
      </c>
      <c r="AG31">
        <f ca="1">IF(AND(ISNUMBER($AG$278),$B$252=1),$AG$278,HLOOKUP(INDIRECT(ADDRESS(2,COLUMN())),OFFSET($CL$2,0,0,ROW()-1,84),ROW()-1,FALSE))</f>
        <v>20.145679009999998</v>
      </c>
      <c r="AH31">
        <f ca="1">IF(AND(ISNUMBER($AH$278),$B$252=1),$AH$278,HLOOKUP(INDIRECT(ADDRESS(2,COLUMN())),OFFSET($CL$2,0,0,ROW()-1,84),ROW()-1,FALSE))</f>
        <v>19.708641979999999</v>
      </c>
      <c r="AI31" t="str">
        <f ca="1">IF(AND(ISNUMBER($AI$278),$B$252=1),$AI$278,HLOOKUP(INDIRECT(ADDRESS(2,COLUMN())),OFFSET($CL$2,0,0,ROW()-1,84),ROW()-1,FALSE))</f>
        <v/>
      </c>
      <c r="AJ31" t="str">
        <f ca="1">IF(AND(ISNUMBER($AJ$278),$B$252=1),$AJ$278,HLOOKUP(INDIRECT(ADDRESS(2,COLUMN())),OFFSET($CL$2,0,0,ROW()-1,84),ROW()-1,FALSE))</f>
        <v/>
      </c>
      <c r="AK31">
        <f ca="1">IF(AND(ISNUMBER($AK$278),$B$252=1),$AK$278,HLOOKUP(INDIRECT(ADDRESS(2,COLUMN())),OFFSET($CL$2,0,0,ROW()-1,84),ROW()-1,FALSE))</f>
        <v>17.34598214</v>
      </c>
      <c r="AL31">
        <f ca="1">IF(AND(ISNUMBER($AL$278),$B$252=1),$AL$278,HLOOKUP(INDIRECT(ADDRESS(2,COLUMN())),OFFSET($CL$2,0,0,ROW()-1,84),ROW()-1,FALSE))</f>
        <v>16.698660709999999</v>
      </c>
      <c r="AM31" t="str">
        <f ca="1">IF(AND(ISNUMBER($AM$278),$B$252=1),$AM$278,HLOOKUP(INDIRECT(ADDRESS(2,COLUMN())),OFFSET($CL$2,0,0,ROW()-1,84),ROW()-1,FALSE))</f>
        <v/>
      </c>
      <c r="AN31" t="str">
        <f ca="1">IF(AND(ISNUMBER($AN$278),$B$252=1),$AN$278,HLOOKUP(INDIRECT(ADDRESS(2,COLUMN())),OFFSET($CL$2,0,0,ROW()-1,84),ROW()-1,FALSE))</f>
        <v/>
      </c>
      <c r="AO31" t="str">
        <f ca="1">IF(AND(ISNUMBER($AO$278),$B$252=1),$AO$278,HLOOKUP(INDIRECT(ADDRESS(2,COLUMN())),OFFSET($CL$2,0,0,ROW()-1,84),ROW()-1,FALSE))</f>
        <v/>
      </c>
      <c r="AP31" t="str">
        <f ca="1">IF(AND(ISNUMBER($AP$278),$B$252=1),$AP$278,HLOOKUP(INDIRECT(ADDRESS(2,COLUMN())),OFFSET($CL$2,0,0,ROW()-1,84),ROW()-1,FALSE))</f>
        <v/>
      </c>
      <c r="AQ31" t="str">
        <f ca="1">IF(AND(ISNUMBER($AQ$278),$B$252=1),$AQ$278,HLOOKUP(INDIRECT(ADDRESS(2,COLUMN())),OFFSET($CL$2,0,0,ROW()-1,84),ROW()-1,FALSE))</f>
        <v/>
      </c>
      <c r="AR31" t="str">
        <f ca="1">IF(AND(ISNUMBER($AR$278),$B$252=1),$AR$278,HLOOKUP(INDIRECT(ADDRESS(2,COLUMN())),OFFSET($CL$2,0,0,ROW()-1,84),ROW()-1,FALSE))</f>
        <v/>
      </c>
      <c r="AS31" t="str">
        <f ca="1">IF(AND(ISNUMBER($AS$278),$B$252=1),$AS$278,HLOOKUP(INDIRECT(ADDRESS(2,COLUMN())),OFFSET($CL$2,0,0,ROW()-1,84),ROW()-1,FALSE))</f>
        <v/>
      </c>
      <c r="AT31" t="str">
        <f ca="1">IF(AND(ISNUMBER($AT$278),$B$252=1),$AT$278,HLOOKUP(INDIRECT(ADDRESS(2,COLUMN())),OFFSET($CL$2,0,0,ROW()-1,84),ROW()-1,FALSE))</f>
        <v/>
      </c>
      <c r="AU31" t="str">
        <f ca="1">IF(AND(ISNUMBER($AU$278),$B$252=1),$AU$278,HLOOKUP(INDIRECT(ADDRESS(2,COLUMN())),OFFSET($CL$2,0,0,ROW()-1,84),ROW()-1,FALSE))</f>
        <v/>
      </c>
      <c r="AV31" t="str">
        <f ca="1">IF(AND(ISNUMBER($AV$278),$B$252=1),$AV$278,HLOOKUP(INDIRECT(ADDRESS(2,COLUMN())),OFFSET($CL$2,0,0,ROW()-1,84),ROW()-1,FALSE))</f>
        <v/>
      </c>
      <c r="AW31" t="str">
        <f ca="1">IF(AND(ISNUMBER($AW$278),$B$252=1),$AW$278,HLOOKUP(INDIRECT(ADDRESS(2,COLUMN())),OFFSET($CL$2,0,0,ROW()-1,84),ROW()-1,FALSE))</f>
        <v/>
      </c>
      <c r="AX31" t="str">
        <f ca="1">IF(AND(ISNUMBER($AX$278),$B$252=1),$AX$278,HLOOKUP(INDIRECT(ADDRESS(2,COLUMN())),OFFSET($CL$2,0,0,ROW()-1,84),ROW()-1,FALSE))</f>
        <v/>
      </c>
      <c r="AY31" t="str">
        <f ca="1">IF(AND(ISNUMBER($AY$278),$B$252=1),$AY$278,HLOOKUP(INDIRECT(ADDRESS(2,COLUMN())),OFFSET($CL$2,0,0,ROW()-1,84),ROW()-1,FALSE))</f>
        <v/>
      </c>
      <c r="AZ31" t="str">
        <f ca="1">IF(AND(ISNUMBER($AZ$278),$B$252=1),$AZ$278,HLOOKUP(INDIRECT(ADDRESS(2,COLUMN())),OFFSET($CL$2,0,0,ROW()-1,84),ROW()-1,FALSE))</f>
        <v/>
      </c>
      <c r="BA31" t="str">
        <f ca="1">IF(AND(ISNUMBER($BA$278),$B$252=1),$BA$278,HLOOKUP(INDIRECT(ADDRESS(2,COLUMN())),OFFSET($CL$2,0,0,ROW()-1,84),ROW()-1,FALSE))</f>
        <v/>
      </c>
      <c r="BB31" t="str">
        <f ca="1">IF(AND(ISNUMBER($BB$278),$B$252=1),$BB$278,HLOOKUP(INDIRECT(ADDRESS(2,COLUMN())),OFFSET($CL$2,0,0,ROW()-1,84),ROW()-1,FALSE))</f>
        <v/>
      </c>
      <c r="BC31" t="str">
        <f ca="1">IF(AND(ISNUMBER($BC$278),$B$252=1),$BC$278,HLOOKUP(INDIRECT(ADDRESS(2,COLUMN())),OFFSET($CL$2,0,0,ROW()-1,84),ROW()-1,FALSE))</f>
        <v/>
      </c>
      <c r="BD31" t="str">
        <f ca="1">IF(AND(ISNUMBER($BD$278),$B$252=1),$BD$278,HLOOKUP(INDIRECT(ADDRESS(2,COLUMN())),OFFSET($CL$2,0,0,ROW()-1,84),ROW()-1,FALSE))</f>
        <v/>
      </c>
      <c r="BE31" t="str">
        <f ca="1">IF(AND(ISNUMBER($BE$278),$B$252=1),$BE$278,HLOOKUP(INDIRECT(ADDRESS(2,COLUMN())),OFFSET($CL$2,0,0,ROW()-1,84),ROW()-1,FALSE))</f>
        <v/>
      </c>
      <c r="BF31" t="str">
        <f ca="1">IF(AND(ISNUMBER($BF$278),$B$252=1),$BF$278,HLOOKUP(INDIRECT(ADDRESS(2,COLUMN())),OFFSET($CL$2,0,0,ROW()-1,84),ROW()-1,FALSE))</f>
        <v/>
      </c>
      <c r="BG31" t="str">
        <f ca="1">IF(AND(ISNUMBER($BG$278),$B$252=1),$BG$278,HLOOKUP(INDIRECT(ADDRESS(2,COLUMN())),OFFSET($CL$2,0,0,ROW()-1,84),ROW()-1,FALSE))</f>
        <v/>
      </c>
      <c r="BH31" t="str">
        <f ca="1">IF(AND(ISNUMBER($BH$278),$B$252=1),$BH$278,HLOOKUP(INDIRECT(ADDRESS(2,COLUMN())),OFFSET($CL$2,0,0,ROW()-1,84),ROW()-1,FALSE))</f>
        <v/>
      </c>
      <c r="BI31" t="str">
        <f ca="1">IF(AND(ISNUMBER($BI$278),$B$252=1),$BI$278,HLOOKUP(INDIRECT(ADDRESS(2,COLUMN())),OFFSET($CL$2,0,0,ROW()-1,84),ROW()-1,FALSE))</f>
        <v/>
      </c>
      <c r="BJ31" t="str">
        <f ca="1">IF(AND(ISNUMBER($BJ$278),$B$252=1),$BJ$278,HLOOKUP(INDIRECT(ADDRESS(2,COLUMN())),OFFSET($CL$2,0,0,ROW()-1,84),ROW()-1,FALSE))</f>
        <v/>
      </c>
      <c r="BK31" t="str">
        <f ca="1">IF(AND(ISNUMBER($BK$278),$B$252=1),$BK$278,HLOOKUP(INDIRECT(ADDRESS(2,COLUMN())),OFFSET($CL$2,0,0,ROW()-1,84),ROW()-1,FALSE))</f>
        <v/>
      </c>
      <c r="BL31" t="str">
        <f ca="1">IF(AND(ISNUMBER($BL$278),$B$252=1),$BL$278,HLOOKUP(INDIRECT(ADDRESS(2,COLUMN())),OFFSET($CL$2,0,0,ROW()-1,84),ROW()-1,FALSE))</f>
        <v/>
      </c>
      <c r="BM31" t="str">
        <f ca="1">IF(AND(ISNUMBER($BM$278),$B$252=1),$BM$278,HLOOKUP(INDIRECT(ADDRESS(2,COLUMN())),OFFSET($CL$2,0,0,ROW()-1,84),ROW()-1,FALSE))</f>
        <v/>
      </c>
      <c r="BN31" t="str">
        <f ca="1">IF(AND(ISNUMBER($BN$278),$B$252=1),$BN$278,HLOOKUP(INDIRECT(ADDRESS(2,COLUMN())),OFFSET($CL$2,0,0,ROW()-1,84),ROW()-1,FALSE))</f>
        <v/>
      </c>
      <c r="BO31" t="str">
        <f ca="1">IF(AND(ISNUMBER($BO$278),$B$252=1),$BO$278,HLOOKUP(INDIRECT(ADDRESS(2,COLUMN())),OFFSET($CL$2,0,0,ROW()-1,84),ROW()-1,FALSE))</f>
        <v/>
      </c>
      <c r="BP31" t="str">
        <f ca="1">IF(AND(ISNUMBER($BP$278),$B$252=1),$BP$278,HLOOKUP(INDIRECT(ADDRESS(2,COLUMN())),OFFSET($CL$2,0,0,ROW()-1,84),ROW()-1,FALSE))</f>
        <v/>
      </c>
      <c r="BQ31" t="str">
        <f ca="1">IF(AND(ISNUMBER($BQ$278),$B$252=1),$BQ$278,HLOOKUP(INDIRECT(ADDRESS(2,COLUMN())),OFFSET($CL$2,0,0,ROW()-1,84),ROW()-1,FALSE))</f>
        <v/>
      </c>
      <c r="BR31" t="str">
        <f ca="1">IF(AND(ISNUMBER($BR$278),$B$252=1),$BR$278,HLOOKUP(INDIRECT(ADDRESS(2,COLUMN())),OFFSET($CL$2,0,0,ROW()-1,84),ROW()-1,FALSE))</f>
        <v/>
      </c>
      <c r="BS31" t="str">
        <f ca="1">IF(AND(ISNUMBER($BS$278),$B$252=1),$BS$278,HLOOKUP(INDIRECT(ADDRESS(2,COLUMN())),OFFSET($CL$2,0,0,ROW()-1,84),ROW()-1,FALSE))</f>
        <v/>
      </c>
      <c r="BT31" t="str">
        <f ca="1">IF(AND(ISNUMBER($BT$278),$B$252=1),$BT$278,HLOOKUP(INDIRECT(ADDRESS(2,COLUMN())),OFFSET($CL$2,0,0,ROW()-1,84),ROW()-1,FALSE))</f>
        <v/>
      </c>
      <c r="BU31" t="str">
        <f ca="1">IF(AND(ISNUMBER($BU$278),$B$252=1),$BU$278,HLOOKUP(INDIRECT(ADDRESS(2,COLUMN())),OFFSET($CL$2,0,0,ROW()-1,84),ROW()-1,FALSE))</f>
        <v/>
      </c>
      <c r="BV31" t="str">
        <f ca="1">IF(AND(ISNUMBER($BV$278),$B$252=1),$BV$278,HLOOKUP(INDIRECT(ADDRESS(2,COLUMN())),OFFSET($CL$2,0,0,ROW()-1,84),ROW()-1,FALSE))</f>
        <v/>
      </c>
      <c r="BW31" t="str">
        <f ca="1">IF(AND(ISNUMBER($BW$278),$B$252=1),$BW$278,HLOOKUP(INDIRECT(ADDRESS(2,COLUMN())),OFFSET($CL$2,0,0,ROW()-1,84),ROW()-1,FALSE))</f>
        <v/>
      </c>
      <c r="BX31" t="str">
        <f ca="1">IF(AND(ISNUMBER($BX$278),$B$252=1),$BX$278,HLOOKUP(INDIRECT(ADDRESS(2,COLUMN())),OFFSET($CL$2,0,0,ROW()-1,84),ROW()-1,FALSE))</f>
        <v/>
      </c>
      <c r="BY31" t="str">
        <f ca="1">IF(AND(ISNUMBER($BY$278),$B$252=1),$BY$278,HLOOKUP(INDIRECT(ADDRESS(2,COLUMN())),OFFSET($CL$2,0,0,ROW()-1,84),ROW()-1,FALSE))</f>
        <v/>
      </c>
      <c r="BZ31" t="str">
        <f ca="1">IF(AND(ISNUMBER($BZ$278),$B$252=1),$BZ$278,HLOOKUP(INDIRECT(ADDRESS(2,COLUMN())),OFFSET($CL$2,0,0,ROW()-1,84),ROW()-1,FALSE))</f>
        <v/>
      </c>
      <c r="CA31" t="str">
        <f ca="1">IF(AND(ISNUMBER($CA$278),$B$252=1),$CA$278,HLOOKUP(INDIRECT(ADDRESS(2,COLUMN())),OFFSET($CL$2,0,0,ROW()-1,84),ROW()-1,FALSE))</f>
        <v/>
      </c>
      <c r="CB31" t="str">
        <f ca="1">IF(AND(ISNUMBER($CB$278),$B$252=1),$CB$278,HLOOKUP(INDIRECT(ADDRESS(2,COLUMN())),OFFSET($CL$2,0,0,ROW()-1,84),ROW()-1,FALSE))</f>
        <v/>
      </c>
      <c r="CC31" t="str">
        <f ca="1">IF(AND(ISNUMBER($CC$278),$B$252=1),$CC$278,HLOOKUP(INDIRECT(ADDRESS(2,COLUMN())),OFFSET($CL$2,0,0,ROW()-1,84),ROW()-1,FALSE))</f>
        <v/>
      </c>
      <c r="CD31" t="str">
        <f ca="1">IF(AND(ISNUMBER($CD$278),$B$252=1),$CD$278,HLOOKUP(INDIRECT(ADDRESS(2,COLUMN())),OFFSET($CL$2,0,0,ROW()-1,84),ROW()-1,FALSE))</f>
        <v/>
      </c>
      <c r="CE31" t="str">
        <f ca="1">IF(AND(ISNUMBER($CE$278),$B$252=1),$CE$278,HLOOKUP(INDIRECT(ADDRESS(2,COLUMN())),OFFSET($CL$2,0,0,ROW()-1,84),ROW()-1,FALSE))</f>
        <v/>
      </c>
      <c r="CF31" t="str">
        <f ca="1">IF(AND(ISNUMBER($CF$278),$B$252=1),$CF$278,HLOOKUP(INDIRECT(ADDRESS(2,COLUMN())),OFFSET($CL$2,0,0,ROW()-1,84),ROW()-1,FALSE))</f>
        <v/>
      </c>
      <c r="CG31" t="str">
        <f ca="1">IF(AND(ISNUMBER($CG$278),$B$252=1),$CG$278,HLOOKUP(INDIRECT(ADDRESS(2,COLUMN())),OFFSET($CL$2,0,0,ROW()-1,84),ROW()-1,FALSE))</f>
        <v/>
      </c>
      <c r="CH31" t="str">
        <f ca="1">IF(AND(ISNUMBER($CH$278),$B$252=1),$CH$278,HLOOKUP(INDIRECT(ADDRESS(2,COLUMN())),OFFSET($CL$2,0,0,ROW()-1,84),ROW()-1,FALSE))</f>
        <v/>
      </c>
      <c r="CI31" t="str">
        <f ca="1">IF(AND(ISNUMBER($CI$278),$B$252=1),$CI$278,HLOOKUP(INDIRECT(ADDRESS(2,COLUMN())),OFFSET($CL$2,0,0,ROW()-1,84),ROW()-1,FALSE))</f>
        <v/>
      </c>
      <c r="CJ31" t="str">
        <f ca="1">IF(AND(ISNUMBER($CJ$278),$B$252=1),$CJ$278,HLOOKUP(INDIRECT(ADDRESS(2,COLUMN())),OFFSET($CL$2,0,0,ROW()-1,84),ROW()-1,FALSE))</f>
        <v/>
      </c>
      <c r="CK31" t="str">
        <f ca="1">IF(AND(ISNUMBER($CK$278),$B$252=1),$CK$278,HLOOKUP(INDIRECT(ADDRESS(2,COLUMN())),OFFSET($CL$2,0,0,ROW()-1,84),ROW()-1,FALSE))</f>
        <v/>
      </c>
      <c r="CL31">
        <f>18.36419753</f>
        <v>18.364197529999998</v>
      </c>
      <c r="CM31">
        <f>17.34958346</f>
        <v>17.349583460000002</v>
      </c>
      <c r="CN31">
        <f>18.91037446</f>
        <v>18.91037446</v>
      </c>
      <c r="CO31">
        <f>19.54935622</f>
        <v>19.54935622</v>
      </c>
      <c r="CP31">
        <f>20.47808765</f>
        <v>20.478087649999999</v>
      </c>
      <c r="CQ31">
        <f>20.59399878</f>
        <v>20.59399878</v>
      </c>
      <c r="CR31">
        <f>20.15591562</f>
        <v>20.155915619999998</v>
      </c>
      <c r="CS31">
        <f>20.51634586</f>
        <v>20.516345860000001</v>
      </c>
      <c r="CT31">
        <f>20.8007335</f>
        <v>20.8007335</v>
      </c>
      <c r="CU31">
        <f>20.25538462</f>
        <v>20.255384620000001</v>
      </c>
      <c r="CV31">
        <f>20.04619649</f>
        <v>20.04619649</v>
      </c>
      <c r="CW31">
        <f>19.88912843</f>
        <v>19.88912843</v>
      </c>
      <c r="CX31">
        <f>19.09760589</f>
        <v>19.097605890000001</v>
      </c>
      <c r="CY31">
        <f>19.27567237</f>
        <v>19.275672369999999</v>
      </c>
      <c r="CZ31">
        <f>18.28219013</f>
        <v>18.28219013</v>
      </c>
      <c r="DA31">
        <f>19.31572629</f>
        <v>19.315726290000001</v>
      </c>
      <c r="DB31">
        <f>17.91878173</f>
        <v>17.918781729999999</v>
      </c>
      <c r="DC31">
        <f>18.42733512</f>
        <v>18.427335119999999</v>
      </c>
      <c r="DD31">
        <f>18.93172454</f>
        <v>18.931724540000001</v>
      </c>
      <c r="DE31">
        <f>19.10188457</f>
        <v>19.101884569999999</v>
      </c>
      <c r="DF31">
        <f>19.73584906</f>
        <v>19.73584906</v>
      </c>
      <c r="DG31">
        <f>19.66314587</f>
        <v>19.663145870000001</v>
      </c>
      <c r="DH31">
        <f>19.72919042</f>
        <v>19.729190419999998</v>
      </c>
      <c r="DI31">
        <f>19.14229471</f>
        <v>19.142294710000002</v>
      </c>
      <c r="DJ31">
        <f>20.94055261</f>
        <v>20.940552610000001</v>
      </c>
      <c r="DK31">
        <f>20.86554622</f>
        <v>20.865546219999999</v>
      </c>
      <c r="DL31">
        <f>19.0345679</f>
        <v>19.034567899999999</v>
      </c>
      <c r="DM31">
        <f>20.14567901</f>
        <v>20.145679009999998</v>
      </c>
      <c r="DN31">
        <f>19.70864198</f>
        <v>19.708641979999999</v>
      </c>
      <c r="DO31" t="str">
        <f>""</f>
        <v/>
      </c>
      <c r="DP31" t="str">
        <f>""</f>
        <v/>
      </c>
      <c r="DQ31">
        <f>17.34598214</f>
        <v>17.34598214</v>
      </c>
      <c r="DR31">
        <f>16.69866071</f>
        <v>16.698660709999999</v>
      </c>
      <c r="DS31" t="str">
        <f>""</f>
        <v/>
      </c>
      <c r="DT31" t="str">
        <f>""</f>
        <v/>
      </c>
      <c r="DU31" t="str">
        <f>""</f>
        <v/>
      </c>
      <c r="DV31" t="str">
        <f>""</f>
        <v/>
      </c>
      <c r="DW31" t="str">
        <f>""</f>
        <v/>
      </c>
      <c r="DX31" t="str">
        <f>""</f>
        <v/>
      </c>
      <c r="DY31" t="str">
        <f>""</f>
        <v/>
      </c>
      <c r="DZ31" t="str">
        <f>""</f>
        <v/>
      </c>
      <c r="EA31" t="str">
        <f>""</f>
        <v/>
      </c>
      <c r="EB31" t="str">
        <f>""</f>
        <v/>
      </c>
      <c r="EC31" t="str">
        <f>""</f>
        <v/>
      </c>
      <c r="ED31" t="str">
        <f>""</f>
        <v/>
      </c>
      <c r="EE31" t="str">
        <f>""</f>
        <v/>
      </c>
      <c r="EF31" t="str">
        <f>""</f>
        <v/>
      </c>
      <c r="EG31" t="str">
        <f>""</f>
        <v/>
      </c>
      <c r="EH31" t="str">
        <f>""</f>
        <v/>
      </c>
      <c r="EI31" t="str">
        <f>""</f>
        <v/>
      </c>
      <c r="EJ31" t="str">
        <f>""</f>
        <v/>
      </c>
      <c r="EK31" t="str">
        <f>""</f>
        <v/>
      </c>
      <c r="EL31" t="str">
        <f>""</f>
        <v/>
      </c>
      <c r="EM31" t="str">
        <f>""</f>
        <v/>
      </c>
      <c r="EN31" t="str">
        <f>""</f>
        <v/>
      </c>
      <c r="EO31" t="str">
        <f>""</f>
        <v/>
      </c>
      <c r="EP31" t="str">
        <f>""</f>
        <v/>
      </c>
      <c r="EQ31" t="str">
        <f>""</f>
        <v/>
      </c>
      <c r="ER31" t="str">
        <f>""</f>
        <v/>
      </c>
      <c r="ES31" t="str">
        <f>""</f>
        <v/>
      </c>
      <c r="ET31" t="str">
        <f>""</f>
        <v/>
      </c>
      <c r="EU31" t="str">
        <f>""</f>
        <v/>
      </c>
      <c r="EV31" t="str">
        <f>""</f>
        <v/>
      </c>
      <c r="EW31" t="str">
        <f>""</f>
        <v/>
      </c>
      <c r="EX31" t="str">
        <f>""</f>
        <v/>
      </c>
      <c r="EY31" t="str">
        <f>""</f>
        <v/>
      </c>
      <c r="EZ31" t="str">
        <f>""</f>
        <v/>
      </c>
      <c r="FA31" t="str">
        <f>""</f>
        <v/>
      </c>
      <c r="FB31" t="str">
        <f>""</f>
        <v/>
      </c>
      <c r="FC31" t="str">
        <f>""</f>
        <v/>
      </c>
      <c r="FD31" t="str">
        <f>""</f>
        <v/>
      </c>
      <c r="FE31" t="str">
        <f>""</f>
        <v/>
      </c>
      <c r="FF31" t="str">
        <f>""</f>
        <v/>
      </c>
      <c r="FG31" t="str">
        <f>""</f>
        <v/>
      </c>
      <c r="FH31" t="str">
        <f>""</f>
        <v/>
      </c>
      <c r="FI31" t="str">
        <f>""</f>
        <v/>
      </c>
      <c r="FJ31" t="str">
        <f>""</f>
        <v/>
      </c>
      <c r="FK31" t="str">
        <f>""</f>
        <v/>
      </c>
      <c r="FL31" t="str">
        <f>""</f>
        <v/>
      </c>
      <c r="FM31" t="str">
        <f>""</f>
        <v/>
      </c>
      <c r="FN31" t="str">
        <f>""</f>
        <v/>
      </c>
      <c r="FO31" t="str">
        <f>""</f>
        <v/>
      </c>
      <c r="FP31" t="str">
        <f>""</f>
        <v/>
      </c>
      <c r="FQ31" t="str">
        <f>""</f>
        <v/>
      </c>
    </row>
    <row r="32" spans="1:173">
      <c r="A32" t="str">
        <f>"    埃塞克斯房地产信托公司"</f>
        <v xml:space="preserve">    埃塞克斯房地产信托公司</v>
      </c>
      <c r="B32" t="str">
        <f>"ESS US Equity"</f>
        <v>ESS US Equity</v>
      </c>
      <c r="C32" t="str">
        <f t="shared" si="9"/>
        <v>BE249</v>
      </c>
      <c r="D32" t="str">
        <f t="shared" si="10"/>
        <v>BEST_PRICE_FFO_RATIO</v>
      </c>
      <c r="E32" t="str">
        <f t="shared" si="11"/>
        <v>动态</v>
      </c>
      <c r="F32">
        <f ca="1">IF(AND(ISNUMBER($F$279),$B$252=1),$F$279,HLOOKUP(INDIRECT(ADDRESS(2,COLUMN())),OFFSET($CL$2,0,0,ROW()-1,84),ROW()-1,FALSE))</f>
        <v>19.178985019999999</v>
      </c>
      <c r="G32">
        <f ca="1">IF(AND(ISNUMBER($G$279),$B$252=1),$G$279,HLOOKUP(INDIRECT(ADDRESS(2,COLUMN())),OFFSET($CL$2,0,0,ROW()-1,84),ROW()-1,FALSE))</f>
        <v>17.97686933</v>
      </c>
      <c r="H32">
        <f ca="1">IF(AND(ISNUMBER($H$279),$B$252=1),$H$279,HLOOKUP(INDIRECT(ADDRESS(2,COLUMN())),OFFSET($CL$2,0,0,ROW()-1,84),ROW()-1,FALSE))</f>
        <v>18.735826299999999</v>
      </c>
      <c r="I32">
        <f ca="1">IF(AND(ISNUMBER($I$279),$B$252=1),$I$279,HLOOKUP(INDIRECT(ADDRESS(2,COLUMN())),OFFSET($CL$2,0,0,ROW()-1,84),ROW()-1,FALSE))</f>
        <v>19.387148589999999</v>
      </c>
      <c r="J32">
        <f ca="1">IF(AND(ISNUMBER($J$279),$B$252=1),$J$279,HLOOKUP(INDIRECT(ADDRESS(2,COLUMN())),OFFSET($CL$2,0,0,ROW()-1,84),ROW()-1,FALSE))</f>
        <v>19.83218243</v>
      </c>
      <c r="K32">
        <f ca="1">IF(AND(ISNUMBER($K$279),$B$252=1),$K$279,HLOOKUP(INDIRECT(ADDRESS(2,COLUMN())),OFFSET($CL$2,0,0,ROW()-1,84),ROW()-1,FALSE))</f>
        <v>21.048283609999999</v>
      </c>
      <c r="L32">
        <f ca="1">IF(AND(ISNUMBER($L$279),$B$252=1),$L$279,HLOOKUP(INDIRECT(ADDRESS(2,COLUMN())),OFFSET($CL$2,0,0,ROW()-1,84),ROW()-1,FALSE))</f>
        <v>20.371291100000001</v>
      </c>
      <c r="M32">
        <f ca="1">IF(AND(ISNUMBER($M$279),$B$252=1),$M$279,HLOOKUP(INDIRECT(ADDRESS(2,COLUMN())),OFFSET($CL$2,0,0,ROW()-1,84),ROW()-1,FALSE))</f>
        <v>21.363052209999999</v>
      </c>
      <c r="N32">
        <f ca="1">IF(AND(ISNUMBER($N$279),$B$252=1),$N$279,HLOOKUP(INDIRECT(ADDRESS(2,COLUMN())),OFFSET($CL$2,0,0,ROW()-1,84),ROW()-1,FALSE))</f>
        <v>21.008268439999998</v>
      </c>
      <c r="O32">
        <f ca="1">IF(AND(ISNUMBER($O$279),$B$252=1),$O$279,HLOOKUP(INDIRECT(ADDRESS(2,COLUMN())),OFFSET($CL$2,0,0,ROW()-1,84),ROW()-1,FALSE))</f>
        <v>20.6841936</v>
      </c>
      <c r="P32">
        <f ca="1">IF(AND(ISNUMBER($P$279),$B$252=1),$P$279,HLOOKUP(INDIRECT(ADDRESS(2,COLUMN())),OFFSET($CL$2,0,0,ROW()-1,84),ROW()-1,FALSE))</f>
        <v>20.726040659999999</v>
      </c>
      <c r="Q32">
        <f ca="1">IF(AND(ISNUMBER($Q$279),$B$252=1),$Q$279,HLOOKUP(INDIRECT(ADDRESS(2,COLUMN())),OFFSET($CL$2,0,0,ROW()-1,84),ROW()-1,FALSE))</f>
        <v>19.83529412</v>
      </c>
      <c r="R32">
        <f ca="1">IF(AND(ISNUMBER($R$279),$B$252=1),$R$279,HLOOKUP(INDIRECT(ADDRESS(2,COLUMN())),OFFSET($CL$2,0,0,ROW()-1,84),ROW()-1,FALSE))</f>
        <v>18.791494199999999</v>
      </c>
      <c r="S32">
        <f ca="1">IF(AND(ISNUMBER($S$279),$B$252=1),$S$279,HLOOKUP(INDIRECT(ADDRESS(2,COLUMN())),OFFSET($CL$2,0,0,ROW()-1,84),ROW()-1,FALSE))</f>
        <v>19.034874290000001</v>
      </c>
      <c r="T32">
        <f ca="1">IF(AND(ISNUMBER($T$279),$B$252=1),$T$279,HLOOKUP(INDIRECT(ADDRESS(2,COLUMN())),OFFSET($CL$2,0,0,ROW()-1,84),ROW()-1,FALSE))</f>
        <v>17.945435629999999</v>
      </c>
      <c r="U32">
        <f ca="1">IF(AND(ISNUMBER($U$279),$B$252=1),$U$279,HLOOKUP(INDIRECT(ADDRESS(2,COLUMN())),OFFSET($CL$2,0,0,ROW()-1,84),ROW()-1,FALSE))</f>
        <v>18.622346820000001</v>
      </c>
      <c r="V32">
        <f ca="1">IF(AND(ISNUMBER($V$279),$B$252=1),$V$279,HLOOKUP(INDIRECT(ADDRESS(2,COLUMN())),OFFSET($CL$2,0,0,ROW()-1,84),ROW()-1,FALSE))</f>
        <v>17.237745489999998</v>
      </c>
      <c r="W32">
        <f ca="1">IF(AND(ISNUMBER($W$279),$B$252=1),$W$279,HLOOKUP(INDIRECT(ADDRESS(2,COLUMN())),OFFSET($CL$2,0,0,ROW()-1,84),ROW()-1,FALSE))</f>
        <v>17.14091273</v>
      </c>
      <c r="X32">
        <f ca="1">IF(AND(ISNUMBER($X$279),$B$252=1),$X$279,HLOOKUP(INDIRECT(ADDRESS(2,COLUMN())),OFFSET($CL$2,0,0,ROW()-1,84),ROW()-1,FALSE))</f>
        <v>17.769089600000001</v>
      </c>
      <c r="Y32">
        <f ca="1">IF(AND(ISNUMBER($Y$279),$B$252=1),$Y$279,HLOOKUP(INDIRECT(ADDRESS(2,COLUMN())),OFFSET($CL$2,0,0,ROW()-1,84),ROW()-1,FALSE))</f>
        <v>18.09994421</v>
      </c>
      <c r="Z32">
        <f ca="1">IF(AND(ISNUMBER($Z$279),$B$252=1),$Z$279,HLOOKUP(INDIRECT(ADDRESS(2,COLUMN())),OFFSET($CL$2,0,0,ROW()-1,84),ROW()-1,FALSE))</f>
        <v>18.49877403</v>
      </c>
      <c r="AA32">
        <f ca="1">IF(AND(ISNUMBER($AA$279),$B$252=1),$AA$279,HLOOKUP(INDIRECT(ADDRESS(2,COLUMN())),OFFSET($CL$2,0,0,ROW()-1,84),ROW()-1,FALSE))</f>
        <v>17.937244419999999</v>
      </c>
      <c r="AB32">
        <f ca="1">IF(AND(ISNUMBER($AB$279),$B$252=1),$AB$279,HLOOKUP(INDIRECT(ADDRESS(2,COLUMN())),OFFSET($CL$2,0,0,ROW()-1,84),ROW()-1,FALSE))</f>
        <v>17.80799373</v>
      </c>
      <c r="AC32">
        <f ca="1">IF(AND(ISNUMBER($AC$279),$B$252=1),$AC$279,HLOOKUP(INDIRECT(ADDRESS(2,COLUMN())),OFFSET($CL$2,0,0,ROW()-1,84),ROW()-1,FALSE))</f>
        <v>17.126320700000001</v>
      </c>
      <c r="AD32">
        <f ca="1">IF(AND(ISNUMBER($AD$279),$B$252=1),$AD$279,HLOOKUP(INDIRECT(ADDRESS(2,COLUMN())),OFFSET($CL$2,0,0,ROW()-1,84),ROW()-1,FALSE))</f>
        <v>18.081026749999999</v>
      </c>
      <c r="AE32">
        <f ca="1">IF(AND(ISNUMBER($AE$279),$B$252=1),$AE$279,HLOOKUP(INDIRECT(ADDRESS(2,COLUMN())),OFFSET($CL$2,0,0,ROW()-1,84),ROW()-1,FALSE))</f>
        <v>16.329588009999998</v>
      </c>
      <c r="AF32" t="str">
        <f ca="1">IF(AND(ISNUMBER($AF$279),$B$252=1),$AF$279,HLOOKUP(INDIRECT(ADDRESS(2,COLUMN())),OFFSET($CL$2,0,0,ROW()-1,84),ROW()-1,FALSE))</f>
        <v/>
      </c>
      <c r="AG32" t="str">
        <f ca="1">IF(AND(ISNUMBER($AG$279),$B$252=1),$AG$279,HLOOKUP(INDIRECT(ADDRESS(2,COLUMN())),OFFSET($CL$2,0,0,ROW()-1,84),ROW()-1,FALSE))</f>
        <v/>
      </c>
      <c r="AH32" t="str">
        <f ca="1">IF(AND(ISNUMBER($AH$279),$B$252=1),$AH$279,HLOOKUP(INDIRECT(ADDRESS(2,COLUMN())),OFFSET($CL$2,0,0,ROW()-1,84),ROW()-1,FALSE))</f>
        <v/>
      </c>
      <c r="AI32" t="str">
        <f ca="1">IF(AND(ISNUMBER($AI$279),$B$252=1),$AI$279,HLOOKUP(INDIRECT(ADDRESS(2,COLUMN())),OFFSET($CL$2,0,0,ROW()-1,84),ROW()-1,FALSE))</f>
        <v/>
      </c>
      <c r="AJ32" t="str">
        <f ca="1">IF(AND(ISNUMBER($AJ$279),$B$252=1),$AJ$279,HLOOKUP(INDIRECT(ADDRESS(2,COLUMN())),OFFSET($CL$2,0,0,ROW()-1,84),ROW()-1,FALSE))</f>
        <v/>
      </c>
      <c r="AK32">
        <f ca="1">IF(AND(ISNUMBER($AK$279),$B$252=1),$AK$279,HLOOKUP(INDIRECT(ADDRESS(2,COLUMN())),OFFSET($CL$2,0,0,ROW()-1,84),ROW()-1,FALSE))</f>
        <v>17.577813249999998</v>
      </c>
      <c r="AL32">
        <f ca="1">IF(AND(ISNUMBER($AL$279),$B$252=1),$AL$279,HLOOKUP(INDIRECT(ADDRESS(2,COLUMN())),OFFSET($CL$2,0,0,ROW()-1,84),ROW()-1,FALSE))</f>
        <v>17.949720670000001</v>
      </c>
      <c r="AM32" t="str">
        <f ca="1">IF(AND(ISNUMBER($AM$279),$B$252=1),$AM$279,HLOOKUP(INDIRECT(ADDRESS(2,COLUMN())),OFFSET($CL$2,0,0,ROW()-1,84),ROW()-1,FALSE))</f>
        <v/>
      </c>
      <c r="AN32" t="str">
        <f ca="1">IF(AND(ISNUMBER($AN$279),$B$252=1),$AN$279,HLOOKUP(INDIRECT(ADDRESS(2,COLUMN())),OFFSET($CL$2,0,0,ROW()-1,84),ROW()-1,FALSE))</f>
        <v/>
      </c>
      <c r="AO32" t="str">
        <f ca="1">IF(AND(ISNUMBER($AO$279),$B$252=1),$AO$279,HLOOKUP(INDIRECT(ADDRESS(2,COLUMN())),OFFSET($CL$2,0,0,ROW()-1,84),ROW()-1,FALSE))</f>
        <v/>
      </c>
      <c r="AP32" t="str">
        <f ca="1">IF(AND(ISNUMBER($AP$279),$B$252=1),$AP$279,HLOOKUP(INDIRECT(ADDRESS(2,COLUMN())),OFFSET($CL$2,0,0,ROW()-1,84),ROW()-1,FALSE))</f>
        <v/>
      </c>
      <c r="AQ32" t="str">
        <f ca="1">IF(AND(ISNUMBER($AQ$279),$B$252=1),$AQ$279,HLOOKUP(INDIRECT(ADDRESS(2,COLUMN())),OFFSET($CL$2,0,0,ROW()-1,84),ROW()-1,FALSE))</f>
        <v/>
      </c>
      <c r="AR32" t="str">
        <f ca="1">IF(AND(ISNUMBER($AR$279),$B$252=1),$AR$279,HLOOKUP(INDIRECT(ADDRESS(2,COLUMN())),OFFSET($CL$2,0,0,ROW()-1,84),ROW()-1,FALSE))</f>
        <v/>
      </c>
      <c r="AS32" t="str">
        <f ca="1">IF(AND(ISNUMBER($AS$279),$B$252=1),$AS$279,HLOOKUP(INDIRECT(ADDRESS(2,COLUMN())),OFFSET($CL$2,0,0,ROW()-1,84),ROW()-1,FALSE))</f>
        <v/>
      </c>
      <c r="AT32" t="str">
        <f ca="1">IF(AND(ISNUMBER($AT$279),$B$252=1),$AT$279,HLOOKUP(INDIRECT(ADDRESS(2,COLUMN())),OFFSET($CL$2,0,0,ROW()-1,84),ROW()-1,FALSE))</f>
        <v/>
      </c>
      <c r="AU32" t="str">
        <f ca="1">IF(AND(ISNUMBER($AU$279),$B$252=1),$AU$279,HLOOKUP(INDIRECT(ADDRESS(2,COLUMN())),OFFSET($CL$2,0,0,ROW()-1,84),ROW()-1,FALSE))</f>
        <v/>
      </c>
      <c r="AV32" t="str">
        <f ca="1">IF(AND(ISNUMBER($AV$279),$B$252=1),$AV$279,HLOOKUP(INDIRECT(ADDRESS(2,COLUMN())),OFFSET($CL$2,0,0,ROW()-1,84),ROW()-1,FALSE))</f>
        <v/>
      </c>
      <c r="AW32" t="str">
        <f ca="1">IF(AND(ISNUMBER($AW$279),$B$252=1),$AW$279,HLOOKUP(INDIRECT(ADDRESS(2,COLUMN())),OFFSET($CL$2,0,0,ROW()-1,84),ROW()-1,FALSE))</f>
        <v/>
      </c>
      <c r="AX32" t="str">
        <f ca="1">IF(AND(ISNUMBER($AX$279),$B$252=1),$AX$279,HLOOKUP(INDIRECT(ADDRESS(2,COLUMN())),OFFSET($CL$2,0,0,ROW()-1,84),ROW()-1,FALSE))</f>
        <v/>
      </c>
      <c r="AY32" t="str">
        <f ca="1">IF(AND(ISNUMBER($AY$279),$B$252=1),$AY$279,HLOOKUP(INDIRECT(ADDRESS(2,COLUMN())),OFFSET($CL$2,0,0,ROW()-1,84),ROW()-1,FALSE))</f>
        <v/>
      </c>
      <c r="AZ32" t="str">
        <f ca="1">IF(AND(ISNUMBER($AZ$279),$B$252=1),$AZ$279,HLOOKUP(INDIRECT(ADDRESS(2,COLUMN())),OFFSET($CL$2,0,0,ROW()-1,84),ROW()-1,FALSE))</f>
        <v/>
      </c>
      <c r="BA32" t="str">
        <f ca="1">IF(AND(ISNUMBER($BA$279),$B$252=1),$BA$279,HLOOKUP(INDIRECT(ADDRESS(2,COLUMN())),OFFSET($CL$2,0,0,ROW()-1,84),ROW()-1,FALSE))</f>
        <v/>
      </c>
      <c r="BB32" t="str">
        <f ca="1">IF(AND(ISNUMBER($BB$279),$B$252=1),$BB$279,HLOOKUP(INDIRECT(ADDRESS(2,COLUMN())),OFFSET($CL$2,0,0,ROW()-1,84),ROW()-1,FALSE))</f>
        <v/>
      </c>
      <c r="BC32" t="str">
        <f ca="1">IF(AND(ISNUMBER($BC$279),$B$252=1),$BC$279,HLOOKUP(INDIRECT(ADDRESS(2,COLUMN())),OFFSET($CL$2,0,0,ROW()-1,84),ROW()-1,FALSE))</f>
        <v/>
      </c>
      <c r="BD32" t="str">
        <f ca="1">IF(AND(ISNUMBER($BD$279),$B$252=1),$BD$279,HLOOKUP(INDIRECT(ADDRESS(2,COLUMN())),OFFSET($CL$2,0,0,ROW()-1,84),ROW()-1,FALSE))</f>
        <v/>
      </c>
      <c r="BE32" t="str">
        <f ca="1">IF(AND(ISNUMBER($BE$279),$B$252=1),$BE$279,HLOOKUP(INDIRECT(ADDRESS(2,COLUMN())),OFFSET($CL$2,0,0,ROW()-1,84),ROW()-1,FALSE))</f>
        <v/>
      </c>
      <c r="BF32" t="str">
        <f ca="1">IF(AND(ISNUMBER($BF$279),$B$252=1),$BF$279,HLOOKUP(INDIRECT(ADDRESS(2,COLUMN())),OFFSET($CL$2,0,0,ROW()-1,84),ROW()-1,FALSE))</f>
        <v/>
      </c>
      <c r="BG32" t="str">
        <f ca="1">IF(AND(ISNUMBER($BG$279),$B$252=1),$BG$279,HLOOKUP(INDIRECT(ADDRESS(2,COLUMN())),OFFSET($CL$2,0,0,ROW()-1,84),ROW()-1,FALSE))</f>
        <v/>
      </c>
      <c r="BH32" t="str">
        <f ca="1">IF(AND(ISNUMBER($BH$279),$B$252=1),$BH$279,HLOOKUP(INDIRECT(ADDRESS(2,COLUMN())),OFFSET($CL$2,0,0,ROW()-1,84),ROW()-1,FALSE))</f>
        <v/>
      </c>
      <c r="BI32" t="str">
        <f ca="1">IF(AND(ISNUMBER($BI$279),$B$252=1),$BI$279,HLOOKUP(INDIRECT(ADDRESS(2,COLUMN())),OFFSET($CL$2,0,0,ROW()-1,84),ROW()-1,FALSE))</f>
        <v/>
      </c>
      <c r="BJ32" t="str">
        <f ca="1">IF(AND(ISNUMBER($BJ$279),$B$252=1),$BJ$279,HLOOKUP(INDIRECT(ADDRESS(2,COLUMN())),OFFSET($CL$2,0,0,ROW()-1,84),ROW()-1,FALSE))</f>
        <v/>
      </c>
      <c r="BK32" t="str">
        <f ca="1">IF(AND(ISNUMBER($BK$279),$B$252=1),$BK$279,HLOOKUP(INDIRECT(ADDRESS(2,COLUMN())),OFFSET($CL$2,0,0,ROW()-1,84),ROW()-1,FALSE))</f>
        <v/>
      </c>
      <c r="BL32" t="str">
        <f ca="1">IF(AND(ISNUMBER($BL$279),$B$252=1),$BL$279,HLOOKUP(INDIRECT(ADDRESS(2,COLUMN())),OFFSET($CL$2,0,0,ROW()-1,84),ROW()-1,FALSE))</f>
        <v/>
      </c>
      <c r="BM32" t="str">
        <f ca="1">IF(AND(ISNUMBER($BM$279),$B$252=1),$BM$279,HLOOKUP(INDIRECT(ADDRESS(2,COLUMN())),OFFSET($CL$2,0,0,ROW()-1,84),ROW()-1,FALSE))</f>
        <v/>
      </c>
      <c r="BN32" t="str">
        <f ca="1">IF(AND(ISNUMBER($BN$279),$B$252=1),$BN$279,HLOOKUP(INDIRECT(ADDRESS(2,COLUMN())),OFFSET($CL$2,0,0,ROW()-1,84),ROW()-1,FALSE))</f>
        <v/>
      </c>
      <c r="BO32" t="str">
        <f ca="1">IF(AND(ISNUMBER($BO$279),$B$252=1),$BO$279,HLOOKUP(INDIRECT(ADDRESS(2,COLUMN())),OFFSET($CL$2,0,0,ROW()-1,84),ROW()-1,FALSE))</f>
        <v/>
      </c>
      <c r="BP32" t="str">
        <f ca="1">IF(AND(ISNUMBER($BP$279),$B$252=1),$BP$279,HLOOKUP(INDIRECT(ADDRESS(2,COLUMN())),OFFSET($CL$2,0,0,ROW()-1,84),ROW()-1,FALSE))</f>
        <v/>
      </c>
      <c r="BQ32" t="str">
        <f ca="1">IF(AND(ISNUMBER($BQ$279),$B$252=1),$BQ$279,HLOOKUP(INDIRECT(ADDRESS(2,COLUMN())),OFFSET($CL$2,0,0,ROW()-1,84),ROW()-1,FALSE))</f>
        <v/>
      </c>
      <c r="BR32" t="str">
        <f ca="1">IF(AND(ISNUMBER($BR$279),$B$252=1),$BR$279,HLOOKUP(INDIRECT(ADDRESS(2,COLUMN())),OFFSET($CL$2,0,0,ROW()-1,84),ROW()-1,FALSE))</f>
        <v/>
      </c>
      <c r="BS32" t="str">
        <f ca="1">IF(AND(ISNUMBER($BS$279),$B$252=1),$BS$279,HLOOKUP(INDIRECT(ADDRESS(2,COLUMN())),OFFSET($CL$2,0,0,ROW()-1,84),ROW()-1,FALSE))</f>
        <v/>
      </c>
      <c r="BT32" t="str">
        <f ca="1">IF(AND(ISNUMBER($BT$279),$B$252=1),$BT$279,HLOOKUP(INDIRECT(ADDRESS(2,COLUMN())),OFFSET($CL$2,0,0,ROW()-1,84),ROW()-1,FALSE))</f>
        <v/>
      </c>
      <c r="BU32" t="str">
        <f ca="1">IF(AND(ISNUMBER($BU$279),$B$252=1),$BU$279,HLOOKUP(INDIRECT(ADDRESS(2,COLUMN())),OFFSET($CL$2,0,0,ROW()-1,84),ROW()-1,FALSE))</f>
        <v/>
      </c>
      <c r="BV32" t="str">
        <f ca="1">IF(AND(ISNUMBER($BV$279),$B$252=1),$BV$279,HLOOKUP(INDIRECT(ADDRESS(2,COLUMN())),OFFSET($CL$2,0,0,ROW()-1,84),ROW()-1,FALSE))</f>
        <v/>
      </c>
      <c r="BW32" t="str">
        <f ca="1">IF(AND(ISNUMBER($BW$279),$B$252=1),$BW$279,HLOOKUP(INDIRECT(ADDRESS(2,COLUMN())),OFFSET($CL$2,0,0,ROW()-1,84),ROW()-1,FALSE))</f>
        <v/>
      </c>
      <c r="BX32" t="str">
        <f ca="1">IF(AND(ISNUMBER($BX$279),$B$252=1),$BX$279,HLOOKUP(INDIRECT(ADDRESS(2,COLUMN())),OFFSET($CL$2,0,0,ROW()-1,84),ROW()-1,FALSE))</f>
        <v/>
      </c>
      <c r="BY32" t="str">
        <f ca="1">IF(AND(ISNUMBER($BY$279),$B$252=1),$BY$279,HLOOKUP(INDIRECT(ADDRESS(2,COLUMN())),OFFSET($CL$2,0,0,ROW()-1,84),ROW()-1,FALSE))</f>
        <v/>
      </c>
      <c r="BZ32" t="str">
        <f ca="1">IF(AND(ISNUMBER($BZ$279),$B$252=1),$BZ$279,HLOOKUP(INDIRECT(ADDRESS(2,COLUMN())),OFFSET($CL$2,0,0,ROW()-1,84),ROW()-1,FALSE))</f>
        <v/>
      </c>
      <c r="CA32" t="str">
        <f ca="1">IF(AND(ISNUMBER($CA$279),$B$252=1),$CA$279,HLOOKUP(INDIRECT(ADDRESS(2,COLUMN())),OFFSET($CL$2,0,0,ROW()-1,84),ROW()-1,FALSE))</f>
        <v/>
      </c>
      <c r="CB32" t="str">
        <f ca="1">IF(AND(ISNUMBER($CB$279),$B$252=1),$CB$279,HLOOKUP(INDIRECT(ADDRESS(2,COLUMN())),OFFSET($CL$2,0,0,ROW()-1,84),ROW()-1,FALSE))</f>
        <v/>
      </c>
      <c r="CC32" t="str">
        <f ca="1">IF(AND(ISNUMBER($CC$279),$B$252=1),$CC$279,HLOOKUP(INDIRECT(ADDRESS(2,COLUMN())),OFFSET($CL$2,0,0,ROW()-1,84),ROW()-1,FALSE))</f>
        <v/>
      </c>
      <c r="CD32" t="str">
        <f ca="1">IF(AND(ISNUMBER($CD$279),$B$252=1),$CD$279,HLOOKUP(INDIRECT(ADDRESS(2,COLUMN())),OFFSET($CL$2,0,0,ROW()-1,84),ROW()-1,FALSE))</f>
        <v/>
      </c>
      <c r="CE32" t="str">
        <f ca="1">IF(AND(ISNUMBER($CE$279),$B$252=1),$CE$279,HLOOKUP(INDIRECT(ADDRESS(2,COLUMN())),OFFSET($CL$2,0,0,ROW()-1,84),ROW()-1,FALSE))</f>
        <v/>
      </c>
      <c r="CF32" t="str">
        <f ca="1">IF(AND(ISNUMBER($CF$279),$B$252=1),$CF$279,HLOOKUP(INDIRECT(ADDRESS(2,COLUMN())),OFFSET($CL$2,0,0,ROW()-1,84),ROW()-1,FALSE))</f>
        <v/>
      </c>
      <c r="CG32" t="str">
        <f ca="1">IF(AND(ISNUMBER($CG$279),$B$252=1),$CG$279,HLOOKUP(INDIRECT(ADDRESS(2,COLUMN())),OFFSET($CL$2,0,0,ROW()-1,84),ROW()-1,FALSE))</f>
        <v/>
      </c>
      <c r="CH32" t="str">
        <f ca="1">IF(AND(ISNUMBER($CH$279),$B$252=1),$CH$279,HLOOKUP(INDIRECT(ADDRESS(2,COLUMN())),OFFSET($CL$2,0,0,ROW()-1,84),ROW()-1,FALSE))</f>
        <v/>
      </c>
      <c r="CI32" t="str">
        <f ca="1">IF(AND(ISNUMBER($CI$279),$B$252=1),$CI$279,HLOOKUP(INDIRECT(ADDRESS(2,COLUMN())),OFFSET($CL$2,0,0,ROW()-1,84),ROW()-1,FALSE))</f>
        <v/>
      </c>
      <c r="CJ32" t="str">
        <f ca="1">IF(AND(ISNUMBER($CJ$279),$B$252=1),$CJ$279,HLOOKUP(INDIRECT(ADDRESS(2,COLUMN())),OFFSET($CL$2,0,0,ROW()-1,84),ROW()-1,FALSE))</f>
        <v/>
      </c>
      <c r="CK32" t="str">
        <f ca="1">IF(AND(ISNUMBER($CK$279),$B$252=1),$CK$279,HLOOKUP(INDIRECT(ADDRESS(2,COLUMN())),OFFSET($CL$2,0,0,ROW()-1,84),ROW()-1,FALSE))</f>
        <v/>
      </c>
      <c r="CL32">
        <f>19.17898502</f>
        <v>19.178985019999999</v>
      </c>
      <c r="CM32">
        <f>17.97686933</f>
        <v>17.97686933</v>
      </c>
      <c r="CN32">
        <f>18.7358263</f>
        <v>18.735826299999999</v>
      </c>
      <c r="CO32">
        <f>19.38714859</f>
        <v>19.387148589999999</v>
      </c>
      <c r="CP32">
        <f>19.83218243</f>
        <v>19.83218243</v>
      </c>
      <c r="CQ32">
        <f>21.04828361</f>
        <v>21.048283609999999</v>
      </c>
      <c r="CR32">
        <f>20.3712911</f>
        <v>20.371291100000001</v>
      </c>
      <c r="CS32">
        <f>21.36305221</f>
        <v>21.363052209999999</v>
      </c>
      <c r="CT32">
        <f>21.00826844</f>
        <v>21.008268439999998</v>
      </c>
      <c r="CU32">
        <f>20.6841936</f>
        <v>20.6841936</v>
      </c>
      <c r="CV32">
        <f>20.72604066</f>
        <v>20.726040659999999</v>
      </c>
      <c r="CW32">
        <f>19.83529412</f>
        <v>19.83529412</v>
      </c>
      <c r="CX32">
        <f>18.7914942</f>
        <v>18.791494199999999</v>
      </c>
      <c r="CY32">
        <f>19.03487429</f>
        <v>19.034874290000001</v>
      </c>
      <c r="CZ32">
        <f>17.94543563</f>
        <v>17.945435629999999</v>
      </c>
      <c r="DA32">
        <f>18.62234682</f>
        <v>18.622346820000001</v>
      </c>
      <c r="DB32">
        <f>17.23774549</f>
        <v>17.237745489999998</v>
      </c>
      <c r="DC32">
        <f>17.14091273</f>
        <v>17.14091273</v>
      </c>
      <c r="DD32">
        <f>17.7690896</f>
        <v>17.769089600000001</v>
      </c>
      <c r="DE32">
        <f>18.09994421</f>
        <v>18.09994421</v>
      </c>
      <c r="DF32">
        <f>18.49877403</f>
        <v>18.49877403</v>
      </c>
      <c r="DG32">
        <f>17.93724442</f>
        <v>17.937244419999999</v>
      </c>
      <c r="DH32">
        <f>17.80799373</f>
        <v>17.80799373</v>
      </c>
      <c r="DI32">
        <f>17.1263207</f>
        <v>17.126320700000001</v>
      </c>
      <c r="DJ32">
        <f>18.08102675</f>
        <v>18.081026749999999</v>
      </c>
      <c r="DK32">
        <f>16.32958801</f>
        <v>16.329588009999998</v>
      </c>
      <c r="DL32" t="str">
        <f>""</f>
        <v/>
      </c>
      <c r="DM32" t="str">
        <f>""</f>
        <v/>
      </c>
      <c r="DN32" t="str">
        <f>""</f>
        <v/>
      </c>
      <c r="DO32" t="str">
        <f>""</f>
        <v/>
      </c>
      <c r="DP32" t="str">
        <f>""</f>
        <v/>
      </c>
      <c r="DQ32">
        <f>17.57781325</f>
        <v>17.577813249999998</v>
      </c>
      <c r="DR32">
        <f>17.94972067</f>
        <v>17.949720670000001</v>
      </c>
      <c r="DS32" t="str">
        <f>""</f>
        <v/>
      </c>
      <c r="DT32" t="str">
        <f>""</f>
        <v/>
      </c>
      <c r="DU32" t="str">
        <f>""</f>
        <v/>
      </c>
      <c r="DV32" t="str">
        <f>""</f>
        <v/>
      </c>
      <c r="DW32" t="str">
        <f>""</f>
        <v/>
      </c>
      <c r="DX32" t="str">
        <f>""</f>
        <v/>
      </c>
      <c r="DY32" t="str">
        <f>""</f>
        <v/>
      </c>
      <c r="DZ32" t="str">
        <f>""</f>
        <v/>
      </c>
      <c r="EA32" t="str">
        <f>""</f>
        <v/>
      </c>
      <c r="EB32" t="str">
        <f>""</f>
        <v/>
      </c>
      <c r="EC32" t="str">
        <f>""</f>
        <v/>
      </c>
      <c r="ED32" t="str">
        <f>""</f>
        <v/>
      </c>
      <c r="EE32" t="str">
        <f>""</f>
        <v/>
      </c>
      <c r="EF32" t="str">
        <f>""</f>
        <v/>
      </c>
      <c r="EG32" t="str">
        <f>""</f>
        <v/>
      </c>
      <c r="EH32" t="str">
        <f>""</f>
        <v/>
      </c>
      <c r="EI32" t="str">
        <f>""</f>
        <v/>
      </c>
      <c r="EJ32" t="str">
        <f>""</f>
        <v/>
      </c>
      <c r="EK32" t="str">
        <f>""</f>
        <v/>
      </c>
      <c r="EL32" t="str">
        <f>""</f>
        <v/>
      </c>
      <c r="EM32" t="str">
        <f>""</f>
        <v/>
      </c>
      <c r="EN32" t="str">
        <f>""</f>
        <v/>
      </c>
      <c r="EO32" t="str">
        <f>""</f>
        <v/>
      </c>
      <c r="EP32" t="str">
        <f>""</f>
        <v/>
      </c>
      <c r="EQ32" t="str">
        <f>""</f>
        <v/>
      </c>
      <c r="ER32" t="str">
        <f>""</f>
        <v/>
      </c>
      <c r="ES32" t="str">
        <f>""</f>
        <v/>
      </c>
      <c r="ET32" t="str">
        <f>""</f>
        <v/>
      </c>
      <c r="EU32" t="str">
        <f>""</f>
        <v/>
      </c>
      <c r="EV32" t="str">
        <f>""</f>
        <v/>
      </c>
      <c r="EW32" t="str">
        <f>""</f>
        <v/>
      </c>
      <c r="EX32" t="str">
        <f>""</f>
        <v/>
      </c>
      <c r="EY32" t="str">
        <f>""</f>
        <v/>
      </c>
      <c r="EZ32" t="str">
        <f>""</f>
        <v/>
      </c>
      <c r="FA32" t="str">
        <f>""</f>
        <v/>
      </c>
      <c r="FB32" t="str">
        <f>""</f>
        <v/>
      </c>
      <c r="FC32" t="str">
        <f>""</f>
        <v/>
      </c>
      <c r="FD32" t="str">
        <f>""</f>
        <v/>
      </c>
      <c r="FE32" t="str">
        <f>""</f>
        <v/>
      </c>
      <c r="FF32" t="str">
        <f>""</f>
        <v/>
      </c>
      <c r="FG32" t="str">
        <f>""</f>
        <v/>
      </c>
      <c r="FH32" t="str">
        <f>""</f>
        <v/>
      </c>
      <c r="FI32" t="str">
        <f>""</f>
        <v/>
      </c>
      <c r="FJ32" t="str">
        <f>""</f>
        <v/>
      </c>
      <c r="FK32" t="str">
        <f>""</f>
        <v/>
      </c>
      <c r="FL32" t="str">
        <f>""</f>
        <v/>
      </c>
      <c r="FM32" t="str">
        <f>""</f>
        <v/>
      </c>
      <c r="FN32" t="str">
        <f>""</f>
        <v/>
      </c>
      <c r="FO32" t="str">
        <f>""</f>
        <v/>
      </c>
      <c r="FP32" t="str">
        <f>""</f>
        <v/>
      </c>
      <c r="FQ32" t="str">
        <f>""</f>
        <v/>
      </c>
    </row>
    <row r="33" spans="1:173">
      <c r="A33" t="str">
        <f>"    Mid-America Apartment Communities股份有限公司"</f>
        <v xml:space="preserve">    Mid-America Apartment Communities股份有限公司</v>
      </c>
      <c r="B33" t="str">
        <f>"MAA US Equity"</f>
        <v>MAA US Equity</v>
      </c>
      <c r="C33" t="str">
        <f t="shared" si="9"/>
        <v>BE249</v>
      </c>
      <c r="D33" t="str">
        <f t="shared" si="10"/>
        <v>BEST_PRICE_FFO_RATIO</v>
      </c>
      <c r="E33" t="str">
        <f t="shared" si="11"/>
        <v>动态</v>
      </c>
      <c r="F33">
        <f ca="1">IF(AND(ISNUMBER($F$280),$B$252=1),$F$280,HLOOKUP(INDIRECT(ADDRESS(2,COLUMN())),OFFSET($CL$2,0,0,ROW()-1,84),ROW()-1,FALSE))</f>
        <v>14.80609817</v>
      </c>
      <c r="G33">
        <f ca="1">IF(AND(ISNUMBER($G$280),$B$252=1),$G$280,HLOOKUP(INDIRECT(ADDRESS(2,COLUMN())),OFFSET($CL$2,0,0,ROW()-1,84),ROW()-1,FALSE))</f>
        <v>14.15004122</v>
      </c>
      <c r="H33">
        <f ca="1">IF(AND(ISNUMBER($H$280),$B$252=1),$H$280,HLOOKUP(INDIRECT(ADDRESS(2,COLUMN())),OFFSET($CL$2,0,0,ROW()-1,84),ROW()-1,FALSE))</f>
        <v>15.53257329</v>
      </c>
      <c r="I33">
        <f ca="1">IF(AND(ISNUMBER($I$280),$B$252=1),$I$280,HLOOKUP(INDIRECT(ADDRESS(2,COLUMN())),OFFSET($CL$2,0,0,ROW()-1,84),ROW()-1,FALSE))</f>
        <v>16.250808020000001</v>
      </c>
      <c r="J33">
        <f ca="1">IF(AND(ISNUMBER($J$280),$B$252=1),$J$280,HLOOKUP(INDIRECT(ADDRESS(2,COLUMN())),OFFSET($CL$2,0,0,ROW()-1,84),ROW()-1,FALSE))</f>
        <v>16.39564661</v>
      </c>
      <c r="K33">
        <f ca="1">IF(AND(ISNUMBER($K$280),$B$252=1),$K$280,HLOOKUP(INDIRECT(ADDRESS(2,COLUMN())),OFFSET($CL$2,0,0,ROW()-1,84),ROW()-1,FALSE))</f>
        <v>16.256353239999999</v>
      </c>
      <c r="L33">
        <f ca="1">IF(AND(ISNUMBER($L$280),$B$252=1),$L$280,HLOOKUP(INDIRECT(ADDRESS(2,COLUMN())),OFFSET($CL$2,0,0,ROW()-1,84),ROW()-1,FALSE))</f>
        <v>16.820900219999999</v>
      </c>
      <c r="M33">
        <f ca="1">IF(AND(ISNUMBER($M$280),$B$252=1),$M$280,HLOOKUP(INDIRECT(ADDRESS(2,COLUMN())),OFFSET($CL$2,0,0,ROW()-1,84),ROW()-1,FALSE))</f>
        <v>16.786502680000002</v>
      </c>
      <c r="N33">
        <f ca="1">IF(AND(ISNUMBER($N$280),$B$252=1),$N$280,HLOOKUP(INDIRECT(ADDRESS(2,COLUMN())),OFFSET($CL$2,0,0,ROW()-1,84),ROW()-1,FALSE))</f>
        <v>16.301369860000001</v>
      </c>
      <c r="O33">
        <f ca="1">IF(AND(ISNUMBER($O$280),$B$252=1),$O$280,HLOOKUP(INDIRECT(ADDRESS(2,COLUMN())),OFFSET($CL$2,0,0,ROW()-1,84),ROW()-1,FALSE))</f>
        <v>16.54576857</v>
      </c>
      <c r="P33">
        <f ca="1">IF(AND(ISNUMBER($P$280),$B$252=1),$P$280,HLOOKUP(INDIRECT(ADDRESS(2,COLUMN())),OFFSET($CL$2,0,0,ROW()-1,84),ROW()-1,FALSE))</f>
        <v>16.023263119999999</v>
      </c>
      <c r="Q33">
        <f ca="1">IF(AND(ISNUMBER($Q$280),$B$252=1),$Q$280,HLOOKUP(INDIRECT(ADDRESS(2,COLUMN())),OFFSET($CL$2,0,0,ROW()-1,84),ROW()-1,FALSE))</f>
        <v>15.67051019</v>
      </c>
      <c r="R33">
        <f ca="1">IF(AND(ISNUMBER($R$280),$B$252=1),$R$280,HLOOKUP(INDIRECT(ADDRESS(2,COLUMN())),OFFSET($CL$2,0,0,ROW()-1,84),ROW()-1,FALSE))</f>
        <v>16.070131100000001</v>
      </c>
      <c r="S33">
        <f ca="1">IF(AND(ISNUMBER($S$280),$B$252=1),$S$280,HLOOKUP(INDIRECT(ADDRESS(2,COLUMN())),OFFSET($CL$2,0,0,ROW()-1,84),ROW()-1,FALSE))</f>
        <v>16.229067929999999</v>
      </c>
      <c r="T33">
        <f ca="1">IF(AND(ISNUMBER($T$280),$B$252=1),$T$280,HLOOKUP(INDIRECT(ADDRESS(2,COLUMN())),OFFSET($CL$2,0,0,ROW()-1,84),ROW()-1,FALSE))</f>
        <v>14.84057518</v>
      </c>
      <c r="U33">
        <f ca="1">IF(AND(ISNUMBER($U$280),$B$252=1),$U$280,HLOOKUP(INDIRECT(ADDRESS(2,COLUMN())),OFFSET($CL$2,0,0,ROW()-1,84),ROW()-1,FALSE))</f>
        <v>15.41319062</v>
      </c>
      <c r="V33">
        <f ca="1">IF(AND(ISNUMBER($V$280),$B$252=1),$V$280,HLOOKUP(INDIRECT(ADDRESS(2,COLUMN())),OFFSET($CL$2,0,0,ROW()-1,84),ROW()-1,FALSE))</f>
        <v>13.972247640000001</v>
      </c>
      <c r="W33">
        <f ca="1">IF(AND(ISNUMBER($W$280),$B$252=1),$W$280,HLOOKUP(INDIRECT(ADDRESS(2,COLUMN())),OFFSET($CL$2,0,0,ROW()-1,84),ROW()-1,FALSE))</f>
        <v>14.10217424</v>
      </c>
      <c r="X33">
        <f ca="1">IF(AND(ISNUMBER($X$280),$B$252=1),$X$280,HLOOKUP(INDIRECT(ADDRESS(2,COLUMN())),OFFSET($CL$2,0,0,ROW()-1,84),ROW()-1,FALSE))</f>
        <v>14.42892232</v>
      </c>
      <c r="Y33">
        <f ca="1">IF(AND(ISNUMBER($Y$280),$B$252=1),$Y$280,HLOOKUP(INDIRECT(ADDRESS(2,COLUMN())),OFFSET($CL$2,0,0,ROW()-1,84),ROW()-1,FALSE))</f>
        <v>14.354001220000001</v>
      </c>
      <c r="Z33">
        <f ca="1">IF(AND(ISNUMBER($Z$280),$B$252=1),$Z$280,HLOOKUP(INDIRECT(ADDRESS(2,COLUMN())),OFFSET($CL$2,0,0,ROW()-1,84),ROW()-1,FALSE))</f>
        <v>15.91175146</v>
      </c>
      <c r="AA33">
        <f ca="1">IF(AND(ISNUMBER($AA$280),$B$252=1),$AA$280,HLOOKUP(INDIRECT(ADDRESS(2,COLUMN())),OFFSET($CL$2,0,0,ROW()-1,84),ROW()-1,FALSE))</f>
        <v>15.96878283</v>
      </c>
      <c r="AB33">
        <f ca="1">IF(AND(ISNUMBER($AB$280),$B$252=1),$AB$280,HLOOKUP(INDIRECT(ADDRESS(2,COLUMN())),OFFSET($CL$2,0,0,ROW()-1,84),ROW()-1,FALSE))</f>
        <v>15.5222306</v>
      </c>
      <c r="AC33">
        <f ca="1">IF(AND(ISNUMBER($AC$280),$B$252=1),$AC$280,HLOOKUP(INDIRECT(ADDRESS(2,COLUMN())),OFFSET($CL$2,0,0,ROW()-1,84),ROW()-1,FALSE))</f>
        <v>14.601067889999999</v>
      </c>
      <c r="AD33">
        <f ca="1">IF(AND(ISNUMBER($AD$280),$B$252=1),$AD$280,HLOOKUP(INDIRECT(ADDRESS(2,COLUMN())),OFFSET($CL$2,0,0,ROW()-1,84),ROW()-1,FALSE))</f>
        <v>15.32383808</v>
      </c>
      <c r="AE33">
        <f ca="1">IF(AND(ISNUMBER($AE$280),$B$252=1),$AE$280,HLOOKUP(INDIRECT(ADDRESS(2,COLUMN())),OFFSET($CL$2,0,0,ROW()-1,84),ROW()-1,FALSE))</f>
        <v>13.48425787</v>
      </c>
      <c r="AF33">
        <f ca="1">IF(AND(ISNUMBER($AF$280),$B$252=1),$AF$280,HLOOKUP(INDIRECT(ADDRESS(2,COLUMN())),OFFSET($CL$2,0,0,ROW()-1,84),ROW()-1,FALSE))</f>
        <v>13.899259259999999</v>
      </c>
      <c r="AG33">
        <f ca="1">IF(AND(ISNUMBER($AG$280),$B$252=1),$AG$280,HLOOKUP(INDIRECT(ADDRESS(2,COLUMN())),OFFSET($CL$2,0,0,ROW()-1,84),ROW()-1,FALSE))</f>
        <v>13.45333333</v>
      </c>
      <c r="AH33" t="str">
        <f ca="1">IF(AND(ISNUMBER($AH$280),$B$252=1),$AH$280,HLOOKUP(INDIRECT(ADDRESS(2,COLUMN())),OFFSET($CL$2,0,0,ROW()-1,84),ROW()-1,FALSE))</f>
        <v/>
      </c>
      <c r="AI33" t="str">
        <f ca="1">IF(AND(ISNUMBER($AI$280),$B$252=1),$AI$280,HLOOKUP(INDIRECT(ADDRESS(2,COLUMN())),OFFSET($CL$2,0,0,ROW()-1,84),ROW()-1,FALSE))</f>
        <v/>
      </c>
      <c r="AJ33" t="str">
        <f ca="1">IF(AND(ISNUMBER($AJ$280),$B$252=1),$AJ$280,HLOOKUP(INDIRECT(ADDRESS(2,COLUMN())),OFFSET($CL$2,0,0,ROW()-1,84),ROW()-1,FALSE))</f>
        <v/>
      </c>
      <c r="AK33">
        <f ca="1">IF(AND(ISNUMBER($AK$280),$B$252=1),$AK$280,HLOOKUP(INDIRECT(ADDRESS(2,COLUMN())),OFFSET($CL$2,0,0,ROW()-1,84),ROW()-1,FALSE))</f>
        <v>11.91330344</v>
      </c>
      <c r="AL33">
        <f ca="1">IF(AND(ISNUMBER($AL$280),$B$252=1),$AL$280,HLOOKUP(INDIRECT(ADDRESS(2,COLUMN())),OFFSET($CL$2,0,0,ROW()-1,84),ROW()-1,FALSE))</f>
        <v>12.00896861</v>
      </c>
      <c r="AM33" t="str">
        <f ca="1">IF(AND(ISNUMBER($AM$280),$B$252=1),$AM$280,HLOOKUP(INDIRECT(ADDRESS(2,COLUMN())),OFFSET($CL$2,0,0,ROW()-1,84),ROW()-1,FALSE))</f>
        <v/>
      </c>
      <c r="AN33" t="str">
        <f ca="1">IF(AND(ISNUMBER($AN$280),$B$252=1),$AN$280,HLOOKUP(INDIRECT(ADDRESS(2,COLUMN())),OFFSET($CL$2,0,0,ROW()-1,84),ROW()-1,FALSE))</f>
        <v/>
      </c>
      <c r="AO33" t="str">
        <f ca="1">IF(AND(ISNUMBER($AO$280),$B$252=1),$AO$280,HLOOKUP(INDIRECT(ADDRESS(2,COLUMN())),OFFSET($CL$2,0,0,ROW()-1,84),ROW()-1,FALSE))</f>
        <v/>
      </c>
      <c r="AP33" t="str">
        <f ca="1">IF(AND(ISNUMBER($AP$280),$B$252=1),$AP$280,HLOOKUP(INDIRECT(ADDRESS(2,COLUMN())),OFFSET($CL$2,0,0,ROW()-1,84),ROW()-1,FALSE))</f>
        <v/>
      </c>
      <c r="AQ33" t="str">
        <f ca="1">IF(AND(ISNUMBER($AQ$280),$B$252=1),$AQ$280,HLOOKUP(INDIRECT(ADDRESS(2,COLUMN())),OFFSET($CL$2,0,0,ROW()-1,84),ROW()-1,FALSE))</f>
        <v/>
      </c>
      <c r="AR33" t="str">
        <f ca="1">IF(AND(ISNUMBER($AR$280),$B$252=1),$AR$280,HLOOKUP(INDIRECT(ADDRESS(2,COLUMN())),OFFSET($CL$2,0,0,ROW()-1,84),ROW()-1,FALSE))</f>
        <v/>
      </c>
      <c r="AS33" t="str">
        <f ca="1">IF(AND(ISNUMBER($AS$280),$B$252=1),$AS$280,HLOOKUP(INDIRECT(ADDRESS(2,COLUMN())),OFFSET($CL$2,0,0,ROW()-1,84),ROW()-1,FALSE))</f>
        <v/>
      </c>
      <c r="AT33" t="str">
        <f ca="1">IF(AND(ISNUMBER($AT$280),$B$252=1),$AT$280,HLOOKUP(INDIRECT(ADDRESS(2,COLUMN())),OFFSET($CL$2,0,0,ROW()-1,84),ROW()-1,FALSE))</f>
        <v/>
      </c>
      <c r="AU33" t="str">
        <f ca="1">IF(AND(ISNUMBER($AU$280),$B$252=1),$AU$280,HLOOKUP(INDIRECT(ADDRESS(2,COLUMN())),OFFSET($CL$2,0,0,ROW()-1,84),ROW()-1,FALSE))</f>
        <v/>
      </c>
      <c r="AV33" t="str">
        <f ca="1">IF(AND(ISNUMBER($AV$280),$B$252=1),$AV$280,HLOOKUP(INDIRECT(ADDRESS(2,COLUMN())),OFFSET($CL$2,0,0,ROW()-1,84),ROW()-1,FALSE))</f>
        <v/>
      </c>
      <c r="AW33" t="str">
        <f ca="1">IF(AND(ISNUMBER($AW$280),$B$252=1),$AW$280,HLOOKUP(INDIRECT(ADDRESS(2,COLUMN())),OFFSET($CL$2,0,0,ROW()-1,84),ROW()-1,FALSE))</f>
        <v/>
      </c>
      <c r="AX33" t="str">
        <f ca="1">IF(AND(ISNUMBER($AX$280),$B$252=1),$AX$280,HLOOKUP(INDIRECT(ADDRESS(2,COLUMN())),OFFSET($CL$2,0,0,ROW()-1,84),ROW()-1,FALSE))</f>
        <v/>
      </c>
      <c r="AY33" t="str">
        <f ca="1">IF(AND(ISNUMBER($AY$280),$B$252=1),$AY$280,HLOOKUP(INDIRECT(ADDRESS(2,COLUMN())),OFFSET($CL$2,0,0,ROW()-1,84),ROW()-1,FALSE))</f>
        <v/>
      </c>
      <c r="AZ33" t="str">
        <f ca="1">IF(AND(ISNUMBER($AZ$280),$B$252=1),$AZ$280,HLOOKUP(INDIRECT(ADDRESS(2,COLUMN())),OFFSET($CL$2,0,0,ROW()-1,84),ROW()-1,FALSE))</f>
        <v/>
      </c>
      <c r="BA33" t="str">
        <f ca="1">IF(AND(ISNUMBER($BA$280),$B$252=1),$BA$280,HLOOKUP(INDIRECT(ADDRESS(2,COLUMN())),OFFSET($CL$2,0,0,ROW()-1,84),ROW()-1,FALSE))</f>
        <v/>
      </c>
      <c r="BB33" t="str">
        <f ca="1">IF(AND(ISNUMBER($BB$280),$B$252=1),$BB$280,HLOOKUP(INDIRECT(ADDRESS(2,COLUMN())),OFFSET($CL$2,0,0,ROW()-1,84),ROW()-1,FALSE))</f>
        <v/>
      </c>
      <c r="BC33" t="str">
        <f ca="1">IF(AND(ISNUMBER($BC$280),$B$252=1),$BC$280,HLOOKUP(INDIRECT(ADDRESS(2,COLUMN())),OFFSET($CL$2,0,0,ROW()-1,84),ROW()-1,FALSE))</f>
        <v/>
      </c>
      <c r="BD33" t="str">
        <f ca="1">IF(AND(ISNUMBER($BD$280),$B$252=1),$BD$280,HLOOKUP(INDIRECT(ADDRESS(2,COLUMN())),OFFSET($CL$2,0,0,ROW()-1,84),ROW()-1,FALSE))</f>
        <v/>
      </c>
      <c r="BE33" t="str">
        <f ca="1">IF(AND(ISNUMBER($BE$280),$B$252=1),$BE$280,HLOOKUP(INDIRECT(ADDRESS(2,COLUMN())),OFFSET($CL$2,0,0,ROW()-1,84),ROW()-1,FALSE))</f>
        <v/>
      </c>
      <c r="BF33" t="str">
        <f ca="1">IF(AND(ISNUMBER($BF$280),$B$252=1),$BF$280,HLOOKUP(INDIRECT(ADDRESS(2,COLUMN())),OFFSET($CL$2,0,0,ROW()-1,84),ROW()-1,FALSE))</f>
        <v/>
      </c>
      <c r="BG33" t="str">
        <f ca="1">IF(AND(ISNUMBER($BG$280),$B$252=1),$BG$280,HLOOKUP(INDIRECT(ADDRESS(2,COLUMN())),OFFSET($CL$2,0,0,ROW()-1,84),ROW()-1,FALSE))</f>
        <v/>
      </c>
      <c r="BH33" t="str">
        <f ca="1">IF(AND(ISNUMBER($BH$280),$B$252=1),$BH$280,HLOOKUP(INDIRECT(ADDRESS(2,COLUMN())),OFFSET($CL$2,0,0,ROW()-1,84),ROW()-1,FALSE))</f>
        <v/>
      </c>
      <c r="BI33" t="str">
        <f ca="1">IF(AND(ISNUMBER($BI$280),$B$252=1),$BI$280,HLOOKUP(INDIRECT(ADDRESS(2,COLUMN())),OFFSET($CL$2,0,0,ROW()-1,84),ROW()-1,FALSE))</f>
        <v/>
      </c>
      <c r="BJ33" t="str">
        <f ca="1">IF(AND(ISNUMBER($BJ$280),$B$252=1),$BJ$280,HLOOKUP(INDIRECT(ADDRESS(2,COLUMN())),OFFSET($CL$2,0,0,ROW()-1,84),ROW()-1,FALSE))</f>
        <v/>
      </c>
      <c r="BK33" t="str">
        <f ca="1">IF(AND(ISNUMBER($BK$280),$B$252=1),$BK$280,HLOOKUP(INDIRECT(ADDRESS(2,COLUMN())),OFFSET($CL$2,0,0,ROW()-1,84),ROW()-1,FALSE))</f>
        <v/>
      </c>
      <c r="BL33" t="str">
        <f ca="1">IF(AND(ISNUMBER($BL$280),$B$252=1),$BL$280,HLOOKUP(INDIRECT(ADDRESS(2,COLUMN())),OFFSET($CL$2,0,0,ROW()-1,84),ROW()-1,FALSE))</f>
        <v/>
      </c>
      <c r="BM33" t="str">
        <f ca="1">IF(AND(ISNUMBER($BM$280),$B$252=1),$BM$280,HLOOKUP(INDIRECT(ADDRESS(2,COLUMN())),OFFSET($CL$2,0,0,ROW()-1,84),ROW()-1,FALSE))</f>
        <v/>
      </c>
      <c r="BN33" t="str">
        <f ca="1">IF(AND(ISNUMBER($BN$280),$B$252=1),$BN$280,HLOOKUP(INDIRECT(ADDRESS(2,COLUMN())),OFFSET($CL$2,0,0,ROW()-1,84),ROW()-1,FALSE))</f>
        <v/>
      </c>
      <c r="BO33" t="str">
        <f ca="1">IF(AND(ISNUMBER($BO$280),$B$252=1),$BO$280,HLOOKUP(INDIRECT(ADDRESS(2,COLUMN())),OFFSET($CL$2,0,0,ROW()-1,84),ROW()-1,FALSE))</f>
        <v/>
      </c>
      <c r="BP33" t="str">
        <f ca="1">IF(AND(ISNUMBER($BP$280),$B$252=1),$BP$280,HLOOKUP(INDIRECT(ADDRESS(2,COLUMN())),OFFSET($CL$2,0,0,ROW()-1,84),ROW()-1,FALSE))</f>
        <v/>
      </c>
      <c r="BQ33" t="str">
        <f ca="1">IF(AND(ISNUMBER($BQ$280),$B$252=1),$BQ$280,HLOOKUP(INDIRECT(ADDRESS(2,COLUMN())),OFFSET($CL$2,0,0,ROW()-1,84),ROW()-1,FALSE))</f>
        <v/>
      </c>
      <c r="BR33" t="str">
        <f ca="1">IF(AND(ISNUMBER($BR$280),$B$252=1),$BR$280,HLOOKUP(INDIRECT(ADDRESS(2,COLUMN())),OFFSET($CL$2,0,0,ROW()-1,84),ROW()-1,FALSE))</f>
        <v/>
      </c>
      <c r="BS33" t="str">
        <f ca="1">IF(AND(ISNUMBER($BS$280),$B$252=1),$BS$280,HLOOKUP(INDIRECT(ADDRESS(2,COLUMN())),OFFSET($CL$2,0,0,ROW()-1,84),ROW()-1,FALSE))</f>
        <v/>
      </c>
      <c r="BT33" t="str">
        <f ca="1">IF(AND(ISNUMBER($BT$280),$B$252=1),$BT$280,HLOOKUP(INDIRECT(ADDRESS(2,COLUMN())),OFFSET($CL$2,0,0,ROW()-1,84),ROW()-1,FALSE))</f>
        <v/>
      </c>
      <c r="BU33" t="str">
        <f ca="1">IF(AND(ISNUMBER($BU$280),$B$252=1),$BU$280,HLOOKUP(INDIRECT(ADDRESS(2,COLUMN())),OFFSET($CL$2,0,0,ROW()-1,84),ROW()-1,FALSE))</f>
        <v/>
      </c>
      <c r="BV33" t="str">
        <f ca="1">IF(AND(ISNUMBER($BV$280),$B$252=1),$BV$280,HLOOKUP(INDIRECT(ADDRESS(2,COLUMN())),OFFSET($CL$2,0,0,ROW()-1,84),ROW()-1,FALSE))</f>
        <v/>
      </c>
      <c r="BW33" t="str">
        <f ca="1">IF(AND(ISNUMBER($BW$280),$B$252=1),$BW$280,HLOOKUP(INDIRECT(ADDRESS(2,COLUMN())),OFFSET($CL$2,0,0,ROW()-1,84),ROW()-1,FALSE))</f>
        <v/>
      </c>
      <c r="BX33" t="str">
        <f ca="1">IF(AND(ISNUMBER($BX$280),$B$252=1),$BX$280,HLOOKUP(INDIRECT(ADDRESS(2,COLUMN())),OFFSET($CL$2,0,0,ROW()-1,84),ROW()-1,FALSE))</f>
        <v/>
      </c>
      <c r="BY33" t="str">
        <f ca="1">IF(AND(ISNUMBER($BY$280),$B$252=1),$BY$280,HLOOKUP(INDIRECT(ADDRESS(2,COLUMN())),OFFSET($CL$2,0,0,ROW()-1,84),ROW()-1,FALSE))</f>
        <v/>
      </c>
      <c r="BZ33" t="str">
        <f ca="1">IF(AND(ISNUMBER($BZ$280),$B$252=1),$BZ$280,HLOOKUP(INDIRECT(ADDRESS(2,COLUMN())),OFFSET($CL$2,0,0,ROW()-1,84),ROW()-1,FALSE))</f>
        <v/>
      </c>
      <c r="CA33" t="str">
        <f ca="1">IF(AND(ISNUMBER($CA$280),$B$252=1),$CA$280,HLOOKUP(INDIRECT(ADDRESS(2,COLUMN())),OFFSET($CL$2,0,0,ROW()-1,84),ROW()-1,FALSE))</f>
        <v/>
      </c>
      <c r="CB33" t="str">
        <f ca="1">IF(AND(ISNUMBER($CB$280),$B$252=1),$CB$280,HLOOKUP(INDIRECT(ADDRESS(2,COLUMN())),OFFSET($CL$2,0,0,ROW()-1,84),ROW()-1,FALSE))</f>
        <v/>
      </c>
      <c r="CC33" t="str">
        <f ca="1">IF(AND(ISNUMBER($CC$280),$B$252=1),$CC$280,HLOOKUP(INDIRECT(ADDRESS(2,COLUMN())),OFFSET($CL$2,0,0,ROW()-1,84),ROW()-1,FALSE))</f>
        <v/>
      </c>
      <c r="CD33" t="str">
        <f ca="1">IF(AND(ISNUMBER($CD$280),$B$252=1),$CD$280,HLOOKUP(INDIRECT(ADDRESS(2,COLUMN())),OFFSET($CL$2,0,0,ROW()-1,84),ROW()-1,FALSE))</f>
        <v/>
      </c>
      <c r="CE33" t="str">
        <f ca="1">IF(AND(ISNUMBER($CE$280),$B$252=1),$CE$280,HLOOKUP(INDIRECT(ADDRESS(2,COLUMN())),OFFSET($CL$2,0,0,ROW()-1,84),ROW()-1,FALSE))</f>
        <v/>
      </c>
      <c r="CF33" t="str">
        <f ca="1">IF(AND(ISNUMBER($CF$280),$B$252=1),$CF$280,HLOOKUP(INDIRECT(ADDRESS(2,COLUMN())),OFFSET($CL$2,0,0,ROW()-1,84),ROW()-1,FALSE))</f>
        <v/>
      </c>
      <c r="CG33" t="str">
        <f ca="1">IF(AND(ISNUMBER($CG$280),$B$252=1),$CG$280,HLOOKUP(INDIRECT(ADDRESS(2,COLUMN())),OFFSET($CL$2,0,0,ROW()-1,84),ROW()-1,FALSE))</f>
        <v/>
      </c>
      <c r="CH33" t="str">
        <f ca="1">IF(AND(ISNUMBER($CH$280),$B$252=1),$CH$280,HLOOKUP(INDIRECT(ADDRESS(2,COLUMN())),OFFSET($CL$2,0,0,ROW()-1,84),ROW()-1,FALSE))</f>
        <v/>
      </c>
      <c r="CI33" t="str">
        <f ca="1">IF(AND(ISNUMBER($CI$280),$B$252=1),$CI$280,HLOOKUP(INDIRECT(ADDRESS(2,COLUMN())),OFFSET($CL$2,0,0,ROW()-1,84),ROW()-1,FALSE))</f>
        <v/>
      </c>
      <c r="CJ33" t="str">
        <f ca="1">IF(AND(ISNUMBER($CJ$280),$B$252=1),$CJ$280,HLOOKUP(INDIRECT(ADDRESS(2,COLUMN())),OFFSET($CL$2,0,0,ROW()-1,84),ROW()-1,FALSE))</f>
        <v/>
      </c>
      <c r="CK33" t="str">
        <f ca="1">IF(AND(ISNUMBER($CK$280),$B$252=1),$CK$280,HLOOKUP(INDIRECT(ADDRESS(2,COLUMN())),OFFSET($CL$2,0,0,ROW()-1,84),ROW()-1,FALSE))</f>
        <v/>
      </c>
      <c r="CL33">
        <f>14.80609817</f>
        <v>14.80609817</v>
      </c>
      <c r="CM33">
        <f>14.15004122</f>
        <v>14.15004122</v>
      </c>
      <c r="CN33">
        <f>15.53257329</f>
        <v>15.53257329</v>
      </c>
      <c r="CO33">
        <f>16.25080802</f>
        <v>16.250808020000001</v>
      </c>
      <c r="CP33">
        <f>16.39564661</f>
        <v>16.39564661</v>
      </c>
      <c r="CQ33">
        <f>16.25635324</f>
        <v>16.256353239999999</v>
      </c>
      <c r="CR33">
        <f>16.82090022</f>
        <v>16.820900219999999</v>
      </c>
      <c r="CS33">
        <f>16.78650268</f>
        <v>16.786502680000002</v>
      </c>
      <c r="CT33">
        <f>16.30136986</f>
        <v>16.301369860000001</v>
      </c>
      <c r="CU33">
        <f>16.54576857</f>
        <v>16.54576857</v>
      </c>
      <c r="CV33">
        <f>16.02326312</f>
        <v>16.023263119999999</v>
      </c>
      <c r="CW33">
        <f>15.67051019</f>
        <v>15.67051019</v>
      </c>
      <c r="CX33">
        <f>16.0701311</f>
        <v>16.070131100000001</v>
      </c>
      <c r="CY33">
        <f>16.22906793</f>
        <v>16.229067929999999</v>
      </c>
      <c r="CZ33">
        <f>14.84057518</f>
        <v>14.84057518</v>
      </c>
      <c r="DA33">
        <f>15.41319062</f>
        <v>15.41319062</v>
      </c>
      <c r="DB33">
        <f>13.97224764</f>
        <v>13.972247640000001</v>
      </c>
      <c r="DC33">
        <f>14.10217424</f>
        <v>14.10217424</v>
      </c>
      <c r="DD33">
        <f>14.42892232</f>
        <v>14.42892232</v>
      </c>
      <c r="DE33">
        <f>14.35400122</f>
        <v>14.354001220000001</v>
      </c>
      <c r="DF33">
        <f>15.91175146</f>
        <v>15.91175146</v>
      </c>
      <c r="DG33">
        <f>15.96878283</f>
        <v>15.96878283</v>
      </c>
      <c r="DH33">
        <f>15.5222306</f>
        <v>15.5222306</v>
      </c>
      <c r="DI33">
        <f>14.60106789</f>
        <v>14.601067889999999</v>
      </c>
      <c r="DJ33">
        <f>15.32383808</f>
        <v>15.32383808</v>
      </c>
      <c r="DK33">
        <f>13.48425787</f>
        <v>13.48425787</v>
      </c>
      <c r="DL33">
        <f>13.89925926</f>
        <v>13.899259259999999</v>
      </c>
      <c r="DM33">
        <f>13.45333333</f>
        <v>13.45333333</v>
      </c>
      <c r="DN33" t="str">
        <f>""</f>
        <v/>
      </c>
      <c r="DO33" t="str">
        <f>""</f>
        <v/>
      </c>
      <c r="DP33" t="str">
        <f>""</f>
        <v/>
      </c>
      <c r="DQ33">
        <f>11.91330344</f>
        <v>11.91330344</v>
      </c>
      <c r="DR33">
        <f>12.00896861</f>
        <v>12.00896861</v>
      </c>
      <c r="DS33" t="str">
        <f>""</f>
        <v/>
      </c>
      <c r="DT33" t="str">
        <f>""</f>
        <v/>
      </c>
      <c r="DU33" t="str">
        <f>""</f>
        <v/>
      </c>
      <c r="DV33" t="str">
        <f>""</f>
        <v/>
      </c>
      <c r="DW33" t="str">
        <f>""</f>
        <v/>
      </c>
      <c r="DX33" t="str">
        <f>""</f>
        <v/>
      </c>
      <c r="DY33" t="str">
        <f>""</f>
        <v/>
      </c>
      <c r="DZ33" t="str">
        <f>""</f>
        <v/>
      </c>
      <c r="EA33" t="str">
        <f>""</f>
        <v/>
      </c>
      <c r="EB33" t="str">
        <f>""</f>
        <v/>
      </c>
      <c r="EC33" t="str">
        <f>""</f>
        <v/>
      </c>
      <c r="ED33" t="str">
        <f>""</f>
        <v/>
      </c>
      <c r="EE33" t="str">
        <f>""</f>
        <v/>
      </c>
      <c r="EF33" t="str">
        <f>""</f>
        <v/>
      </c>
      <c r="EG33" t="str">
        <f>""</f>
        <v/>
      </c>
      <c r="EH33" t="str">
        <f>""</f>
        <v/>
      </c>
      <c r="EI33" t="str">
        <f>""</f>
        <v/>
      </c>
      <c r="EJ33" t="str">
        <f>""</f>
        <v/>
      </c>
      <c r="EK33" t="str">
        <f>""</f>
        <v/>
      </c>
      <c r="EL33" t="str">
        <f>""</f>
        <v/>
      </c>
      <c r="EM33" t="str">
        <f>""</f>
        <v/>
      </c>
      <c r="EN33" t="str">
        <f>""</f>
        <v/>
      </c>
      <c r="EO33" t="str">
        <f>""</f>
        <v/>
      </c>
      <c r="EP33" t="str">
        <f>""</f>
        <v/>
      </c>
      <c r="EQ33" t="str">
        <f>""</f>
        <v/>
      </c>
      <c r="ER33" t="str">
        <f>""</f>
        <v/>
      </c>
      <c r="ES33" t="str">
        <f>""</f>
        <v/>
      </c>
      <c r="ET33" t="str">
        <f>""</f>
        <v/>
      </c>
      <c r="EU33" t="str">
        <f>""</f>
        <v/>
      </c>
      <c r="EV33" t="str">
        <f>""</f>
        <v/>
      </c>
      <c r="EW33" t="str">
        <f>""</f>
        <v/>
      </c>
      <c r="EX33" t="str">
        <f>""</f>
        <v/>
      </c>
      <c r="EY33" t="str">
        <f>""</f>
        <v/>
      </c>
      <c r="EZ33" t="str">
        <f>""</f>
        <v/>
      </c>
      <c r="FA33" t="str">
        <f>""</f>
        <v/>
      </c>
      <c r="FB33" t="str">
        <f>""</f>
        <v/>
      </c>
      <c r="FC33" t="str">
        <f>""</f>
        <v/>
      </c>
      <c r="FD33" t="str">
        <f>""</f>
        <v/>
      </c>
      <c r="FE33" t="str">
        <f>""</f>
        <v/>
      </c>
      <c r="FF33" t="str">
        <f>""</f>
        <v/>
      </c>
      <c r="FG33" t="str">
        <f>""</f>
        <v/>
      </c>
      <c r="FH33" t="str">
        <f>""</f>
        <v/>
      </c>
      <c r="FI33" t="str">
        <f>""</f>
        <v/>
      </c>
      <c r="FJ33" t="str">
        <f>""</f>
        <v/>
      </c>
      <c r="FK33" t="str">
        <f>""</f>
        <v/>
      </c>
      <c r="FL33" t="str">
        <f>""</f>
        <v/>
      </c>
      <c r="FM33" t="str">
        <f>""</f>
        <v/>
      </c>
      <c r="FN33" t="str">
        <f>""</f>
        <v/>
      </c>
      <c r="FO33" t="str">
        <f>""</f>
        <v/>
      </c>
      <c r="FP33" t="str">
        <f>""</f>
        <v/>
      </c>
      <c r="FQ33" t="str">
        <f>""</f>
        <v/>
      </c>
    </row>
    <row r="34" spans="1:173">
      <c r="A34" t="str">
        <f>"    UDR 公司"</f>
        <v xml:space="preserve">    UDR 公司</v>
      </c>
      <c r="B34" t="str">
        <f>"UDR US Equity"</f>
        <v>UDR US Equity</v>
      </c>
      <c r="C34" t="str">
        <f t="shared" si="9"/>
        <v>BE249</v>
      </c>
      <c r="D34" t="str">
        <f t="shared" si="10"/>
        <v>BEST_PRICE_FFO_RATIO</v>
      </c>
      <c r="E34" t="str">
        <f t="shared" si="11"/>
        <v>动态</v>
      </c>
      <c r="F34">
        <f ca="1">IF(AND(ISNUMBER($F$281),$B$252=1),$F$281,HLOOKUP(INDIRECT(ADDRESS(2,COLUMN())),OFFSET($CL$2,0,0,ROW()-1,84),ROW()-1,FALSE))</f>
        <v>18.243173540000001</v>
      </c>
      <c r="G34">
        <f ca="1">IF(AND(ISNUMBER($G$281),$B$252=1),$G$281,HLOOKUP(INDIRECT(ADDRESS(2,COLUMN())),OFFSET($CL$2,0,0,ROW()-1,84),ROW()-1,FALSE))</f>
        <v>17.303139479999999</v>
      </c>
      <c r="H34">
        <f ca="1">IF(AND(ISNUMBER($H$281),$B$252=1),$H$281,HLOOKUP(INDIRECT(ADDRESS(2,COLUMN())),OFFSET($CL$2,0,0,ROW()-1,84),ROW()-1,FALSE))</f>
        <v>18.543147210000001</v>
      </c>
      <c r="I34">
        <f ca="1">IF(AND(ISNUMBER($I$281),$B$252=1),$I$281,HLOOKUP(INDIRECT(ADDRESS(2,COLUMN())),OFFSET($CL$2,0,0,ROW()-1,84),ROW()-1,FALSE))</f>
        <v>19.573170730000001</v>
      </c>
      <c r="J34">
        <f ca="1">IF(AND(ISNUMBER($J$281),$B$252=1),$J$281,HLOOKUP(INDIRECT(ADDRESS(2,COLUMN())),OFFSET($CL$2,0,0,ROW()-1,84),ROW()-1,FALSE))</f>
        <v>20.015267179999999</v>
      </c>
      <c r="K34">
        <f ca="1">IF(AND(ISNUMBER($K$281),$B$252=1),$K$281,HLOOKUP(INDIRECT(ADDRESS(2,COLUMN())),OFFSET($CL$2,0,0,ROW()-1,84),ROW()-1,FALSE))</f>
        <v>19.770642200000001</v>
      </c>
      <c r="L34">
        <f ca="1">IF(AND(ISNUMBER($L$281),$B$252=1),$L$281,HLOOKUP(INDIRECT(ADDRESS(2,COLUMN())),OFFSET($CL$2,0,0,ROW()-1,84),ROW()-1,FALSE))</f>
        <v>19.412965799999998</v>
      </c>
      <c r="M34">
        <f ca="1">IF(AND(ISNUMBER($M$281),$B$252=1),$M$281,HLOOKUP(INDIRECT(ADDRESS(2,COLUMN())),OFFSET($CL$2,0,0,ROW()-1,84),ROW()-1,FALSE))</f>
        <v>19.80612245</v>
      </c>
      <c r="N34">
        <f ca="1">IF(AND(ISNUMBER($N$281),$B$252=1),$N$281,HLOOKUP(INDIRECT(ADDRESS(2,COLUMN())),OFFSET($CL$2,0,0,ROW()-1,84),ROW()-1,FALSE))</f>
        <v>19.96424923</v>
      </c>
      <c r="O34">
        <f ca="1">IF(AND(ISNUMBER($O$281),$B$252=1),$O$281,HLOOKUP(INDIRECT(ADDRESS(2,COLUMN())),OFFSET($CL$2,0,0,ROW()-1,84),ROW()-1,FALSE))</f>
        <v>19.93350384</v>
      </c>
      <c r="P34">
        <f ca="1">IF(AND(ISNUMBER($P$281),$B$252=1),$P$281,HLOOKUP(INDIRECT(ADDRESS(2,COLUMN())),OFFSET($CL$2,0,0,ROW()-1,84),ROW()-1,FALSE))</f>
        <v>19.78985136</v>
      </c>
      <c r="Q34">
        <f ca="1">IF(AND(ISNUMBER($Q$281),$B$252=1),$Q$281,HLOOKUP(INDIRECT(ADDRESS(2,COLUMN())),OFFSET($CL$2,0,0,ROW()-1,84),ROW()-1,FALSE))</f>
        <v>19.237506440000001</v>
      </c>
      <c r="R34">
        <f ca="1">IF(AND(ISNUMBER($R$281),$B$252=1),$R$281,HLOOKUP(INDIRECT(ADDRESS(2,COLUMN())),OFFSET($CL$2,0,0,ROW()-1,84),ROW()-1,FALSE))</f>
        <v>18.68109222</v>
      </c>
      <c r="S34">
        <f ca="1">IF(AND(ISNUMBER($S$281),$B$252=1),$S$281,HLOOKUP(INDIRECT(ADDRESS(2,COLUMN())),OFFSET($CL$2,0,0,ROW()-1,84),ROW()-1,FALSE))</f>
        <v>18.81443299</v>
      </c>
      <c r="T34">
        <f ca="1">IF(AND(ISNUMBER($T$281),$B$252=1),$T$281,HLOOKUP(INDIRECT(ADDRESS(2,COLUMN())),OFFSET($CL$2,0,0,ROW()-1,84),ROW()-1,FALSE))</f>
        <v>17.768174890000001</v>
      </c>
      <c r="U34">
        <f ca="1">IF(AND(ISNUMBER($U$281),$B$252=1),$U$281,HLOOKUP(INDIRECT(ADDRESS(2,COLUMN())),OFFSET($CL$2,0,0,ROW()-1,84),ROW()-1,FALSE))</f>
        <v>18.46153846</v>
      </c>
      <c r="V34">
        <f ca="1">IF(AND(ISNUMBER($V$281),$B$252=1),$V$281,HLOOKUP(INDIRECT(ADDRESS(2,COLUMN())),OFFSET($CL$2,0,0,ROW()-1,84),ROW()-1,FALSE))</f>
        <v>17.25291434</v>
      </c>
      <c r="W34">
        <f ca="1">IF(AND(ISNUMBER($W$281),$B$252=1),$W$281,HLOOKUP(INDIRECT(ADDRESS(2,COLUMN())),OFFSET($CL$2,0,0,ROW()-1,84),ROW()-1,FALSE))</f>
        <v>17.75126904</v>
      </c>
      <c r="X34">
        <f ca="1">IF(AND(ISNUMBER($X$281),$B$252=1),$X$281,HLOOKUP(INDIRECT(ADDRESS(2,COLUMN())),OFFSET($CL$2,0,0,ROW()-1,84),ROW()-1,FALSE))</f>
        <v>17.977022980000001</v>
      </c>
      <c r="Y34">
        <f ca="1">IF(AND(ISNUMBER($Y$281),$B$252=1),$Y$281,HLOOKUP(INDIRECT(ADDRESS(2,COLUMN())),OFFSET($CL$2,0,0,ROW()-1,84),ROW()-1,FALSE))</f>
        <v>18</v>
      </c>
      <c r="Z34">
        <f ca="1">IF(AND(ISNUMBER($Z$281),$B$252=1),$Z$281,HLOOKUP(INDIRECT(ADDRESS(2,COLUMN())),OFFSET($CL$2,0,0,ROW()-1,84),ROW()-1,FALSE))</f>
        <v>18.531607770000001</v>
      </c>
      <c r="AA34">
        <f ca="1">IF(AND(ISNUMBER($AA$281),$B$252=1),$AA$281,HLOOKUP(INDIRECT(ADDRESS(2,COLUMN())),OFFSET($CL$2,0,0,ROW()-1,84),ROW()-1,FALSE))</f>
        <v>18.223099699999999</v>
      </c>
      <c r="AB34">
        <f ca="1">IF(AND(ISNUMBER($AB$281),$B$252=1),$AB$281,HLOOKUP(INDIRECT(ADDRESS(2,COLUMN())),OFFSET($CL$2,0,0,ROW()-1,84),ROW()-1,FALSE))</f>
        <v>17.740029539999998</v>
      </c>
      <c r="AC34">
        <f ca="1">IF(AND(ISNUMBER($AC$281),$B$252=1),$AC$281,HLOOKUP(INDIRECT(ADDRESS(2,COLUMN())),OFFSET($CL$2,0,0,ROW()-1,84),ROW()-1,FALSE))</f>
        <v>17.20197044</v>
      </c>
      <c r="AD34">
        <f ca="1">IF(AND(ISNUMBER($AD$281),$B$252=1),$AD$281,HLOOKUP(INDIRECT(ADDRESS(2,COLUMN())),OFFSET($CL$2,0,0,ROW()-1,84),ROW()-1,FALSE))</f>
        <v>18.7038835</v>
      </c>
      <c r="AE34">
        <f ca="1">IF(AND(ISNUMBER($AE$281),$B$252=1),$AE$281,HLOOKUP(INDIRECT(ADDRESS(2,COLUMN())),OFFSET($CL$2,0,0,ROW()-1,84),ROW()-1,FALSE))</f>
        <v>16.74634146</v>
      </c>
      <c r="AF34" t="str">
        <f ca="1">IF(AND(ISNUMBER($AF$281),$B$252=1),$AF$281,HLOOKUP(INDIRECT(ADDRESS(2,COLUMN())),OFFSET($CL$2,0,0,ROW()-1,84),ROW()-1,FALSE))</f>
        <v/>
      </c>
      <c r="AG34" t="str">
        <f ca="1">IF(AND(ISNUMBER($AG$281),$B$252=1),$AG$281,HLOOKUP(INDIRECT(ADDRESS(2,COLUMN())),OFFSET($CL$2,0,0,ROW()-1,84),ROW()-1,FALSE))</f>
        <v/>
      </c>
      <c r="AH34" t="str">
        <f ca="1">IF(AND(ISNUMBER($AH$281),$B$252=1),$AH$281,HLOOKUP(INDIRECT(ADDRESS(2,COLUMN())),OFFSET($CL$2,0,0,ROW()-1,84),ROW()-1,FALSE))</f>
        <v/>
      </c>
      <c r="AI34">
        <f ca="1">IF(AND(ISNUMBER($AI$281),$B$252=1),$AI$281,HLOOKUP(INDIRECT(ADDRESS(2,COLUMN())),OFFSET($CL$2,0,0,ROW()-1,84),ROW()-1,FALSE))</f>
        <v>16.331775700000001</v>
      </c>
      <c r="AJ34">
        <f ca="1">IF(AND(ISNUMBER($AJ$281),$B$252=1),$AJ$281,HLOOKUP(INDIRECT(ADDRESS(2,COLUMN())),OFFSET($CL$2,0,0,ROW()-1,84),ROW()-1,FALSE))</f>
        <v>16.11214953</v>
      </c>
      <c r="AK34">
        <f ca="1">IF(AND(ISNUMBER($AK$281),$B$252=1),$AK$281,HLOOKUP(INDIRECT(ADDRESS(2,COLUMN())),OFFSET($CL$2,0,0,ROW()-1,84),ROW()-1,FALSE))</f>
        <v>15.454545449999999</v>
      </c>
      <c r="AL34">
        <f ca="1">IF(AND(ISNUMBER($AL$281),$B$252=1),$AL$281,HLOOKUP(INDIRECT(ADDRESS(2,COLUMN())),OFFSET($CL$2,0,0,ROW()-1,84),ROW()-1,FALSE))</f>
        <v>16.333333329999999</v>
      </c>
      <c r="AM34" t="str">
        <f ca="1">IF(AND(ISNUMBER($AM$281),$B$252=1),$AM$281,HLOOKUP(INDIRECT(ADDRESS(2,COLUMN())),OFFSET($CL$2,0,0,ROW()-1,84),ROW()-1,FALSE))</f>
        <v/>
      </c>
      <c r="AN34" t="str">
        <f ca="1">IF(AND(ISNUMBER($AN$281),$B$252=1),$AN$281,HLOOKUP(INDIRECT(ADDRESS(2,COLUMN())),OFFSET($CL$2,0,0,ROW()-1,84),ROW()-1,FALSE))</f>
        <v/>
      </c>
      <c r="AO34" t="str">
        <f ca="1">IF(AND(ISNUMBER($AO$281),$B$252=1),$AO$281,HLOOKUP(INDIRECT(ADDRESS(2,COLUMN())),OFFSET($CL$2,0,0,ROW()-1,84),ROW()-1,FALSE))</f>
        <v/>
      </c>
      <c r="AP34" t="str">
        <f ca="1">IF(AND(ISNUMBER($AP$281),$B$252=1),$AP$281,HLOOKUP(INDIRECT(ADDRESS(2,COLUMN())),OFFSET($CL$2,0,0,ROW()-1,84),ROW()-1,FALSE))</f>
        <v/>
      </c>
      <c r="AQ34" t="str">
        <f ca="1">IF(AND(ISNUMBER($AQ$281),$B$252=1),$AQ$281,HLOOKUP(INDIRECT(ADDRESS(2,COLUMN())),OFFSET($CL$2,0,0,ROW()-1,84),ROW()-1,FALSE))</f>
        <v/>
      </c>
      <c r="AR34" t="str">
        <f ca="1">IF(AND(ISNUMBER($AR$281),$B$252=1),$AR$281,HLOOKUP(INDIRECT(ADDRESS(2,COLUMN())),OFFSET($CL$2,0,0,ROW()-1,84),ROW()-1,FALSE))</f>
        <v/>
      </c>
      <c r="AS34" t="str">
        <f ca="1">IF(AND(ISNUMBER($AS$281),$B$252=1),$AS$281,HLOOKUP(INDIRECT(ADDRESS(2,COLUMN())),OFFSET($CL$2,0,0,ROW()-1,84),ROW()-1,FALSE))</f>
        <v/>
      </c>
      <c r="AT34" t="str">
        <f ca="1">IF(AND(ISNUMBER($AT$281),$B$252=1),$AT$281,HLOOKUP(INDIRECT(ADDRESS(2,COLUMN())),OFFSET($CL$2,0,0,ROW()-1,84),ROW()-1,FALSE))</f>
        <v/>
      </c>
      <c r="AU34" t="str">
        <f ca="1">IF(AND(ISNUMBER($AU$281),$B$252=1),$AU$281,HLOOKUP(INDIRECT(ADDRESS(2,COLUMN())),OFFSET($CL$2,0,0,ROW()-1,84),ROW()-1,FALSE))</f>
        <v/>
      </c>
      <c r="AV34" t="str">
        <f ca="1">IF(AND(ISNUMBER($AV$281),$B$252=1),$AV$281,HLOOKUP(INDIRECT(ADDRESS(2,COLUMN())),OFFSET($CL$2,0,0,ROW()-1,84),ROW()-1,FALSE))</f>
        <v/>
      </c>
      <c r="AW34" t="str">
        <f ca="1">IF(AND(ISNUMBER($AW$281),$B$252=1),$AW$281,HLOOKUP(INDIRECT(ADDRESS(2,COLUMN())),OFFSET($CL$2,0,0,ROW()-1,84),ROW()-1,FALSE))</f>
        <v/>
      </c>
      <c r="AX34" t="str">
        <f ca="1">IF(AND(ISNUMBER($AX$281),$B$252=1),$AX$281,HLOOKUP(INDIRECT(ADDRESS(2,COLUMN())),OFFSET($CL$2,0,0,ROW()-1,84),ROW()-1,FALSE))</f>
        <v/>
      </c>
      <c r="AY34" t="str">
        <f ca="1">IF(AND(ISNUMBER($AY$281),$B$252=1),$AY$281,HLOOKUP(INDIRECT(ADDRESS(2,COLUMN())),OFFSET($CL$2,0,0,ROW()-1,84),ROW()-1,FALSE))</f>
        <v/>
      </c>
      <c r="AZ34" t="str">
        <f ca="1">IF(AND(ISNUMBER($AZ$281),$B$252=1),$AZ$281,HLOOKUP(INDIRECT(ADDRESS(2,COLUMN())),OFFSET($CL$2,0,0,ROW()-1,84),ROW()-1,FALSE))</f>
        <v/>
      </c>
      <c r="BA34" t="str">
        <f ca="1">IF(AND(ISNUMBER($BA$281),$B$252=1),$BA$281,HLOOKUP(INDIRECT(ADDRESS(2,COLUMN())),OFFSET($CL$2,0,0,ROW()-1,84),ROW()-1,FALSE))</f>
        <v/>
      </c>
      <c r="BB34" t="str">
        <f ca="1">IF(AND(ISNUMBER($BB$281),$B$252=1),$BB$281,HLOOKUP(INDIRECT(ADDRESS(2,COLUMN())),OFFSET($CL$2,0,0,ROW()-1,84),ROW()-1,FALSE))</f>
        <v/>
      </c>
      <c r="BC34" t="str">
        <f ca="1">IF(AND(ISNUMBER($BC$281),$B$252=1),$BC$281,HLOOKUP(INDIRECT(ADDRESS(2,COLUMN())),OFFSET($CL$2,0,0,ROW()-1,84),ROW()-1,FALSE))</f>
        <v/>
      </c>
      <c r="BD34" t="str">
        <f ca="1">IF(AND(ISNUMBER($BD$281),$B$252=1),$BD$281,HLOOKUP(INDIRECT(ADDRESS(2,COLUMN())),OFFSET($CL$2,0,0,ROW()-1,84),ROW()-1,FALSE))</f>
        <v/>
      </c>
      <c r="BE34" t="str">
        <f ca="1">IF(AND(ISNUMBER($BE$281),$B$252=1),$BE$281,HLOOKUP(INDIRECT(ADDRESS(2,COLUMN())),OFFSET($CL$2,0,0,ROW()-1,84),ROW()-1,FALSE))</f>
        <v/>
      </c>
      <c r="BF34" t="str">
        <f ca="1">IF(AND(ISNUMBER($BF$281),$B$252=1),$BF$281,HLOOKUP(INDIRECT(ADDRESS(2,COLUMN())),OFFSET($CL$2,0,0,ROW()-1,84),ROW()-1,FALSE))</f>
        <v/>
      </c>
      <c r="BG34" t="str">
        <f ca="1">IF(AND(ISNUMBER($BG$281),$B$252=1),$BG$281,HLOOKUP(INDIRECT(ADDRESS(2,COLUMN())),OFFSET($CL$2,0,0,ROW()-1,84),ROW()-1,FALSE))</f>
        <v/>
      </c>
      <c r="BH34" t="str">
        <f ca="1">IF(AND(ISNUMBER($BH$281),$B$252=1),$BH$281,HLOOKUP(INDIRECT(ADDRESS(2,COLUMN())),OFFSET($CL$2,0,0,ROW()-1,84),ROW()-1,FALSE))</f>
        <v/>
      </c>
      <c r="BI34" t="str">
        <f ca="1">IF(AND(ISNUMBER($BI$281),$B$252=1),$BI$281,HLOOKUP(INDIRECT(ADDRESS(2,COLUMN())),OFFSET($CL$2,0,0,ROW()-1,84),ROW()-1,FALSE))</f>
        <v/>
      </c>
      <c r="BJ34" t="str">
        <f ca="1">IF(AND(ISNUMBER($BJ$281),$B$252=1),$BJ$281,HLOOKUP(INDIRECT(ADDRESS(2,COLUMN())),OFFSET($CL$2,0,0,ROW()-1,84),ROW()-1,FALSE))</f>
        <v/>
      </c>
      <c r="BK34" t="str">
        <f ca="1">IF(AND(ISNUMBER($BK$281),$B$252=1),$BK$281,HLOOKUP(INDIRECT(ADDRESS(2,COLUMN())),OFFSET($CL$2,0,0,ROW()-1,84),ROW()-1,FALSE))</f>
        <v/>
      </c>
      <c r="BL34" t="str">
        <f ca="1">IF(AND(ISNUMBER($BL$281),$B$252=1),$BL$281,HLOOKUP(INDIRECT(ADDRESS(2,COLUMN())),OFFSET($CL$2,0,0,ROW()-1,84),ROW()-1,FALSE))</f>
        <v/>
      </c>
      <c r="BM34" t="str">
        <f ca="1">IF(AND(ISNUMBER($BM$281),$B$252=1),$BM$281,HLOOKUP(INDIRECT(ADDRESS(2,COLUMN())),OFFSET($CL$2,0,0,ROW()-1,84),ROW()-1,FALSE))</f>
        <v/>
      </c>
      <c r="BN34" t="str">
        <f ca="1">IF(AND(ISNUMBER($BN$281),$B$252=1),$BN$281,HLOOKUP(INDIRECT(ADDRESS(2,COLUMN())),OFFSET($CL$2,0,0,ROW()-1,84),ROW()-1,FALSE))</f>
        <v/>
      </c>
      <c r="BO34" t="str">
        <f ca="1">IF(AND(ISNUMBER($BO$281),$B$252=1),$BO$281,HLOOKUP(INDIRECT(ADDRESS(2,COLUMN())),OFFSET($CL$2,0,0,ROW()-1,84),ROW()-1,FALSE))</f>
        <v/>
      </c>
      <c r="BP34" t="str">
        <f ca="1">IF(AND(ISNUMBER($BP$281),$B$252=1),$BP$281,HLOOKUP(INDIRECT(ADDRESS(2,COLUMN())),OFFSET($CL$2,0,0,ROW()-1,84),ROW()-1,FALSE))</f>
        <v/>
      </c>
      <c r="BQ34" t="str">
        <f ca="1">IF(AND(ISNUMBER($BQ$281),$B$252=1),$BQ$281,HLOOKUP(INDIRECT(ADDRESS(2,COLUMN())),OFFSET($CL$2,0,0,ROW()-1,84),ROW()-1,FALSE))</f>
        <v/>
      </c>
      <c r="BR34" t="str">
        <f ca="1">IF(AND(ISNUMBER($BR$281),$B$252=1),$BR$281,HLOOKUP(INDIRECT(ADDRESS(2,COLUMN())),OFFSET($CL$2,0,0,ROW()-1,84),ROW()-1,FALSE))</f>
        <v/>
      </c>
      <c r="BS34" t="str">
        <f ca="1">IF(AND(ISNUMBER($BS$281),$B$252=1),$BS$281,HLOOKUP(INDIRECT(ADDRESS(2,COLUMN())),OFFSET($CL$2,0,0,ROW()-1,84),ROW()-1,FALSE))</f>
        <v/>
      </c>
      <c r="BT34" t="str">
        <f ca="1">IF(AND(ISNUMBER($BT$281),$B$252=1),$BT$281,HLOOKUP(INDIRECT(ADDRESS(2,COLUMN())),OFFSET($CL$2,0,0,ROW()-1,84),ROW()-1,FALSE))</f>
        <v/>
      </c>
      <c r="BU34" t="str">
        <f ca="1">IF(AND(ISNUMBER($BU$281),$B$252=1),$BU$281,HLOOKUP(INDIRECT(ADDRESS(2,COLUMN())),OFFSET($CL$2,0,0,ROW()-1,84),ROW()-1,FALSE))</f>
        <v/>
      </c>
      <c r="BV34" t="str">
        <f ca="1">IF(AND(ISNUMBER($BV$281),$B$252=1),$BV$281,HLOOKUP(INDIRECT(ADDRESS(2,COLUMN())),OFFSET($CL$2,0,0,ROW()-1,84),ROW()-1,FALSE))</f>
        <v/>
      </c>
      <c r="BW34" t="str">
        <f ca="1">IF(AND(ISNUMBER($BW$281),$B$252=1),$BW$281,HLOOKUP(INDIRECT(ADDRESS(2,COLUMN())),OFFSET($CL$2,0,0,ROW()-1,84),ROW()-1,FALSE))</f>
        <v/>
      </c>
      <c r="BX34" t="str">
        <f ca="1">IF(AND(ISNUMBER($BX$281),$B$252=1),$BX$281,HLOOKUP(INDIRECT(ADDRESS(2,COLUMN())),OFFSET($CL$2,0,0,ROW()-1,84),ROW()-1,FALSE))</f>
        <v/>
      </c>
      <c r="BY34" t="str">
        <f ca="1">IF(AND(ISNUMBER($BY$281),$B$252=1),$BY$281,HLOOKUP(INDIRECT(ADDRESS(2,COLUMN())),OFFSET($CL$2,0,0,ROW()-1,84),ROW()-1,FALSE))</f>
        <v/>
      </c>
      <c r="BZ34" t="str">
        <f ca="1">IF(AND(ISNUMBER($BZ$281),$B$252=1),$BZ$281,HLOOKUP(INDIRECT(ADDRESS(2,COLUMN())),OFFSET($CL$2,0,0,ROW()-1,84),ROW()-1,FALSE))</f>
        <v/>
      </c>
      <c r="CA34" t="str">
        <f ca="1">IF(AND(ISNUMBER($CA$281),$B$252=1),$CA$281,HLOOKUP(INDIRECT(ADDRESS(2,COLUMN())),OFFSET($CL$2,0,0,ROW()-1,84),ROW()-1,FALSE))</f>
        <v/>
      </c>
      <c r="CB34" t="str">
        <f ca="1">IF(AND(ISNUMBER($CB$281),$B$252=1),$CB$281,HLOOKUP(INDIRECT(ADDRESS(2,COLUMN())),OFFSET($CL$2,0,0,ROW()-1,84),ROW()-1,FALSE))</f>
        <v/>
      </c>
      <c r="CC34" t="str">
        <f ca="1">IF(AND(ISNUMBER($CC$281),$B$252=1),$CC$281,HLOOKUP(INDIRECT(ADDRESS(2,COLUMN())),OFFSET($CL$2,0,0,ROW()-1,84),ROW()-1,FALSE))</f>
        <v/>
      </c>
      <c r="CD34" t="str">
        <f ca="1">IF(AND(ISNUMBER($CD$281),$B$252=1),$CD$281,HLOOKUP(INDIRECT(ADDRESS(2,COLUMN())),OFFSET($CL$2,0,0,ROW()-1,84),ROW()-1,FALSE))</f>
        <v/>
      </c>
      <c r="CE34" t="str">
        <f ca="1">IF(AND(ISNUMBER($CE$281),$B$252=1),$CE$281,HLOOKUP(INDIRECT(ADDRESS(2,COLUMN())),OFFSET($CL$2,0,0,ROW()-1,84),ROW()-1,FALSE))</f>
        <v/>
      </c>
      <c r="CF34" t="str">
        <f ca="1">IF(AND(ISNUMBER($CF$281),$B$252=1),$CF$281,HLOOKUP(INDIRECT(ADDRESS(2,COLUMN())),OFFSET($CL$2,0,0,ROW()-1,84),ROW()-1,FALSE))</f>
        <v/>
      </c>
      <c r="CG34" t="str">
        <f ca="1">IF(AND(ISNUMBER($CG$281),$B$252=1),$CG$281,HLOOKUP(INDIRECT(ADDRESS(2,COLUMN())),OFFSET($CL$2,0,0,ROW()-1,84),ROW()-1,FALSE))</f>
        <v/>
      </c>
      <c r="CH34" t="str">
        <f ca="1">IF(AND(ISNUMBER($CH$281),$B$252=1),$CH$281,HLOOKUP(INDIRECT(ADDRESS(2,COLUMN())),OFFSET($CL$2,0,0,ROW()-1,84),ROW()-1,FALSE))</f>
        <v/>
      </c>
      <c r="CI34" t="str">
        <f ca="1">IF(AND(ISNUMBER($CI$281),$B$252=1),$CI$281,HLOOKUP(INDIRECT(ADDRESS(2,COLUMN())),OFFSET($CL$2,0,0,ROW()-1,84),ROW()-1,FALSE))</f>
        <v/>
      </c>
      <c r="CJ34" t="str">
        <f ca="1">IF(AND(ISNUMBER($CJ$281),$B$252=1),$CJ$281,HLOOKUP(INDIRECT(ADDRESS(2,COLUMN())),OFFSET($CL$2,0,0,ROW()-1,84),ROW()-1,FALSE))</f>
        <v/>
      </c>
      <c r="CK34" t="str">
        <f ca="1">IF(AND(ISNUMBER($CK$281),$B$252=1),$CK$281,HLOOKUP(INDIRECT(ADDRESS(2,COLUMN())),OFFSET($CL$2,0,0,ROW()-1,84),ROW()-1,FALSE))</f>
        <v/>
      </c>
      <c r="CL34">
        <f>18.24317354</f>
        <v>18.243173540000001</v>
      </c>
      <c r="CM34">
        <f>17.30313948</f>
        <v>17.303139479999999</v>
      </c>
      <c r="CN34">
        <f>18.54314721</f>
        <v>18.543147210000001</v>
      </c>
      <c r="CO34">
        <f>19.57317073</f>
        <v>19.573170730000001</v>
      </c>
      <c r="CP34">
        <f>20.01526718</f>
        <v>20.015267179999999</v>
      </c>
      <c r="CQ34">
        <f>19.7706422</f>
        <v>19.770642200000001</v>
      </c>
      <c r="CR34">
        <f>19.4129658</f>
        <v>19.412965799999998</v>
      </c>
      <c r="CS34">
        <f>19.80612245</f>
        <v>19.80612245</v>
      </c>
      <c r="CT34">
        <f>19.96424923</f>
        <v>19.96424923</v>
      </c>
      <c r="CU34">
        <f>19.93350384</f>
        <v>19.93350384</v>
      </c>
      <c r="CV34">
        <f>19.78985136</f>
        <v>19.78985136</v>
      </c>
      <c r="CW34">
        <f>19.23750644</f>
        <v>19.237506440000001</v>
      </c>
      <c r="CX34">
        <f>18.68109222</f>
        <v>18.68109222</v>
      </c>
      <c r="CY34">
        <f>18.81443299</f>
        <v>18.81443299</v>
      </c>
      <c r="CZ34">
        <f>17.76817489</f>
        <v>17.768174890000001</v>
      </c>
      <c r="DA34">
        <f>18.46153846</f>
        <v>18.46153846</v>
      </c>
      <c r="DB34">
        <f>17.25291434</f>
        <v>17.25291434</v>
      </c>
      <c r="DC34">
        <f>17.75126904</f>
        <v>17.75126904</v>
      </c>
      <c r="DD34">
        <f>17.97702298</f>
        <v>17.977022980000001</v>
      </c>
      <c r="DE34">
        <f>18</f>
        <v>18</v>
      </c>
      <c r="DF34">
        <f>18.53160777</f>
        <v>18.531607770000001</v>
      </c>
      <c r="DG34">
        <f>18.2230997</f>
        <v>18.223099699999999</v>
      </c>
      <c r="DH34">
        <f>17.74002954</f>
        <v>17.740029539999998</v>
      </c>
      <c r="DI34">
        <f>17.20197044</f>
        <v>17.20197044</v>
      </c>
      <c r="DJ34">
        <f>18.7038835</f>
        <v>18.7038835</v>
      </c>
      <c r="DK34">
        <f>16.74634146</f>
        <v>16.74634146</v>
      </c>
      <c r="DL34" t="str">
        <f>""</f>
        <v/>
      </c>
      <c r="DM34" t="str">
        <f>""</f>
        <v/>
      </c>
      <c r="DN34" t="str">
        <f>""</f>
        <v/>
      </c>
      <c r="DO34">
        <f>16.3317757</f>
        <v>16.331775700000001</v>
      </c>
      <c r="DP34">
        <f>16.11214953</f>
        <v>16.11214953</v>
      </c>
      <c r="DQ34">
        <f>15.45454545</f>
        <v>15.454545449999999</v>
      </c>
      <c r="DR34">
        <f>16.33333333</f>
        <v>16.333333329999999</v>
      </c>
      <c r="DS34" t="str">
        <f>""</f>
        <v/>
      </c>
      <c r="DT34" t="str">
        <f>""</f>
        <v/>
      </c>
      <c r="DU34" t="str">
        <f>""</f>
        <v/>
      </c>
      <c r="DV34" t="str">
        <f>""</f>
        <v/>
      </c>
      <c r="DW34" t="str">
        <f>""</f>
        <v/>
      </c>
      <c r="DX34" t="str">
        <f>""</f>
        <v/>
      </c>
      <c r="DY34" t="str">
        <f>""</f>
        <v/>
      </c>
      <c r="DZ34" t="str">
        <f>""</f>
        <v/>
      </c>
      <c r="EA34" t="str">
        <f>""</f>
        <v/>
      </c>
      <c r="EB34" t="str">
        <f>""</f>
        <v/>
      </c>
      <c r="EC34" t="str">
        <f>""</f>
        <v/>
      </c>
      <c r="ED34" t="str">
        <f>""</f>
        <v/>
      </c>
      <c r="EE34" t="str">
        <f>""</f>
        <v/>
      </c>
      <c r="EF34" t="str">
        <f>""</f>
        <v/>
      </c>
      <c r="EG34" t="str">
        <f>""</f>
        <v/>
      </c>
      <c r="EH34" t="str">
        <f>""</f>
        <v/>
      </c>
      <c r="EI34" t="str">
        <f>""</f>
        <v/>
      </c>
      <c r="EJ34" t="str">
        <f>""</f>
        <v/>
      </c>
      <c r="EK34" t="str">
        <f>""</f>
        <v/>
      </c>
      <c r="EL34" t="str">
        <f>""</f>
        <v/>
      </c>
      <c r="EM34" t="str">
        <f>""</f>
        <v/>
      </c>
      <c r="EN34" t="str">
        <f>""</f>
        <v/>
      </c>
      <c r="EO34" t="str">
        <f>""</f>
        <v/>
      </c>
      <c r="EP34" t="str">
        <f>""</f>
        <v/>
      </c>
      <c r="EQ34" t="str">
        <f>""</f>
        <v/>
      </c>
      <c r="ER34" t="str">
        <f>""</f>
        <v/>
      </c>
      <c r="ES34" t="str">
        <f>""</f>
        <v/>
      </c>
      <c r="ET34" t="str">
        <f>""</f>
        <v/>
      </c>
      <c r="EU34" t="str">
        <f>""</f>
        <v/>
      </c>
      <c r="EV34" t="str">
        <f>""</f>
        <v/>
      </c>
      <c r="EW34" t="str">
        <f>""</f>
        <v/>
      </c>
      <c r="EX34" t="str">
        <f>""</f>
        <v/>
      </c>
      <c r="EY34" t="str">
        <f>""</f>
        <v/>
      </c>
      <c r="EZ34" t="str">
        <f>""</f>
        <v/>
      </c>
      <c r="FA34" t="str">
        <f>""</f>
        <v/>
      </c>
      <c r="FB34" t="str">
        <f>""</f>
        <v/>
      </c>
      <c r="FC34" t="str">
        <f>""</f>
        <v/>
      </c>
      <c r="FD34" t="str">
        <f>""</f>
        <v/>
      </c>
      <c r="FE34" t="str">
        <f>""</f>
        <v/>
      </c>
      <c r="FF34" t="str">
        <f>""</f>
        <v/>
      </c>
      <c r="FG34" t="str">
        <f>""</f>
        <v/>
      </c>
      <c r="FH34" t="str">
        <f>""</f>
        <v/>
      </c>
      <c r="FI34" t="str">
        <f>""</f>
        <v/>
      </c>
      <c r="FJ34" t="str">
        <f>""</f>
        <v/>
      </c>
      <c r="FK34" t="str">
        <f>""</f>
        <v/>
      </c>
      <c r="FL34" t="str">
        <f>""</f>
        <v/>
      </c>
      <c r="FM34" t="str">
        <f>""</f>
        <v/>
      </c>
      <c r="FN34" t="str">
        <f>""</f>
        <v/>
      </c>
      <c r="FO34" t="str">
        <f>""</f>
        <v/>
      </c>
      <c r="FP34" t="str">
        <f>""</f>
        <v/>
      </c>
      <c r="FQ34" t="str">
        <f>""</f>
        <v/>
      </c>
    </row>
    <row r="35" spans="1:173">
      <c r="A35" t="str">
        <f>"每股营运现金流(季度)"</f>
        <v>每股营运现金流(季度)</v>
      </c>
      <c r="B35" t="str">
        <f>""</f>
        <v/>
      </c>
      <c r="E35" t="str">
        <f>"Sum"</f>
        <v>Sum</v>
      </c>
      <c r="F35" t="str">
        <f ca="1">IF(ISERROR(IF(SUM($F$36:$F$42) = 0, "", SUM($F$36:$F$42))), "", (IF(SUM($F$36:$F$42) = 0, "", SUM($F$36:$F$42))))</f>
        <v/>
      </c>
      <c r="G35" t="str">
        <f ca="1">IF(ISERROR(IF(SUM($G$36:$G$42) = 0, "", SUM($G$36:$G$42))), "", (IF(SUM($G$36:$G$42) = 0, "", SUM($G$36:$G$42))))</f>
        <v/>
      </c>
      <c r="H35" t="str">
        <f ca="1">IF(ISERROR(IF(SUM($H$36:$H$42) = 0, "", SUM($H$36:$H$42))), "", (IF(SUM($H$36:$H$42) = 0, "", SUM($H$36:$H$42))))</f>
        <v/>
      </c>
      <c r="I35">
        <f ca="1">IF(ISERROR(IF(SUM($I$36:$I$42) = 0, "", SUM($I$36:$I$42))), "", (IF(SUM($I$36:$I$42) = 0, "", SUM($I$36:$I$42))))</f>
        <v>9.7787490000000012</v>
      </c>
      <c r="J35" t="str">
        <f ca="1">IF(ISERROR(IF(SUM($J$36:$J$42) = 0, "", SUM($J$36:$J$42))), "", (IF(SUM($J$36:$J$42) = 0, "", SUM($J$36:$J$42))))</f>
        <v/>
      </c>
      <c r="K35" t="str">
        <f ca="1">IF(ISERROR(IF(SUM($K$36:$K$42) = 0, "", SUM($K$36:$K$42))), "", (IF(SUM($K$36:$K$42) = 0, "", SUM($K$36:$K$42))))</f>
        <v/>
      </c>
      <c r="L35">
        <f ca="1">IF(ISERROR(IF(SUM($L$36:$L$42) = 0, "", SUM($L$36:$L$42))), "", (IF(SUM($L$36:$L$42) = 0, "", SUM($L$36:$L$42))))</f>
        <v>9.8246030000000015</v>
      </c>
      <c r="M35" t="str">
        <f ca="1">IF(ISERROR(IF(SUM($M$36:$M$42) = 0, "", SUM($M$36:$M$42))), "", (IF(SUM($M$36:$M$42) = 0, "", SUM($M$36:$M$42))))</f>
        <v/>
      </c>
      <c r="N35" t="str">
        <f ca="1">IF(ISERROR(IF(SUM($N$36:$N$42) = 0, "", SUM($N$36:$N$42))), "", (IF(SUM($N$36:$N$42) = 0, "", SUM($N$36:$N$42))))</f>
        <v/>
      </c>
      <c r="O35">
        <f ca="1">IF(ISERROR(IF(SUM($O$36:$O$42) = 0, "", SUM($O$36:$O$42))), "", (IF(SUM($O$36:$O$42) = 0, "", SUM($O$36:$O$42))))</f>
        <v>9.3324749999999987</v>
      </c>
      <c r="P35" t="str">
        <f ca="1">IF(ISERROR(IF(SUM($P$36:$P$42) = 0, "", SUM($P$36:$P$42))), "", (IF(SUM($P$36:$P$42) = 0, "", SUM($P$36:$P$42))))</f>
        <v/>
      </c>
      <c r="Q35" t="str">
        <f ca="1">IF(ISERROR(IF(SUM($Q$36:$Q$42) = 0, "", SUM($Q$36:$Q$42))), "", (IF(SUM($Q$36:$Q$42) = 0, "", SUM($Q$36:$Q$42))))</f>
        <v/>
      </c>
      <c r="R35">
        <f ca="1">IF(ISERROR(IF(SUM($R$36:$R$42) = 0, "", SUM($R$36:$R$42))), "", (IF(SUM($R$36:$R$42) = 0, "", SUM($R$36:$R$42))))</f>
        <v>9.3299999999999983</v>
      </c>
      <c r="S35" t="str">
        <f ca="1">IF(ISERROR(IF(SUM($S$36:$S$42) = 0, "", SUM($S$36:$S$42))), "", (IF(SUM($S$36:$S$42) = 0, "", SUM($S$36:$S$42))))</f>
        <v/>
      </c>
      <c r="T35" t="str">
        <f ca="1">IF(ISERROR(IF(SUM($T$36:$T$42) = 0, "", SUM($T$36:$T$42))), "", (IF(SUM($T$36:$T$42) = 0, "", SUM($T$36:$T$42))))</f>
        <v/>
      </c>
      <c r="U35">
        <f ca="1">IF(ISERROR(IF(SUM($U$36:$U$42) = 0, "", SUM($U$36:$U$42))), "", (IF(SUM($U$36:$U$42) = 0, "", SUM($U$36:$U$42))))</f>
        <v>9.0948280000000015</v>
      </c>
      <c r="V35" t="str">
        <f ca="1">IF(ISERROR(IF(SUM($V$36:$V$42) = 0, "", SUM($V$36:$V$42))), "", (IF(SUM($V$36:$V$42) = 0, "", SUM($V$36:$V$42))))</f>
        <v/>
      </c>
      <c r="W35" t="str">
        <f ca="1">IF(ISERROR(IF(SUM($W$36:$W$42) = 0, "", SUM($W$36:$W$42))), "", (IF(SUM($W$36:$W$42) = 0, "", SUM($W$36:$W$42))))</f>
        <v/>
      </c>
      <c r="X35">
        <f ca="1">IF(ISERROR(IF(SUM($X$36:$X$42) = 0, "", SUM($X$36:$X$42))), "", (IF(SUM($X$36:$X$42) = 0, "", SUM($X$36:$X$42))))</f>
        <v>9.2839040000000015</v>
      </c>
      <c r="Y35" t="str">
        <f ca="1">IF(ISERROR(IF(SUM($Y$36:$Y$42) = 0, "", SUM($Y$36:$Y$42))), "", (IF(SUM($Y$36:$Y$42) = 0, "", SUM($Y$36:$Y$42))))</f>
        <v/>
      </c>
      <c r="Z35" t="str">
        <f ca="1">IF(ISERROR(IF(SUM($Z$36:$Z$42) = 0, "", SUM($Z$36:$Z$42))), "", (IF(SUM($Z$36:$Z$42) = 0, "", SUM($Z$36:$Z$42))))</f>
        <v/>
      </c>
      <c r="AA35">
        <f ca="1">IF(ISERROR(IF(SUM($AA$36:$AA$42) = 0, "", SUM($AA$36:$AA$42))), "", (IF(SUM($AA$36:$AA$42) = 0, "", SUM($AA$36:$AA$42))))</f>
        <v>9.424218999999999</v>
      </c>
      <c r="AB35" t="str">
        <f ca="1">IF(ISERROR(IF(SUM($AB$36:$AB$42) = 0, "", SUM($AB$36:$AB$42))), "", (IF(SUM($AB$36:$AB$42) = 0, "", SUM($AB$36:$AB$42))))</f>
        <v/>
      </c>
      <c r="AC35" t="str">
        <f ca="1">IF(ISERROR(IF(SUM($AC$36:$AC$42) = 0, "", SUM($AC$36:$AC$42))), "", (IF(SUM($AC$36:$AC$42) = 0, "", SUM($AC$36:$AC$42))))</f>
        <v/>
      </c>
      <c r="AD35">
        <f ca="1">IF(ISERROR(IF(SUM($AD$36:$AD$42) = 0, "", SUM($AD$36:$AD$42))), "", (IF(SUM($AD$36:$AD$42) = 0, "", SUM($AD$36:$AD$42))))</f>
        <v>8.879999999999999</v>
      </c>
      <c r="AE35" t="str">
        <f ca="1">IF(ISERROR(IF(SUM($AE$36:$AE$42) = 0, "", SUM($AE$36:$AE$42))), "", (IF(SUM($AE$36:$AE$42) = 0, "", SUM($AE$36:$AE$42))))</f>
        <v/>
      </c>
      <c r="AF35" t="str">
        <f ca="1">IF(ISERROR(IF(SUM($AF$36:$AF$42) = 0, "", SUM($AF$36:$AF$42))), "", (IF(SUM($AF$36:$AF$42) = 0, "", SUM($AF$36:$AF$42))))</f>
        <v/>
      </c>
      <c r="AG35">
        <f ca="1">IF(ISERROR(IF(SUM($AG$36:$AG$42) = 0, "", SUM($AG$36:$AG$42))), "", (IF(SUM($AG$36:$AG$42) = 0, "", SUM($AG$36:$AG$42))))</f>
        <v>9.0984119999999997</v>
      </c>
      <c r="AH35" t="str">
        <f ca="1">IF(ISERROR(IF(SUM($AH$36:$AH$42) = 0, "", SUM($AH$36:$AH$42))), "", (IF(SUM($AH$36:$AH$42) = 0, "", SUM($AH$36:$AH$42))))</f>
        <v/>
      </c>
      <c r="AI35" t="str">
        <f ca="1">IF(ISERROR(IF(SUM($AI$36:$AI$42) = 0, "", SUM($AI$36:$AI$42))), "", (IF(SUM($AI$36:$AI$42) = 0, "", SUM($AI$36:$AI$42))))</f>
        <v/>
      </c>
      <c r="AJ35">
        <f ca="1">IF(ISERROR(IF(SUM($AJ$36:$AJ$42) = 0, "", SUM($AJ$36:$AJ$42))), "", (IF(SUM($AJ$36:$AJ$42) = 0, "", SUM($AJ$36:$AJ$42))))</f>
        <v>8.9913029999999985</v>
      </c>
      <c r="AK35" t="str">
        <f ca="1">IF(ISERROR(IF(SUM($AK$36:$AK$42) = 0, "", SUM($AK$36:$AK$42))), "", (IF(SUM($AK$36:$AK$42) = 0, "", SUM($AK$36:$AK$42))))</f>
        <v/>
      </c>
      <c r="AL35" t="str">
        <f ca="1">IF(ISERROR(IF(SUM($AL$36:$AL$42) = 0, "", SUM($AL$36:$AL$42))), "", (IF(SUM($AL$36:$AL$42) = 0, "", SUM($AL$36:$AL$42))))</f>
        <v/>
      </c>
      <c r="AM35">
        <f ca="1">IF(ISERROR(IF(SUM($AM$36:$AM$42) = 0, "", SUM($AM$36:$AM$42))), "", (IF(SUM($AM$36:$AM$42) = 0, "", SUM($AM$36:$AM$42))))</f>
        <v>8.9606319999999986</v>
      </c>
      <c r="AN35" t="str">
        <f ca="1">IF(ISERROR(IF(SUM($AN$36:$AN$42) = 0, "", SUM($AN$36:$AN$42))), "", (IF(SUM($AN$36:$AN$42) = 0, "", SUM($AN$36:$AN$42))))</f>
        <v/>
      </c>
      <c r="AO35" t="str">
        <f ca="1">IF(ISERROR(IF(SUM($AO$36:$AO$42) = 0, "", SUM($AO$36:$AO$42))), "", (IF(SUM($AO$36:$AO$42) = 0, "", SUM($AO$36:$AO$42))))</f>
        <v/>
      </c>
      <c r="AP35">
        <f ca="1">IF(ISERROR(IF(SUM($AP$36:$AP$42) = 0, "", SUM($AP$36:$AP$42))), "", (IF(SUM($AP$36:$AP$42) = 0, "", SUM($AP$36:$AP$42))))</f>
        <v>8.2999999999999989</v>
      </c>
      <c r="AQ35" t="str">
        <f ca="1">IF(ISERROR(IF(SUM($AQ$36:$AQ$42) = 0, "", SUM($AQ$36:$AQ$42))), "", (IF(SUM($AQ$36:$AQ$42) = 0, "", SUM($AQ$36:$AQ$42))))</f>
        <v/>
      </c>
      <c r="AR35" t="str">
        <f ca="1">IF(ISERROR(IF(SUM($AR$36:$AR$42) = 0, "", SUM($AR$36:$AR$42))), "", (IF(SUM($AR$36:$AR$42) = 0, "", SUM($AR$36:$AR$42))))</f>
        <v/>
      </c>
      <c r="AS35">
        <f ca="1">IF(ISERROR(IF(SUM($AS$36:$AS$42) = 0, "", SUM($AS$36:$AS$42))), "", (IF(SUM($AS$36:$AS$42) = 0, "", SUM($AS$36:$AS$42))))</f>
        <v>8.2028110000000005</v>
      </c>
      <c r="AT35" t="str">
        <f ca="1">IF(ISERROR(IF(SUM($AT$36:$AT$42) = 0, "", SUM($AT$36:$AT$42))), "", (IF(SUM($AT$36:$AT$42) = 0, "", SUM($AT$36:$AT$42))))</f>
        <v/>
      </c>
      <c r="AU35" t="str">
        <f ca="1">IF(ISERROR(IF(SUM($AU$36:$AU$42) = 0, "", SUM($AU$36:$AU$42))), "", (IF(SUM($AU$36:$AU$42) = 0, "", SUM($AU$36:$AU$42))))</f>
        <v/>
      </c>
      <c r="AV35">
        <f ca="1">IF(ISERROR(IF(SUM($AV$36:$AV$42) = 0, "", SUM($AV$36:$AV$42))), "", (IF(SUM($AV$36:$AV$42) = 0, "", SUM($AV$36:$AV$42))))</f>
        <v>7.9412860000000016</v>
      </c>
      <c r="AW35" t="str">
        <f ca="1">IF(ISERROR(IF(SUM($AW$36:$AW$42) = 0, "", SUM($AW$36:$AW$42))), "", (IF(SUM($AW$36:$AW$42) = 0, "", SUM($AW$36:$AW$42))))</f>
        <v/>
      </c>
      <c r="AX35" t="str">
        <f ca="1">IF(ISERROR(IF(SUM($AX$36:$AX$42) = 0, "", SUM($AX$36:$AX$42))), "", (IF(SUM($AX$36:$AX$42) = 0, "", SUM($AX$36:$AX$42))))</f>
        <v/>
      </c>
      <c r="AY35">
        <f ca="1">IF(ISERROR(IF(SUM($AY$36:$AY$42) = 0, "", SUM($AY$36:$AY$42))), "", (IF(SUM($AY$36:$AY$42) = 0, "", SUM($AY$36:$AY$42))))</f>
        <v>6.9667540000000008</v>
      </c>
      <c r="AZ35" t="str">
        <f ca="1">IF(ISERROR(IF(SUM($AZ$36:$AZ$42) = 0, "", SUM($AZ$36:$AZ$42))), "", (IF(SUM($AZ$36:$AZ$42) = 0, "", SUM($AZ$36:$AZ$42))))</f>
        <v/>
      </c>
      <c r="BA35" t="str">
        <f ca="1">IF(ISERROR(IF(SUM($BA$36:$BA$42) = 0, "", SUM($BA$36:$BA$42))), "", (IF(SUM($BA$36:$BA$42) = 0, "", SUM($BA$36:$BA$42))))</f>
        <v/>
      </c>
      <c r="BB35">
        <f ca="1">IF(ISERROR(IF(SUM($BB$36:$BB$42) = 0, "", SUM($BB$36:$BB$42))), "", (IF(SUM($BB$36:$BB$42) = 0, "", SUM($BB$36:$BB$42))))</f>
        <v>7.169999999999999</v>
      </c>
      <c r="BC35" t="str">
        <f ca="1">IF(ISERROR(IF(SUM($BC$36:$BC$42) = 0, "", SUM($BC$36:$BC$42))), "", (IF(SUM($BC$36:$BC$42) = 0, "", SUM($BC$36:$BC$42))))</f>
        <v/>
      </c>
      <c r="BD35" t="str">
        <f ca="1">IF(ISERROR(IF(SUM($BD$36:$BD$42) = 0, "", SUM($BD$36:$BD$42))), "", (IF(SUM($BD$36:$BD$42) = 0, "", SUM($BD$36:$BD$42))))</f>
        <v/>
      </c>
      <c r="BE35">
        <f ca="1">IF(ISERROR(IF(SUM($BE$36:$BE$42) = 0, "", SUM($BE$36:$BE$42))), "", (IF(SUM($BE$36:$BE$42) = 0, "", SUM($BE$36:$BE$42))))</f>
        <v>6.5718649999999998</v>
      </c>
      <c r="BF35" t="str">
        <f ca="1">IF(ISERROR(IF(SUM($BF$36:$BF$42) = 0, "", SUM($BF$36:$BF$42))), "", (IF(SUM($BF$36:$BF$42) = 0, "", SUM($BF$36:$BF$42))))</f>
        <v/>
      </c>
      <c r="BG35" t="str">
        <f ca="1">IF(ISERROR(IF(SUM($BG$36:$BG$42) = 0, "", SUM($BG$36:$BG$42))), "", (IF(SUM($BG$36:$BG$42) = 0, "", SUM($BG$36:$BG$42))))</f>
        <v/>
      </c>
      <c r="BH35">
        <f ca="1">IF(ISERROR(IF(SUM($BH$36:$BH$42) = 0, "", SUM($BH$36:$BH$42))), "", (IF(SUM($BH$36:$BH$42) = 0, "", SUM($BH$36:$BH$42))))</f>
        <v>6.8402259999999995</v>
      </c>
      <c r="BI35" t="str">
        <f ca="1">IF(ISERROR(IF(SUM($BI$36:$BI$42) = 0, "", SUM($BI$36:$BI$42))), "", (IF(SUM($BI$36:$BI$42) = 0, "", SUM($BI$36:$BI$42))))</f>
        <v/>
      </c>
      <c r="BJ35" t="str">
        <f ca="1">IF(ISERROR(IF(SUM($BJ$36:$BJ$42) = 0, "", SUM($BJ$36:$BJ$42))), "", (IF(SUM($BJ$36:$BJ$42) = 0, "", SUM($BJ$36:$BJ$42))))</f>
        <v/>
      </c>
      <c r="BK35">
        <f ca="1">IF(ISERROR(IF(SUM($BK$36:$BK$42) = 0, "", SUM($BK$36:$BK$42))), "", (IF(SUM($BK$36:$BK$42) = 0, "", SUM($BK$36:$BK$42))))</f>
        <v>7.2103529999999996</v>
      </c>
      <c r="BL35" t="str">
        <f ca="1">IF(ISERROR(IF(SUM($BL$36:$BL$42) = 0, "", SUM($BL$36:$BL$42))), "", (IF(SUM($BL$36:$BL$42) = 0, "", SUM($BL$36:$BL$42))))</f>
        <v/>
      </c>
      <c r="BM35" t="str">
        <f ca="1">IF(ISERROR(IF(SUM($BM$36:$BM$42) = 0, "", SUM($BM$36:$BM$42))), "", (IF(SUM($BM$36:$BM$42) = 0, "", SUM($BM$36:$BM$42))))</f>
        <v/>
      </c>
      <c r="BN35">
        <f ca="1">IF(ISERROR(IF(SUM($BN$36:$BN$42) = 0, "", SUM($BN$36:$BN$42))), "", (IF(SUM($BN$36:$BN$42) = 0, "", SUM($BN$36:$BN$42))))</f>
        <v>6.02</v>
      </c>
      <c r="BO35" t="str">
        <f ca="1">IF(ISERROR(IF(SUM($BO$36:$BO$42) = 0, "", SUM($BO$36:$BO$42))), "", (IF(SUM($BO$36:$BO$42) = 0, "", SUM($BO$36:$BO$42))))</f>
        <v/>
      </c>
      <c r="BP35" t="str">
        <f ca="1">IF(ISERROR(IF(SUM($BP$36:$BP$42) = 0, "", SUM($BP$36:$BP$42))), "", (IF(SUM($BP$36:$BP$42) = 0, "", SUM($BP$36:$BP$42))))</f>
        <v/>
      </c>
      <c r="BQ35">
        <f ca="1">IF(ISERROR(IF(SUM($BQ$36:$BQ$42) = 0, "", SUM($BQ$36:$BQ$42))), "", (IF(SUM($BQ$36:$BQ$42) = 0, "", SUM($BQ$36:$BQ$42))))</f>
        <v>6.9408570000000003</v>
      </c>
      <c r="BR35" t="str">
        <f ca="1">IF(ISERROR(IF(SUM($BR$36:$BR$42) = 0, "", SUM($BR$36:$BR$42))), "", (IF(SUM($BR$36:$BR$42) = 0, "", SUM($BR$36:$BR$42))))</f>
        <v/>
      </c>
      <c r="BS35" t="str">
        <f ca="1">IF(ISERROR(IF(SUM($BS$36:$BS$42) = 0, "", SUM($BS$36:$BS$42))), "", (IF(SUM($BS$36:$BS$42) = 0, "", SUM($BS$36:$BS$42))))</f>
        <v/>
      </c>
      <c r="BT35">
        <f ca="1">IF(ISERROR(IF(SUM($BT$36:$BT$42) = 0, "", SUM($BT$36:$BT$42))), "", (IF(SUM($BT$36:$BT$42) = 0, "", SUM($BT$36:$BT$42))))</f>
        <v>6.7790880000000007</v>
      </c>
      <c r="BU35" t="str">
        <f ca="1">IF(ISERROR(IF(SUM($BU$36:$BU$42) = 0, "", SUM($BU$36:$BU$42))), "", (IF(SUM($BU$36:$BU$42) = 0, "", SUM($BU$36:$BU$42))))</f>
        <v/>
      </c>
      <c r="BV35" t="str">
        <f ca="1">IF(ISERROR(IF(SUM($BV$36:$BV$42) = 0, "", SUM($BV$36:$BV$42))), "", (IF(SUM($BV$36:$BV$42) = 0, "", SUM($BV$36:$BV$42))))</f>
        <v/>
      </c>
      <c r="BW35">
        <f ca="1">IF(ISERROR(IF(SUM($BW$36:$BW$42) = 0, "", SUM($BW$36:$BW$42))), "", (IF(SUM($BW$36:$BW$42) = 0, "", SUM($BW$36:$BW$42))))</f>
        <v>6.3993370000000001</v>
      </c>
      <c r="BX35" t="str">
        <f ca="1">IF(ISERROR(IF(SUM($BX$36:$BX$42) = 0, "", SUM($BX$36:$BX$42))), "", (IF(SUM($BX$36:$BX$42) = 0, "", SUM($BX$36:$BX$42))))</f>
        <v/>
      </c>
      <c r="BY35" t="str">
        <f ca="1">IF(ISERROR(IF(SUM($BY$36:$BY$42) = 0, "", SUM($BY$36:$BY$42))), "", (IF(SUM($BY$36:$BY$42) = 0, "", SUM($BY$36:$BY$42))))</f>
        <v/>
      </c>
      <c r="BZ35">
        <f ca="1">IF(ISERROR(IF(SUM($BZ$36:$BZ$42) = 0, "", SUM($BZ$36:$BZ$42))), "", (IF(SUM($BZ$36:$BZ$42) = 0, "", SUM($BZ$36:$BZ$42))))</f>
        <v>6.21</v>
      </c>
      <c r="CA35" t="str">
        <f ca="1">IF(ISERROR(IF(SUM($CA$36:$CA$42) = 0, "", SUM($CA$36:$CA$42))), "", (IF(SUM($CA$36:$CA$42) = 0, "", SUM($CA$36:$CA$42))))</f>
        <v/>
      </c>
      <c r="CB35" t="str">
        <f ca="1">IF(ISERROR(IF(SUM($CB$36:$CB$42) = 0, "", SUM($CB$36:$CB$42))), "", (IF(SUM($CB$36:$CB$42) = 0, "", SUM($CB$36:$CB$42))))</f>
        <v/>
      </c>
      <c r="CC35">
        <f ca="1">IF(ISERROR(IF(SUM($CC$36:$CC$42) = 0, "", SUM($CC$36:$CC$42))), "", (IF(SUM($CC$36:$CC$42) = 0, "", SUM($CC$36:$CC$42))))</f>
        <v>6.0674659999999996</v>
      </c>
      <c r="CD35" t="str">
        <f ca="1">IF(ISERROR(IF(SUM($CD$36:$CD$42) = 0, "", SUM($CD$36:$CD$42))), "", (IF(SUM($CD$36:$CD$42) = 0, "", SUM($CD$36:$CD$42))))</f>
        <v/>
      </c>
      <c r="CE35" t="str">
        <f ca="1">IF(ISERROR(IF(SUM($CE$36:$CE$42) = 0, "", SUM($CE$36:$CE$42))), "", (IF(SUM($CE$36:$CE$42) = 0, "", SUM($CE$36:$CE$42))))</f>
        <v/>
      </c>
      <c r="CF35">
        <f ca="1">IF(ISERROR(IF(SUM($CF$36:$CF$42) = 0, "", SUM($CF$36:$CF$42))), "", (IF(SUM($CF$36:$CF$42) = 0, "", SUM($CF$36:$CF$42))))</f>
        <v>5.7243300000000001</v>
      </c>
      <c r="CG35" t="str">
        <f ca="1">IF(ISERROR(IF(SUM($CG$36:$CG$42) = 0, "", SUM($CG$36:$CG$42))), "", (IF(SUM($CG$36:$CG$42) = 0, "", SUM($CG$36:$CG$42))))</f>
        <v/>
      </c>
      <c r="CH35" t="str">
        <f ca="1">IF(ISERROR(IF(SUM($CH$36:$CH$42) = 0, "", SUM($CH$36:$CH$42))), "", (IF(SUM($CH$36:$CH$42) = 0, "", SUM($CH$36:$CH$42))))</f>
        <v/>
      </c>
      <c r="CI35">
        <f ca="1">IF(ISERROR(IF(SUM($CI$36:$CI$42) = 0, "", SUM($CI$36:$CI$42))), "", (IF(SUM($CI$36:$CI$42) = 0, "", SUM($CI$36:$CI$42))))</f>
        <v>4.9631609999999995</v>
      </c>
      <c r="CJ35" t="str">
        <f ca="1">IF(ISERROR(IF(SUM($CJ$36:$CJ$42) = 0, "", SUM($CJ$36:$CJ$42))), "", (IF(SUM($CJ$36:$CJ$42) = 0, "", SUM($CJ$36:$CJ$42))))</f>
        <v/>
      </c>
      <c r="CK35" t="str">
        <f ca="1">IF(ISERROR(IF(SUM($CK$36:$CK$42) = 0, "", SUM($CK$36:$CK$42))), "", (IF(SUM($CK$36:$CK$42) = 0, "", SUM($CK$36:$CK$42))))</f>
        <v/>
      </c>
      <c r="CL35" t="str">
        <f>""</f>
        <v/>
      </c>
      <c r="CM35" t="str">
        <f>""</f>
        <v/>
      </c>
      <c r="CN35" t="str">
        <f>""</f>
        <v/>
      </c>
      <c r="CO35">
        <f>9.778749</f>
        <v>9.7787489999999995</v>
      </c>
      <c r="CP35" t="str">
        <f>""</f>
        <v/>
      </c>
      <c r="CQ35" t="str">
        <f>""</f>
        <v/>
      </c>
      <c r="CR35">
        <f>9.824603</f>
        <v>9.8246029999999998</v>
      </c>
      <c r="CS35" t="str">
        <f>""</f>
        <v/>
      </c>
      <c r="CT35" t="str">
        <f>""</f>
        <v/>
      </c>
      <c r="CU35">
        <f>9.332475</f>
        <v>9.3324750000000005</v>
      </c>
      <c r="CV35" t="str">
        <f>""</f>
        <v/>
      </c>
      <c r="CW35" t="str">
        <f>""</f>
        <v/>
      </c>
      <c r="CX35">
        <f>9.33</f>
        <v>9.33</v>
      </c>
      <c r="CY35" t="str">
        <f>""</f>
        <v/>
      </c>
      <c r="CZ35" t="str">
        <f>""</f>
        <v/>
      </c>
      <c r="DA35">
        <f>9.094828</f>
        <v>9.0948279999999997</v>
      </c>
      <c r="DB35" t="str">
        <f>""</f>
        <v/>
      </c>
      <c r="DC35" t="str">
        <f>""</f>
        <v/>
      </c>
      <c r="DD35">
        <f>9.283904</f>
        <v>9.2839039999999997</v>
      </c>
      <c r="DE35" t="str">
        <f>""</f>
        <v/>
      </c>
      <c r="DF35" t="str">
        <f>""</f>
        <v/>
      </c>
      <c r="DG35">
        <f>9.424219</f>
        <v>9.4242190000000008</v>
      </c>
      <c r="DH35" t="str">
        <f>""</f>
        <v/>
      </c>
      <c r="DI35" t="str">
        <f>""</f>
        <v/>
      </c>
      <c r="DJ35">
        <f>8.88</f>
        <v>8.8800000000000008</v>
      </c>
      <c r="DK35" t="str">
        <f>""</f>
        <v/>
      </c>
      <c r="DL35" t="str">
        <f>""</f>
        <v/>
      </c>
      <c r="DM35">
        <f>9.098412</f>
        <v>9.0984119999999997</v>
      </c>
      <c r="DN35" t="str">
        <f>""</f>
        <v/>
      </c>
      <c r="DO35" t="str">
        <f>""</f>
        <v/>
      </c>
      <c r="DP35">
        <f>8.991303</f>
        <v>8.9913030000000003</v>
      </c>
      <c r="DQ35" t="str">
        <f>""</f>
        <v/>
      </c>
      <c r="DR35" t="str">
        <f>""</f>
        <v/>
      </c>
      <c r="DS35">
        <f>8.960632</f>
        <v>8.9606320000000004</v>
      </c>
      <c r="DT35" t="str">
        <f>""</f>
        <v/>
      </c>
      <c r="DU35" t="str">
        <f>""</f>
        <v/>
      </c>
      <c r="DV35">
        <f>8.3</f>
        <v>8.3000000000000007</v>
      </c>
      <c r="DW35" t="str">
        <f>""</f>
        <v/>
      </c>
      <c r="DX35" t="str">
        <f>""</f>
        <v/>
      </c>
      <c r="DY35">
        <f>8.202811</f>
        <v>8.2028110000000005</v>
      </c>
      <c r="DZ35" t="str">
        <f>""</f>
        <v/>
      </c>
      <c r="EA35" t="str">
        <f>""</f>
        <v/>
      </c>
      <c r="EB35">
        <f>7.941286</f>
        <v>7.9412859999999998</v>
      </c>
      <c r="EC35" t="str">
        <f>""</f>
        <v/>
      </c>
      <c r="ED35" t="str">
        <f>""</f>
        <v/>
      </c>
      <c r="EE35">
        <f>6.966754</f>
        <v>6.9667539999999999</v>
      </c>
      <c r="EF35" t="str">
        <f>""</f>
        <v/>
      </c>
      <c r="EG35" t="str">
        <f>""</f>
        <v/>
      </c>
      <c r="EH35">
        <f>7.17</f>
        <v>7.17</v>
      </c>
      <c r="EI35" t="str">
        <f>""</f>
        <v/>
      </c>
      <c r="EJ35" t="str">
        <f>""</f>
        <v/>
      </c>
      <c r="EK35">
        <f>6.571865</f>
        <v>6.5718649999999998</v>
      </c>
      <c r="EL35" t="str">
        <f>""</f>
        <v/>
      </c>
      <c r="EM35" t="str">
        <f>""</f>
        <v/>
      </c>
      <c r="EN35">
        <f>6.840226</f>
        <v>6.8402260000000004</v>
      </c>
      <c r="EO35" t="str">
        <f>""</f>
        <v/>
      </c>
      <c r="EP35" t="str">
        <f>""</f>
        <v/>
      </c>
      <c r="EQ35">
        <f>7.210353</f>
        <v>7.2103529999999996</v>
      </c>
      <c r="ER35" t="str">
        <f>""</f>
        <v/>
      </c>
      <c r="ES35" t="str">
        <f>""</f>
        <v/>
      </c>
      <c r="ET35">
        <f>6.02</f>
        <v>6.02</v>
      </c>
      <c r="EU35" t="str">
        <f>""</f>
        <v/>
      </c>
      <c r="EV35" t="str">
        <f>""</f>
        <v/>
      </c>
      <c r="EW35">
        <f>6.940857</f>
        <v>6.9408570000000003</v>
      </c>
      <c r="EX35" t="str">
        <f>""</f>
        <v/>
      </c>
      <c r="EY35" t="str">
        <f>""</f>
        <v/>
      </c>
      <c r="EZ35">
        <f>6.779088</f>
        <v>6.7790879999999998</v>
      </c>
      <c r="FA35" t="str">
        <f>""</f>
        <v/>
      </c>
      <c r="FB35" t="str">
        <f>""</f>
        <v/>
      </c>
      <c r="FC35">
        <f>6.399337</f>
        <v>6.3993370000000001</v>
      </c>
      <c r="FD35" t="str">
        <f>""</f>
        <v/>
      </c>
      <c r="FE35" t="str">
        <f>""</f>
        <v/>
      </c>
      <c r="FF35">
        <f>6.21</f>
        <v>6.21</v>
      </c>
      <c r="FG35" t="str">
        <f>""</f>
        <v/>
      </c>
      <c r="FH35" t="str">
        <f>""</f>
        <v/>
      </c>
      <c r="FI35">
        <f>6.067466</f>
        <v>6.0674659999999996</v>
      </c>
      <c r="FJ35" t="str">
        <f>""</f>
        <v/>
      </c>
      <c r="FK35" t="str">
        <f>""</f>
        <v/>
      </c>
      <c r="FL35">
        <f>5.72433</f>
        <v>5.7243300000000001</v>
      </c>
      <c r="FM35" t="str">
        <f>""</f>
        <v/>
      </c>
      <c r="FN35" t="str">
        <f>""</f>
        <v/>
      </c>
      <c r="FO35">
        <f>4.963161</f>
        <v>4.9631610000000004</v>
      </c>
      <c r="FP35" t="str">
        <f>""</f>
        <v/>
      </c>
      <c r="FQ35" t="str">
        <f>""</f>
        <v/>
      </c>
    </row>
    <row r="36" spans="1:173">
      <c r="A36" t="str">
        <f>"    公寓投资与管理"</f>
        <v xml:space="preserve">    公寓投资与管理</v>
      </c>
      <c r="B36" t="str">
        <f>"AIV US Equity"</f>
        <v>AIV US Equity</v>
      </c>
      <c r="C36" t="str">
        <f t="shared" ref="C36:C42" si="12">"CF065"</f>
        <v>CF065</v>
      </c>
      <c r="D36" t="str">
        <f t="shared" ref="D36:D42" si="13">"CF_FFO_PER_SH_DILUTED"</f>
        <v>CF_FFO_PER_SH_DILUTED</v>
      </c>
      <c r="E36" t="str">
        <f t="shared" ref="E36:E42" si="14">"动态"</f>
        <v>动态</v>
      </c>
      <c r="F36" t="str">
        <f ca="1">IF(AND(ISNUMBER($F$282),$B$252=1),$F$282,HLOOKUP(INDIRECT(ADDRESS(2,COLUMN())),OFFSET($CL$2,0,0,ROW()-1,84),ROW()-1,FALSE))</f>
        <v/>
      </c>
      <c r="G36" t="str">
        <f ca="1">IF(AND(ISNUMBER($G$282),$B$252=1),$G$282,HLOOKUP(INDIRECT(ADDRESS(2,COLUMN())),OFFSET($CL$2,0,0,ROW()-1,84),ROW()-1,FALSE))</f>
        <v/>
      </c>
      <c r="H36" t="str">
        <f ca="1">IF(AND(ISNUMBER($H$282),$B$252=1),$H$282,HLOOKUP(INDIRECT(ADDRESS(2,COLUMN())),OFFSET($CL$2,0,0,ROW()-1,84),ROW()-1,FALSE))</f>
        <v/>
      </c>
      <c r="I36">
        <f ca="1">IF(AND(ISNUMBER($I$282),$B$252=1),$I$282,HLOOKUP(INDIRECT(ADDRESS(2,COLUMN())),OFFSET($CL$2,0,0,ROW()-1,84),ROW()-1,FALSE))</f>
        <v>0.63</v>
      </c>
      <c r="J36" t="str">
        <f ca="1">IF(AND(ISNUMBER($J$282),$B$252=1),$J$282,HLOOKUP(INDIRECT(ADDRESS(2,COLUMN())),OFFSET($CL$2,0,0,ROW()-1,84),ROW()-1,FALSE))</f>
        <v/>
      </c>
      <c r="K36" t="str">
        <f ca="1">IF(AND(ISNUMBER($K$282),$B$252=1),$K$282,HLOOKUP(INDIRECT(ADDRESS(2,COLUMN())),OFFSET($CL$2,0,0,ROW()-1,84),ROW()-1,FALSE))</f>
        <v/>
      </c>
      <c r="L36">
        <f ca="1">IF(AND(ISNUMBER($L$282),$B$252=1),$L$282,HLOOKUP(INDIRECT(ADDRESS(2,COLUMN())),OFFSET($CL$2,0,0,ROW()-1,84),ROW()-1,FALSE))</f>
        <v>0.63</v>
      </c>
      <c r="M36" t="str">
        <f ca="1">IF(AND(ISNUMBER($M$282),$B$252=1),$M$282,HLOOKUP(INDIRECT(ADDRESS(2,COLUMN())),OFFSET($CL$2,0,0,ROW()-1,84),ROW()-1,FALSE))</f>
        <v/>
      </c>
      <c r="N36" t="str">
        <f ca="1">IF(AND(ISNUMBER($N$282),$B$252=1),$N$282,HLOOKUP(INDIRECT(ADDRESS(2,COLUMN())),OFFSET($CL$2,0,0,ROW()-1,84),ROW()-1,FALSE))</f>
        <v/>
      </c>
      <c r="O36">
        <f ca="1">IF(AND(ISNUMBER($O$282),$B$252=1),$O$282,HLOOKUP(INDIRECT(ADDRESS(2,COLUMN())),OFFSET($CL$2,0,0,ROW()-1,84),ROW()-1,FALSE))</f>
        <v>0.61</v>
      </c>
      <c r="P36" t="str">
        <f ca="1">IF(AND(ISNUMBER($P$282),$B$252=1),$P$282,HLOOKUP(INDIRECT(ADDRESS(2,COLUMN())),OFFSET($CL$2,0,0,ROW()-1,84),ROW()-1,FALSE))</f>
        <v/>
      </c>
      <c r="Q36" t="str">
        <f ca="1">IF(AND(ISNUMBER($Q$282),$B$252=1),$Q$282,HLOOKUP(INDIRECT(ADDRESS(2,COLUMN())),OFFSET($CL$2,0,0,ROW()-1,84),ROW()-1,FALSE))</f>
        <v/>
      </c>
      <c r="R36">
        <f ca="1">IF(AND(ISNUMBER($R$282),$B$252=1),$R$282,HLOOKUP(INDIRECT(ADDRESS(2,COLUMN())),OFFSET($CL$2,0,0,ROW()-1,84),ROW()-1,FALSE))</f>
        <v>0.57999999999999996</v>
      </c>
      <c r="S36" t="str">
        <f ca="1">IF(AND(ISNUMBER($S$282),$B$252=1),$S$282,HLOOKUP(INDIRECT(ADDRESS(2,COLUMN())),OFFSET($CL$2,0,0,ROW()-1,84),ROW()-1,FALSE))</f>
        <v/>
      </c>
      <c r="T36" t="str">
        <f ca="1">IF(AND(ISNUMBER($T$282),$B$252=1),$T$282,HLOOKUP(INDIRECT(ADDRESS(2,COLUMN())),OFFSET($CL$2,0,0,ROW()-1,84),ROW()-1,FALSE))</f>
        <v/>
      </c>
      <c r="U36">
        <f ca="1">IF(AND(ISNUMBER($U$282),$B$252=1),$U$282,HLOOKUP(INDIRECT(ADDRESS(2,COLUMN())),OFFSET($CL$2,0,0,ROW()-1,84),ROW()-1,FALSE))</f>
        <v>0.6</v>
      </c>
      <c r="V36" t="str">
        <f ca="1">IF(AND(ISNUMBER($V$282),$B$252=1),$V$282,HLOOKUP(INDIRECT(ADDRESS(2,COLUMN())),OFFSET($CL$2,0,0,ROW()-1,84),ROW()-1,FALSE))</f>
        <v/>
      </c>
      <c r="W36" t="str">
        <f ca="1">IF(AND(ISNUMBER($W$282),$B$252=1),$W$282,HLOOKUP(INDIRECT(ADDRESS(2,COLUMN())),OFFSET($CL$2,0,0,ROW()-1,84),ROW()-1,FALSE))</f>
        <v/>
      </c>
      <c r="X36">
        <f ca="1">IF(AND(ISNUMBER($X$282),$B$252=1),$X$282,HLOOKUP(INDIRECT(ADDRESS(2,COLUMN())),OFFSET($CL$2,0,0,ROW()-1,84),ROW()-1,FALSE))</f>
        <v>0.54</v>
      </c>
      <c r="Y36" t="str">
        <f ca="1">IF(AND(ISNUMBER($Y$282),$B$252=1),$Y$282,HLOOKUP(INDIRECT(ADDRESS(2,COLUMN())),OFFSET($CL$2,0,0,ROW()-1,84),ROW()-1,FALSE))</f>
        <v/>
      </c>
      <c r="Z36" t="str">
        <f ca="1">IF(AND(ISNUMBER($Z$282),$B$252=1),$Z$282,HLOOKUP(INDIRECT(ADDRESS(2,COLUMN())),OFFSET($CL$2,0,0,ROW()-1,84),ROW()-1,FALSE))</f>
        <v/>
      </c>
      <c r="AA36">
        <f ca="1">IF(AND(ISNUMBER($AA$282),$B$252=1),$AA$282,HLOOKUP(INDIRECT(ADDRESS(2,COLUMN())),OFFSET($CL$2,0,0,ROW()-1,84),ROW()-1,FALSE))</f>
        <v>0.59</v>
      </c>
      <c r="AB36" t="str">
        <f ca="1">IF(AND(ISNUMBER($AB$282),$B$252=1),$AB$282,HLOOKUP(INDIRECT(ADDRESS(2,COLUMN())),OFFSET($CL$2,0,0,ROW()-1,84),ROW()-1,FALSE))</f>
        <v/>
      </c>
      <c r="AC36" t="str">
        <f ca="1">IF(AND(ISNUMBER($AC$282),$B$252=1),$AC$282,HLOOKUP(INDIRECT(ADDRESS(2,COLUMN())),OFFSET($CL$2,0,0,ROW()-1,84),ROW()-1,FALSE))</f>
        <v/>
      </c>
      <c r="AD36">
        <f ca="1">IF(AND(ISNUMBER($AD$282),$B$252=1),$AD$282,HLOOKUP(INDIRECT(ADDRESS(2,COLUMN())),OFFSET($CL$2,0,0,ROW()-1,84),ROW()-1,FALSE))</f>
        <v>0.56999999999999995</v>
      </c>
      <c r="AE36" t="str">
        <f ca="1">IF(AND(ISNUMBER($AE$282),$B$252=1),$AE$282,HLOOKUP(INDIRECT(ADDRESS(2,COLUMN())),OFFSET($CL$2,0,0,ROW()-1,84),ROW()-1,FALSE))</f>
        <v/>
      </c>
      <c r="AF36" t="str">
        <f ca="1">IF(AND(ISNUMBER($AF$282),$B$252=1),$AF$282,HLOOKUP(INDIRECT(ADDRESS(2,COLUMN())),OFFSET($CL$2,0,0,ROW()-1,84),ROW()-1,FALSE))</f>
        <v/>
      </c>
      <c r="AG36">
        <f ca="1">IF(AND(ISNUMBER($AG$282),$B$252=1),$AG$282,HLOOKUP(INDIRECT(ADDRESS(2,COLUMN())),OFFSET($CL$2,0,0,ROW()-1,84),ROW()-1,FALSE))</f>
        <v>0.57999999999999996</v>
      </c>
      <c r="AH36" t="str">
        <f ca="1">IF(AND(ISNUMBER($AH$282),$B$252=1),$AH$282,HLOOKUP(INDIRECT(ADDRESS(2,COLUMN())),OFFSET($CL$2,0,0,ROW()-1,84),ROW()-1,FALSE))</f>
        <v/>
      </c>
      <c r="AI36" t="str">
        <f ca="1">IF(AND(ISNUMBER($AI$282),$B$252=1),$AI$282,HLOOKUP(INDIRECT(ADDRESS(2,COLUMN())),OFFSET($CL$2,0,0,ROW()-1,84),ROW()-1,FALSE))</f>
        <v/>
      </c>
      <c r="AJ36">
        <f ca="1">IF(AND(ISNUMBER($AJ$282),$B$252=1),$AJ$282,HLOOKUP(INDIRECT(ADDRESS(2,COLUMN())),OFFSET($CL$2,0,0,ROW()-1,84),ROW()-1,FALSE))</f>
        <v>0.56999999999999995</v>
      </c>
      <c r="AK36" t="str">
        <f ca="1">IF(AND(ISNUMBER($AK$282),$B$252=1),$AK$282,HLOOKUP(INDIRECT(ADDRESS(2,COLUMN())),OFFSET($CL$2,0,0,ROW()-1,84),ROW()-1,FALSE))</f>
        <v/>
      </c>
      <c r="AL36" t="str">
        <f ca="1">IF(AND(ISNUMBER($AL$282),$B$252=1),$AL$282,HLOOKUP(INDIRECT(ADDRESS(2,COLUMN())),OFFSET($CL$2,0,0,ROW()-1,84),ROW()-1,FALSE))</f>
        <v/>
      </c>
      <c r="AM36">
        <f ca="1">IF(AND(ISNUMBER($AM$282),$B$252=1),$AM$282,HLOOKUP(INDIRECT(ADDRESS(2,COLUMN())),OFFSET($CL$2,0,0,ROW()-1,84),ROW()-1,FALSE))</f>
        <v>0.56000000000000005</v>
      </c>
      <c r="AN36" t="str">
        <f ca="1">IF(AND(ISNUMBER($AN$282),$B$252=1),$AN$282,HLOOKUP(INDIRECT(ADDRESS(2,COLUMN())),OFFSET($CL$2,0,0,ROW()-1,84),ROW()-1,FALSE))</f>
        <v/>
      </c>
      <c r="AO36" t="str">
        <f ca="1">IF(AND(ISNUMBER($AO$282),$B$252=1),$AO$282,HLOOKUP(INDIRECT(ADDRESS(2,COLUMN())),OFFSET($CL$2,0,0,ROW()-1,84),ROW()-1,FALSE))</f>
        <v/>
      </c>
      <c r="AP36">
        <f ca="1">IF(AND(ISNUMBER($AP$282),$B$252=1),$AP$282,HLOOKUP(INDIRECT(ADDRESS(2,COLUMN())),OFFSET($CL$2,0,0,ROW()-1,84),ROW()-1,FALSE))</f>
        <v>0.51</v>
      </c>
      <c r="AQ36" t="str">
        <f ca="1">IF(AND(ISNUMBER($AQ$282),$B$252=1),$AQ$282,HLOOKUP(INDIRECT(ADDRESS(2,COLUMN())),OFFSET($CL$2,0,0,ROW()-1,84),ROW()-1,FALSE))</f>
        <v/>
      </c>
      <c r="AR36" t="str">
        <f ca="1">IF(AND(ISNUMBER($AR$282),$B$252=1),$AR$282,HLOOKUP(INDIRECT(ADDRESS(2,COLUMN())),OFFSET($CL$2,0,0,ROW()-1,84),ROW()-1,FALSE))</f>
        <v/>
      </c>
      <c r="AS36">
        <f ca="1">IF(AND(ISNUMBER($AS$282),$B$252=1),$AS$282,HLOOKUP(INDIRECT(ADDRESS(2,COLUMN())),OFFSET($CL$2,0,0,ROW()-1,84),ROW()-1,FALSE))</f>
        <v>0.54</v>
      </c>
      <c r="AT36" t="str">
        <f ca="1">IF(AND(ISNUMBER($AT$282),$B$252=1),$AT$282,HLOOKUP(INDIRECT(ADDRESS(2,COLUMN())),OFFSET($CL$2,0,0,ROW()-1,84),ROW()-1,FALSE))</f>
        <v/>
      </c>
      <c r="AU36" t="str">
        <f ca="1">IF(AND(ISNUMBER($AU$282),$B$252=1),$AU$282,HLOOKUP(INDIRECT(ADDRESS(2,COLUMN())),OFFSET($CL$2,0,0,ROW()-1,84),ROW()-1,FALSE))</f>
        <v/>
      </c>
      <c r="AV36">
        <f ca="1">IF(AND(ISNUMBER($AV$282),$B$252=1),$AV$282,HLOOKUP(INDIRECT(ADDRESS(2,COLUMN())),OFFSET($CL$2,0,0,ROW()-1,84),ROW()-1,FALSE))</f>
        <v>0.51</v>
      </c>
      <c r="AW36" t="str">
        <f ca="1">IF(AND(ISNUMBER($AW$282),$B$252=1),$AW$282,HLOOKUP(INDIRECT(ADDRESS(2,COLUMN())),OFFSET($CL$2,0,0,ROW()-1,84),ROW()-1,FALSE))</f>
        <v/>
      </c>
      <c r="AX36" t="str">
        <f ca="1">IF(AND(ISNUMBER($AX$282),$B$252=1),$AX$282,HLOOKUP(INDIRECT(ADDRESS(2,COLUMN())),OFFSET($CL$2,0,0,ROW()-1,84),ROW()-1,FALSE))</f>
        <v/>
      </c>
      <c r="AY36">
        <f ca="1">IF(AND(ISNUMBER($AY$282),$B$252=1),$AY$282,HLOOKUP(INDIRECT(ADDRESS(2,COLUMN())),OFFSET($CL$2,0,0,ROW()-1,84),ROW()-1,FALSE))</f>
        <v>0.52</v>
      </c>
      <c r="AZ36" t="str">
        <f ca="1">IF(AND(ISNUMBER($AZ$282),$B$252=1),$AZ$282,HLOOKUP(INDIRECT(ADDRESS(2,COLUMN())),OFFSET($CL$2,0,0,ROW()-1,84),ROW()-1,FALSE))</f>
        <v/>
      </c>
      <c r="BA36" t="str">
        <f ca="1">IF(AND(ISNUMBER($BA$282),$B$252=1),$BA$282,HLOOKUP(INDIRECT(ADDRESS(2,COLUMN())),OFFSET($CL$2,0,0,ROW()-1,84),ROW()-1,FALSE))</f>
        <v/>
      </c>
      <c r="BB36">
        <f ca="1">IF(AND(ISNUMBER($BB$282),$B$252=1),$BB$282,HLOOKUP(INDIRECT(ADDRESS(2,COLUMN())),OFFSET($CL$2,0,0,ROW()-1,84),ROW()-1,FALSE))</f>
        <v>0.5</v>
      </c>
      <c r="BC36" t="str">
        <f ca="1">IF(AND(ISNUMBER($BC$282),$B$252=1),$BC$282,HLOOKUP(INDIRECT(ADDRESS(2,COLUMN())),OFFSET($CL$2,0,0,ROW()-1,84),ROW()-1,FALSE))</f>
        <v/>
      </c>
      <c r="BD36" t="str">
        <f ca="1">IF(AND(ISNUMBER($BD$282),$B$252=1),$BD$282,HLOOKUP(INDIRECT(ADDRESS(2,COLUMN())),OFFSET($CL$2,0,0,ROW()-1,84),ROW()-1,FALSE))</f>
        <v/>
      </c>
      <c r="BE36">
        <f ca="1">IF(AND(ISNUMBER($BE$282),$B$252=1),$BE$282,HLOOKUP(INDIRECT(ADDRESS(2,COLUMN())),OFFSET($CL$2,0,0,ROW()-1,84),ROW()-1,FALSE))</f>
        <v>0.56999999999999995</v>
      </c>
      <c r="BF36" t="str">
        <f ca="1">IF(AND(ISNUMBER($BF$282),$B$252=1),$BF$282,HLOOKUP(INDIRECT(ADDRESS(2,COLUMN())),OFFSET($CL$2,0,0,ROW()-1,84),ROW()-1,FALSE))</f>
        <v/>
      </c>
      <c r="BG36" t="str">
        <f ca="1">IF(AND(ISNUMBER($BG$282),$B$252=1),$BG$282,HLOOKUP(INDIRECT(ADDRESS(2,COLUMN())),OFFSET($CL$2,0,0,ROW()-1,84),ROW()-1,FALSE))</f>
        <v/>
      </c>
      <c r="BH36">
        <f ca="1">IF(AND(ISNUMBER($BH$282),$B$252=1),$BH$282,HLOOKUP(INDIRECT(ADDRESS(2,COLUMN())),OFFSET($CL$2,0,0,ROW()-1,84),ROW()-1,FALSE))</f>
        <v>0.5</v>
      </c>
      <c r="BI36" t="str">
        <f ca="1">IF(AND(ISNUMBER($BI$282),$B$252=1),$BI$282,HLOOKUP(INDIRECT(ADDRESS(2,COLUMN())),OFFSET($CL$2,0,0,ROW()-1,84),ROW()-1,FALSE))</f>
        <v/>
      </c>
      <c r="BJ36" t="str">
        <f ca="1">IF(AND(ISNUMBER($BJ$282),$B$252=1),$BJ$282,HLOOKUP(INDIRECT(ADDRESS(2,COLUMN())),OFFSET($CL$2,0,0,ROW()-1,84),ROW()-1,FALSE))</f>
        <v/>
      </c>
      <c r="BK36">
        <f ca="1">IF(AND(ISNUMBER($BK$282),$B$252=1),$BK$282,HLOOKUP(INDIRECT(ADDRESS(2,COLUMN())),OFFSET($CL$2,0,0,ROW()-1,84),ROW()-1,FALSE))</f>
        <v>0.49</v>
      </c>
      <c r="BL36" t="str">
        <f ca="1">IF(AND(ISNUMBER($BL$282),$B$252=1),$BL$282,HLOOKUP(INDIRECT(ADDRESS(2,COLUMN())),OFFSET($CL$2,0,0,ROW()-1,84),ROW()-1,FALSE))</f>
        <v/>
      </c>
      <c r="BM36" t="str">
        <f ca="1">IF(AND(ISNUMBER($BM$282),$B$252=1),$BM$282,HLOOKUP(INDIRECT(ADDRESS(2,COLUMN())),OFFSET($CL$2,0,0,ROW()-1,84),ROW()-1,FALSE))</f>
        <v/>
      </c>
      <c r="BN36">
        <f ca="1">IF(AND(ISNUMBER($BN$282),$B$252=1),$BN$282,HLOOKUP(INDIRECT(ADDRESS(2,COLUMN())),OFFSET($CL$2,0,0,ROW()-1,84),ROW()-1,FALSE))</f>
        <v>0.48</v>
      </c>
      <c r="BO36" t="str">
        <f ca="1">IF(AND(ISNUMBER($BO$282),$B$252=1),$BO$282,HLOOKUP(INDIRECT(ADDRESS(2,COLUMN())),OFFSET($CL$2,0,0,ROW()-1,84),ROW()-1,FALSE))</f>
        <v/>
      </c>
      <c r="BP36" t="str">
        <f ca="1">IF(AND(ISNUMBER($BP$282),$B$252=1),$BP$282,HLOOKUP(INDIRECT(ADDRESS(2,COLUMN())),OFFSET($CL$2,0,0,ROW()-1,84),ROW()-1,FALSE))</f>
        <v/>
      </c>
      <c r="BQ36">
        <f ca="1">IF(AND(ISNUMBER($BQ$282),$B$252=1),$BQ$282,HLOOKUP(INDIRECT(ADDRESS(2,COLUMN())),OFFSET($CL$2,0,0,ROW()-1,84),ROW()-1,FALSE))</f>
        <v>0.52</v>
      </c>
      <c r="BR36" t="str">
        <f ca="1">IF(AND(ISNUMBER($BR$282),$B$252=1),$BR$282,HLOOKUP(INDIRECT(ADDRESS(2,COLUMN())),OFFSET($CL$2,0,0,ROW()-1,84),ROW()-1,FALSE))</f>
        <v/>
      </c>
      <c r="BS36" t="str">
        <f ca="1">IF(AND(ISNUMBER($BS$282),$B$252=1),$BS$282,HLOOKUP(INDIRECT(ADDRESS(2,COLUMN())),OFFSET($CL$2,0,0,ROW()-1,84),ROW()-1,FALSE))</f>
        <v/>
      </c>
      <c r="BT36">
        <f ca="1">IF(AND(ISNUMBER($BT$282),$B$252=1),$BT$282,HLOOKUP(INDIRECT(ADDRESS(2,COLUMN())),OFFSET($CL$2,0,0,ROW()-1,84),ROW()-1,FALSE))</f>
        <v>0.38</v>
      </c>
      <c r="BU36" t="str">
        <f ca="1">IF(AND(ISNUMBER($BU$282),$B$252=1),$BU$282,HLOOKUP(INDIRECT(ADDRESS(2,COLUMN())),OFFSET($CL$2,0,0,ROW()-1,84),ROW()-1,FALSE))</f>
        <v/>
      </c>
      <c r="BV36" t="str">
        <f ca="1">IF(AND(ISNUMBER($BV$282),$B$252=1),$BV$282,HLOOKUP(INDIRECT(ADDRESS(2,COLUMN())),OFFSET($CL$2,0,0,ROW()-1,84),ROW()-1,FALSE))</f>
        <v/>
      </c>
      <c r="BW36">
        <f ca="1">IF(AND(ISNUMBER($BW$282),$B$252=1),$BW$282,HLOOKUP(INDIRECT(ADDRESS(2,COLUMN())),OFFSET($CL$2,0,0,ROW()-1,84),ROW()-1,FALSE))</f>
        <v>0.38</v>
      </c>
      <c r="BX36" t="str">
        <f ca="1">IF(AND(ISNUMBER($BX$282),$B$252=1),$BX$282,HLOOKUP(INDIRECT(ADDRESS(2,COLUMN())),OFFSET($CL$2,0,0,ROW()-1,84),ROW()-1,FALSE))</f>
        <v/>
      </c>
      <c r="BY36" t="str">
        <f ca="1">IF(AND(ISNUMBER($BY$282),$B$252=1),$BY$282,HLOOKUP(INDIRECT(ADDRESS(2,COLUMN())),OFFSET($CL$2,0,0,ROW()-1,84),ROW()-1,FALSE))</f>
        <v/>
      </c>
      <c r="BZ36">
        <f ca="1">IF(AND(ISNUMBER($BZ$282),$B$252=1),$BZ$282,HLOOKUP(INDIRECT(ADDRESS(2,COLUMN())),OFFSET($CL$2,0,0,ROW()-1,84),ROW()-1,FALSE))</f>
        <v>0.4</v>
      </c>
      <c r="CA36" t="str">
        <f ca="1">IF(AND(ISNUMBER($CA$282),$B$252=1),$CA$282,HLOOKUP(INDIRECT(ADDRESS(2,COLUMN())),OFFSET($CL$2,0,0,ROW()-1,84),ROW()-1,FALSE))</f>
        <v/>
      </c>
      <c r="CB36" t="str">
        <f ca="1">IF(AND(ISNUMBER($CB$282),$B$252=1),$CB$282,HLOOKUP(INDIRECT(ADDRESS(2,COLUMN())),OFFSET($CL$2,0,0,ROW()-1,84),ROW()-1,FALSE))</f>
        <v/>
      </c>
      <c r="CC36">
        <f ca="1">IF(AND(ISNUMBER($CC$282),$B$252=1),$CC$282,HLOOKUP(INDIRECT(ADDRESS(2,COLUMN())),OFFSET($CL$2,0,0,ROW()-1,84),ROW()-1,FALSE))</f>
        <v>0.43</v>
      </c>
      <c r="CD36" t="str">
        <f ca="1">IF(AND(ISNUMBER($CD$282),$B$252=1),$CD$282,HLOOKUP(INDIRECT(ADDRESS(2,COLUMN())),OFFSET($CL$2,0,0,ROW()-1,84),ROW()-1,FALSE))</f>
        <v/>
      </c>
      <c r="CE36" t="str">
        <f ca="1">IF(AND(ISNUMBER($CE$282),$B$252=1),$CE$282,HLOOKUP(INDIRECT(ADDRESS(2,COLUMN())),OFFSET($CL$2,0,0,ROW()-1,84),ROW()-1,FALSE))</f>
        <v/>
      </c>
      <c r="CF36">
        <f ca="1">IF(AND(ISNUMBER($CF$282),$B$252=1),$CF$282,HLOOKUP(INDIRECT(ADDRESS(2,COLUMN())),OFFSET($CL$2,0,0,ROW()-1,84),ROW()-1,FALSE))</f>
        <v>0.41</v>
      </c>
      <c r="CG36" t="str">
        <f ca="1">IF(AND(ISNUMBER($CG$282),$B$252=1),$CG$282,HLOOKUP(INDIRECT(ADDRESS(2,COLUMN())),OFFSET($CL$2,0,0,ROW()-1,84),ROW()-1,FALSE))</f>
        <v/>
      </c>
      <c r="CH36" t="str">
        <f ca="1">IF(AND(ISNUMBER($CH$282),$B$252=1),$CH$282,HLOOKUP(INDIRECT(ADDRESS(2,COLUMN())),OFFSET($CL$2,0,0,ROW()-1,84),ROW()-1,FALSE))</f>
        <v/>
      </c>
      <c r="CI36">
        <f ca="1">IF(AND(ISNUMBER($CI$282),$B$252=1),$CI$282,HLOOKUP(INDIRECT(ADDRESS(2,COLUMN())),OFFSET($CL$2,0,0,ROW()-1,84),ROW()-1,FALSE))</f>
        <v>0.28999999999999998</v>
      </c>
      <c r="CJ36" t="str">
        <f ca="1">IF(AND(ISNUMBER($CJ$282),$B$252=1),$CJ$282,HLOOKUP(INDIRECT(ADDRESS(2,COLUMN())),OFFSET($CL$2,0,0,ROW()-1,84),ROW()-1,FALSE))</f>
        <v/>
      </c>
      <c r="CK36" t="str">
        <f ca="1">IF(AND(ISNUMBER($CK$282),$B$252=1),$CK$282,HLOOKUP(INDIRECT(ADDRESS(2,COLUMN())),OFFSET($CL$2,0,0,ROW()-1,84),ROW()-1,FALSE))</f>
        <v/>
      </c>
      <c r="CL36" t="str">
        <f>""</f>
        <v/>
      </c>
      <c r="CM36" t="str">
        <f>""</f>
        <v/>
      </c>
      <c r="CN36" t="str">
        <f>""</f>
        <v/>
      </c>
      <c r="CO36">
        <f>0.63</f>
        <v>0.63</v>
      </c>
      <c r="CP36" t="str">
        <f>""</f>
        <v/>
      </c>
      <c r="CQ36" t="str">
        <f>""</f>
        <v/>
      </c>
      <c r="CR36">
        <f>0.63</f>
        <v>0.63</v>
      </c>
      <c r="CS36" t="str">
        <f>""</f>
        <v/>
      </c>
      <c r="CT36" t="str">
        <f>""</f>
        <v/>
      </c>
      <c r="CU36">
        <f>0.61</f>
        <v>0.61</v>
      </c>
      <c r="CV36" t="str">
        <f>""</f>
        <v/>
      </c>
      <c r="CW36" t="str">
        <f>""</f>
        <v/>
      </c>
      <c r="CX36">
        <f>0.58</f>
        <v>0.57999999999999996</v>
      </c>
      <c r="CY36" t="str">
        <f>""</f>
        <v/>
      </c>
      <c r="CZ36" t="str">
        <f>""</f>
        <v/>
      </c>
      <c r="DA36">
        <f>0.6</f>
        <v>0.6</v>
      </c>
      <c r="DB36" t="str">
        <f>""</f>
        <v/>
      </c>
      <c r="DC36" t="str">
        <f>""</f>
        <v/>
      </c>
      <c r="DD36">
        <f>0.54</f>
        <v>0.54</v>
      </c>
      <c r="DE36" t="str">
        <f>""</f>
        <v/>
      </c>
      <c r="DF36" t="str">
        <f>""</f>
        <v/>
      </c>
      <c r="DG36">
        <f>0.59</f>
        <v>0.59</v>
      </c>
      <c r="DH36" t="str">
        <f>""</f>
        <v/>
      </c>
      <c r="DI36" t="str">
        <f>""</f>
        <v/>
      </c>
      <c r="DJ36">
        <f>0.57</f>
        <v>0.56999999999999995</v>
      </c>
      <c r="DK36" t="str">
        <f>""</f>
        <v/>
      </c>
      <c r="DL36" t="str">
        <f>""</f>
        <v/>
      </c>
      <c r="DM36">
        <f>0.58</f>
        <v>0.57999999999999996</v>
      </c>
      <c r="DN36" t="str">
        <f>""</f>
        <v/>
      </c>
      <c r="DO36" t="str">
        <f>""</f>
        <v/>
      </c>
      <c r="DP36">
        <f>0.57</f>
        <v>0.56999999999999995</v>
      </c>
      <c r="DQ36" t="str">
        <f>""</f>
        <v/>
      </c>
      <c r="DR36" t="str">
        <f>""</f>
        <v/>
      </c>
      <c r="DS36">
        <f>0.56</f>
        <v>0.56000000000000005</v>
      </c>
      <c r="DT36" t="str">
        <f>""</f>
        <v/>
      </c>
      <c r="DU36" t="str">
        <f>""</f>
        <v/>
      </c>
      <c r="DV36">
        <f>0.51</f>
        <v>0.51</v>
      </c>
      <c r="DW36" t="str">
        <f>""</f>
        <v/>
      </c>
      <c r="DX36" t="str">
        <f>""</f>
        <v/>
      </c>
      <c r="DY36">
        <f>0.54</f>
        <v>0.54</v>
      </c>
      <c r="DZ36" t="str">
        <f>""</f>
        <v/>
      </c>
      <c r="EA36" t="str">
        <f>""</f>
        <v/>
      </c>
      <c r="EB36">
        <f>0.51</f>
        <v>0.51</v>
      </c>
      <c r="EC36" t="str">
        <f>""</f>
        <v/>
      </c>
      <c r="ED36" t="str">
        <f>""</f>
        <v/>
      </c>
      <c r="EE36">
        <f>0.52</f>
        <v>0.52</v>
      </c>
      <c r="EF36" t="str">
        <f>""</f>
        <v/>
      </c>
      <c r="EG36" t="str">
        <f>""</f>
        <v/>
      </c>
      <c r="EH36">
        <f>0.5</f>
        <v>0.5</v>
      </c>
      <c r="EI36" t="str">
        <f>""</f>
        <v/>
      </c>
      <c r="EJ36" t="str">
        <f>""</f>
        <v/>
      </c>
      <c r="EK36">
        <f>0.57</f>
        <v>0.56999999999999995</v>
      </c>
      <c r="EL36" t="str">
        <f>""</f>
        <v/>
      </c>
      <c r="EM36" t="str">
        <f>""</f>
        <v/>
      </c>
      <c r="EN36">
        <f>0.5</f>
        <v>0.5</v>
      </c>
      <c r="EO36" t="str">
        <f>""</f>
        <v/>
      </c>
      <c r="EP36" t="str">
        <f>""</f>
        <v/>
      </c>
      <c r="EQ36">
        <f>0.49</f>
        <v>0.49</v>
      </c>
      <c r="ER36" t="str">
        <f>""</f>
        <v/>
      </c>
      <c r="ES36" t="str">
        <f>""</f>
        <v/>
      </c>
      <c r="ET36">
        <f>0.48</f>
        <v>0.48</v>
      </c>
      <c r="EU36" t="str">
        <f>""</f>
        <v/>
      </c>
      <c r="EV36" t="str">
        <f>""</f>
        <v/>
      </c>
      <c r="EW36">
        <f>0.52</f>
        <v>0.52</v>
      </c>
      <c r="EX36" t="str">
        <f>""</f>
        <v/>
      </c>
      <c r="EY36" t="str">
        <f>""</f>
        <v/>
      </c>
      <c r="EZ36">
        <f>0.38</f>
        <v>0.38</v>
      </c>
      <c r="FA36" t="str">
        <f>""</f>
        <v/>
      </c>
      <c r="FB36" t="str">
        <f>""</f>
        <v/>
      </c>
      <c r="FC36">
        <f>0.38</f>
        <v>0.38</v>
      </c>
      <c r="FD36" t="str">
        <f>""</f>
        <v/>
      </c>
      <c r="FE36" t="str">
        <f>""</f>
        <v/>
      </c>
      <c r="FF36">
        <f>0.4</f>
        <v>0.4</v>
      </c>
      <c r="FG36" t="str">
        <f>""</f>
        <v/>
      </c>
      <c r="FH36" t="str">
        <f>""</f>
        <v/>
      </c>
      <c r="FI36">
        <f>0.43</f>
        <v>0.43</v>
      </c>
      <c r="FJ36" t="str">
        <f>""</f>
        <v/>
      </c>
      <c r="FK36" t="str">
        <f>""</f>
        <v/>
      </c>
      <c r="FL36">
        <f>0.41</f>
        <v>0.41</v>
      </c>
      <c r="FM36" t="str">
        <f>""</f>
        <v/>
      </c>
      <c r="FN36" t="str">
        <f>""</f>
        <v/>
      </c>
      <c r="FO36">
        <f>0.29</f>
        <v>0.28999999999999998</v>
      </c>
      <c r="FP36" t="str">
        <f>""</f>
        <v/>
      </c>
      <c r="FQ36" t="str">
        <f>""</f>
        <v/>
      </c>
    </row>
    <row r="37" spans="1:173">
      <c r="A37" t="str">
        <f>"    AvalonBay社区股份有限公司"</f>
        <v xml:space="preserve">    AvalonBay社区股份有限公司</v>
      </c>
      <c r="B37" t="str">
        <f>"AVB US Equity"</f>
        <v>AVB US Equity</v>
      </c>
      <c r="C37" t="str">
        <f t="shared" si="12"/>
        <v>CF065</v>
      </c>
      <c r="D37" t="str">
        <f t="shared" si="13"/>
        <v>CF_FFO_PER_SH_DILUTED</v>
      </c>
      <c r="E37" t="str">
        <f t="shared" si="14"/>
        <v>动态</v>
      </c>
      <c r="F37" t="str">
        <f ca="1">IF(AND(ISNUMBER($F$283),$B$252=1),$F$283,HLOOKUP(INDIRECT(ADDRESS(2,COLUMN())),OFFSET($CL$2,0,0,ROW()-1,84),ROW()-1,FALSE))</f>
        <v/>
      </c>
      <c r="G37" t="str">
        <f ca="1">IF(AND(ISNUMBER($G$283),$B$252=1),$G$283,HLOOKUP(INDIRECT(ADDRESS(2,COLUMN())),OFFSET($CL$2,0,0,ROW()-1,84),ROW()-1,FALSE))</f>
        <v/>
      </c>
      <c r="H37" t="str">
        <f ca="1">IF(AND(ISNUMBER($H$283),$B$252=1),$H$283,HLOOKUP(INDIRECT(ADDRESS(2,COLUMN())),OFFSET($CL$2,0,0,ROW()-1,84),ROW()-1,FALSE))</f>
        <v/>
      </c>
      <c r="I37">
        <f ca="1">IF(AND(ISNUMBER($I$283),$B$252=1),$I$283,HLOOKUP(INDIRECT(ADDRESS(2,COLUMN())),OFFSET($CL$2,0,0,ROW()-1,84),ROW()-1,FALSE))</f>
        <v>2.1787489999999998</v>
      </c>
      <c r="J37" t="str">
        <f ca="1">IF(AND(ISNUMBER($J$283),$B$252=1),$J$283,HLOOKUP(INDIRECT(ADDRESS(2,COLUMN())),OFFSET($CL$2,0,0,ROW()-1,84),ROW()-1,FALSE))</f>
        <v/>
      </c>
      <c r="K37" t="str">
        <f ca="1">IF(AND(ISNUMBER($K$283),$B$252=1),$K$283,HLOOKUP(INDIRECT(ADDRESS(2,COLUMN())),OFFSET($CL$2,0,0,ROW()-1,84),ROW()-1,FALSE))</f>
        <v/>
      </c>
      <c r="L37">
        <f ca="1">IF(AND(ISNUMBER($L$283),$B$252=1),$L$283,HLOOKUP(INDIRECT(ADDRESS(2,COLUMN())),OFFSET($CL$2,0,0,ROW()-1,84),ROW()-1,FALSE))</f>
        <v>2.3390010000000001</v>
      </c>
      <c r="M37" t="str">
        <f ca="1">IF(AND(ISNUMBER($M$283),$B$252=1),$M$283,HLOOKUP(INDIRECT(ADDRESS(2,COLUMN())),OFFSET($CL$2,0,0,ROW()-1,84),ROW()-1,FALSE))</f>
        <v/>
      </c>
      <c r="N37" t="str">
        <f ca="1">IF(AND(ISNUMBER($N$283),$B$252=1),$N$283,HLOOKUP(INDIRECT(ADDRESS(2,COLUMN())),OFFSET($CL$2,0,0,ROW()-1,84),ROW()-1,FALSE))</f>
        <v/>
      </c>
      <c r="O37">
        <f ca="1">IF(AND(ISNUMBER($O$283),$B$252=1),$O$283,HLOOKUP(INDIRECT(ADDRESS(2,COLUMN())),OFFSET($CL$2,0,0,ROW()-1,84),ROW()-1,FALSE))</f>
        <v>1.9</v>
      </c>
      <c r="P37" t="str">
        <f ca="1">IF(AND(ISNUMBER($P$283),$B$252=1),$P$283,HLOOKUP(INDIRECT(ADDRESS(2,COLUMN())),OFFSET($CL$2,0,0,ROW()-1,84),ROW()-1,FALSE))</f>
        <v/>
      </c>
      <c r="Q37" t="str">
        <f ca="1">IF(AND(ISNUMBER($Q$283),$B$252=1),$Q$283,HLOOKUP(INDIRECT(ADDRESS(2,COLUMN())),OFFSET($CL$2,0,0,ROW()-1,84),ROW()-1,FALSE))</f>
        <v/>
      </c>
      <c r="R37">
        <f ca="1">IF(AND(ISNUMBER($R$283),$B$252=1),$R$283,HLOOKUP(INDIRECT(ADDRESS(2,COLUMN())),OFFSET($CL$2,0,0,ROW()-1,84),ROW()-1,FALSE))</f>
        <v>2.04</v>
      </c>
      <c r="S37" t="str">
        <f ca="1">IF(AND(ISNUMBER($S$283),$B$252=1),$S$283,HLOOKUP(INDIRECT(ADDRESS(2,COLUMN())),OFFSET($CL$2,0,0,ROW()-1,84),ROW()-1,FALSE))</f>
        <v/>
      </c>
      <c r="T37" t="str">
        <f ca="1">IF(AND(ISNUMBER($T$283),$B$252=1),$T$283,HLOOKUP(INDIRECT(ADDRESS(2,COLUMN())),OFFSET($CL$2,0,0,ROW()-1,84),ROW()-1,FALSE))</f>
        <v/>
      </c>
      <c r="U37">
        <f ca="1">IF(AND(ISNUMBER($U$283),$B$252=1),$U$283,HLOOKUP(INDIRECT(ADDRESS(2,COLUMN())),OFFSET($CL$2,0,0,ROW()-1,84),ROW()-1,FALSE))</f>
        <v>2.0948280000000001</v>
      </c>
      <c r="V37" t="str">
        <f ca="1">IF(AND(ISNUMBER($V$283),$B$252=1),$V$283,HLOOKUP(INDIRECT(ADDRESS(2,COLUMN())),OFFSET($CL$2,0,0,ROW()-1,84),ROW()-1,FALSE))</f>
        <v/>
      </c>
      <c r="W37" t="str">
        <f ca="1">IF(AND(ISNUMBER($W$283),$B$252=1),$W$283,HLOOKUP(INDIRECT(ADDRESS(2,COLUMN())),OFFSET($CL$2,0,0,ROW()-1,84),ROW()-1,FALSE))</f>
        <v/>
      </c>
      <c r="X37">
        <f ca="1">IF(AND(ISNUMBER($X$283),$B$252=1),$X$283,HLOOKUP(INDIRECT(ADDRESS(2,COLUMN())),OFFSET($CL$2,0,0,ROW()-1,84),ROW()-1,FALSE))</f>
        <v>2.10547</v>
      </c>
      <c r="Y37" t="str">
        <f ca="1">IF(AND(ISNUMBER($Y$283),$B$252=1),$Y$283,HLOOKUP(INDIRECT(ADDRESS(2,COLUMN())),OFFSET($CL$2,0,0,ROW()-1,84),ROW()-1,FALSE))</f>
        <v/>
      </c>
      <c r="Z37" t="str">
        <f ca="1">IF(AND(ISNUMBER($Z$283),$B$252=1),$Z$283,HLOOKUP(INDIRECT(ADDRESS(2,COLUMN())),OFFSET($CL$2,0,0,ROW()-1,84),ROW()-1,FALSE))</f>
        <v/>
      </c>
      <c r="AA37">
        <f ca="1">IF(AND(ISNUMBER($AA$283),$B$252=1),$AA$283,HLOOKUP(INDIRECT(ADDRESS(2,COLUMN())),OFFSET($CL$2,0,0,ROW()-1,84),ROW()-1,FALSE))</f>
        <v>1.99</v>
      </c>
      <c r="AB37" t="str">
        <f ca="1">IF(AND(ISNUMBER($AB$283),$B$252=1),$AB$283,HLOOKUP(INDIRECT(ADDRESS(2,COLUMN())),OFFSET($CL$2,0,0,ROW()-1,84),ROW()-1,FALSE))</f>
        <v/>
      </c>
      <c r="AC37" t="str">
        <f ca="1">IF(AND(ISNUMBER($AC$283),$B$252=1),$AC$283,HLOOKUP(INDIRECT(ADDRESS(2,COLUMN())),OFFSET($CL$2,0,0,ROW()-1,84),ROW()-1,FALSE))</f>
        <v/>
      </c>
      <c r="AD37">
        <f ca="1">IF(AND(ISNUMBER($AD$283),$B$252=1),$AD$283,HLOOKUP(INDIRECT(ADDRESS(2,COLUMN())),OFFSET($CL$2,0,0,ROW()-1,84),ROW()-1,FALSE))</f>
        <v>2.0699999999999998</v>
      </c>
      <c r="AE37" t="str">
        <f ca="1">IF(AND(ISNUMBER($AE$283),$B$252=1),$AE$283,HLOOKUP(INDIRECT(ADDRESS(2,COLUMN())),OFFSET($CL$2,0,0,ROW()-1,84),ROW()-1,FALSE))</f>
        <v/>
      </c>
      <c r="AF37" t="str">
        <f ca="1">IF(AND(ISNUMBER($AF$283),$B$252=1),$AF$283,HLOOKUP(INDIRECT(ADDRESS(2,COLUMN())),OFFSET($CL$2,0,0,ROW()-1,84),ROW()-1,FALSE))</f>
        <v/>
      </c>
      <c r="AG37">
        <f ca="1">IF(AND(ISNUMBER($AG$283),$B$252=1),$AG$283,HLOOKUP(INDIRECT(ADDRESS(2,COLUMN())),OFFSET($CL$2,0,0,ROW()-1,84),ROW()-1,FALSE))</f>
        <v>1.966467</v>
      </c>
      <c r="AH37" t="str">
        <f ca="1">IF(AND(ISNUMBER($AH$283),$B$252=1),$AH$283,HLOOKUP(INDIRECT(ADDRESS(2,COLUMN())),OFFSET($CL$2,0,0,ROW()-1,84),ROW()-1,FALSE))</f>
        <v/>
      </c>
      <c r="AI37" t="str">
        <f ca="1">IF(AND(ISNUMBER($AI$283),$B$252=1),$AI$283,HLOOKUP(INDIRECT(ADDRESS(2,COLUMN())),OFFSET($CL$2,0,0,ROW()-1,84),ROW()-1,FALSE))</f>
        <v/>
      </c>
      <c r="AJ37">
        <f ca="1">IF(AND(ISNUMBER($AJ$283),$B$252=1),$AJ$283,HLOOKUP(INDIRECT(ADDRESS(2,COLUMN())),OFFSET($CL$2,0,0,ROW()-1,84),ROW()-1,FALSE))</f>
        <v>2.02</v>
      </c>
      <c r="AK37" t="str">
        <f ca="1">IF(AND(ISNUMBER($AK$283),$B$252=1),$AK$283,HLOOKUP(INDIRECT(ADDRESS(2,COLUMN())),OFFSET($CL$2,0,0,ROW()-1,84),ROW()-1,FALSE))</f>
        <v/>
      </c>
      <c r="AL37" t="str">
        <f ca="1">IF(AND(ISNUMBER($AL$283),$B$252=1),$AL$283,HLOOKUP(INDIRECT(ADDRESS(2,COLUMN())),OFFSET($CL$2,0,0,ROW()-1,84),ROW()-1,FALSE))</f>
        <v/>
      </c>
      <c r="AM37">
        <f ca="1">IF(AND(ISNUMBER($AM$283),$B$252=1),$AM$283,HLOOKUP(INDIRECT(ADDRESS(2,COLUMN())),OFFSET($CL$2,0,0,ROW()-1,84),ROW()-1,FALSE))</f>
        <v>2.182588</v>
      </c>
      <c r="AN37" t="str">
        <f ca="1">IF(AND(ISNUMBER($AN$283),$B$252=1),$AN$283,HLOOKUP(INDIRECT(ADDRESS(2,COLUMN())),OFFSET($CL$2,0,0,ROW()-1,84),ROW()-1,FALSE))</f>
        <v/>
      </c>
      <c r="AO37" t="str">
        <f ca="1">IF(AND(ISNUMBER($AO$283),$B$252=1),$AO$283,HLOOKUP(INDIRECT(ADDRESS(2,COLUMN())),OFFSET($CL$2,0,0,ROW()-1,84),ROW()-1,FALSE))</f>
        <v/>
      </c>
      <c r="AP37">
        <f ca="1">IF(AND(ISNUMBER($AP$283),$B$252=1),$AP$283,HLOOKUP(INDIRECT(ADDRESS(2,COLUMN())),OFFSET($CL$2,0,0,ROW()-1,84),ROW()-1,FALSE))</f>
        <v>1.88</v>
      </c>
      <c r="AQ37" t="str">
        <f ca="1">IF(AND(ISNUMBER($AQ$283),$B$252=1),$AQ$283,HLOOKUP(INDIRECT(ADDRESS(2,COLUMN())),OFFSET($CL$2,0,0,ROW()-1,84),ROW()-1,FALSE))</f>
        <v/>
      </c>
      <c r="AR37" t="str">
        <f ca="1">IF(AND(ISNUMBER($AR$283),$B$252=1),$AR$283,HLOOKUP(INDIRECT(ADDRESS(2,COLUMN())),OFFSET($CL$2,0,0,ROW()-1,84),ROW()-1,FALSE))</f>
        <v/>
      </c>
      <c r="AS37">
        <f ca="1">IF(AND(ISNUMBER($AS$283),$B$252=1),$AS$283,HLOOKUP(INDIRECT(ADDRESS(2,COLUMN())),OFFSET($CL$2,0,0,ROW()-1,84),ROW()-1,FALSE))</f>
        <v>1.76</v>
      </c>
      <c r="AT37" t="str">
        <f ca="1">IF(AND(ISNUMBER($AT$283),$B$252=1),$AT$283,HLOOKUP(INDIRECT(ADDRESS(2,COLUMN())),OFFSET($CL$2,0,0,ROW()-1,84),ROW()-1,FALSE))</f>
        <v/>
      </c>
      <c r="AU37" t="str">
        <f ca="1">IF(AND(ISNUMBER($AU$283),$B$252=1),$AU$283,HLOOKUP(INDIRECT(ADDRESS(2,COLUMN())),OFFSET($CL$2,0,0,ROW()-1,84),ROW()-1,FALSE))</f>
        <v/>
      </c>
      <c r="AV37">
        <f ca="1">IF(AND(ISNUMBER($AV$283),$B$252=1),$AV$283,HLOOKUP(INDIRECT(ADDRESS(2,COLUMN())),OFFSET($CL$2,0,0,ROW()-1,84),ROW()-1,FALSE))</f>
        <v>2.14</v>
      </c>
      <c r="AW37" t="str">
        <f ca="1">IF(AND(ISNUMBER($AW$283),$B$252=1),$AW$283,HLOOKUP(INDIRECT(ADDRESS(2,COLUMN())),OFFSET($CL$2,0,0,ROW()-1,84),ROW()-1,FALSE))</f>
        <v/>
      </c>
      <c r="AX37" t="str">
        <f ca="1">IF(AND(ISNUMBER($AX$283),$B$252=1),$AX$283,HLOOKUP(INDIRECT(ADDRESS(2,COLUMN())),OFFSET($CL$2,0,0,ROW()-1,84),ROW()-1,FALSE))</f>
        <v/>
      </c>
      <c r="AY37">
        <f ca="1">IF(AND(ISNUMBER($AY$283),$B$252=1),$AY$283,HLOOKUP(INDIRECT(ADDRESS(2,COLUMN())),OFFSET($CL$2,0,0,ROW()-1,84),ROW()-1,FALSE))</f>
        <v>1.71</v>
      </c>
      <c r="AZ37" t="str">
        <f ca="1">IF(AND(ISNUMBER($AZ$283),$B$252=1),$AZ$283,HLOOKUP(INDIRECT(ADDRESS(2,COLUMN())),OFFSET($CL$2,0,0,ROW()-1,84),ROW()-1,FALSE))</f>
        <v/>
      </c>
      <c r="BA37" t="str">
        <f ca="1">IF(AND(ISNUMBER($BA$283),$B$252=1),$BA$283,HLOOKUP(INDIRECT(ADDRESS(2,COLUMN())),OFFSET($CL$2,0,0,ROW()-1,84),ROW()-1,FALSE))</f>
        <v/>
      </c>
      <c r="BB37">
        <f ca="1">IF(AND(ISNUMBER($BB$283),$B$252=1),$BB$283,HLOOKUP(INDIRECT(ADDRESS(2,COLUMN())),OFFSET($CL$2,0,0,ROW()-1,84),ROW()-1,FALSE))</f>
        <v>1.64</v>
      </c>
      <c r="BC37" t="str">
        <f ca="1">IF(AND(ISNUMBER($BC$283),$B$252=1),$BC$283,HLOOKUP(INDIRECT(ADDRESS(2,COLUMN())),OFFSET($CL$2,0,0,ROW()-1,84),ROW()-1,FALSE))</f>
        <v/>
      </c>
      <c r="BD37" t="str">
        <f ca="1">IF(AND(ISNUMBER($BD$283),$B$252=1),$BD$283,HLOOKUP(INDIRECT(ADDRESS(2,COLUMN())),OFFSET($CL$2,0,0,ROW()-1,84),ROW()-1,FALSE))</f>
        <v/>
      </c>
      <c r="BE37">
        <f ca="1">IF(AND(ISNUMBER($BE$283),$B$252=1),$BE$283,HLOOKUP(INDIRECT(ADDRESS(2,COLUMN())),OFFSET($CL$2,0,0,ROW()-1,84),ROW()-1,FALSE))</f>
        <v>1.5069090000000001</v>
      </c>
      <c r="BF37" t="str">
        <f ca="1">IF(AND(ISNUMBER($BF$283),$B$252=1),$BF$283,HLOOKUP(INDIRECT(ADDRESS(2,COLUMN())),OFFSET($CL$2,0,0,ROW()-1,84),ROW()-1,FALSE))</f>
        <v/>
      </c>
      <c r="BG37" t="str">
        <f ca="1">IF(AND(ISNUMBER($BG$283),$B$252=1),$BG$283,HLOOKUP(INDIRECT(ADDRESS(2,COLUMN())),OFFSET($CL$2,0,0,ROW()-1,84),ROW()-1,FALSE))</f>
        <v/>
      </c>
      <c r="BH37">
        <f ca="1">IF(AND(ISNUMBER($BH$283),$B$252=1),$BH$283,HLOOKUP(INDIRECT(ADDRESS(2,COLUMN())),OFFSET($CL$2,0,0,ROW()-1,84),ROW()-1,FALSE))</f>
        <v>1.18</v>
      </c>
      <c r="BI37" t="str">
        <f ca="1">IF(AND(ISNUMBER($BI$283),$B$252=1),$BI$283,HLOOKUP(INDIRECT(ADDRESS(2,COLUMN())),OFFSET($CL$2,0,0,ROW()-1,84),ROW()-1,FALSE))</f>
        <v/>
      </c>
      <c r="BJ37" t="str">
        <f ca="1">IF(AND(ISNUMBER($BJ$283),$B$252=1),$BJ$283,HLOOKUP(INDIRECT(ADDRESS(2,COLUMN())),OFFSET($CL$2,0,0,ROW()-1,84),ROW()-1,FALSE))</f>
        <v/>
      </c>
      <c r="BK37">
        <f ca="1">IF(AND(ISNUMBER($BK$283),$B$252=1),$BK$283,HLOOKUP(INDIRECT(ADDRESS(2,COLUMN())),OFFSET($CL$2,0,0,ROW()-1,84),ROW()-1,FALSE))</f>
        <v>1.55</v>
      </c>
      <c r="BL37" t="str">
        <f ca="1">IF(AND(ISNUMBER($BL$283),$B$252=1),$BL$283,HLOOKUP(INDIRECT(ADDRESS(2,COLUMN())),OFFSET($CL$2,0,0,ROW()-1,84),ROW()-1,FALSE))</f>
        <v/>
      </c>
      <c r="BM37" t="str">
        <f ca="1">IF(AND(ISNUMBER($BM$283),$B$252=1),$BM$283,HLOOKUP(INDIRECT(ADDRESS(2,COLUMN())),OFFSET($CL$2,0,0,ROW()-1,84),ROW()-1,FALSE))</f>
        <v/>
      </c>
      <c r="BN37">
        <f ca="1">IF(AND(ISNUMBER($BN$283),$B$252=1),$BN$283,HLOOKUP(INDIRECT(ADDRESS(2,COLUMN())),OFFSET($CL$2,0,0,ROW()-1,84),ROW()-1,FALSE))</f>
        <v>0.78</v>
      </c>
      <c r="BO37" t="str">
        <f ca="1">IF(AND(ISNUMBER($BO$283),$B$252=1),$BO$283,HLOOKUP(INDIRECT(ADDRESS(2,COLUMN())),OFFSET($CL$2,0,0,ROW()-1,84),ROW()-1,FALSE))</f>
        <v/>
      </c>
      <c r="BP37" t="str">
        <f ca="1">IF(AND(ISNUMBER($BP$283),$B$252=1),$BP$283,HLOOKUP(INDIRECT(ADDRESS(2,COLUMN())),OFFSET($CL$2,0,0,ROW()-1,84),ROW()-1,FALSE))</f>
        <v/>
      </c>
      <c r="BQ37">
        <f ca="1">IF(AND(ISNUMBER($BQ$283),$B$252=1),$BQ$283,HLOOKUP(INDIRECT(ADDRESS(2,COLUMN())),OFFSET($CL$2,0,0,ROW()-1,84),ROW()-1,FALSE))</f>
        <v>1.269584</v>
      </c>
      <c r="BR37" t="str">
        <f ca="1">IF(AND(ISNUMBER($BR$283),$B$252=1),$BR$283,HLOOKUP(INDIRECT(ADDRESS(2,COLUMN())),OFFSET($CL$2,0,0,ROW()-1,84),ROW()-1,FALSE))</f>
        <v/>
      </c>
      <c r="BS37" t="str">
        <f ca="1">IF(AND(ISNUMBER($BS$283),$B$252=1),$BS$283,HLOOKUP(INDIRECT(ADDRESS(2,COLUMN())),OFFSET($CL$2,0,0,ROW()-1,84),ROW()-1,FALSE))</f>
        <v/>
      </c>
      <c r="BT37">
        <f ca="1">IF(AND(ISNUMBER($BT$283),$B$252=1),$BT$283,HLOOKUP(INDIRECT(ADDRESS(2,COLUMN())),OFFSET($CL$2,0,0,ROW()-1,84),ROW()-1,FALSE))</f>
        <v>1.4374929999999999</v>
      </c>
      <c r="BU37" t="str">
        <f ca="1">IF(AND(ISNUMBER($BU$283),$B$252=1),$BU$283,HLOOKUP(INDIRECT(ADDRESS(2,COLUMN())),OFFSET($CL$2,0,0,ROW()-1,84),ROW()-1,FALSE))</f>
        <v/>
      </c>
      <c r="BV37" t="str">
        <f ca="1">IF(AND(ISNUMBER($BV$283),$B$252=1),$BV$283,HLOOKUP(INDIRECT(ADDRESS(2,COLUMN())),OFFSET($CL$2,0,0,ROW()-1,84),ROW()-1,FALSE))</f>
        <v/>
      </c>
      <c r="BW37">
        <f ca="1">IF(AND(ISNUMBER($BW$283),$B$252=1),$BW$283,HLOOKUP(INDIRECT(ADDRESS(2,COLUMN())),OFFSET($CL$2,0,0,ROW()-1,84),ROW()-1,FALSE))</f>
        <v>1.3355300000000001</v>
      </c>
      <c r="BX37" t="str">
        <f ca="1">IF(AND(ISNUMBER($BX$283),$B$252=1),$BX$283,HLOOKUP(INDIRECT(ADDRESS(2,COLUMN())),OFFSET($CL$2,0,0,ROW()-1,84),ROW()-1,FALSE))</f>
        <v/>
      </c>
      <c r="BY37" t="str">
        <f ca="1">IF(AND(ISNUMBER($BY$283),$B$252=1),$BY$283,HLOOKUP(INDIRECT(ADDRESS(2,COLUMN())),OFFSET($CL$2,0,0,ROW()-1,84),ROW()-1,FALSE))</f>
        <v/>
      </c>
      <c r="BZ37">
        <f ca="1">IF(AND(ISNUMBER($BZ$283),$B$252=1),$BZ$283,HLOOKUP(INDIRECT(ADDRESS(2,COLUMN())),OFFSET($CL$2,0,0,ROW()-1,84),ROW()-1,FALSE))</f>
        <v>1.28</v>
      </c>
      <c r="CA37" t="str">
        <f ca="1">IF(AND(ISNUMBER($CA$283),$B$252=1),$CA$283,HLOOKUP(INDIRECT(ADDRESS(2,COLUMN())),OFFSET($CL$2,0,0,ROW()-1,84),ROW()-1,FALSE))</f>
        <v/>
      </c>
      <c r="CB37" t="str">
        <f ca="1">IF(AND(ISNUMBER($CB$283),$B$252=1),$CB$283,HLOOKUP(INDIRECT(ADDRESS(2,COLUMN())),OFFSET($CL$2,0,0,ROW()-1,84),ROW()-1,FALSE))</f>
        <v/>
      </c>
      <c r="CC37">
        <f ca="1">IF(AND(ISNUMBER($CC$283),$B$252=1),$CC$283,HLOOKUP(INDIRECT(ADDRESS(2,COLUMN())),OFFSET($CL$2,0,0,ROW()-1,84),ROW()-1,FALSE))</f>
        <v>1.187398</v>
      </c>
      <c r="CD37" t="str">
        <f ca="1">IF(AND(ISNUMBER($CD$283),$B$252=1),$CD$283,HLOOKUP(INDIRECT(ADDRESS(2,COLUMN())),OFFSET($CL$2,0,0,ROW()-1,84),ROW()-1,FALSE))</f>
        <v/>
      </c>
      <c r="CE37" t="str">
        <f ca="1">IF(AND(ISNUMBER($CE$283),$B$252=1),$CE$283,HLOOKUP(INDIRECT(ADDRESS(2,COLUMN())),OFFSET($CL$2,0,0,ROW()-1,84),ROW()-1,FALSE))</f>
        <v/>
      </c>
      <c r="CF37">
        <f ca="1">IF(AND(ISNUMBER($CF$283),$B$252=1),$CF$283,HLOOKUP(INDIRECT(ADDRESS(2,COLUMN())),OFFSET($CL$2,0,0,ROW()-1,84),ROW()-1,FALSE))</f>
        <v>1.1643300000000001</v>
      </c>
      <c r="CG37" t="str">
        <f ca="1">IF(AND(ISNUMBER($CG$283),$B$252=1),$CG$283,HLOOKUP(INDIRECT(ADDRESS(2,COLUMN())),OFFSET($CL$2,0,0,ROW()-1,84),ROW()-1,FALSE))</f>
        <v/>
      </c>
      <c r="CH37" t="str">
        <f ca="1">IF(AND(ISNUMBER($CH$283),$B$252=1),$CH$283,HLOOKUP(INDIRECT(ADDRESS(2,COLUMN())),OFFSET($CL$2,0,0,ROW()-1,84),ROW()-1,FALSE))</f>
        <v/>
      </c>
      <c r="CI37">
        <f ca="1">IF(AND(ISNUMBER($CI$283),$B$252=1),$CI$283,HLOOKUP(INDIRECT(ADDRESS(2,COLUMN())),OFFSET($CL$2,0,0,ROW()-1,84),ROW()-1,FALSE))</f>
        <v>1.1331610000000001</v>
      </c>
      <c r="CJ37" t="str">
        <f ca="1">IF(AND(ISNUMBER($CJ$283),$B$252=1),$CJ$283,HLOOKUP(INDIRECT(ADDRESS(2,COLUMN())),OFFSET($CL$2,0,0,ROW()-1,84),ROW()-1,FALSE))</f>
        <v/>
      </c>
      <c r="CK37" t="str">
        <f ca="1">IF(AND(ISNUMBER($CK$283),$B$252=1),$CK$283,HLOOKUP(INDIRECT(ADDRESS(2,COLUMN())),OFFSET($CL$2,0,0,ROW()-1,84),ROW()-1,FALSE))</f>
        <v/>
      </c>
      <c r="CL37" t="str">
        <f>""</f>
        <v/>
      </c>
      <c r="CM37" t="str">
        <f>""</f>
        <v/>
      </c>
      <c r="CN37" t="str">
        <f>""</f>
        <v/>
      </c>
      <c r="CO37">
        <f>2.178749</f>
        <v>2.1787489999999998</v>
      </c>
      <c r="CP37" t="str">
        <f>""</f>
        <v/>
      </c>
      <c r="CQ37" t="str">
        <f>""</f>
        <v/>
      </c>
      <c r="CR37">
        <f>2.339001</f>
        <v>2.3390010000000001</v>
      </c>
      <c r="CS37" t="str">
        <f>""</f>
        <v/>
      </c>
      <c r="CT37" t="str">
        <f>""</f>
        <v/>
      </c>
      <c r="CU37">
        <f>1.9</f>
        <v>1.9</v>
      </c>
      <c r="CV37" t="str">
        <f>""</f>
        <v/>
      </c>
      <c r="CW37" t="str">
        <f>""</f>
        <v/>
      </c>
      <c r="CX37">
        <f>2.04</f>
        <v>2.04</v>
      </c>
      <c r="CY37" t="str">
        <f>""</f>
        <v/>
      </c>
      <c r="CZ37" t="str">
        <f>""</f>
        <v/>
      </c>
      <c r="DA37">
        <f>2.094828</f>
        <v>2.0948280000000001</v>
      </c>
      <c r="DB37" t="str">
        <f>""</f>
        <v/>
      </c>
      <c r="DC37" t="str">
        <f>""</f>
        <v/>
      </c>
      <c r="DD37">
        <f>2.10547</f>
        <v>2.10547</v>
      </c>
      <c r="DE37" t="str">
        <f>""</f>
        <v/>
      </c>
      <c r="DF37" t="str">
        <f>""</f>
        <v/>
      </c>
      <c r="DG37">
        <f>1.99</f>
        <v>1.99</v>
      </c>
      <c r="DH37" t="str">
        <f>""</f>
        <v/>
      </c>
      <c r="DI37" t="str">
        <f>""</f>
        <v/>
      </c>
      <c r="DJ37">
        <f>2.07</f>
        <v>2.0699999999999998</v>
      </c>
      <c r="DK37" t="str">
        <f>""</f>
        <v/>
      </c>
      <c r="DL37" t="str">
        <f>""</f>
        <v/>
      </c>
      <c r="DM37">
        <f>1.966467</f>
        <v>1.966467</v>
      </c>
      <c r="DN37" t="str">
        <f>""</f>
        <v/>
      </c>
      <c r="DO37" t="str">
        <f>""</f>
        <v/>
      </c>
      <c r="DP37">
        <f>2.02</f>
        <v>2.02</v>
      </c>
      <c r="DQ37" t="str">
        <f>""</f>
        <v/>
      </c>
      <c r="DR37" t="str">
        <f>""</f>
        <v/>
      </c>
      <c r="DS37">
        <f>2.182588</f>
        <v>2.182588</v>
      </c>
      <c r="DT37" t="str">
        <f>""</f>
        <v/>
      </c>
      <c r="DU37" t="str">
        <f>""</f>
        <v/>
      </c>
      <c r="DV37">
        <f>1.88</f>
        <v>1.88</v>
      </c>
      <c r="DW37" t="str">
        <f>""</f>
        <v/>
      </c>
      <c r="DX37" t="str">
        <f>""</f>
        <v/>
      </c>
      <c r="DY37">
        <f>1.76</f>
        <v>1.76</v>
      </c>
      <c r="DZ37" t="str">
        <f>""</f>
        <v/>
      </c>
      <c r="EA37" t="str">
        <f>""</f>
        <v/>
      </c>
      <c r="EB37">
        <f>2.14</f>
        <v>2.14</v>
      </c>
      <c r="EC37" t="str">
        <f>""</f>
        <v/>
      </c>
      <c r="ED37" t="str">
        <f>""</f>
        <v/>
      </c>
      <c r="EE37">
        <f>1.71</f>
        <v>1.71</v>
      </c>
      <c r="EF37" t="str">
        <f>""</f>
        <v/>
      </c>
      <c r="EG37" t="str">
        <f>""</f>
        <v/>
      </c>
      <c r="EH37">
        <f>1.64</f>
        <v>1.64</v>
      </c>
      <c r="EI37" t="str">
        <f>""</f>
        <v/>
      </c>
      <c r="EJ37" t="str">
        <f>""</f>
        <v/>
      </c>
      <c r="EK37">
        <f>1.506909</f>
        <v>1.5069090000000001</v>
      </c>
      <c r="EL37" t="str">
        <f>""</f>
        <v/>
      </c>
      <c r="EM37" t="str">
        <f>""</f>
        <v/>
      </c>
      <c r="EN37">
        <f>1.18</f>
        <v>1.18</v>
      </c>
      <c r="EO37" t="str">
        <f>""</f>
        <v/>
      </c>
      <c r="EP37" t="str">
        <f>""</f>
        <v/>
      </c>
      <c r="EQ37">
        <f>1.55</f>
        <v>1.55</v>
      </c>
      <c r="ER37" t="str">
        <f>""</f>
        <v/>
      </c>
      <c r="ES37" t="str">
        <f>""</f>
        <v/>
      </c>
      <c r="ET37">
        <f>0.78</f>
        <v>0.78</v>
      </c>
      <c r="EU37" t="str">
        <f>""</f>
        <v/>
      </c>
      <c r="EV37" t="str">
        <f>""</f>
        <v/>
      </c>
      <c r="EW37">
        <f>1.269584</f>
        <v>1.269584</v>
      </c>
      <c r="EX37" t="str">
        <f>""</f>
        <v/>
      </c>
      <c r="EY37" t="str">
        <f>""</f>
        <v/>
      </c>
      <c r="EZ37">
        <f>1.437493</f>
        <v>1.4374929999999999</v>
      </c>
      <c r="FA37" t="str">
        <f>""</f>
        <v/>
      </c>
      <c r="FB37" t="str">
        <f>""</f>
        <v/>
      </c>
      <c r="FC37">
        <f>1.33553</f>
        <v>1.3355300000000001</v>
      </c>
      <c r="FD37" t="str">
        <f>""</f>
        <v/>
      </c>
      <c r="FE37" t="str">
        <f>""</f>
        <v/>
      </c>
      <c r="FF37">
        <f>1.28</f>
        <v>1.28</v>
      </c>
      <c r="FG37" t="str">
        <f>""</f>
        <v/>
      </c>
      <c r="FH37" t="str">
        <f>""</f>
        <v/>
      </c>
      <c r="FI37">
        <f>1.187398</f>
        <v>1.187398</v>
      </c>
      <c r="FJ37" t="str">
        <f>""</f>
        <v/>
      </c>
      <c r="FK37" t="str">
        <f>""</f>
        <v/>
      </c>
      <c r="FL37">
        <f>1.16433</f>
        <v>1.1643300000000001</v>
      </c>
      <c r="FM37" t="str">
        <f>""</f>
        <v/>
      </c>
      <c r="FN37" t="str">
        <f>""</f>
        <v/>
      </c>
      <c r="FO37">
        <f>1.133161</f>
        <v>1.1331610000000001</v>
      </c>
      <c r="FP37" t="str">
        <f>""</f>
        <v/>
      </c>
      <c r="FQ37" t="str">
        <f>""</f>
        <v/>
      </c>
    </row>
    <row r="38" spans="1:173">
      <c r="A38" t="str">
        <f>"    Camden 房地产信托公司"</f>
        <v xml:space="preserve">    Camden 房地产信托公司</v>
      </c>
      <c r="B38" t="str">
        <f>"CPT US Equity"</f>
        <v>CPT US Equity</v>
      </c>
      <c r="C38" t="str">
        <f t="shared" si="12"/>
        <v>CF065</v>
      </c>
      <c r="D38" t="str">
        <f t="shared" si="13"/>
        <v>CF_FFO_PER_SH_DILUTED</v>
      </c>
      <c r="E38" t="str">
        <f t="shared" si="14"/>
        <v>动态</v>
      </c>
      <c r="F38" t="str">
        <f ca="1">IF(AND(ISNUMBER($F$284),$B$252=1),$F$284,HLOOKUP(INDIRECT(ADDRESS(2,COLUMN())),OFFSET($CL$2,0,0,ROW()-1,84),ROW()-1,FALSE))</f>
        <v/>
      </c>
      <c r="G38" t="str">
        <f ca="1">IF(AND(ISNUMBER($G$284),$B$252=1),$G$284,HLOOKUP(INDIRECT(ADDRESS(2,COLUMN())),OFFSET($CL$2,0,0,ROW()-1,84),ROW()-1,FALSE))</f>
        <v/>
      </c>
      <c r="H38" t="str">
        <f ca="1">IF(AND(ISNUMBER($H$284),$B$252=1),$H$284,HLOOKUP(INDIRECT(ADDRESS(2,COLUMN())),OFFSET($CL$2,0,0,ROW()-1,84),ROW()-1,FALSE))</f>
        <v/>
      </c>
      <c r="I38">
        <f ca="1">IF(AND(ISNUMBER($I$284),$B$252=1),$I$284,HLOOKUP(INDIRECT(ADDRESS(2,COLUMN())),OFFSET($CL$2,0,0,ROW()-1,84),ROW()-1,FALSE))</f>
        <v>1.18</v>
      </c>
      <c r="J38" t="str">
        <f ca="1">IF(AND(ISNUMBER($J$284),$B$252=1),$J$284,HLOOKUP(INDIRECT(ADDRESS(2,COLUMN())),OFFSET($CL$2,0,0,ROW()-1,84),ROW()-1,FALSE))</f>
        <v/>
      </c>
      <c r="K38" t="str">
        <f ca="1">IF(AND(ISNUMBER($K$284),$B$252=1),$K$284,HLOOKUP(INDIRECT(ADDRESS(2,COLUMN())),OFFSET($CL$2,0,0,ROW()-1,84),ROW()-1,FALSE))</f>
        <v/>
      </c>
      <c r="L38">
        <f ca="1">IF(AND(ISNUMBER($L$284),$B$252=1),$L$284,HLOOKUP(INDIRECT(ADDRESS(2,COLUMN())),OFFSET($CL$2,0,0,ROW()-1,84),ROW()-1,FALSE))</f>
        <v>1.1100000000000001</v>
      </c>
      <c r="M38" t="str">
        <f ca="1">IF(AND(ISNUMBER($M$284),$B$252=1),$M$284,HLOOKUP(INDIRECT(ADDRESS(2,COLUMN())),OFFSET($CL$2,0,0,ROW()-1,84),ROW()-1,FALSE))</f>
        <v/>
      </c>
      <c r="N38" t="str">
        <f ca="1">IF(AND(ISNUMBER($N$284),$B$252=1),$N$284,HLOOKUP(INDIRECT(ADDRESS(2,COLUMN())),OFFSET($CL$2,0,0,ROW()-1,84),ROW()-1,FALSE))</f>
        <v/>
      </c>
      <c r="O38">
        <f ca="1">IF(AND(ISNUMBER($O$284),$B$252=1),$O$284,HLOOKUP(INDIRECT(ADDRESS(2,COLUMN())),OFFSET($CL$2,0,0,ROW()-1,84),ROW()-1,FALSE))</f>
        <v>1.1499999999999999</v>
      </c>
      <c r="P38" t="str">
        <f ca="1">IF(AND(ISNUMBER($P$284),$B$252=1),$P$284,HLOOKUP(INDIRECT(ADDRESS(2,COLUMN())),OFFSET($CL$2,0,0,ROW()-1,84),ROW()-1,FALSE))</f>
        <v/>
      </c>
      <c r="Q38" t="str">
        <f ca="1">IF(AND(ISNUMBER($Q$284),$B$252=1),$Q$284,HLOOKUP(INDIRECT(ADDRESS(2,COLUMN())),OFFSET($CL$2,0,0,ROW()-1,84),ROW()-1,FALSE))</f>
        <v/>
      </c>
      <c r="R38">
        <f ca="1">IF(AND(ISNUMBER($R$284),$B$252=1),$R$284,HLOOKUP(INDIRECT(ADDRESS(2,COLUMN())),OFFSET($CL$2,0,0,ROW()-1,84),ROW()-1,FALSE))</f>
        <v>1.0900000000000001</v>
      </c>
      <c r="S38" t="str">
        <f ca="1">IF(AND(ISNUMBER($S$284),$B$252=1),$S$284,HLOOKUP(INDIRECT(ADDRESS(2,COLUMN())),OFFSET($CL$2,0,0,ROW()-1,84),ROW()-1,FALSE))</f>
        <v/>
      </c>
      <c r="T38" t="str">
        <f ca="1">IF(AND(ISNUMBER($T$284),$B$252=1),$T$284,HLOOKUP(INDIRECT(ADDRESS(2,COLUMN())),OFFSET($CL$2,0,0,ROW()-1,84),ROW()-1,FALSE))</f>
        <v/>
      </c>
      <c r="U38">
        <f ca="1">IF(AND(ISNUMBER($U$284),$B$252=1),$U$284,HLOOKUP(INDIRECT(ADDRESS(2,COLUMN())),OFFSET($CL$2,0,0,ROW()-1,84),ROW()-1,FALSE))</f>
        <v>1.1499999999999999</v>
      </c>
      <c r="V38" t="str">
        <f ca="1">IF(AND(ISNUMBER($V$284),$B$252=1),$V$284,HLOOKUP(INDIRECT(ADDRESS(2,COLUMN())),OFFSET($CL$2,0,0,ROW()-1,84),ROW()-1,FALSE))</f>
        <v/>
      </c>
      <c r="W38" t="str">
        <f ca="1">IF(AND(ISNUMBER($W$284),$B$252=1),$W$284,HLOOKUP(INDIRECT(ADDRESS(2,COLUMN())),OFFSET($CL$2,0,0,ROW()-1,84),ROW()-1,FALSE))</f>
        <v/>
      </c>
      <c r="X38">
        <f ca="1">IF(AND(ISNUMBER($X$284),$B$252=1),$X$284,HLOOKUP(INDIRECT(ADDRESS(2,COLUMN())),OFFSET($CL$2,0,0,ROW()-1,84),ROW()-1,FALSE))</f>
        <v>1.1299999999999999</v>
      </c>
      <c r="Y38" t="str">
        <f ca="1">IF(AND(ISNUMBER($Y$284),$B$252=1),$Y$284,HLOOKUP(INDIRECT(ADDRESS(2,COLUMN())),OFFSET($CL$2,0,0,ROW()-1,84),ROW()-1,FALSE))</f>
        <v/>
      </c>
      <c r="Z38" t="str">
        <f ca="1">IF(AND(ISNUMBER($Z$284),$B$252=1),$Z$284,HLOOKUP(INDIRECT(ADDRESS(2,COLUMN())),OFFSET($CL$2,0,0,ROW()-1,84),ROW()-1,FALSE))</f>
        <v/>
      </c>
      <c r="AA38">
        <f ca="1">IF(AND(ISNUMBER($AA$284),$B$252=1),$AA$284,HLOOKUP(INDIRECT(ADDRESS(2,COLUMN())),OFFSET($CL$2,0,0,ROW()-1,84),ROW()-1,FALSE))</f>
        <v>1.1499999999999999</v>
      </c>
      <c r="AB38" t="str">
        <f ca="1">IF(AND(ISNUMBER($AB$284),$B$252=1),$AB$284,HLOOKUP(INDIRECT(ADDRESS(2,COLUMN())),OFFSET($CL$2,0,0,ROW()-1,84),ROW()-1,FALSE))</f>
        <v/>
      </c>
      <c r="AC38" t="str">
        <f ca="1">IF(AND(ISNUMBER($AC$284),$B$252=1),$AC$284,HLOOKUP(INDIRECT(ADDRESS(2,COLUMN())),OFFSET($CL$2,0,0,ROW()-1,84),ROW()-1,FALSE))</f>
        <v/>
      </c>
      <c r="AD38">
        <f ca="1">IF(AND(ISNUMBER($AD$284),$B$252=1),$AD$284,HLOOKUP(INDIRECT(ADDRESS(2,COLUMN())),OFFSET($CL$2,0,0,ROW()-1,84),ROW()-1,FALSE))</f>
        <v>1.2</v>
      </c>
      <c r="AE38" t="str">
        <f ca="1">IF(AND(ISNUMBER($AE$284),$B$252=1),$AE$284,HLOOKUP(INDIRECT(ADDRESS(2,COLUMN())),OFFSET($CL$2,0,0,ROW()-1,84),ROW()-1,FALSE))</f>
        <v/>
      </c>
      <c r="AF38" t="str">
        <f ca="1">IF(AND(ISNUMBER($AF$284),$B$252=1),$AF$284,HLOOKUP(INDIRECT(ADDRESS(2,COLUMN())),OFFSET($CL$2,0,0,ROW()-1,84),ROW()-1,FALSE))</f>
        <v/>
      </c>
      <c r="AG38">
        <f ca="1">IF(AND(ISNUMBER($AG$284),$B$252=1),$AG$284,HLOOKUP(INDIRECT(ADDRESS(2,COLUMN())),OFFSET($CL$2,0,0,ROW()-1,84),ROW()-1,FALSE))</f>
        <v>1.2</v>
      </c>
      <c r="AH38" t="str">
        <f ca="1">IF(AND(ISNUMBER($AH$284),$B$252=1),$AH$284,HLOOKUP(INDIRECT(ADDRESS(2,COLUMN())),OFFSET($CL$2,0,0,ROW()-1,84),ROW()-1,FALSE))</f>
        <v/>
      </c>
      <c r="AI38" t="str">
        <f ca="1">IF(AND(ISNUMBER($AI$284),$B$252=1),$AI$284,HLOOKUP(INDIRECT(ADDRESS(2,COLUMN())),OFFSET($CL$2,0,0,ROW()-1,84),ROW()-1,FALSE))</f>
        <v/>
      </c>
      <c r="AJ38">
        <f ca="1">IF(AND(ISNUMBER($AJ$284),$B$252=1),$AJ$284,HLOOKUP(INDIRECT(ADDRESS(2,COLUMN())),OFFSET($CL$2,0,0,ROW()-1,84),ROW()-1,FALSE))</f>
        <v>1.1399999999999999</v>
      </c>
      <c r="AK38" t="str">
        <f ca="1">IF(AND(ISNUMBER($AK$284),$B$252=1),$AK$284,HLOOKUP(INDIRECT(ADDRESS(2,COLUMN())),OFFSET($CL$2,0,0,ROW()-1,84),ROW()-1,FALSE))</f>
        <v/>
      </c>
      <c r="AL38" t="str">
        <f ca="1">IF(AND(ISNUMBER($AL$284),$B$252=1),$AL$284,HLOOKUP(INDIRECT(ADDRESS(2,COLUMN())),OFFSET($CL$2,0,0,ROW()-1,84),ROW()-1,FALSE))</f>
        <v/>
      </c>
      <c r="AM38">
        <f ca="1">IF(AND(ISNUMBER($AM$284),$B$252=1),$AM$284,HLOOKUP(INDIRECT(ADDRESS(2,COLUMN())),OFFSET($CL$2,0,0,ROW()-1,84),ROW()-1,FALSE))</f>
        <v>1.1200000000000001</v>
      </c>
      <c r="AN38" t="str">
        <f ca="1">IF(AND(ISNUMBER($AN$284),$B$252=1),$AN$284,HLOOKUP(INDIRECT(ADDRESS(2,COLUMN())),OFFSET($CL$2,0,0,ROW()-1,84),ROW()-1,FALSE))</f>
        <v/>
      </c>
      <c r="AO38" t="str">
        <f ca="1">IF(AND(ISNUMBER($AO$284),$B$252=1),$AO$284,HLOOKUP(INDIRECT(ADDRESS(2,COLUMN())),OFFSET($CL$2,0,0,ROW()-1,84),ROW()-1,FALSE))</f>
        <v/>
      </c>
      <c r="AP38">
        <f ca="1">IF(AND(ISNUMBER($AP$284),$B$252=1),$AP$284,HLOOKUP(INDIRECT(ADDRESS(2,COLUMN())),OFFSET($CL$2,0,0,ROW()-1,84),ROW()-1,FALSE))</f>
        <v>1.08</v>
      </c>
      <c r="AQ38" t="str">
        <f ca="1">IF(AND(ISNUMBER($AQ$284),$B$252=1),$AQ$284,HLOOKUP(INDIRECT(ADDRESS(2,COLUMN())),OFFSET($CL$2,0,0,ROW()-1,84),ROW()-1,FALSE))</f>
        <v/>
      </c>
      <c r="AR38" t="str">
        <f ca="1">IF(AND(ISNUMBER($AR$284),$B$252=1),$AR$284,HLOOKUP(INDIRECT(ADDRESS(2,COLUMN())),OFFSET($CL$2,0,0,ROW()-1,84),ROW()-1,FALSE))</f>
        <v/>
      </c>
      <c r="AS38">
        <f ca="1">IF(AND(ISNUMBER($AS$284),$B$252=1),$AS$284,HLOOKUP(INDIRECT(ADDRESS(2,COLUMN())),OFFSET($CL$2,0,0,ROW()-1,84),ROW()-1,FALSE))</f>
        <v>0.99</v>
      </c>
      <c r="AT38" t="str">
        <f ca="1">IF(AND(ISNUMBER($AT$284),$B$252=1),$AT$284,HLOOKUP(INDIRECT(ADDRESS(2,COLUMN())),OFFSET($CL$2,0,0,ROW()-1,84),ROW()-1,FALSE))</f>
        <v/>
      </c>
      <c r="AU38" t="str">
        <f ca="1">IF(AND(ISNUMBER($AU$284),$B$252=1),$AU$284,HLOOKUP(INDIRECT(ADDRESS(2,COLUMN())),OFFSET($CL$2,0,0,ROW()-1,84),ROW()-1,FALSE))</f>
        <v/>
      </c>
      <c r="AV38">
        <f ca="1">IF(AND(ISNUMBER($AV$284),$B$252=1),$AV$284,HLOOKUP(INDIRECT(ADDRESS(2,COLUMN())),OFFSET($CL$2,0,0,ROW()-1,84),ROW()-1,FALSE))</f>
        <v>1.0900000000000001</v>
      </c>
      <c r="AW38" t="str">
        <f ca="1">IF(AND(ISNUMBER($AW$284),$B$252=1),$AW$284,HLOOKUP(INDIRECT(ADDRESS(2,COLUMN())),OFFSET($CL$2,0,0,ROW()-1,84),ROW()-1,FALSE))</f>
        <v/>
      </c>
      <c r="AX38" t="str">
        <f ca="1">IF(AND(ISNUMBER($AX$284),$B$252=1),$AX$284,HLOOKUP(INDIRECT(ADDRESS(2,COLUMN())),OFFSET($CL$2,0,0,ROW()-1,84),ROW()-1,FALSE))</f>
        <v/>
      </c>
      <c r="AY38">
        <f ca="1">IF(AND(ISNUMBER($AY$284),$B$252=1),$AY$284,HLOOKUP(INDIRECT(ADDRESS(2,COLUMN())),OFFSET($CL$2,0,0,ROW()-1,84),ROW()-1,FALSE))</f>
        <v>1.05</v>
      </c>
      <c r="AZ38" t="str">
        <f ca="1">IF(AND(ISNUMBER($AZ$284),$B$252=1),$AZ$284,HLOOKUP(INDIRECT(ADDRESS(2,COLUMN())),OFFSET($CL$2,0,0,ROW()-1,84),ROW()-1,FALSE))</f>
        <v/>
      </c>
      <c r="BA38" t="str">
        <f ca="1">IF(AND(ISNUMBER($BA$284),$B$252=1),$BA$284,HLOOKUP(INDIRECT(ADDRESS(2,COLUMN())),OFFSET($CL$2,0,0,ROW()-1,84),ROW()-1,FALSE))</f>
        <v/>
      </c>
      <c r="BB38">
        <f ca="1">IF(AND(ISNUMBER($BB$284),$B$252=1),$BB$284,HLOOKUP(INDIRECT(ADDRESS(2,COLUMN())),OFFSET($CL$2,0,0,ROW()-1,84),ROW()-1,FALSE))</f>
        <v>1.05</v>
      </c>
      <c r="BC38" t="str">
        <f ca="1">IF(AND(ISNUMBER($BC$284),$B$252=1),$BC$284,HLOOKUP(INDIRECT(ADDRESS(2,COLUMN())),OFFSET($CL$2,0,0,ROW()-1,84),ROW()-1,FALSE))</f>
        <v/>
      </c>
      <c r="BD38" t="str">
        <f ca="1">IF(AND(ISNUMBER($BD$284),$B$252=1),$BD$284,HLOOKUP(INDIRECT(ADDRESS(2,COLUMN())),OFFSET($CL$2,0,0,ROW()-1,84),ROW()-1,FALSE))</f>
        <v/>
      </c>
      <c r="BE38">
        <f ca="1">IF(AND(ISNUMBER($BE$284),$B$252=1),$BE$284,HLOOKUP(INDIRECT(ADDRESS(2,COLUMN())),OFFSET($CL$2,0,0,ROW()-1,84),ROW()-1,FALSE))</f>
        <v>1.08</v>
      </c>
      <c r="BF38" t="str">
        <f ca="1">IF(AND(ISNUMBER($BF$284),$B$252=1),$BF$284,HLOOKUP(INDIRECT(ADDRESS(2,COLUMN())),OFFSET($CL$2,0,0,ROW()-1,84),ROW()-1,FALSE))</f>
        <v/>
      </c>
      <c r="BG38" t="str">
        <f ca="1">IF(AND(ISNUMBER($BG$284),$B$252=1),$BG$284,HLOOKUP(INDIRECT(ADDRESS(2,COLUMN())),OFFSET($CL$2,0,0,ROW()-1,84),ROW()-1,FALSE))</f>
        <v/>
      </c>
      <c r="BH38">
        <f ca="1">IF(AND(ISNUMBER($BH$284),$B$252=1),$BH$284,HLOOKUP(INDIRECT(ADDRESS(2,COLUMN())),OFFSET($CL$2,0,0,ROW()-1,84),ROW()-1,FALSE))</f>
        <v>1.04</v>
      </c>
      <c r="BI38" t="str">
        <f ca="1">IF(AND(ISNUMBER($BI$284),$B$252=1),$BI$284,HLOOKUP(INDIRECT(ADDRESS(2,COLUMN())),OFFSET($CL$2,0,0,ROW()-1,84),ROW()-1,FALSE))</f>
        <v/>
      </c>
      <c r="BJ38" t="str">
        <f ca="1">IF(AND(ISNUMBER($BJ$284),$B$252=1),$BJ$284,HLOOKUP(INDIRECT(ADDRESS(2,COLUMN())),OFFSET($CL$2,0,0,ROW()-1,84),ROW()-1,FALSE))</f>
        <v/>
      </c>
      <c r="BK38">
        <f ca="1">IF(AND(ISNUMBER($BK$284),$B$252=1),$BK$284,HLOOKUP(INDIRECT(ADDRESS(2,COLUMN())),OFFSET($CL$2,0,0,ROW()-1,84),ROW()-1,FALSE))</f>
        <v>1.02</v>
      </c>
      <c r="BL38" t="str">
        <f ca="1">IF(AND(ISNUMBER($BL$284),$B$252=1),$BL$284,HLOOKUP(INDIRECT(ADDRESS(2,COLUMN())),OFFSET($CL$2,0,0,ROW()-1,84),ROW()-1,FALSE))</f>
        <v/>
      </c>
      <c r="BM38" t="str">
        <f ca="1">IF(AND(ISNUMBER($BM$284),$B$252=1),$BM$284,HLOOKUP(INDIRECT(ADDRESS(2,COLUMN())),OFFSET($CL$2,0,0,ROW()-1,84),ROW()-1,FALSE))</f>
        <v/>
      </c>
      <c r="BN38">
        <f ca="1">IF(AND(ISNUMBER($BN$284),$B$252=1),$BN$284,HLOOKUP(INDIRECT(ADDRESS(2,COLUMN())),OFFSET($CL$2,0,0,ROW()-1,84),ROW()-1,FALSE))</f>
        <v>0.97</v>
      </c>
      <c r="BO38" t="str">
        <f ca="1">IF(AND(ISNUMBER($BO$284),$B$252=1),$BO$284,HLOOKUP(INDIRECT(ADDRESS(2,COLUMN())),OFFSET($CL$2,0,0,ROW()-1,84),ROW()-1,FALSE))</f>
        <v/>
      </c>
      <c r="BP38" t="str">
        <f ca="1">IF(AND(ISNUMBER($BP$284),$B$252=1),$BP$284,HLOOKUP(INDIRECT(ADDRESS(2,COLUMN())),OFFSET($CL$2,0,0,ROW()-1,84),ROW()-1,FALSE))</f>
        <v/>
      </c>
      <c r="BQ38">
        <f ca="1">IF(AND(ISNUMBER($BQ$284),$B$252=1),$BQ$284,HLOOKUP(INDIRECT(ADDRESS(2,COLUMN())),OFFSET($CL$2,0,0,ROW()-1,84),ROW()-1,FALSE))</f>
        <v>0.97</v>
      </c>
      <c r="BR38" t="str">
        <f ca="1">IF(AND(ISNUMBER($BR$284),$B$252=1),$BR$284,HLOOKUP(INDIRECT(ADDRESS(2,COLUMN())),OFFSET($CL$2,0,0,ROW()-1,84),ROW()-1,FALSE))</f>
        <v/>
      </c>
      <c r="BS38" t="str">
        <f ca="1">IF(AND(ISNUMBER($BS$284),$B$252=1),$BS$284,HLOOKUP(INDIRECT(ADDRESS(2,COLUMN())),OFFSET($CL$2,0,0,ROW()-1,84),ROW()-1,FALSE))</f>
        <v/>
      </c>
      <c r="BT38">
        <f ca="1">IF(AND(ISNUMBER($BT$284),$B$252=1),$BT$284,HLOOKUP(INDIRECT(ADDRESS(2,COLUMN())),OFFSET($CL$2,0,0,ROW()-1,84),ROW()-1,FALSE))</f>
        <v>0.93</v>
      </c>
      <c r="BU38" t="str">
        <f ca="1">IF(AND(ISNUMBER($BU$284),$B$252=1),$BU$284,HLOOKUP(INDIRECT(ADDRESS(2,COLUMN())),OFFSET($CL$2,0,0,ROW()-1,84),ROW()-1,FALSE))</f>
        <v/>
      </c>
      <c r="BV38" t="str">
        <f ca="1">IF(AND(ISNUMBER($BV$284),$B$252=1),$BV$284,HLOOKUP(INDIRECT(ADDRESS(2,COLUMN())),OFFSET($CL$2,0,0,ROW()-1,84),ROW()-1,FALSE))</f>
        <v/>
      </c>
      <c r="BW38">
        <f ca="1">IF(AND(ISNUMBER($BW$284),$B$252=1),$BW$284,HLOOKUP(INDIRECT(ADDRESS(2,COLUMN())),OFFSET($CL$2,0,0,ROW()-1,84),ROW()-1,FALSE))</f>
        <v>0.89</v>
      </c>
      <c r="BX38" t="str">
        <f ca="1">IF(AND(ISNUMBER($BX$284),$B$252=1),$BX$284,HLOOKUP(INDIRECT(ADDRESS(2,COLUMN())),OFFSET($CL$2,0,0,ROW()-1,84),ROW()-1,FALSE))</f>
        <v/>
      </c>
      <c r="BY38" t="str">
        <f ca="1">IF(AND(ISNUMBER($BY$284),$B$252=1),$BY$284,HLOOKUP(INDIRECT(ADDRESS(2,COLUMN())),OFFSET($CL$2,0,0,ROW()-1,84),ROW()-1,FALSE))</f>
        <v/>
      </c>
      <c r="BZ38">
        <f ca="1">IF(AND(ISNUMBER($BZ$284),$B$252=1),$BZ$284,HLOOKUP(INDIRECT(ADDRESS(2,COLUMN())),OFFSET($CL$2,0,0,ROW()-1,84),ROW()-1,FALSE))</f>
        <v>0.83</v>
      </c>
      <c r="CA38" t="str">
        <f ca="1">IF(AND(ISNUMBER($CA$284),$B$252=1),$CA$284,HLOOKUP(INDIRECT(ADDRESS(2,COLUMN())),OFFSET($CL$2,0,0,ROW()-1,84),ROW()-1,FALSE))</f>
        <v/>
      </c>
      <c r="CB38" t="str">
        <f ca="1">IF(AND(ISNUMBER($CB$284),$B$252=1),$CB$284,HLOOKUP(INDIRECT(ADDRESS(2,COLUMN())),OFFSET($CL$2,0,0,ROW()-1,84),ROW()-1,FALSE))</f>
        <v/>
      </c>
      <c r="CC38">
        <f ca="1">IF(AND(ISNUMBER($CC$284),$B$252=1),$CC$284,HLOOKUP(INDIRECT(ADDRESS(2,COLUMN())),OFFSET($CL$2,0,0,ROW()-1,84),ROW()-1,FALSE))</f>
        <v>0.84</v>
      </c>
      <c r="CD38" t="str">
        <f ca="1">IF(AND(ISNUMBER($CD$284),$B$252=1),$CD$284,HLOOKUP(INDIRECT(ADDRESS(2,COLUMN())),OFFSET($CL$2,0,0,ROW()-1,84),ROW()-1,FALSE))</f>
        <v/>
      </c>
      <c r="CE38" t="str">
        <f ca="1">IF(AND(ISNUMBER($CE$284),$B$252=1),$CE$284,HLOOKUP(INDIRECT(ADDRESS(2,COLUMN())),OFFSET($CL$2,0,0,ROW()-1,84),ROW()-1,FALSE))</f>
        <v/>
      </c>
      <c r="CF38">
        <f ca="1">IF(AND(ISNUMBER($CF$284),$B$252=1),$CF$284,HLOOKUP(INDIRECT(ADDRESS(2,COLUMN())),OFFSET($CL$2,0,0,ROW()-1,84),ROW()-1,FALSE))</f>
        <v>0.77</v>
      </c>
      <c r="CG38" t="str">
        <f ca="1">IF(AND(ISNUMBER($CG$284),$B$252=1),$CG$284,HLOOKUP(INDIRECT(ADDRESS(2,COLUMN())),OFFSET($CL$2,0,0,ROW()-1,84),ROW()-1,FALSE))</f>
        <v/>
      </c>
      <c r="CH38" t="str">
        <f ca="1">IF(AND(ISNUMBER($CH$284),$B$252=1),$CH$284,HLOOKUP(INDIRECT(ADDRESS(2,COLUMN())),OFFSET($CL$2,0,0,ROW()-1,84),ROW()-1,FALSE))</f>
        <v/>
      </c>
      <c r="CI38">
        <f ca="1">IF(AND(ISNUMBER($CI$284),$B$252=1),$CI$284,HLOOKUP(INDIRECT(ADDRESS(2,COLUMN())),OFFSET($CL$2,0,0,ROW()-1,84),ROW()-1,FALSE))</f>
        <v>0.4</v>
      </c>
      <c r="CJ38" t="str">
        <f ca="1">IF(AND(ISNUMBER($CJ$284),$B$252=1),$CJ$284,HLOOKUP(INDIRECT(ADDRESS(2,COLUMN())),OFFSET($CL$2,0,0,ROW()-1,84),ROW()-1,FALSE))</f>
        <v/>
      </c>
      <c r="CK38" t="str">
        <f ca="1">IF(AND(ISNUMBER($CK$284),$B$252=1),$CK$284,HLOOKUP(INDIRECT(ADDRESS(2,COLUMN())),OFFSET($CL$2,0,0,ROW()-1,84),ROW()-1,FALSE))</f>
        <v/>
      </c>
      <c r="CL38" t="str">
        <f>""</f>
        <v/>
      </c>
      <c r="CM38" t="str">
        <f>""</f>
        <v/>
      </c>
      <c r="CN38" t="str">
        <f>""</f>
        <v/>
      </c>
      <c r="CO38">
        <f>1.18</f>
        <v>1.18</v>
      </c>
      <c r="CP38" t="str">
        <f>""</f>
        <v/>
      </c>
      <c r="CQ38" t="str">
        <f>""</f>
        <v/>
      </c>
      <c r="CR38">
        <f>1.11</f>
        <v>1.1100000000000001</v>
      </c>
      <c r="CS38" t="str">
        <f>""</f>
        <v/>
      </c>
      <c r="CT38" t="str">
        <f>""</f>
        <v/>
      </c>
      <c r="CU38">
        <f>1.15</f>
        <v>1.1499999999999999</v>
      </c>
      <c r="CV38" t="str">
        <f>""</f>
        <v/>
      </c>
      <c r="CW38" t="str">
        <f>""</f>
        <v/>
      </c>
      <c r="CX38">
        <f>1.09</f>
        <v>1.0900000000000001</v>
      </c>
      <c r="CY38" t="str">
        <f>""</f>
        <v/>
      </c>
      <c r="CZ38" t="str">
        <f>""</f>
        <v/>
      </c>
      <c r="DA38">
        <f>1.15</f>
        <v>1.1499999999999999</v>
      </c>
      <c r="DB38" t="str">
        <f>""</f>
        <v/>
      </c>
      <c r="DC38" t="str">
        <f>""</f>
        <v/>
      </c>
      <c r="DD38">
        <f>1.13</f>
        <v>1.1299999999999999</v>
      </c>
      <c r="DE38" t="str">
        <f>""</f>
        <v/>
      </c>
      <c r="DF38" t="str">
        <f>""</f>
        <v/>
      </c>
      <c r="DG38">
        <f>1.15</f>
        <v>1.1499999999999999</v>
      </c>
      <c r="DH38" t="str">
        <f>""</f>
        <v/>
      </c>
      <c r="DI38" t="str">
        <f>""</f>
        <v/>
      </c>
      <c r="DJ38">
        <f>1.2</f>
        <v>1.2</v>
      </c>
      <c r="DK38" t="str">
        <f>""</f>
        <v/>
      </c>
      <c r="DL38" t="str">
        <f>""</f>
        <v/>
      </c>
      <c r="DM38">
        <f>1.2</f>
        <v>1.2</v>
      </c>
      <c r="DN38" t="str">
        <f>""</f>
        <v/>
      </c>
      <c r="DO38" t="str">
        <f>""</f>
        <v/>
      </c>
      <c r="DP38">
        <f>1.14</f>
        <v>1.1399999999999999</v>
      </c>
      <c r="DQ38" t="str">
        <f>""</f>
        <v/>
      </c>
      <c r="DR38" t="str">
        <f>""</f>
        <v/>
      </c>
      <c r="DS38">
        <f>1.12</f>
        <v>1.1200000000000001</v>
      </c>
      <c r="DT38" t="str">
        <f>""</f>
        <v/>
      </c>
      <c r="DU38" t="str">
        <f>""</f>
        <v/>
      </c>
      <c r="DV38">
        <f>1.08</f>
        <v>1.08</v>
      </c>
      <c r="DW38" t="str">
        <f>""</f>
        <v/>
      </c>
      <c r="DX38" t="str">
        <f>""</f>
        <v/>
      </c>
      <c r="DY38">
        <f>0.99</f>
        <v>0.99</v>
      </c>
      <c r="DZ38" t="str">
        <f>""</f>
        <v/>
      </c>
      <c r="EA38" t="str">
        <f>""</f>
        <v/>
      </c>
      <c r="EB38">
        <f>1.09</f>
        <v>1.0900000000000001</v>
      </c>
      <c r="EC38" t="str">
        <f>""</f>
        <v/>
      </c>
      <c r="ED38" t="str">
        <f>""</f>
        <v/>
      </c>
      <c r="EE38">
        <f>1.05</f>
        <v>1.05</v>
      </c>
      <c r="EF38" t="str">
        <f>""</f>
        <v/>
      </c>
      <c r="EG38" t="str">
        <f>""</f>
        <v/>
      </c>
      <c r="EH38">
        <f>1.05</f>
        <v>1.05</v>
      </c>
      <c r="EI38" t="str">
        <f>""</f>
        <v/>
      </c>
      <c r="EJ38" t="str">
        <f>""</f>
        <v/>
      </c>
      <c r="EK38">
        <f>1.08</f>
        <v>1.08</v>
      </c>
      <c r="EL38" t="str">
        <f>""</f>
        <v/>
      </c>
      <c r="EM38" t="str">
        <f>""</f>
        <v/>
      </c>
      <c r="EN38">
        <f>1.04</f>
        <v>1.04</v>
      </c>
      <c r="EO38" t="str">
        <f>""</f>
        <v/>
      </c>
      <c r="EP38" t="str">
        <f>""</f>
        <v/>
      </c>
      <c r="EQ38">
        <f>1.02</f>
        <v>1.02</v>
      </c>
      <c r="ER38" t="str">
        <f>""</f>
        <v/>
      </c>
      <c r="ES38" t="str">
        <f>""</f>
        <v/>
      </c>
      <c r="ET38">
        <f>0.97</f>
        <v>0.97</v>
      </c>
      <c r="EU38" t="str">
        <f>""</f>
        <v/>
      </c>
      <c r="EV38" t="str">
        <f>""</f>
        <v/>
      </c>
      <c r="EW38">
        <f>0.97</f>
        <v>0.97</v>
      </c>
      <c r="EX38" t="str">
        <f>""</f>
        <v/>
      </c>
      <c r="EY38" t="str">
        <f>""</f>
        <v/>
      </c>
      <c r="EZ38">
        <f>0.93</f>
        <v>0.93</v>
      </c>
      <c r="FA38" t="str">
        <f>""</f>
        <v/>
      </c>
      <c r="FB38" t="str">
        <f>""</f>
        <v/>
      </c>
      <c r="FC38">
        <f>0.89</f>
        <v>0.89</v>
      </c>
      <c r="FD38" t="str">
        <f>""</f>
        <v/>
      </c>
      <c r="FE38" t="str">
        <f>""</f>
        <v/>
      </c>
      <c r="FF38">
        <f>0.83</f>
        <v>0.83</v>
      </c>
      <c r="FG38" t="str">
        <f>""</f>
        <v/>
      </c>
      <c r="FH38" t="str">
        <f>""</f>
        <v/>
      </c>
      <c r="FI38">
        <f>0.84</f>
        <v>0.84</v>
      </c>
      <c r="FJ38" t="str">
        <f>""</f>
        <v/>
      </c>
      <c r="FK38" t="str">
        <f>""</f>
        <v/>
      </c>
      <c r="FL38">
        <f>0.77</f>
        <v>0.77</v>
      </c>
      <c r="FM38" t="str">
        <f>""</f>
        <v/>
      </c>
      <c r="FN38" t="str">
        <f>""</f>
        <v/>
      </c>
      <c r="FO38">
        <f>0.4</f>
        <v>0.4</v>
      </c>
      <c r="FP38" t="str">
        <f>""</f>
        <v/>
      </c>
      <c r="FQ38" t="str">
        <f>""</f>
        <v/>
      </c>
    </row>
    <row r="39" spans="1:173">
      <c r="A39" t="str">
        <f>"    公寓物业权益信托"</f>
        <v xml:space="preserve">    公寓物业权益信托</v>
      </c>
      <c r="B39" t="str">
        <f>"EQR US Equity"</f>
        <v>EQR US Equity</v>
      </c>
      <c r="C39" t="str">
        <f t="shared" si="12"/>
        <v>CF065</v>
      </c>
      <c r="D39" t="str">
        <f t="shared" si="13"/>
        <v>CF_FFO_PER_SH_DILUTED</v>
      </c>
      <c r="E39" t="str">
        <f t="shared" si="14"/>
        <v>动态</v>
      </c>
      <c r="F39" t="str">
        <f ca="1">IF(AND(ISNUMBER($F$285),$B$252=1),$F$285,HLOOKUP(INDIRECT(ADDRESS(2,COLUMN())),OFFSET($CL$2,0,0,ROW()-1,84),ROW()-1,FALSE))</f>
        <v/>
      </c>
      <c r="G39" t="str">
        <f ca="1">IF(AND(ISNUMBER($G$285),$B$252=1),$G$285,HLOOKUP(INDIRECT(ADDRESS(2,COLUMN())),OFFSET($CL$2,0,0,ROW()-1,84),ROW()-1,FALSE))</f>
        <v/>
      </c>
      <c r="H39" t="str">
        <f ca="1">IF(AND(ISNUMBER($H$285),$B$252=1),$H$285,HLOOKUP(INDIRECT(ADDRESS(2,COLUMN())),OFFSET($CL$2,0,0,ROW()-1,84),ROW()-1,FALSE))</f>
        <v/>
      </c>
      <c r="I39">
        <f ca="1">IF(AND(ISNUMBER($I$285),$B$252=1),$I$285,HLOOKUP(INDIRECT(ADDRESS(2,COLUMN())),OFFSET($CL$2,0,0,ROW()-1,84),ROW()-1,FALSE))</f>
        <v>0.82</v>
      </c>
      <c r="J39" t="str">
        <f ca="1">IF(AND(ISNUMBER($J$285),$B$252=1),$J$285,HLOOKUP(INDIRECT(ADDRESS(2,COLUMN())),OFFSET($CL$2,0,0,ROW()-1,84),ROW()-1,FALSE))</f>
        <v/>
      </c>
      <c r="K39" t="str">
        <f ca="1">IF(AND(ISNUMBER($K$285),$B$252=1),$K$285,HLOOKUP(INDIRECT(ADDRESS(2,COLUMN())),OFFSET($CL$2,0,0,ROW()-1,84),ROW()-1,FALSE))</f>
        <v/>
      </c>
      <c r="L39">
        <f ca="1">IF(AND(ISNUMBER($L$285),$B$252=1),$L$285,HLOOKUP(INDIRECT(ADDRESS(2,COLUMN())),OFFSET($CL$2,0,0,ROW()-1,84),ROW()-1,FALSE))</f>
        <v>0.81</v>
      </c>
      <c r="M39" t="str">
        <f ca="1">IF(AND(ISNUMBER($M$285),$B$252=1),$M$285,HLOOKUP(INDIRECT(ADDRESS(2,COLUMN())),OFFSET($CL$2,0,0,ROW()-1,84),ROW()-1,FALSE))</f>
        <v/>
      </c>
      <c r="N39" t="str">
        <f ca="1">IF(AND(ISNUMBER($N$285),$B$252=1),$N$285,HLOOKUP(INDIRECT(ADDRESS(2,COLUMN())),OFFSET($CL$2,0,0,ROW()-1,84),ROW()-1,FALSE))</f>
        <v/>
      </c>
      <c r="O39">
        <f ca="1">IF(AND(ISNUMBER($O$285),$B$252=1),$O$285,HLOOKUP(INDIRECT(ADDRESS(2,COLUMN())),OFFSET($CL$2,0,0,ROW()-1,84),ROW()-1,FALSE))</f>
        <v>0.77</v>
      </c>
      <c r="P39" t="str">
        <f ca="1">IF(AND(ISNUMBER($P$285),$B$252=1),$P$285,HLOOKUP(INDIRECT(ADDRESS(2,COLUMN())),OFFSET($CL$2,0,0,ROW()-1,84),ROW()-1,FALSE))</f>
        <v/>
      </c>
      <c r="Q39" t="str">
        <f ca="1">IF(AND(ISNUMBER($Q$285),$B$252=1),$Q$285,HLOOKUP(INDIRECT(ADDRESS(2,COLUMN())),OFFSET($CL$2,0,0,ROW()-1,84),ROW()-1,FALSE))</f>
        <v/>
      </c>
      <c r="R39">
        <f ca="1">IF(AND(ISNUMBER($R$285),$B$252=1),$R$285,HLOOKUP(INDIRECT(ADDRESS(2,COLUMN())),OFFSET($CL$2,0,0,ROW()-1,84),ROW()-1,FALSE))</f>
        <v>0.76</v>
      </c>
      <c r="S39" t="str">
        <f ca="1">IF(AND(ISNUMBER($S$285),$B$252=1),$S$285,HLOOKUP(INDIRECT(ADDRESS(2,COLUMN())),OFFSET($CL$2,0,0,ROW()-1,84),ROW()-1,FALSE))</f>
        <v/>
      </c>
      <c r="T39" t="str">
        <f ca="1">IF(AND(ISNUMBER($T$285),$B$252=1),$T$285,HLOOKUP(INDIRECT(ADDRESS(2,COLUMN())),OFFSET($CL$2,0,0,ROW()-1,84),ROW()-1,FALSE))</f>
        <v/>
      </c>
      <c r="U39">
        <f ca="1">IF(AND(ISNUMBER($U$285),$B$252=1),$U$285,HLOOKUP(INDIRECT(ADDRESS(2,COLUMN())),OFFSET($CL$2,0,0,ROW()-1,84),ROW()-1,FALSE))</f>
        <v>0.8</v>
      </c>
      <c r="V39" t="str">
        <f ca="1">IF(AND(ISNUMBER($V$285),$B$252=1),$V$285,HLOOKUP(INDIRECT(ADDRESS(2,COLUMN())),OFFSET($CL$2,0,0,ROW()-1,84),ROW()-1,FALSE))</f>
        <v/>
      </c>
      <c r="W39" t="str">
        <f ca="1">IF(AND(ISNUMBER($W$285),$B$252=1),$W$285,HLOOKUP(INDIRECT(ADDRESS(2,COLUMN())),OFFSET($CL$2,0,0,ROW()-1,84),ROW()-1,FALSE))</f>
        <v/>
      </c>
      <c r="X39">
        <f ca="1">IF(AND(ISNUMBER($X$285),$B$252=1),$X$285,HLOOKUP(INDIRECT(ADDRESS(2,COLUMN())),OFFSET($CL$2,0,0,ROW()-1,84),ROW()-1,FALSE))</f>
        <v>0.77</v>
      </c>
      <c r="Y39" t="str">
        <f ca="1">IF(AND(ISNUMBER($Y$285),$B$252=1),$Y$285,HLOOKUP(INDIRECT(ADDRESS(2,COLUMN())),OFFSET($CL$2,0,0,ROW()-1,84),ROW()-1,FALSE))</f>
        <v/>
      </c>
      <c r="Z39" t="str">
        <f ca="1">IF(AND(ISNUMBER($Z$285),$B$252=1),$Z$285,HLOOKUP(INDIRECT(ADDRESS(2,COLUMN())),OFFSET($CL$2,0,0,ROW()-1,84),ROW()-1,FALSE))</f>
        <v/>
      </c>
      <c r="AA39">
        <f ca="1">IF(AND(ISNUMBER($AA$285),$B$252=1),$AA$285,HLOOKUP(INDIRECT(ADDRESS(2,COLUMN())),OFFSET($CL$2,0,0,ROW()-1,84),ROW()-1,FALSE))</f>
        <v>0.9</v>
      </c>
      <c r="AB39" t="str">
        <f ca="1">IF(AND(ISNUMBER($AB$285),$B$252=1),$AB$285,HLOOKUP(INDIRECT(ADDRESS(2,COLUMN())),OFFSET($CL$2,0,0,ROW()-1,84),ROW()-1,FALSE))</f>
        <v/>
      </c>
      <c r="AC39" t="str">
        <f ca="1">IF(AND(ISNUMBER($AC$285),$B$252=1),$AC$285,HLOOKUP(INDIRECT(ADDRESS(2,COLUMN())),OFFSET($CL$2,0,0,ROW()-1,84),ROW()-1,FALSE))</f>
        <v/>
      </c>
      <c r="AD39">
        <f ca="1">IF(AND(ISNUMBER($AD$285),$B$252=1),$AD$285,HLOOKUP(INDIRECT(ADDRESS(2,COLUMN())),OFFSET($CL$2,0,0,ROW()-1,84),ROW()-1,FALSE))</f>
        <v>0.47</v>
      </c>
      <c r="AE39" t="str">
        <f ca="1">IF(AND(ISNUMBER($AE$285),$B$252=1),$AE$285,HLOOKUP(INDIRECT(ADDRESS(2,COLUMN())),OFFSET($CL$2,0,0,ROW()-1,84),ROW()-1,FALSE))</f>
        <v/>
      </c>
      <c r="AF39" t="str">
        <f ca="1">IF(AND(ISNUMBER($AF$285),$B$252=1),$AF$285,HLOOKUP(INDIRECT(ADDRESS(2,COLUMN())),OFFSET($CL$2,0,0,ROW()-1,84),ROW()-1,FALSE))</f>
        <v/>
      </c>
      <c r="AG39">
        <f ca="1">IF(AND(ISNUMBER($AG$285),$B$252=1),$AG$285,HLOOKUP(INDIRECT(ADDRESS(2,COLUMN())),OFFSET($CL$2,0,0,ROW()-1,84),ROW()-1,FALSE))</f>
        <v>0.92274299999999998</v>
      </c>
      <c r="AH39" t="str">
        <f ca="1">IF(AND(ISNUMBER($AH$285),$B$252=1),$AH$285,HLOOKUP(INDIRECT(ADDRESS(2,COLUMN())),OFFSET($CL$2,0,0,ROW()-1,84),ROW()-1,FALSE))</f>
        <v/>
      </c>
      <c r="AI39" t="str">
        <f ca="1">IF(AND(ISNUMBER($AI$285),$B$252=1),$AI$285,HLOOKUP(INDIRECT(ADDRESS(2,COLUMN())),OFFSET($CL$2,0,0,ROW()-1,84),ROW()-1,FALSE))</f>
        <v/>
      </c>
      <c r="AJ39">
        <f ca="1">IF(AND(ISNUMBER($AJ$285),$B$252=1),$AJ$285,HLOOKUP(INDIRECT(ADDRESS(2,COLUMN())),OFFSET($CL$2,0,0,ROW()-1,84),ROW()-1,FALSE))</f>
        <v>0.871201</v>
      </c>
      <c r="AK39" t="str">
        <f ca="1">IF(AND(ISNUMBER($AK$285),$B$252=1),$AK$285,HLOOKUP(INDIRECT(ADDRESS(2,COLUMN())),OFFSET($CL$2,0,0,ROW()-1,84),ROW()-1,FALSE))</f>
        <v/>
      </c>
      <c r="AL39" t="str">
        <f ca="1">IF(AND(ISNUMBER($AL$285),$B$252=1),$AL$285,HLOOKUP(INDIRECT(ADDRESS(2,COLUMN())),OFFSET($CL$2,0,0,ROW()-1,84),ROW()-1,FALSE))</f>
        <v/>
      </c>
      <c r="AM39">
        <f ca="1">IF(AND(ISNUMBER($AM$285),$B$252=1),$AM$285,HLOOKUP(INDIRECT(ADDRESS(2,COLUMN())),OFFSET($CL$2,0,0,ROW()-1,84),ROW()-1,FALSE))</f>
        <v>0.89730699999999997</v>
      </c>
      <c r="AN39" t="str">
        <f ca="1">IF(AND(ISNUMBER($AN$285),$B$252=1),$AN$285,HLOOKUP(INDIRECT(ADDRESS(2,COLUMN())),OFFSET($CL$2,0,0,ROW()-1,84),ROW()-1,FALSE))</f>
        <v/>
      </c>
      <c r="AO39" t="str">
        <f ca="1">IF(AND(ISNUMBER($AO$285),$B$252=1),$AO$285,HLOOKUP(INDIRECT(ADDRESS(2,COLUMN())),OFFSET($CL$2,0,0,ROW()-1,84),ROW()-1,FALSE))</f>
        <v/>
      </c>
      <c r="AP39">
        <f ca="1">IF(AND(ISNUMBER($AP$285),$B$252=1),$AP$285,HLOOKUP(INDIRECT(ADDRESS(2,COLUMN())),OFFSET($CL$2,0,0,ROW()-1,84),ROW()-1,FALSE))</f>
        <v>0.79</v>
      </c>
      <c r="AQ39" t="str">
        <f ca="1">IF(AND(ISNUMBER($AQ$285),$B$252=1),$AQ$285,HLOOKUP(INDIRECT(ADDRESS(2,COLUMN())),OFFSET($CL$2,0,0,ROW()-1,84),ROW()-1,FALSE))</f>
        <v/>
      </c>
      <c r="AR39" t="str">
        <f ca="1">IF(AND(ISNUMBER($AR$285),$B$252=1),$AR$285,HLOOKUP(INDIRECT(ADDRESS(2,COLUMN())),OFFSET($CL$2,0,0,ROW()-1,84),ROW()-1,FALSE))</f>
        <v/>
      </c>
      <c r="AS39">
        <f ca="1">IF(AND(ISNUMBER($AS$285),$B$252=1),$AS$285,HLOOKUP(INDIRECT(ADDRESS(2,COLUMN())),OFFSET($CL$2,0,0,ROW()-1,84),ROW()-1,FALSE))</f>
        <v>0.87</v>
      </c>
      <c r="AT39" t="str">
        <f ca="1">IF(AND(ISNUMBER($AT$285),$B$252=1),$AT$285,HLOOKUP(INDIRECT(ADDRESS(2,COLUMN())),OFFSET($CL$2,0,0,ROW()-1,84),ROW()-1,FALSE))</f>
        <v/>
      </c>
      <c r="AU39" t="str">
        <f ca="1">IF(AND(ISNUMBER($AU$285),$B$252=1),$AU$285,HLOOKUP(INDIRECT(ADDRESS(2,COLUMN())),OFFSET($CL$2,0,0,ROW()-1,84),ROW()-1,FALSE))</f>
        <v/>
      </c>
      <c r="AV39">
        <f ca="1">IF(AND(ISNUMBER($AV$285),$B$252=1),$AV$285,HLOOKUP(INDIRECT(ADDRESS(2,COLUMN())),OFFSET($CL$2,0,0,ROW()-1,84),ROW()-1,FALSE))</f>
        <v>0.81</v>
      </c>
      <c r="AW39" t="str">
        <f ca="1">IF(AND(ISNUMBER($AW$285),$B$252=1),$AW$285,HLOOKUP(INDIRECT(ADDRESS(2,COLUMN())),OFFSET($CL$2,0,0,ROW()-1,84),ROW()-1,FALSE))</f>
        <v/>
      </c>
      <c r="AX39" t="str">
        <f ca="1">IF(AND(ISNUMBER($AX$285),$B$252=1),$AX$285,HLOOKUP(INDIRECT(ADDRESS(2,COLUMN())),OFFSET($CL$2,0,0,ROW()-1,84),ROW()-1,FALSE))</f>
        <v/>
      </c>
      <c r="AY39">
        <f ca="1">IF(AND(ISNUMBER($AY$285),$B$252=1),$AY$285,HLOOKUP(INDIRECT(ADDRESS(2,COLUMN())),OFFSET($CL$2,0,0,ROW()-1,84),ROW()-1,FALSE))</f>
        <v>0.77</v>
      </c>
      <c r="AZ39" t="str">
        <f ca="1">IF(AND(ISNUMBER($AZ$285),$B$252=1),$AZ$285,HLOOKUP(INDIRECT(ADDRESS(2,COLUMN())),OFFSET($CL$2,0,0,ROW()-1,84),ROW()-1,FALSE))</f>
        <v/>
      </c>
      <c r="BA39" t="str">
        <f ca="1">IF(AND(ISNUMBER($BA$285),$B$252=1),$BA$285,HLOOKUP(INDIRECT(ADDRESS(2,COLUMN())),OFFSET($CL$2,0,0,ROW()-1,84),ROW()-1,FALSE))</f>
        <v/>
      </c>
      <c r="BB39">
        <f ca="1">IF(AND(ISNUMBER($BB$285),$B$252=1),$BB$285,HLOOKUP(INDIRECT(ADDRESS(2,COLUMN())),OFFSET($CL$2,0,0,ROW()-1,84),ROW()-1,FALSE))</f>
        <v>0.71</v>
      </c>
      <c r="BC39" t="str">
        <f ca="1">IF(AND(ISNUMBER($BC$285),$B$252=1),$BC$285,HLOOKUP(INDIRECT(ADDRESS(2,COLUMN())),OFFSET($CL$2,0,0,ROW()-1,84),ROW()-1,FALSE))</f>
        <v/>
      </c>
      <c r="BD39" t="str">
        <f ca="1">IF(AND(ISNUMBER($BD$285),$B$252=1),$BD$285,HLOOKUP(INDIRECT(ADDRESS(2,COLUMN())),OFFSET($CL$2,0,0,ROW()-1,84),ROW()-1,FALSE))</f>
        <v/>
      </c>
      <c r="BE39">
        <f ca="1">IF(AND(ISNUMBER($BE$285),$B$252=1),$BE$285,HLOOKUP(INDIRECT(ADDRESS(2,COLUMN())),OFFSET($CL$2,0,0,ROW()-1,84),ROW()-1,FALSE))</f>
        <v>0.67</v>
      </c>
      <c r="BF39" t="str">
        <f ca="1">IF(AND(ISNUMBER($BF$285),$B$252=1),$BF$285,HLOOKUP(INDIRECT(ADDRESS(2,COLUMN())),OFFSET($CL$2,0,0,ROW()-1,84),ROW()-1,FALSE))</f>
        <v/>
      </c>
      <c r="BG39" t="str">
        <f ca="1">IF(AND(ISNUMBER($BG$285),$B$252=1),$BG$285,HLOOKUP(INDIRECT(ADDRESS(2,COLUMN())),OFFSET($CL$2,0,0,ROW()-1,84),ROW()-1,FALSE))</f>
        <v/>
      </c>
      <c r="BH39">
        <f ca="1">IF(AND(ISNUMBER($BH$285),$B$252=1),$BH$285,HLOOKUP(INDIRECT(ADDRESS(2,COLUMN())),OFFSET($CL$2,0,0,ROW()-1,84),ROW()-1,FALSE))</f>
        <v>0.71</v>
      </c>
      <c r="BI39" t="str">
        <f ca="1">IF(AND(ISNUMBER($BI$285),$B$252=1),$BI$285,HLOOKUP(INDIRECT(ADDRESS(2,COLUMN())),OFFSET($CL$2,0,0,ROW()-1,84),ROW()-1,FALSE))</f>
        <v/>
      </c>
      <c r="BJ39" t="str">
        <f ca="1">IF(AND(ISNUMBER($BJ$285),$B$252=1),$BJ$285,HLOOKUP(INDIRECT(ADDRESS(2,COLUMN())),OFFSET($CL$2,0,0,ROW()-1,84),ROW()-1,FALSE))</f>
        <v/>
      </c>
      <c r="BK39">
        <f ca="1">IF(AND(ISNUMBER($BK$285),$B$252=1),$BK$285,HLOOKUP(INDIRECT(ADDRESS(2,COLUMN())),OFFSET($CL$2,0,0,ROW()-1,84),ROW()-1,FALSE))</f>
        <v>0.73</v>
      </c>
      <c r="BL39" t="str">
        <f ca="1">IF(AND(ISNUMBER($BL$285),$B$252=1),$BL$285,HLOOKUP(INDIRECT(ADDRESS(2,COLUMN())),OFFSET($CL$2,0,0,ROW()-1,84),ROW()-1,FALSE))</f>
        <v/>
      </c>
      <c r="BM39" t="str">
        <f ca="1">IF(AND(ISNUMBER($BM$285),$B$252=1),$BM$285,HLOOKUP(INDIRECT(ADDRESS(2,COLUMN())),OFFSET($CL$2,0,0,ROW()-1,84),ROW()-1,FALSE))</f>
        <v/>
      </c>
      <c r="BN39">
        <f ca="1">IF(AND(ISNUMBER($BN$285),$B$252=1),$BN$285,HLOOKUP(INDIRECT(ADDRESS(2,COLUMN())),OFFSET($CL$2,0,0,ROW()-1,84),ROW()-1,FALSE))</f>
        <v>0.22</v>
      </c>
      <c r="BO39" t="str">
        <f ca="1">IF(AND(ISNUMBER($BO$285),$B$252=1),$BO$285,HLOOKUP(INDIRECT(ADDRESS(2,COLUMN())),OFFSET($CL$2,0,0,ROW()-1,84),ROW()-1,FALSE))</f>
        <v/>
      </c>
      <c r="BP39" t="str">
        <f ca="1">IF(AND(ISNUMBER($BP$285),$B$252=1),$BP$285,HLOOKUP(INDIRECT(ADDRESS(2,COLUMN())),OFFSET($CL$2,0,0,ROW()-1,84),ROW()-1,FALSE))</f>
        <v/>
      </c>
      <c r="BQ39">
        <f ca="1">IF(AND(ISNUMBER($BQ$285),$B$252=1),$BQ$285,HLOOKUP(INDIRECT(ADDRESS(2,COLUMN())),OFFSET($CL$2,0,0,ROW()-1,84),ROW()-1,FALSE))</f>
        <v>0.94</v>
      </c>
      <c r="BR39" t="str">
        <f ca="1">IF(AND(ISNUMBER($BR$285),$B$252=1),$BR$285,HLOOKUP(INDIRECT(ADDRESS(2,COLUMN())),OFFSET($CL$2,0,0,ROW()-1,84),ROW()-1,FALSE))</f>
        <v/>
      </c>
      <c r="BS39" t="str">
        <f ca="1">IF(AND(ISNUMBER($BS$285),$B$252=1),$BS$285,HLOOKUP(INDIRECT(ADDRESS(2,COLUMN())),OFFSET($CL$2,0,0,ROW()-1,84),ROW()-1,FALSE))</f>
        <v/>
      </c>
      <c r="BT39">
        <f ca="1">IF(AND(ISNUMBER($BT$285),$B$252=1),$BT$285,HLOOKUP(INDIRECT(ADDRESS(2,COLUMN())),OFFSET($CL$2,0,0,ROW()-1,84),ROW()-1,FALSE))</f>
        <v>0.92</v>
      </c>
      <c r="BU39" t="str">
        <f ca="1">IF(AND(ISNUMBER($BU$285),$B$252=1),$BU$285,HLOOKUP(INDIRECT(ADDRESS(2,COLUMN())),OFFSET($CL$2,0,0,ROW()-1,84),ROW()-1,FALSE))</f>
        <v/>
      </c>
      <c r="BV39" t="str">
        <f ca="1">IF(AND(ISNUMBER($BV$285),$B$252=1),$BV$285,HLOOKUP(INDIRECT(ADDRESS(2,COLUMN())),OFFSET($CL$2,0,0,ROW()-1,84),ROW()-1,FALSE))</f>
        <v/>
      </c>
      <c r="BW39">
        <f ca="1">IF(AND(ISNUMBER($BW$285),$B$252=1),$BW$285,HLOOKUP(INDIRECT(ADDRESS(2,COLUMN())),OFFSET($CL$2,0,0,ROW()-1,84),ROW()-1,FALSE))</f>
        <v>0.64</v>
      </c>
      <c r="BX39" t="str">
        <f ca="1">IF(AND(ISNUMBER($BX$285),$B$252=1),$BX$285,HLOOKUP(INDIRECT(ADDRESS(2,COLUMN())),OFFSET($CL$2,0,0,ROW()-1,84),ROW()-1,FALSE))</f>
        <v/>
      </c>
      <c r="BY39" t="str">
        <f ca="1">IF(AND(ISNUMBER($BY$285),$B$252=1),$BY$285,HLOOKUP(INDIRECT(ADDRESS(2,COLUMN())),OFFSET($CL$2,0,0,ROW()-1,84),ROW()-1,FALSE))</f>
        <v/>
      </c>
      <c r="BZ39">
        <f ca="1">IF(AND(ISNUMBER($BZ$285),$B$252=1),$BZ$285,HLOOKUP(INDIRECT(ADDRESS(2,COLUMN())),OFFSET($CL$2,0,0,ROW()-1,84),ROW()-1,FALSE))</f>
        <v>0.6</v>
      </c>
      <c r="CA39" t="str">
        <f ca="1">IF(AND(ISNUMBER($CA$285),$B$252=1),$CA$285,HLOOKUP(INDIRECT(ADDRESS(2,COLUMN())),OFFSET($CL$2,0,0,ROW()-1,84),ROW()-1,FALSE))</f>
        <v/>
      </c>
      <c r="CB39" t="str">
        <f ca="1">IF(AND(ISNUMBER($CB$285),$B$252=1),$CB$285,HLOOKUP(INDIRECT(ADDRESS(2,COLUMN())),OFFSET($CL$2,0,0,ROW()-1,84),ROW()-1,FALSE))</f>
        <v/>
      </c>
      <c r="CC39">
        <f ca="1">IF(AND(ISNUMBER($CC$285),$B$252=1),$CC$285,HLOOKUP(INDIRECT(ADDRESS(2,COLUMN())),OFFSET($CL$2,0,0,ROW()-1,84),ROW()-1,FALSE))</f>
        <v>0.64</v>
      </c>
      <c r="CD39" t="str">
        <f ca="1">IF(AND(ISNUMBER($CD$285),$B$252=1),$CD$285,HLOOKUP(INDIRECT(ADDRESS(2,COLUMN())),OFFSET($CL$2,0,0,ROW()-1,84),ROW()-1,FALSE))</f>
        <v/>
      </c>
      <c r="CE39" t="str">
        <f ca="1">IF(AND(ISNUMBER($CE$285),$B$252=1),$CE$285,HLOOKUP(INDIRECT(ADDRESS(2,COLUMN())),OFFSET($CL$2,0,0,ROW()-1,84),ROW()-1,FALSE))</f>
        <v/>
      </c>
      <c r="CF39">
        <f ca="1">IF(AND(ISNUMBER($CF$285),$B$252=1),$CF$285,HLOOKUP(INDIRECT(ADDRESS(2,COLUMN())),OFFSET($CL$2,0,0,ROW()-1,84),ROW()-1,FALSE))</f>
        <v>0.63</v>
      </c>
      <c r="CG39" t="str">
        <f ca="1">IF(AND(ISNUMBER($CG$285),$B$252=1),$CG$285,HLOOKUP(INDIRECT(ADDRESS(2,COLUMN())),OFFSET($CL$2,0,0,ROW()-1,84),ROW()-1,FALSE))</f>
        <v/>
      </c>
      <c r="CH39" t="str">
        <f ca="1">IF(AND(ISNUMBER($CH$285),$B$252=1),$CH$285,HLOOKUP(INDIRECT(ADDRESS(2,COLUMN())),OFFSET($CL$2,0,0,ROW()-1,84),ROW()-1,FALSE))</f>
        <v/>
      </c>
      <c r="CI39">
        <f ca="1">IF(AND(ISNUMBER($CI$285),$B$252=1),$CI$285,HLOOKUP(INDIRECT(ADDRESS(2,COLUMN())),OFFSET($CL$2,0,0,ROW()-1,84),ROW()-1,FALSE))</f>
        <v>0.57999999999999996</v>
      </c>
      <c r="CJ39" t="str">
        <f ca="1">IF(AND(ISNUMBER($CJ$285),$B$252=1),$CJ$285,HLOOKUP(INDIRECT(ADDRESS(2,COLUMN())),OFFSET($CL$2,0,0,ROW()-1,84),ROW()-1,FALSE))</f>
        <v/>
      </c>
      <c r="CK39" t="str">
        <f ca="1">IF(AND(ISNUMBER($CK$285),$B$252=1),$CK$285,HLOOKUP(INDIRECT(ADDRESS(2,COLUMN())),OFFSET($CL$2,0,0,ROW()-1,84),ROW()-1,FALSE))</f>
        <v/>
      </c>
      <c r="CL39" t="str">
        <f>""</f>
        <v/>
      </c>
      <c r="CM39" t="str">
        <f>""</f>
        <v/>
      </c>
      <c r="CN39" t="str">
        <f>""</f>
        <v/>
      </c>
      <c r="CO39">
        <f>0.82</f>
        <v>0.82</v>
      </c>
      <c r="CP39" t="str">
        <f>""</f>
        <v/>
      </c>
      <c r="CQ39" t="str">
        <f>""</f>
        <v/>
      </c>
      <c r="CR39">
        <f>0.81</f>
        <v>0.81</v>
      </c>
      <c r="CS39" t="str">
        <f>""</f>
        <v/>
      </c>
      <c r="CT39" t="str">
        <f>""</f>
        <v/>
      </c>
      <c r="CU39">
        <f>0.77</f>
        <v>0.77</v>
      </c>
      <c r="CV39" t="str">
        <f>""</f>
        <v/>
      </c>
      <c r="CW39" t="str">
        <f>""</f>
        <v/>
      </c>
      <c r="CX39">
        <f>0.76</f>
        <v>0.76</v>
      </c>
      <c r="CY39" t="str">
        <f>""</f>
        <v/>
      </c>
      <c r="CZ39" t="str">
        <f>""</f>
        <v/>
      </c>
      <c r="DA39">
        <f>0.8</f>
        <v>0.8</v>
      </c>
      <c r="DB39" t="str">
        <f>""</f>
        <v/>
      </c>
      <c r="DC39" t="str">
        <f>""</f>
        <v/>
      </c>
      <c r="DD39">
        <f>0.77</f>
        <v>0.77</v>
      </c>
      <c r="DE39" t="str">
        <f>""</f>
        <v/>
      </c>
      <c r="DF39" t="str">
        <f>""</f>
        <v/>
      </c>
      <c r="DG39">
        <f>0.9</f>
        <v>0.9</v>
      </c>
      <c r="DH39" t="str">
        <f>""</f>
        <v/>
      </c>
      <c r="DI39" t="str">
        <f>""</f>
        <v/>
      </c>
      <c r="DJ39">
        <f>0.47</f>
        <v>0.47</v>
      </c>
      <c r="DK39" t="str">
        <f>""</f>
        <v/>
      </c>
      <c r="DL39" t="str">
        <f>""</f>
        <v/>
      </c>
      <c r="DM39">
        <f>0.922743</f>
        <v>0.92274299999999998</v>
      </c>
      <c r="DN39" t="str">
        <f>""</f>
        <v/>
      </c>
      <c r="DO39" t="str">
        <f>""</f>
        <v/>
      </c>
      <c r="DP39">
        <f>0.871201</f>
        <v>0.871201</v>
      </c>
      <c r="DQ39" t="str">
        <f>""</f>
        <v/>
      </c>
      <c r="DR39" t="str">
        <f>""</f>
        <v/>
      </c>
      <c r="DS39">
        <f>0.897307</f>
        <v>0.89730699999999997</v>
      </c>
      <c r="DT39" t="str">
        <f>""</f>
        <v/>
      </c>
      <c r="DU39" t="str">
        <f>""</f>
        <v/>
      </c>
      <c r="DV39">
        <f>0.79</f>
        <v>0.79</v>
      </c>
      <c r="DW39" t="str">
        <f>""</f>
        <v/>
      </c>
      <c r="DX39" t="str">
        <f>""</f>
        <v/>
      </c>
      <c r="DY39">
        <f>0.87</f>
        <v>0.87</v>
      </c>
      <c r="DZ39" t="str">
        <f>""</f>
        <v/>
      </c>
      <c r="EA39" t="str">
        <f>""</f>
        <v/>
      </c>
      <c r="EB39">
        <f>0.81</f>
        <v>0.81</v>
      </c>
      <c r="EC39" t="str">
        <f>""</f>
        <v/>
      </c>
      <c r="ED39" t="str">
        <f>""</f>
        <v/>
      </c>
      <c r="EE39">
        <f>0.77</f>
        <v>0.77</v>
      </c>
      <c r="EF39" t="str">
        <f>""</f>
        <v/>
      </c>
      <c r="EG39" t="str">
        <f>""</f>
        <v/>
      </c>
      <c r="EH39">
        <f>0.71</f>
        <v>0.71</v>
      </c>
      <c r="EI39" t="str">
        <f>""</f>
        <v/>
      </c>
      <c r="EJ39" t="str">
        <f>""</f>
        <v/>
      </c>
      <c r="EK39">
        <f>0.67</f>
        <v>0.67</v>
      </c>
      <c r="EL39" t="str">
        <f>""</f>
        <v/>
      </c>
      <c r="EM39" t="str">
        <f>""</f>
        <v/>
      </c>
      <c r="EN39">
        <f>0.71</f>
        <v>0.71</v>
      </c>
      <c r="EO39" t="str">
        <f>""</f>
        <v/>
      </c>
      <c r="EP39" t="str">
        <f>""</f>
        <v/>
      </c>
      <c r="EQ39">
        <f>0.73</f>
        <v>0.73</v>
      </c>
      <c r="ER39" t="str">
        <f>""</f>
        <v/>
      </c>
      <c r="ES39" t="str">
        <f>""</f>
        <v/>
      </c>
      <c r="ET39">
        <f>0.22</f>
        <v>0.22</v>
      </c>
      <c r="EU39" t="str">
        <f>""</f>
        <v/>
      </c>
      <c r="EV39" t="str">
        <f>""</f>
        <v/>
      </c>
      <c r="EW39">
        <f>0.94</f>
        <v>0.94</v>
      </c>
      <c r="EX39" t="str">
        <f>""</f>
        <v/>
      </c>
      <c r="EY39" t="str">
        <f>""</f>
        <v/>
      </c>
      <c r="EZ39">
        <f>0.92</f>
        <v>0.92</v>
      </c>
      <c r="FA39" t="str">
        <f>""</f>
        <v/>
      </c>
      <c r="FB39" t="str">
        <f>""</f>
        <v/>
      </c>
      <c r="FC39">
        <f>0.64</f>
        <v>0.64</v>
      </c>
      <c r="FD39" t="str">
        <f>""</f>
        <v/>
      </c>
      <c r="FE39" t="str">
        <f>""</f>
        <v/>
      </c>
      <c r="FF39">
        <f>0.6</f>
        <v>0.6</v>
      </c>
      <c r="FG39" t="str">
        <f>""</f>
        <v/>
      </c>
      <c r="FH39" t="str">
        <f>""</f>
        <v/>
      </c>
      <c r="FI39">
        <f>0.64</f>
        <v>0.64</v>
      </c>
      <c r="FJ39" t="str">
        <f>""</f>
        <v/>
      </c>
      <c r="FK39" t="str">
        <f>""</f>
        <v/>
      </c>
      <c r="FL39">
        <f>0.63</f>
        <v>0.63</v>
      </c>
      <c r="FM39" t="str">
        <f>""</f>
        <v/>
      </c>
      <c r="FN39" t="str">
        <f>""</f>
        <v/>
      </c>
      <c r="FO39">
        <f>0.58</f>
        <v>0.57999999999999996</v>
      </c>
      <c r="FP39" t="str">
        <f>""</f>
        <v/>
      </c>
      <c r="FQ39" t="str">
        <f>""</f>
        <v/>
      </c>
    </row>
    <row r="40" spans="1:173">
      <c r="A40" t="str">
        <f>"    埃塞克斯房地产信托公司"</f>
        <v xml:space="preserve">    埃塞克斯房地产信托公司</v>
      </c>
      <c r="B40" t="str">
        <f>"ESS US Equity"</f>
        <v>ESS US Equity</v>
      </c>
      <c r="C40" t="str">
        <f t="shared" si="12"/>
        <v>CF065</v>
      </c>
      <c r="D40" t="str">
        <f t="shared" si="13"/>
        <v>CF_FFO_PER_SH_DILUTED</v>
      </c>
      <c r="E40" t="str">
        <f t="shared" si="14"/>
        <v>动态</v>
      </c>
      <c r="F40" t="str">
        <f ca="1">IF(AND(ISNUMBER($F$286),$B$252=1),$F$286,HLOOKUP(INDIRECT(ADDRESS(2,COLUMN())),OFFSET($CL$2,0,0,ROW()-1,84),ROW()-1,FALSE))</f>
        <v/>
      </c>
      <c r="G40" t="str">
        <f ca="1">IF(AND(ISNUMBER($G$286),$B$252=1),$G$286,HLOOKUP(INDIRECT(ADDRESS(2,COLUMN())),OFFSET($CL$2,0,0,ROW()-1,84),ROW()-1,FALSE))</f>
        <v/>
      </c>
      <c r="H40" t="str">
        <f ca="1">IF(AND(ISNUMBER($H$286),$B$252=1),$H$286,HLOOKUP(INDIRECT(ADDRESS(2,COLUMN())),OFFSET($CL$2,0,0,ROW()-1,84),ROW()-1,FALSE))</f>
        <v/>
      </c>
      <c r="I40">
        <f ca="1">IF(AND(ISNUMBER($I$286),$B$252=1),$I$286,HLOOKUP(INDIRECT(ADDRESS(2,COLUMN())),OFFSET($CL$2,0,0,ROW()-1,84),ROW()-1,FALSE))</f>
        <v>3.01</v>
      </c>
      <c r="J40" t="str">
        <f ca="1">IF(AND(ISNUMBER($J$286),$B$252=1),$J$286,HLOOKUP(INDIRECT(ADDRESS(2,COLUMN())),OFFSET($CL$2,0,0,ROW()-1,84),ROW()-1,FALSE))</f>
        <v/>
      </c>
      <c r="K40" t="str">
        <f ca="1">IF(AND(ISNUMBER($K$286),$B$252=1),$K$286,HLOOKUP(INDIRECT(ADDRESS(2,COLUMN())),OFFSET($CL$2,0,0,ROW()-1,84),ROW()-1,FALSE))</f>
        <v/>
      </c>
      <c r="L40">
        <f ca="1">IF(AND(ISNUMBER($L$286),$B$252=1),$L$286,HLOOKUP(INDIRECT(ADDRESS(2,COLUMN())),OFFSET($CL$2,0,0,ROW()-1,84),ROW()-1,FALSE))</f>
        <v>2.9756019999999999</v>
      </c>
      <c r="M40" t="str">
        <f ca="1">IF(AND(ISNUMBER($M$286),$B$252=1),$M$286,HLOOKUP(INDIRECT(ADDRESS(2,COLUMN())),OFFSET($CL$2,0,0,ROW()-1,84),ROW()-1,FALSE))</f>
        <v/>
      </c>
      <c r="N40" t="str">
        <f ca="1">IF(AND(ISNUMBER($N$286),$B$252=1),$N$286,HLOOKUP(INDIRECT(ADDRESS(2,COLUMN())),OFFSET($CL$2,0,0,ROW()-1,84),ROW()-1,FALSE))</f>
        <v/>
      </c>
      <c r="O40">
        <f ca="1">IF(AND(ISNUMBER($O$286),$B$252=1),$O$286,HLOOKUP(INDIRECT(ADDRESS(2,COLUMN())),OFFSET($CL$2,0,0,ROW()-1,84),ROW()-1,FALSE))</f>
        <v>2.9724750000000002</v>
      </c>
      <c r="P40" t="str">
        <f ca="1">IF(AND(ISNUMBER($P$286),$B$252=1),$P$286,HLOOKUP(INDIRECT(ADDRESS(2,COLUMN())),OFFSET($CL$2,0,0,ROW()-1,84),ROW()-1,FALSE))</f>
        <v/>
      </c>
      <c r="Q40" t="str">
        <f ca="1">IF(AND(ISNUMBER($Q$286),$B$252=1),$Q$286,HLOOKUP(INDIRECT(ADDRESS(2,COLUMN())),OFFSET($CL$2,0,0,ROW()-1,84),ROW()-1,FALSE))</f>
        <v/>
      </c>
      <c r="R40">
        <f ca="1">IF(AND(ISNUMBER($R$286),$B$252=1),$R$286,HLOOKUP(INDIRECT(ADDRESS(2,COLUMN())),OFFSET($CL$2,0,0,ROW()-1,84),ROW()-1,FALSE))</f>
        <v>2.95</v>
      </c>
      <c r="S40" t="str">
        <f ca="1">IF(AND(ISNUMBER($S$286),$B$252=1),$S$286,HLOOKUP(INDIRECT(ADDRESS(2,COLUMN())),OFFSET($CL$2,0,0,ROW()-1,84),ROW()-1,FALSE))</f>
        <v/>
      </c>
      <c r="T40" t="str">
        <f ca="1">IF(AND(ISNUMBER($T$286),$B$252=1),$T$286,HLOOKUP(INDIRECT(ADDRESS(2,COLUMN())),OFFSET($CL$2,0,0,ROW()-1,84),ROW()-1,FALSE))</f>
        <v/>
      </c>
      <c r="U40">
        <f ca="1">IF(AND(ISNUMBER($U$286),$B$252=1),$U$286,HLOOKUP(INDIRECT(ADDRESS(2,COLUMN())),OFFSET($CL$2,0,0,ROW()-1,84),ROW()-1,FALSE))</f>
        <v>2.85</v>
      </c>
      <c r="V40" t="str">
        <f ca="1">IF(AND(ISNUMBER($V$286),$B$252=1),$V$286,HLOOKUP(INDIRECT(ADDRESS(2,COLUMN())),OFFSET($CL$2,0,0,ROW()-1,84),ROW()-1,FALSE))</f>
        <v/>
      </c>
      <c r="W40" t="str">
        <f ca="1">IF(AND(ISNUMBER($W$286),$B$252=1),$W$286,HLOOKUP(INDIRECT(ADDRESS(2,COLUMN())),OFFSET($CL$2,0,0,ROW()-1,84),ROW()-1,FALSE))</f>
        <v/>
      </c>
      <c r="X40">
        <f ca="1">IF(AND(ISNUMBER($X$286),$B$252=1),$X$286,HLOOKUP(INDIRECT(ADDRESS(2,COLUMN())),OFFSET($CL$2,0,0,ROW()-1,84),ROW()-1,FALSE))</f>
        <v>2.81</v>
      </c>
      <c r="Y40" t="str">
        <f ca="1">IF(AND(ISNUMBER($Y$286),$B$252=1),$Y$286,HLOOKUP(INDIRECT(ADDRESS(2,COLUMN())),OFFSET($CL$2,0,0,ROW()-1,84),ROW()-1,FALSE))</f>
        <v/>
      </c>
      <c r="Z40" t="str">
        <f ca="1">IF(AND(ISNUMBER($Z$286),$B$252=1),$Z$286,HLOOKUP(INDIRECT(ADDRESS(2,COLUMN())),OFFSET($CL$2,0,0,ROW()-1,84),ROW()-1,FALSE))</f>
        <v/>
      </c>
      <c r="AA40">
        <f ca="1">IF(AND(ISNUMBER($AA$286),$B$252=1),$AA$286,HLOOKUP(INDIRECT(ADDRESS(2,COLUMN())),OFFSET($CL$2,0,0,ROW()-1,84),ROW()-1,FALSE))</f>
        <v>2.814219</v>
      </c>
      <c r="AB40" t="str">
        <f ca="1">IF(AND(ISNUMBER($AB$286),$B$252=1),$AB$286,HLOOKUP(INDIRECT(ADDRESS(2,COLUMN())),OFFSET($CL$2,0,0,ROW()-1,84),ROW()-1,FALSE))</f>
        <v/>
      </c>
      <c r="AC40" t="str">
        <f ca="1">IF(AND(ISNUMBER($AC$286),$B$252=1),$AC$286,HLOOKUP(INDIRECT(ADDRESS(2,COLUMN())),OFFSET($CL$2,0,0,ROW()-1,84),ROW()-1,FALSE))</f>
        <v/>
      </c>
      <c r="AD40">
        <f ca="1">IF(AND(ISNUMBER($AD$286),$B$252=1),$AD$286,HLOOKUP(INDIRECT(ADDRESS(2,COLUMN())),OFFSET($CL$2,0,0,ROW()-1,84),ROW()-1,FALSE))</f>
        <v>2.64</v>
      </c>
      <c r="AE40" t="str">
        <f ca="1">IF(AND(ISNUMBER($AE$286),$B$252=1),$AE$286,HLOOKUP(INDIRECT(ADDRESS(2,COLUMN())),OFFSET($CL$2,0,0,ROW()-1,84),ROW()-1,FALSE))</f>
        <v/>
      </c>
      <c r="AF40" t="str">
        <f ca="1">IF(AND(ISNUMBER($AF$286),$B$252=1),$AF$286,HLOOKUP(INDIRECT(ADDRESS(2,COLUMN())),OFFSET($CL$2,0,0,ROW()-1,84),ROW()-1,FALSE))</f>
        <v/>
      </c>
      <c r="AG40">
        <f ca="1">IF(AND(ISNUMBER($AG$286),$B$252=1),$AG$286,HLOOKUP(INDIRECT(ADDRESS(2,COLUMN())),OFFSET($CL$2,0,0,ROW()-1,84),ROW()-1,FALSE))</f>
        <v>2.5291679999999999</v>
      </c>
      <c r="AH40" t="str">
        <f ca="1">IF(AND(ISNUMBER($AH$286),$B$252=1),$AH$286,HLOOKUP(INDIRECT(ADDRESS(2,COLUMN())),OFFSET($CL$2,0,0,ROW()-1,84),ROW()-1,FALSE))</f>
        <v/>
      </c>
      <c r="AI40" t="str">
        <f ca="1">IF(AND(ISNUMBER($AI$286),$B$252=1),$AI$286,HLOOKUP(INDIRECT(ADDRESS(2,COLUMN())),OFFSET($CL$2,0,0,ROW()-1,84),ROW()-1,FALSE))</f>
        <v/>
      </c>
      <c r="AJ40">
        <f ca="1">IF(AND(ISNUMBER($AJ$286),$B$252=1),$AJ$286,HLOOKUP(INDIRECT(ADDRESS(2,COLUMN())),OFFSET($CL$2,0,0,ROW()-1,84),ROW()-1,FALSE))</f>
        <v>2.530484</v>
      </c>
      <c r="AK40" t="str">
        <f ca="1">IF(AND(ISNUMBER($AK$286),$B$252=1),$AK$286,HLOOKUP(INDIRECT(ADDRESS(2,COLUMN())),OFFSET($CL$2,0,0,ROW()-1,84),ROW()-1,FALSE))</f>
        <v/>
      </c>
      <c r="AL40" t="str">
        <f ca="1">IF(AND(ISNUMBER($AL$286),$B$252=1),$AL$286,HLOOKUP(INDIRECT(ADDRESS(2,COLUMN())),OFFSET($CL$2,0,0,ROW()-1,84),ROW()-1,FALSE))</f>
        <v/>
      </c>
      <c r="AM40">
        <f ca="1">IF(AND(ISNUMBER($AM$286),$B$252=1),$AM$286,HLOOKUP(INDIRECT(ADDRESS(2,COLUMN())),OFFSET($CL$2,0,0,ROW()-1,84),ROW()-1,FALSE))</f>
        <v>2.3818769999999998</v>
      </c>
      <c r="AN40" t="str">
        <f ca="1">IF(AND(ISNUMBER($AN$286),$B$252=1),$AN$286,HLOOKUP(INDIRECT(ADDRESS(2,COLUMN())),OFFSET($CL$2,0,0,ROW()-1,84),ROW()-1,FALSE))</f>
        <v/>
      </c>
      <c r="AO40" t="str">
        <f ca="1">IF(AND(ISNUMBER($AO$286),$B$252=1),$AO$286,HLOOKUP(INDIRECT(ADDRESS(2,COLUMN())),OFFSET($CL$2,0,0,ROW()-1,84),ROW()-1,FALSE))</f>
        <v/>
      </c>
      <c r="AP40">
        <f ca="1">IF(AND(ISNUMBER($AP$286),$B$252=1),$AP$286,HLOOKUP(INDIRECT(ADDRESS(2,COLUMN())),OFFSET($CL$2,0,0,ROW()-1,84),ROW()-1,FALSE))</f>
        <v>2.27</v>
      </c>
      <c r="AQ40" t="str">
        <f ca="1">IF(AND(ISNUMBER($AQ$286),$B$252=1),$AQ$286,HLOOKUP(INDIRECT(ADDRESS(2,COLUMN())),OFFSET($CL$2,0,0,ROW()-1,84),ROW()-1,FALSE))</f>
        <v/>
      </c>
      <c r="AR40" t="str">
        <f ca="1">IF(AND(ISNUMBER($AR$286),$B$252=1),$AR$286,HLOOKUP(INDIRECT(ADDRESS(2,COLUMN())),OFFSET($CL$2,0,0,ROW()-1,84),ROW()-1,FALSE))</f>
        <v/>
      </c>
      <c r="AS40">
        <f ca="1">IF(AND(ISNUMBER($AS$286),$B$252=1),$AS$286,HLOOKUP(INDIRECT(ADDRESS(2,COLUMN())),OFFSET($CL$2,0,0,ROW()-1,84),ROW()-1,FALSE))</f>
        <v>2.2928109999999999</v>
      </c>
      <c r="AT40" t="str">
        <f ca="1">IF(AND(ISNUMBER($AT$286),$B$252=1),$AT$286,HLOOKUP(INDIRECT(ADDRESS(2,COLUMN())),OFFSET($CL$2,0,0,ROW()-1,84),ROW()-1,FALSE))</f>
        <v/>
      </c>
      <c r="AU40" t="str">
        <f ca="1">IF(AND(ISNUMBER($AU$286),$B$252=1),$AU$286,HLOOKUP(INDIRECT(ADDRESS(2,COLUMN())),OFFSET($CL$2,0,0,ROW()-1,84),ROW()-1,FALSE))</f>
        <v/>
      </c>
      <c r="AV40">
        <f ca="1">IF(AND(ISNUMBER($AV$286),$B$252=1),$AV$286,HLOOKUP(INDIRECT(ADDRESS(2,COLUMN())),OFFSET($CL$2,0,0,ROW()-1,84),ROW()-1,FALSE))</f>
        <v>2.081286</v>
      </c>
      <c r="AW40" t="str">
        <f ca="1">IF(AND(ISNUMBER($AW$286),$B$252=1),$AW$286,HLOOKUP(INDIRECT(ADDRESS(2,COLUMN())),OFFSET($CL$2,0,0,ROW()-1,84),ROW()-1,FALSE))</f>
        <v/>
      </c>
      <c r="AX40" t="str">
        <f ca="1">IF(AND(ISNUMBER($AX$286),$B$252=1),$AX$286,HLOOKUP(INDIRECT(ADDRESS(2,COLUMN())),OFFSET($CL$2,0,0,ROW()-1,84),ROW()-1,FALSE))</f>
        <v/>
      </c>
      <c r="AY40">
        <f ca="1">IF(AND(ISNUMBER($AY$286),$B$252=1),$AY$286,HLOOKUP(INDIRECT(ADDRESS(2,COLUMN())),OFFSET($CL$2,0,0,ROW()-1,84),ROW()-1,FALSE))</f>
        <v>1.7167539999999999</v>
      </c>
      <c r="AZ40" t="str">
        <f ca="1">IF(AND(ISNUMBER($AZ$286),$B$252=1),$AZ$286,HLOOKUP(INDIRECT(ADDRESS(2,COLUMN())),OFFSET($CL$2,0,0,ROW()-1,84),ROW()-1,FALSE))</f>
        <v/>
      </c>
      <c r="BA40" t="str">
        <f ca="1">IF(AND(ISNUMBER($BA$286),$B$252=1),$BA$286,HLOOKUP(INDIRECT(ADDRESS(2,COLUMN())),OFFSET($CL$2,0,0,ROW()-1,84),ROW()-1,FALSE))</f>
        <v/>
      </c>
      <c r="BB40">
        <f ca="1">IF(AND(ISNUMBER($BB$286),$B$252=1),$BB$286,HLOOKUP(INDIRECT(ADDRESS(2,COLUMN())),OFFSET($CL$2,0,0,ROW()-1,84),ROW()-1,FALSE))</f>
        <v>1.68</v>
      </c>
      <c r="BC40" t="str">
        <f ca="1">IF(AND(ISNUMBER($BC$286),$B$252=1),$BC$286,HLOOKUP(INDIRECT(ADDRESS(2,COLUMN())),OFFSET($CL$2,0,0,ROW()-1,84),ROW()-1,FALSE))</f>
        <v/>
      </c>
      <c r="BD40" t="str">
        <f ca="1">IF(AND(ISNUMBER($BD$286),$B$252=1),$BD$286,HLOOKUP(INDIRECT(ADDRESS(2,COLUMN())),OFFSET($CL$2,0,0,ROW()-1,84),ROW()-1,FALSE))</f>
        <v/>
      </c>
      <c r="BE40">
        <f ca="1">IF(AND(ISNUMBER($BE$286),$B$252=1),$BE$286,HLOOKUP(INDIRECT(ADDRESS(2,COLUMN())),OFFSET($CL$2,0,0,ROW()-1,84),ROW()-1,FALSE))</f>
        <v>1.794956</v>
      </c>
      <c r="BF40" t="str">
        <f ca="1">IF(AND(ISNUMBER($BF$286),$B$252=1),$BF$286,HLOOKUP(INDIRECT(ADDRESS(2,COLUMN())),OFFSET($CL$2,0,0,ROW()-1,84),ROW()-1,FALSE))</f>
        <v/>
      </c>
      <c r="BG40" t="str">
        <f ca="1">IF(AND(ISNUMBER($BG$286),$B$252=1),$BG$286,HLOOKUP(INDIRECT(ADDRESS(2,COLUMN())),OFFSET($CL$2,0,0,ROW()-1,84),ROW()-1,FALSE))</f>
        <v/>
      </c>
      <c r="BH40">
        <f ca="1">IF(AND(ISNUMBER($BH$286),$B$252=1),$BH$286,HLOOKUP(INDIRECT(ADDRESS(2,COLUMN())),OFFSET($CL$2,0,0,ROW()-1,84),ROW()-1,FALSE))</f>
        <v>1.910226</v>
      </c>
      <c r="BI40" t="str">
        <f ca="1">IF(AND(ISNUMBER($BI$286),$B$252=1),$BI$286,HLOOKUP(INDIRECT(ADDRESS(2,COLUMN())),OFFSET($CL$2,0,0,ROW()-1,84),ROW()-1,FALSE))</f>
        <v/>
      </c>
      <c r="BJ40" t="str">
        <f ca="1">IF(AND(ISNUMBER($BJ$286),$B$252=1),$BJ$286,HLOOKUP(INDIRECT(ADDRESS(2,COLUMN())),OFFSET($CL$2,0,0,ROW()-1,84),ROW()-1,FALSE))</f>
        <v/>
      </c>
      <c r="BK40">
        <f ca="1">IF(AND(ISNUMBER($BK$286),$B$252=1),$BK$286,HLOOKUP(INDIRECT(ADDRESS(2,COLUMN())),OFFSET($CL$2,0,0,ROW()-1,84),ROW()-1,FALSE))</f>
        <v>1.910353</v>
      </c>
      <c r="BL40" t="str">
        <f ca="1">IF(AND(ISNUMBER($BL$286),$B$252=1),$BL$286,HLOOKUP(INDIRECT(ADDRESS(2,COLUMN())),OFFSET($CL$2,0,0,ROW()-1,84),ROW()-1,FALSE))</f>
        <v/>
      </c>
      <c r="BM40" t="str">
        <f ca="1">IF(AND(ISNUMBER($BM$286),$B$252=1),$BM$286,HLOOKUP(INDIRECT(ADDRESS(2,COLUMN())),OFFSET($CL$2,0,0,ROW()-1,84),ROW()-1,FALSE))</f>
        <v/>
      </c>
      <c r="BN40">
        <f ca="1">IF(AND(ISNUMBER($BN$286),$B$252=1),$BN$286,HLOOKUP(INDIRECT(ADDRESS(2,COLUMN())),OFFSET($CL$2,0,0,ROW()-1,84),ROW()-1,FALSE))</f>
        <v>1.97</v>
      </c>
      <c r="BO40" t="str">
        <f ca="1">IF(AND(ISNUMBER($BO$286),$B$252=1),$BO$286,HLOOKUP(INDIRECT(ADDRESS(2,COLUMN())),OFFSET($CL$2,0,0,ROW()-1,84),ROW()-1,FALSE))</f>
        <v/>
      </c>
      <c r="BP40" t="str">
        <f ca="1">IF(AND(ISNUMBER($BP$286),$B$252=1),$BP$286,HLOOKUP(INDIRECT(ADDRESS(2,COLUMN())),OFFSET($CL$2,0,0,ROW()-1,84),ROW()-1,FALSE))</f>
        <v/>
      </c>
      <c r="BQ40">
        <f ca="1">IF(AND(ISNUMBER($BQ$286),$B$252=1),$BQ$286,HLOOKUP(INDIRECT(ADDRESS(2,COLUMN())),OFFSET($CL$2,0,0,ROW()-1,84),ROW()-1,FALSE))</f>
        <v>1.7158580000000001</v>
      </c>
      <c r="BR40" t="str">
        <f ca="1">IF(AND(ISNUMBER($BR$286),$B$252=1),$BR$286,HLOOKUP(INDIRECT(ADDRESS(2,COLUMN())),OFFSET($CL$2,0,0,ROW()-1,84),ROW()-1,FALSE))</f>
        <v/>
      </c>
      <c r="BS40" t="str">
        <f ca="1">IF(AND(ISNUMBER($BS$286),$B$252=1),$BS$286,HLOOKUP(INDIRECT(ADDRESS(2,COLUMN())),OFFSET($CL$2,0,0,ROW()-1,84),ROW()-1,FALSE))</f>
        <v/>
      </c>
      <c r="BT40">
        <f ca="1">IF(AND(ISNUMBER($BT$286),$B$252=1),$BT$286,HLOOKUP(INDIRECT(ADDRESS(2,COLUMN())),OFFSET($CL$2,0,0,ROW()-1,84),ROW()-1,FALSE))</f>
        <v>1.6715949999999999</v>
      </c>
      <c r="BU40" t="str">
        <f ca="1">IF(AND(ISNUMBER($BU$286),$B$252=1),$BU$286,HLOOKUP(INDIRECT(ADDRESS(2,COLUMN())),OFFSET($CL$2,0,0,ROW()-1,84),ROW()-1,FALSE))</f>
        <v/>
      </c>
      <c r="BV40" t="str">
        <f ca="1">IF(AND(ISNUMBER($BV$286),$B$252=1),$BV$286,HLOOKUP(INDIRECT(ADDRESS(2,COLUMN())),OFFSET($CL$2,0,0,ROW()-1,84),ROW()-1,FALSE))</f>
        <v/>
      </c>
      <c r="BW40">
        <f ca="1">IF(AND(ISNUMBER($BW$286),$B$252=1),$BW$286,HLOOKUP(INDIRECT(ADDRESS(2,COLUMN())),OFFSET($CL$2,0,0,ROW()-1,84),ROW()-1,FALSE))</f>
        <v>1.6938070000000001</v>
      </c>
      <c r="BX40" t="str">
        <f ca="1">IF(AND(ISNUMBER($BX$286),$B$252=1),$BX$286,HLOOKUP(INDIRECT(ADDRESS(2,COLUMN())),OFFSET($CL$2,0,0,ROW()-1,84),ROW()-1,FALSE))</f>
        <v/>
      </c>
      <c r="BY40" t="str">
        <f ca="1">IF(AND(ISNUMBER($BY$286),$B$252=1),$BY$286,HLOOKUP(INDIRECT(ADDRESS(2,COLUMN())),OFFSET($CL$2,0,0,ROW()-1,84),ROW()-1,FALSE))</f>
        <v/>
      </c>
      <c r="BZ40">
        <f ca="1">IF(AND(ISNUMBER($BZ$286),$B$252=1),$BZ$286,HLOOKUP(INDIRECT(ADDRESS(2,COLUMN())),OFFSET($CL$2,0,0,ROW()-1,84),ROW()-1,FALSE))</f>
        <v>1.63</v>
      </c>
      <c r="CA40" t="str">
        <f ca="1">IF(AND(ISNUMBER($CA$286),$B$252=1),$CA$286,HLOOKUP(INDIRECT(ADDRESS(2,COLUMN())),OFFSET($CL$2,0,0,ROW()-1,84),ROW()-1,FALSE))</f>
        <v/>
      </c>
      <c r="CB40" t="str">
        <f ca="1">IF(AND(ISNUMBER($CB$286),$B$252=1),$CB$286,HLOOKUP(INDIRECT(ADDRESS(2,COLUMN())),OFFSET($CL$2,0,0,ROW()-1,84),ROW()-1,FALSE))</f>
        <v/>
      </c>
      <c r="CC40">
        <f ca="1">IF(AND(ISNUMBER($CC$286),$B$252=1),$CC$286,HLOOKUP(INDIRECT(ADDRESS(2,COLUMN())),OFFSET($CL$2,0,0,ROW()-1,84),ROW()-1,FALSE))</f>
        <v>1.550068</v>
      </c>
      <c r="CD40" t="str">
        <f ca="1">IF(AND(ISNUMBER($CD$286),$B$252=1),$CD$286,HLOOKUP(INDIRECT(ADDRESS(2,COLUMN())),OFFSET($CL$2,0,0,ROW()-1,84),ROW()-1,FALSE))</f>
        <v/>
      </c>
      <c r="CE40" t="str">
        <f ca="1">IF(AND(ISNUMBER($CE$286),$B$252=1),$CE$286,HLOOKUP(INDIRECT(ADDRESS(2,COLUMN())),OFFSET($CL$2,0,0,ROW()-1,84),ROW()-1,FALSE))</f>
        <v/>
      </c>
      <c r="CF40">
        <f ca="1">IF(AND(ISNUMBER($CF$286),$B$252=1),$CF$286,HLOOKUP(INDIRECT(ADDRESS(2,COLUMN())),OFFSET($CL$2,0,0,ROW()-1,84),ROW()-1,FALSE))</f>
        <v>1.43</v>
      </c>
      <c r="CG40" t="str">
        <f ca="1">IF(AND(ISNUMBER($CG$286),$B$252=1),$CG$286,HLOOKUP(INDIRECT(ADDRESS(2,COLUMN())),OFFSET($CL$2,0,0,ROW()-1,84),ROW()-1,FALSE))</f>
        <v/>
      </c>
      <c r="CH40" t="str">
        <f ca="1">IF(AND(ISNUMBER($CH$286),$B$252=1),$CH$286,HLOOKUP(INDIRECT(ADDRESS(2,COLUMN())),OFFSET($CL$2,0,0,ROW()-1,84),ROW()-1,FALSE))</f>
        <v/>
      </c>
      <c r="CI40">
        <f ca="1">IF(AND(ISNUMBER($CI$286),$B$252=1),$CI$286,HLOOKUP(INDIRECT(ADDRESS(2,COLUMN())),OFFSET($CL$2,0,0,ROW()-1,84),ROW()-1,FALSE))</f>
        <v>1.32</v>
      </c>
      <c r="CJ40" t="str">
        <f ca="1">IF(AND(ISNUMBER($CJ$286),$B$252=1),$CJ$286,HLOOKUP(INDIRECT(ADDRESS(2,COLUMN())),OFFSET($CL$2,0,0,ROW()-1,84),ROW()-1,FALSE))</f>
        <v/>
      </c>
      <c r="CK40" t="str">
        <f ca="1">IF(AND(ISNUMBER($CK$286),$B$252=1),$CK$286,HLOOKUP(INDIRECT(ADDRESS(2,COLUMN())),OFFSET($CL$2,0,0,ROW()-1,84),ROW()-1,FALSE))</f>
        <v/>
      </c>
      <c r="CL40" t="str">
        <f>""</f>
        <v/>
      </c>
      <c r="CM40" t="str">
        <f>""</f>
        <v/>
      </c>
      <c r="CN40" t="str">
        <f>""</f>
        <v/>
      </c>
      <c r="CO40">
        <f>3.01</f>
        <v>3.01</v>
      </c>
      <c r="CP40" t="str">
        <f>""</f>
        <v/>
      </c>
      <c r="CQ40" t="str">
        <f>""</f>
        <v/>
      </c>
      <c r="CR40">
        <f>2.975602</f>
        <v>2.9756019999999999</v>
      </c>
      <c r="CS40" t="str">
        <f>""</f>
        <v/>
      </c>
      <c r="CT40" t="str">
        <f>""</f>
        <v/>
      </c>
      <c r="CU40">
        <f>2.972475</f>
        <v>2.9724750000000002</v>
      </c>
      <c r="CV40" t="str">
        <f>""</f>
        <v/>
      </c>
      <c r="CW40" t="str">
        <f>""</f>
        <v/>
      </c>
      <c r="CX40">
        <f>2.95</f>
        <v>2.95</v>
      </c>
      <c r="CY40" t="str">
        <f>""</f>
        <v/>
      </c>
      <c r="CZ40" t="str">
        <f>""</f>
        <v/>
      </c>
      <c r="DA40">
        <f>2.85</f>
        <v>2.85</v>
      </c>
      <c r="DB40" t="str">
        <f>""</f>
        <v/>
      </c>
      <c r="DC40" t="str">
        <f>""</f>
        <v/>
      </c>
      <c r="DD40">
        <f>2.81</f>
        <v>2.81</v>
      </c>
      <c r="DE40" t="str">
        <f>""</f>
        <v/>
      </c>
      <c r="DF40" t="str">
        <f>""</f>
        <v/>
      </c>
      <c r="DG40">
        <f>2.814219</f>
        <v>2.814219</v>
      </c>
      <c r="DH40" t="str">
        <f>""</f>
        <v/>
      </c>
      <c r="DI40" t="str">
        <f>""</f>
        <v/>
      </c>
      <c r="DJ40">
        <f>2.64</f>
        <v>2.64</v>
      </c>
      <c r="DK40" t="str">
        <f>""</f>
        <v/>
      </c>
      <c r="DL40" t="str">
        <f>""</f>
        <v/>
      </c>
      <c r="DM40">
        <f>2.529168</f>
        <v>2.5291679999999999</v>
      </c>
      <c r="DN40" t="str">
        <f>""</f>
        <v/>
      </c>
      <c r="DO40" t="str">
        <f>""</f>
        <v/>
      </c>
      <c r="DP40">
        <f>2.530484</f>
        <v>2.530484</v>
      </c>
      <c r="DQ40" t="str">
        <f>""</f>
        <v/>
      </c>
      <c r="DR40" t="str">
        <f>""</f>
        <v/>
      </c>
      <c r="DS40">
        <f>2.381877</f>
        <v>2.3818769999999998</v>
      </c>
      <c r="DT40" t="str">
        <f>""</f>
        <v/>
      </c>
      <c r="DU40" t="str">
        <f>""</f>
        <v/>
      </c>
      <c r="DV40">
        <f>2.27</f>
        <v>2.27</v>
      </c>
      <c r="DW40" t="str">
        <f>""</f>
        <v/>
      </c>
      <c r="DX40" t="str">
        <f>""</f>
        <v/>
      </c>
      <c r="DY40">
        <f>2.292811</f>
        <v>2.2928109999999999</v>
      </c>
      <c r="DZ40" t="str">
        <f>""</f>
        <v/>
      </c>
      <c r="EA40" t="str">
        <f>""</f>
        <v/>
      </c>
      <c r="EB40">
        <f>2.081286</f>
        <v>2.081286</v>
      </c>
      <c r="EC40" t="str">
        <f>""</f>
        <v/>
      </c>
      <c r="ED40" t="str">
        <f>""</f>
        <v/>
      </c>
      <c r="EE40">
        <f>1.716754</f>
        <v>1.7167539999999999</v>
      </c>
      <c r="EF40" t="str">
        <f>""</f>
        <v/>
      </c>
      <c r="EG40" t="str">
        <f>""</f>
        <v/>
      </c>
      <c r="EH40">
        <f>1.68</f>
        <v>1.68</v>
      </c>
      <c r="EI40" t="str">
        <f>""</f>
        <v/>
      </c>
      <c r="EJ40" t="str">
        <f>""</f>
        <v/>
      </c>
      <c r="EK40">
        <f>1.794956</f>
        <v>1.794956</v>
      </c>
      <c r="EL40" t="str">
        <f>""</f>
        <v/>
      </c>
      <c r="EM40" t="str">
        <f>""</f>
        <v/>
      </c>
      <c r="EN40">
        <f>1.910226</f>
        <v>1.910226</v>
      </c>
      <c r="EO40" t="str">
        <f>""</f>
        <v/>
      </c>
      <c r="EP40" t="str">
        <f>""</f>
        <v/>
      </c>
      <c r="EQ40">
        <f>1.910353</f>
        <v>1.910353</v>
      </c>
      <c r="ER40" t="str">
        <f>""</f>
        <v/>
      </c>
      <c r="ES40" t="str">
        <f>""</f>
        <v/>
      </c>
      <c r="ET40">
        <f>1.97</f>
        <v>1.97</v>
      </c>
      <c r="EU40" t="str">
        <f>""</f>
        <v/>
      </c>
      <c r="EV40" t="str">
        <f>""</f>
        <v/>
      </c>
      <c r="EW40">
        <f>1.715858</f>
        <v>1.7158580000000001</v>
      </c>
      <c r="EX40" t="str">
        <f>""</f>
        <v/>
      </c>
      <c r="EY40" t="str">
        <f>""</f>
        <v/>
      </c>
      <c r="EZ40">
        <f>1.671595</f>
        <v>1.6715949999999999</v>
      </c>
      <c r="FA40" t="str">
        <f>""</f>
        <v/>
      </c>
      <c r="FB40" t="str">
        <f>""</f>
        <v/>
      </c>
      <c r="FC40">
        <f>1.693807</f>
        <v>1.6938070000000001</v>
      </c>
      <c r="FD40" t="str">
        <f>""</f>
        <v/>
      </c>
      <c r="FE40" t="str">
        <f>""</f>
        <v/>
      </c>
      <c r="FF40">
        <f>1.63</f>
        <v>1.63</v>
      </c>
      <c r="FG40" t="str">
        <f>""</f>
        <v/>
      </c>
      <c r="FH40" t="str">
        <f>""</f>
        <v/>
      </c>
      <c r="FI40">
        <f>1.550068</f>
        <v>1.550068</v>
      </c>
      <c r="FJ40" t="str">
        <f>""</f>
        <v/>
      </c>
      <c r="FK40" t="str">
        <f>""</f>
        <v/>
      </c>
      <c r="FL40">
        <f>1.43</f>
        <v>1.43</v>
      </c>
      <c r="FM40" t="str">
        <f>""</f>
        <v/>
      </c>
      <c r="FN40" t="str">
        <f>""</f>
        <v/>
      </c>
      <c r="FO40">
        <f>1.32</f>
        <v>1.32</v>
      </c>
      <c r="FP40" t="str">
        <f>""</f>
        <v/>
      </c>
      <c r="FQ40" t="str">
        <f>""</f>
        <v/>
      </c>
    </row>
    <row r="41" spans="1:173">
      <c r="A41" t="str">
        <f>"    Mid-America Apartment Communities股份有限公司"</f>
        <v xml:space="preserve">    Mid-America Apartment Communities股份有限公司</v>
      </c>
      <c r="B41" t="str">
        <f>"MAA US Equity"</f>
        <v>MAA US Equity</v>
      </c>
      <c r="C41" t="str">
        <f t="shared" si="12"/>
        <v>CF065</v>
      </c>
      <c r="D41" t="str">
        <f t="shared" si="13"/>
        <v>CF_FFO_PER_SH_DILUTED</v>
      </c>
      <c r="E41" t="str">
        <f t="shared" si="14"/>
        <v>动态</v>
      </c>
      <c r="F41" t="str">
        <f ca="1">IF(AND(ISNUMBER($F$287),$B$252=1),$F$287,HLOOKUP(INDIRECT(ADDRESS(2,COLUMN())),OFFSET($CL$2,0,0,ROW()-1,84),ROW()-1,FALSE))</f>
        <v/>
      </c>
      <c r="G41" t="str">
        <f ca="1">IF(AND(ISNUMBER($G$287),$B$252=1),$G$287,HLOOKUP(INDIRECT(ADDRESS(2,COLUMN())),OFFSET($CL$2,0,0,ROW()-1,84),ROW()-1,FALSE))</f>
        <v/>
      </c>
      <c r="H41" t="str">
        <f ca="1">IF(AND(ISNUMBER($H$287),$B$252=1),$H$287,HLOOKUP(INDIRECT(ADDRESS(2,COLUMN())),OFFSET($CL$2,0,0,ROW()-1,84),ROW()-1,FALSE))</f>
        <v/>
      </c>
      <c r="I41">
        <f ca="1">IF(AND(ISNUMBER($I$287),$B$252=1),$I$287,HLOOKUP(INDIRECT(ADDRESS(2,COLUMN())),OFFSET($CL$2,0,0,ROW()-1,84),ROW()-1,FALSE))</f>
        <v>1.5</v>
      </c>
      <c r="J41" t="str">
        <f ca="1">IF(AND(ISNUMBER($J$287),$B$252=1),$J$287,HLOOKUP(INDIRECT(ADDRESS(2,COLUMN())),OFFSET($CL$2,0,0,ROW()-1,84),ROW()-1,FALSE))</f>
        <v/>
      </c>
      <c r="K41" t="str">
        <f ca="1">IF(AND(ISNUMBER($K$287),$B$252=1),$K$287,HLOOKUP(INDIRECT(ADDRESS(2,COLUMN())),OFFSET($CL$2,0,0,ROW()-1,84),ROW()-1,FALSE))</f>
        <v/>
      </c>
      <c r="L41">
        <f ca="1">IF(AND(ISNUMBER($L$287),$B$252=1),$L$287,HLOOKUP(INDIRECT(ADDRESS(2,COLUMN())),OFFSET($CL$2,0,0,ROW()-1,84),ROW()-1,FALSE))</f>
        <v>1.5</v>
      </c>
      <c r="M41" t="str">
        <f ca="1">IF(AND(ISNUMBER($M$287),$B$252=1),$M$287,HLOOKUP(INDIRECT(ADDRESS(2,COLUMN())),OFFSET($CL$2,0,0,ROW()-1,84),ROW()-1,FALSE))</f>
        <v/>
      </c>
      <c r="N41" t="str">
        <f ca="1">IF(AND(ISNUMBER($N$287),$B$252=1),$N$287,HLOOKUP(INDIRECT(ADDRESS(2,COLUMN())),OFFSET($CL$2,0,0,ROW()-1,84),ROW()-1,FALSE))</f>
        <v/>
      </c>
      <c r="O41">
        <f ca="1">IF(AND(ISNUMBER($O$287),$B$252=1),$O$287,HLOOKUP(INDIRECT(ADDRESS(2,COLUMN())),OFFSET($CL$2,0,0,ROW()-1,84),ROW()-1,FALSE))</f>
        <v>1.48</v>
      </c>
      <c r="P41" t="str">
        <f ca="1">IF(AND(ISNUMBER($P$287),$B$252=1),$P$287,HLOOKUP(INDIRECT(ADDRESS(2,COLUMN())),OFFSET($CL$2,0,0,ROW()-1,84),ROW()-1,FALSE))</f>
        <v/>
      </c>
      <c r="Q41" t="str">
        <f ca="1">IF(AND(ISNUMBER($Q$287),$B$252=1),$Q$287,HLOOKUP(INDIRECT(ADDRESS(2,COLUMN())),OFFSET($CL$2,0,0,ROW()-1,84),ROW()-1,FALSE))</f>
        <v/>
      </c>
      <c r="R41">
        <f ca="1">IF(AND(ISNUMBER($R$287),$B$252=1),$R$287,HLOOKUP(INDIRECT(ADDRESS(2,COLUMN())),OFFSET($CL$2,0,0,ROW()-1,84),ROW()-1,FALSE))</f>
        <v>1.46</v>
      </c>
      <c r="S41" t="str">
        <f ca="1">IF(AND(ISNUMBER($S$287),$B$252=1),$S$287,HLOOKUP(INDIRECT(ADDRESS(2,COLUMN())),OFFSET($CL$2,0,0,ROW()-1,84),ROW()-1,FALSE))</f>
        <v/>
      </c>
      <c r="T41" t="str">
        <f ca="1">IF(AND(ISNUMBER($T$287),$B$252=1),$T$287,HLOOKUP(INDIRECT(ADDRESS(2,COLUMN())),OFFSET($CL$2,0,0,ROW()-1,84),ROW()-1,FALSE))</f>
        <v/>
      </c>
      <c r="U41">
        <f ca="1">IF(AND(ISNUMBER($U$287),$B$252=1),$U$287,HLOOKUP(INDIRECT(ADDRESS(2,COLUMN())),OFFSET($CL$2,0,0,ROW()-1,84),ROW()-1,FALSE))</f>
        <v>1.1299999999999999</v>
      </c>
      <c r="V41" t="str">
        <f ca="1">IF(AND(ISNUMBER($V$287),$B$252=1),$V$287,HLOOKUP(INDIRECT(ADDRESS(2,COLUMN())),OFFSET($CL$2,0,0,ROW()-1,84),ROW()-1,FALSE))</f>
        <v/>
      </c>
      <c r="W41" t="str">
        <f ca="1">IF(AND(ISNUMBER($W$287),$B$252=1),$W$287,HLOOKUP(INDIRECT(ADDRESS(2,COLUMN())),OFFSET($CL$2,0,0,ROW()-1,84),ROW()-1,FALSE))</f>
        <v/>
      </c>
      <c r="X41">
        <f ca="1">IF(AND(ISNUMBER($X$287),$B$252=1),$X$287,HLOOKUP(INDIRECT(ADDRESS(2,COLUMN())),OFFSET($CL$2,0,0,ROW()-1,84),ROW()-1,FALSE))</f>
        <v>1.47</v>
      </c>
      <c r="Y41" t="str">
        <f ca="1">IF(AND(ISNUMBER($Y$287),$B$252=1),$Y$287,HLOOKUP(INDIRECT(ADDRESS(2,COLUMN())),OFFSET($CL$2,0,0,ROW()-1,84),ROW()-1,FALSE))</f>
        <v/>
      </c>
      <c r="Z41" t="str">
        <f ca="1">IF(AND(ISNUMBER($Z$287),$B$252=1),$Z$287,HLOOKUP(INDIRECT(ADDRESS(2,COLUMN())),OFFSET($CL$2,0,0,ROW()-1,84),ROW()-1,FALSE))</f>
        <v/>
      </c>
      <c r="AA41">
        <f ca="1">IF(AND(ISNUMBER($AA$287),$B$252=1),$AA$287,HLOOKUP(INDIRECT(ADDRESS(2,COLUMN())),OFFSET($CL$2,0,0,ROW()-1,84),ROW()-1,FALSE))</f>
        <v>1.54</v>
      </c>
      <c r="AB41" t="str">
        <f ca="1">IF(AND(ISNUMBER($AB$287),$B$252=1),$AB$287,HLOOKUP(INDIRECT(ADDRESS(2,COLUMN())),OFFSET($CL$2,0,0,ROW()-1,84),ROW()-1,FALSE))</f>
        <v/>
      </c>
      <c r="AC41" t="str">
        <f ca="1">IF(AND(ISNUMBER($AC$287),$B$252=1),$AC$287,HLOOKUP(INDIRECT(ADDRESS(2,COLUMN())),OFFSET($CL$2,0,0,ROW()-1,84),ROW()-1,FALSE))</f>
        <v/>
      </c>
      <c r="AD41">
        <f ca="1">IF(AND(ISNUMBER($AD$287),$B$252=1),$AD$287,HLOOKUP(INDIRECT(ADDRESS(2,COLUMN())),OFFSET($CL$2,0,0,ROW()-1,84),ROW()-1,FALSE))</f>
        <v>1.5</v>
      </c>
      <c r="AE41" t="str">
        <f ca="1">IF(AND(ISNUMBER($AE$287),$B$252=1),$AE$287,HLOOKUP(INDIRECT(ADDRESS(2,COLUMN())),OFFSET($CL$2,0,0,ROW()-1,84),ROW()-1,FALSE))</f>
        <v/>
      </c>
      <c r="AF41" t="str">
        <f ca="1">IF(AND(ISNUMBER($AF$287),$B$252=1),$AF$287,HLOOKUP(INDIRECT(ADDRESS(2,COLUMN())),OFFSET($CL$2,0,0,ROW()-1,84),ROW()-1,FALSE))</f>
        <v/>
      </c>
      <c r="AG41">
        <f ca="1">IF(AND(ISNUMBER($AG$287),$B$252=1),$AG$287,HLOOKUP(INDIRECT(ADDRESS(2,COLUMN())),OFFSET($CL$2,0,0,ROW()-1,84),ROW()-1,FALSE))</f>
        <v>1.4900340000000001</v>
      </c>
      <c r="AH41" t="str">
        <f ca="1">IF(AND(ISNUMBER($AH$287),$B$252=1),$AH$287,HLOOKUP(INDIRECT(ADDRESS(2,COLUMN())),OFFSET($CL$2,0,0,ROW()-1,84),ROW()-1,FALSE))</f>
        <v/>
      </c>
      <c r="AI41" t="str">
        <f ca="1">IF(AND(ISNUMBER($AI$287),$B$252=1),$AI$287,HLOOKUP(INDIRECT(ADDRESS(2,COLUMN())),OFFSET($CL$2,0,0,ROW()-1,84),ROW()-1,FALSE))</f>
        <v/>
      </c>
      <c r="AJ41">
        <f ca="1">IF(AND(ISNUMBER($AJ$287),$B$252=1),$AJ$287,HLOOKUP(INDIRECT(ADDRESS(2,COLUMN())),OFFSET($CL$2,0,0,ROW()-1,84),ROW()-1,FALSE))</f>
        <v>1.4396180000000001</v>
      </c>
      <c r="AK41" t="str">
        <f ca="1">IF(AND(ISNUMBER($AK$287),$B$252=1),$AK$287,HLOOKUP(INDIRECT(ADDRESS(2,COLUMN())),OFFSET($CL$2,0,0,ROW()-1,84),ROW()-1,FALSE))</f>
        <v/>
      </c>
      <c r="AL41" t="str">
        <f ca="1">IF(AND(ISNUMBER($AL$287),$B$252=1),$AL$287,HLOOKUP(INDIRECT(ADDRESS(2,COLUMN())),OFFSET($CL$2,0,0,ROW()-1,84),ROW()-1,FALSE))</f>
        <v/>
      </c>
      <c r="AM41">
        <f ca="1">IF(AND(ISNUMBER($AM$287),$B$252=1),$AM$287,HLOOKUP(INDIRECT(ADDRESS(2,COLUMN())),OFFSET($CL$2,0,0,ROW()-1,84),ROW()-1,FALSE))</f>
        <v>1.4115219999999999</v>
      </c>
      <c r="AN41" t="str">
        <f ca="1">IF(AND(ISNUMBER($AN$287),$B$252=1),$AN$287,HLOOKUP(INDIRECT(ADDRESS(2,COLUMN())),OFFSET($CL$2,0,0,ROW()-1,84),ROW()-1,FALSE))</f>
        <v/>
      </c>
      <c r="AO41" t="str">
        <f ca="1">IF(AND(ISNUMBER($AO$287),$B$252=1),$AO$287,HLOOKUP(INDIRECT(ADDRESS(2,COLUMN())),OFFSET($CL$2,0,0,ROW()-1,84),ROW()-1,FALSE))</f>
        <v/>
      </c>
      <c r="AP41">
        <f ca="1">IF(AND(ISNUMBER($AP$287),$B$252=1),$AP$287,HLOOKUP(INDIRECT(ADDRESS(2,COLUMN())),OFFSET($CL$2,0,0,ROW()-1,84),ROW()-1,FALSE))</f>
        <v>1.34</v>
      </c>
      <c r="AQ41" t="str">
        <f ca="1">IF(AND(ISNUMBER($AQ$287),$B$252=1),$AQ$287,HLOOKUP(INDIRECT(ADDRESS(2,COLUMN())),OFFSET($CL$2,0,0,ROW()-1,84),ROW()-1,FALSE))</f>
        <v/>
      </c>
      <c r="AR41" t="str">
        <f ca="1">IF(AND(ISNUMBER($AR$287),$B$252=1),$AR$287,HLOOKUP(INDIRECT(ADDRESS(2,COLUMN())),OFFSET($CL$2,0,0,ROW()-1,84),ROW()-1,FALSE))</f>
        <v/>
      </c>
      <c r="AS41">
        <f ca="1">IF(AND(ISNUMBER($AS$287),$B$252=1),$AS$287,HLOOKUP(INDIRECT(ADDRESS(2,COLUMN())),OFFSET($CL$2,0,0,ROW()-1,84),ROW()-1,FALSE))</f>
        <v>1.35</v>
      </c>
      <c r="AT41" t="str">
        <f ca="1">IF(AND(ISNUMBER($AT$287),$B$252=1),$AT$287,HLOOKUP(INDIRECT(ADDRESS(2,COLUMN())),OFFSET($CL$2,0,0,ROW()-1,84),ROW()-1,FALSE))</f>
        <v/>
      </c>
      <c r="AU41" t="str">
        <f ca="1">IF(AND(ISNUMBER($AU$287),$B$252=1),$AU$287,HLOOKUP(INDIRECT(ADDRESS(2,COLUMN())),OFFSET($CL$2,0,0,ROW()-1,84),ROW()-1,FALSE))</f>
        <v/>
      </c>
      <c r="AV41">
        <f ca="1">IF(AND(ISNUMBER($AV$287),$B$252=1),$AV$287,HLOOKUP(INDIRECT(ADDRESS(2,COLUMN())),OFFSET($CL$2,0,0,ROW()-1,84),ROW()-1,FALSE))</f>
        <v>1.31</v>
      </c>
      <c r="AW41" t="str">
        <f ca="1">IF(AND(ISNUMBER($AW$287),$B$252=1),$AW$287,HLOOKUP(INDIRECT(ADDRESS(2,COLUMN())),OFFSET($CL$2,0,0,ROW()-1,84),ROW()-1,FALSE))</f>
        <v/>
      </c>
      <c r="AX41" t="str">
        <f ca="1">IF(AND(ISNUMBER($AX$287),$B$252=1),$AX$287,HLOOKUP(INDIRECT(ADDRESS(2,COLUMN())),OFFSET($CL$2,0,0,ROW()-1,84),ROW()-1,FALSE))</f>
        <v/>
      </c>
      <c r="AY41">
        <f ca="1">IF(AND(ISNUMBER($AY$287),$B$252=1),$AY$287,HLOOKUP(INDIRECT(ADDRESS(2,COLUMN())),OFFSET($CL$2,0,0,ROW()-1,84),ROW()-1,FALSE))</f>
        <v>1.2</v>
      </c>
      <c r="AZ41" t="str">
        <f ca="1">IF(AND(ISNUMBER($AZ$287),$B$252=1),$AZ$287,HLOOKUP(INDIRECT(ADDRESS(2,COLUMN())),OFFSET($CL$2,0,0,ROW()-1,84),ROW()-1,FALSE))</f>
        <v/>
      </c>
      <c r="BA41" t="str">
        <f ca="1">IF(AND(ISNUMBER($BA$287),$B$252=1),$BA$287,HLOOKUP(INDIRECT(ADDRESS(2,COLUMN())),OFFSET($CL$2,0,0,ROW()-1,84),ROW()-1,FALSE))</f>
        <v/>
      </c>
      <c r="BB41">
        <f ca="1">IF(AND(ISNUMBER($BB$287),$B$252=1),$BB$287,HLOOKUP(INDIRECT(ADDRESS(2,COLUMN())),OFFSET($CL$2,0,0,ROW()-1,84),ROW()-1,FALSE))</f>
        <v>1.23</v>
      </c>
      <c r="BC41" t="str">
        <f ca="1">IF(AND(ISNUMBER($BC$287),$B$252=1),$BC$287,HLOOKUP(INDIRECT(ADDRESS(2,COLUMN())),OFFSET($CL$2,0,0,ROW()-1,84),ROW()-1,FALSE))</f>
        <v/>
      </c>
      <c r="BD41" t="str">
        <f ca="1">IF(AND(ISNUMBER($BD$287),$B$252=1),$BD$287,HLOOKUP(INDIRECT(ADDRESS(2,COLUMN())),OFFSET($CL$2,0,0,ROW()-1,84),ROW()-1,FALSE))</f>
        <v/>
      </c>
      <c r="BE41">
        <f ca="1">IF(AND(ISNUMBER($BE$287),$B$252=1),$BE$287,HLOOKUP(INDIRECT(ADDRESS(2,COLUMN())),OFFSET($CL$2,0,0,ROW()-1,84),ROW()-1,FALSE))</f>
        <v>0.95</v>
      </c>
      <c r="BF41" t="str">
        <f ca="1">IF(AND(ISNUMBER($BF$287),$B$252=1),$BF$287,HLOOKUP(INDIRECT(ADDRESS(2,COLUMN())),OFFSET($CL$2,0,0,ROW()-1,84),ROW()-1,FALSE))</f>
        <v/>
      </c>
      <c r="BG41" t="str">
        <f ca="1">IF(AND(ISNUMBER($BG$287),$B$252=1),$BG$287,HLOOKUP(INDIRECT(ADDRESS(2,COLUMN())),OFFSET($CL$2,0,0,ROW()-1,84),ROW()-1,FALSE))</f>
        <v/>
      </c>
      <c r="BH41">
        <f ca="1">IF(AND(ISNUMBER($BH$287),$B$252=1),$BH$287,HLOOKUP(INDIRECT(ADDRESS(2,COLUMN())),OFFSET($CL$2,0,0,ROW()-1,84),ROW()-1,FALSE))</f>
        <v>1.1299999999999999</v>
      </c>
      <c r="BI41" t="str">
        <f ca="1">IF(AND(ISNUMBER($BI$287),$B$252=1),$BI$287,HLOOKUP(INDIRECT(ADDRESS(2,COLUMN())),OFFSET($CL$2,0,0,ROW()-1,84),ROW()-1,FALSE))</f>
        <v/>
      </c>
      <c r="BJ41" t="str">
        <f ca="1">IF(AND(ISNUMBER($BJ$287),$B$252=1),$BJ$287,HLOOKUP(INDIRECT(ADDRESS(2,COLUMN())),OFFSET($CL$2,0,0,ROW()-1,84),ROW()-1,FALSE))</f>
        <v/>
      </c>
      <c r="BK41">
        <f ca="1">IF(AND(ISNUMBER($BK$287),$B$252=1),$BK$287,HLOOKUP(INDIRECT(ADDRESS(2,COLUMN())),OFFSET($CL$2,0,0,ROW()-1,84),ROW()-1,FALSE))</f>
        <v>1.1399999999999999</v>
      </c>
      <c r="BL41" t="str">
        <f ca="1">IF(AND(ISNUMBER($BL$287),$B$252=1),$BL$287,HLOOKUP(INDIRECT(ADDRESS(2,COLUMN())),OFFSET($CL$2,0,0,ROW()-1,84),ROW()-1,FALSE))</f>
        <v/>
      </c>
      <c r="BM41" t="str">
        <f ca="1">IF(AND(ISNUMBER($BM$287),$B$252=1),$BM$287,HLOOKUP(INDIRECT(ADDRESS(2,COLUMN())),OFFSET($CL$2,0,0,ROW()-1,84),ROW()-1,FALSE))</f>
        <v/>
      </c>
      <c r="BN41">
        <f ca="1">IF(AND(ISNUMBER($BN$287),$B$252=1),$BN$287,HLOOKUP(INDIRECT(ADDRESS(2,COLUMN())),OFFSET($CL$2,0,0,ROW()-1,84),ROW()-1,FALSE))</f>
        <v>1.25</v>
      </c>
      <c r="BO41" t="str">
        <f ca="1">IF(AND(ISNUMBER($BO$287),$B$252=1),$BO$287,HLOOKUP(INDIRECT(ADDRESS(2,COLUMN())),OFFSET($CL$2,0,0,ROW()-1,84),ROW()-1,FALSE))</f>
        <v/>
      </c>
      <c r="BP41" t="str">
        <f ca="1">IF(AND(ISNUMBER($BP$287),$B$252=1),$BP$287,HLOOKUP(INDIRECT(ADDRESS(2,COLUMN())),OFFSET($CL$2,0,0,ROW()-1,84),ROW()-1,FALSE))</f>
        <v/>
      </c>
      <c r="BQ41">
        <f ca="1">IF(AND(ISNUMBER($BQ$287),$B$252=1),$BQ$287,HLOOKUP(INDIRECT(ADDRESS(2,COLUMN())),OFFSET($CL$2,0,0,ROW()-1,84),ROW()-1,FALSE))</f>
        <v>1.2154149999999999</v>
      </c>
      <c r="BR41" t="str">
        <f ca="1">IF(AND(ISNUMBER($BR$287),$B$252=1),$BR$287,HLOOKUP(INDIRECT(ADDRESS(2,COLUMN())),OFFSET($CL$2,0,0,ROW()-1,84),ROW()-1,FALSE))</f>
        <v/>
      </c>
      <c r="BS41" t="str">
        <f ca="1">IF(AND(ISNUMBER($BS$287),$B$252=1),$BS$287,HLOOKUP(INDIRECT(ADDRESS(2,COLUMN())),OFFSET($CL$2,0,0,ROW()-1,84),ROW()-1,FALSE))</f>
        <v/>
      </c>
      <c r="BT41">
        <f ca="1">IF(AND(ISNUMBER($BT$287),$B$252=1),$BT$287,HLOOKUP(INDIRECT(ADDRESS(2,COLUMN())),OFFSET($CL$2,0,0,ROW()-1,84),ROW()-1,FALSE))</f>
        <v>1.1100000000000001</v>
      </c>
      <c r="BU41" t="str">
        <f ca="1">IF(AND(ISNUMBER($BU$287),$B$252=1),$BU$287,HLOOKUP(INDIRECT(ADDRESS(2,COLUMN())),OFFSET($CL$2,0,0,ROW()-1,84),ROW()-1,FALSE))</f>
        <v/>
      </c>
      <c r="BV41" t="str">
        <f ca="1">IF(AND(ISNUMBER($BV$287),$B$252=1),$BV$287,HLOOKUP(INDIRECT(ADDRESS(2,COLUMN())),OFFSET($CL$2,0,0,ROW()-1,84),ROW()-1,FALSE))</f>
        <v/>
      </c>
      <c r="BW41">
        <f ca="1">IF(AND(ISNUMBER($BW$287),$B$252=1),$BW$287,HLOOKUP(INDIRECT(ADDRESS(2,COLUMN())),OFFSET($CL$2,0,0,ROW()-1,84),ROW()-1,FALSE))</f>
        <v>1.1299999999999999</v>
      </c>
      <c r="BX41" t="str">
        <f ca="1">IF(AND(ISNUMBER($BX$287),$B$252=1),$BX$287,HLOOKUP(INDIRECT(ADDRESS(2,COLUMN())),OFFSET($CL$2,0,0,ROW()-1,84),ROW()-1,FALSE))</f>
        <v/>
      </c>
      <c r="BY41" t="str">
        <f ca="1">IF(AND(ISNUMBER($BY$287),$B$252=1),$BY$287,HLOOKUP(INDIRECT(ADDRESS(2,COLUMN())),OFFSET($CL$2,0,0,ROW()-1,84),ROW()-1,FALSE))</f>
        <v/>
      </c>
      <c r="BZ41">
        <f ca="1">IF(AND(ISNUMBER($BZ$287),$B$252=1),$BZ$287,HLOOKUP(INDIRECT(ADDRESS(2,COLUMN())),OFFSET($CL$2,0,0,ROW()-1,84),ROW()-1,FALSE))</f>
        <v>1.1200000000000001</v>
      </c>
      <c r="CA41" t="str">
        <f ca="1">IF(AND(ISNUMBER($CA$287),$B$252=1),$CA$287,HLOOKUP(INDIRECT(ADDRESS(2,COLUMN())),OFFSET($CL$2,0,0,ROW()-1,84),ROW()-1,FALSE))</f>
        <v/>
      </c>
      <c r="CB41" t="str">
        <f ca="1">IF(AND(ISNUMBER($CB$287),$B$252=1),$CB$287,HLOOKUP(INDIRECT(ADDRESS(2,COLUMN())),OFFSET($CL$2,0,0,ROW()-1,84),ROW()-1,FALSE))</f>
        <v/>
      </c>
      <c r="CC41">
        <f ca="1">IF(AND(ISNUMBER($CC$287),$B$252=1),$CC$287,HLOOKUP(INDIRECT(ADDRESS(2,COLUMN())),OFFSET($CL$2,0,0,ROW()-1,84),ROW()-1,FALSE))</f>
        <v>1.07</v>
      </c>
      <c r="CD41" t="str">
        <f ca="1">IF(AND(ISNUMBER($CD$287),$B$252=1),$CD$287,HLOOKUP(INDIRECT(ADDRESS(2,COLUMN())),OFFSET($CL$2,0,0,ROW()-1,84),ROW()-1,FALSE))</f>
        <v/>
      </c>
      <c r="CE41" t="str">
        <f ca="1">IF(AND(ISNUMBER($CE$287),$B$252=1),$CE$287,HLOOKUP(INDIRECT(ADDRESS(2,COLUMN())),OFFSET($CL$2,0,0,ROW()-1,84),ROW()-1,FALSE))</f>
        <v/>
      </c>
      <c r="CF41">
        <f ca="1">IF(AND(ISNUMBER($CF$287),$B$252=1),$CF$287,HLOOKUP(INDIRECT(ADDRESS(2,COLUMN())),OFFSET($CL$2,0,0,ROW()-1,84),ROW()-1,FALSE))</f>
        <v>1</v>
      </c>
      <c r="CG41" t="str">
        <f ca="1">IF(AND(ISNUMBER($CG$287),$B$252=1),$CG$287,HLOOKUP(INDIRECT(ADDRESS(2,COLUMN())),OFFSET($CL$2,0,0,ROW()-1,84),ROW()-1,FALSE))</f>
        <v/>
      </c>
      <c r="CH41" t="str">
        <f ca="1">IF(AND(ISNUMBER($CH$287),$B$252=1),$CH$287,HLOOKUP(INDIRECT(ADDRESS(2,COLUMN())),OFFSET($CL$2,0,0,ROW()-1,84),ROW()-1,FALSE))</f>
        <v/>
      </c>
      <c r="CI41">
        <f ca="1">IF(AND(ISNUMBER($CI$287),$B$252=1),$CI$287,HLOOKUP(INDIRECT(ADDRESS(2,COLUMN())),OFFSET($CL$2,0,0,ROW()-1,84),ROW()-1,FALSE))</f>
        <v>0.93</v>
      </c>
      <c r="CJ41" t="str">
        <f ca="1">IF(AND(ISNUMBER($CJ$287),$B$252=1),$CJ$287,HLOOKUP(INDIRECT(ADDRESS(2,COLUMN())),OFFSET($CL$2,0,0,ROW()-1,84),ROW()-1,FALSE))</f>
        <v/>
      </c>
      <c r="CK41" t="str">
        <f ca="1">IF(AND(ISNUMBER($CK$287),$B$252=1),$CK$287,HLOOKUP(INDIRECT(ADDRESS(2,COLUMN())),OFFSET($CL$2,0,0,ROW()-1,84),ROW()-1,FALSE))</f>
        <v/>
      </c>
      <c r="CL41" t="str">
        <f>""</f>
        <v/>
      </c>
      <c r="CM41" t="str">
        <f>""</f>
        <v/>
      </c>
      <c r="CN41" t="str">
        <f>""</f>
        <v/>
      </c>
      <c r="CO41">
        <f>1.5</f>
        <v>1.5</v>
      </c>
      <c r="CP41" t="str">
        <f>""</f>
        <v/>
      </c>
      <c r="CQ41" t="str">
        <f>""</f>
        <v/>
      </c>
      <c r="CR41">
        <f>1.5</f>
        <v>1.5</v>
      </c>
      <c r="CS41" t="str">
        <f>""</f>
        <v/>
      </c>
      <c r="CT41" t="str">
        <f>""</f>
        <v/>
      </c>
      <c r="CU41">
        <f>1.48</f>
        <v>1.48</v>
      </c>
      <c r="CV41" t="str">
        <f>""</f>
        <v/>
      </c>
      <c r="CW41" t="str">
        <f>""</f>
        <v/>
      </c>
      <c r="CX41">
        <f>1.46</f>
        <v>1.46</v>
      </c>
      <c r="CY41" t="str">
        <f>""</f>
        <v/>
      </c>
      <c r="CZ41" t="str">
        <f>""</f>
        <v/>
      </c>
      <c r="DA41">
        <f>1.13</f>
        <v>1.1299999999999999</v>
      </c>
      <c r="DB41" t="str">
        <f>""</f>
        <v/>
      </c>
      <c r="DC41" t="str">
        <f>""</f>
        <v/>
      </c>
      <c r="DD41">
        <f>1.47</f>
        <v>1.47</v>
      </c>
      <c r="DE41" t="str">
        <f>""</f>
        <v/>
      </c>
      <c r="DF41" t="str">
        <f>""</f>
        <v/>
      </c>
      <c r="DG41">
        <f>1.54</f>
        <v>1.54</v>
      </c>
      <c r="DH41" t="str">
        <f>""</f>
        <v/>
      </c>
      <c r="DI41" t="str">
        <f>""</f>
        <v/>
      </c>
      <c r="DJ41">
        <f>1.5</f>
        <v>1.5</v>
      </c>
      <c r="DK41" t="str">
        <f>""</f>
        <v/>
      </c>
      <c r="DL41" t="str">
        <f>""</f>
        <v/>
      </c>
      <c r="DM41">
        <f>1.490034</f>
        <v>1.4900340000000001</v>
      </c>
      <c r="DN41" t="str">
        <f>""</f>
        <v/>
      </c>
      <c r="DO41" t="str">
        <f>""</f>
        <v/>
      </c>
      <c r="DP41">
        <f>1.439618</f>
        <v>1.4396180000000001</v>
      </c>
      <c r="DQ41" t="str">
        <f>""</f>
        <v/>
      </c>
      <c r="DR41" t="str">
        <f>""</f>
        <v/>
      </c>
      <c r="DS41">
        <f>1.411522</f>
        <v>1.4115219999999999</v>
      </c>
      <c r="DT41" t="str">
        <f>""</f>
        <v/>
      </c>
      <c r="DU41" t="str">
        <f>""</f>
        <v/>
      </c>
      <c r="DV41">
        <f>1.34</f>
        <v>1.34</v>
      </c>
      <c r="DW41" t="str">
        <f>""</f>
        <v/>
      </c>
      <c r="DX41" t="str">
        <f>""</f>
        <v/>
      </c>
      <c r="DY41">
        <f>1.35</f>
        <v>1.35</v>
      </c>
      <c r="DZ41" t="str">
        <f>""</f>
        <v/>
      </c>
      <c r="EA41" t="str">
        <f>""</f>
        <v/>
      </c>
      <c r="EB41">
        <f>1.31</f>
        <v>1.31</v>
      </c>
      <c r="EC41" t="str">
        <f>""</f>
        <v/>
      </c>
      <c r="ED41" t="str">
        <f>""</f>
        <v/>
      </c>
      <c r="EE41">
        <f>1.2</f>
        <v>1.2</v>
      </c>
      <c r="EF41" t="str">
        <f>""</f>
        <v/>
      </c>
      <c r="EG41" t="str">
        <f>""</f>
        <v/>
      </c>
      <c r="EH41">
        <f>1.23</f>
        <v>1.23</v>
      </c>
      <c r="EI41" t="str">
        <f>""</f>
        <v/>
      </c>
      <c r="EJ41" t="str">
        <f>""</f>
        <v/>
      </c>
      <c r="EK41">
        <f>0.95</f>
        <v>0.95</v>
      </c>
      <c r="EL41" t="str">
        <f>""</f>
        <v/>
      </c>
      <c r="EM41" t="str">
        <f>""</f>
        <v/>
      </c>
      <c r="EN41">
        <f>1.13</f>
        <v>1.1299999999999999</v>
      </c>
      <c r="EO41" t="str">
        <f>""</f>
        <v/>
      </c>
      <c r="EP41" t="str">
        <f>""</f>
        <v/>
      </c>
      <c r="EQ41">
        <f>1.14</f>
        <v>1.1399999999999999</v>
      </c>
      <c r="ER41" t="str">
        <f>""</f>
        <v/>
      </c>
      <c r="ES41" t="str">
        <f>""</f>
        <v/>
      </c>
      <c r="ET41">
        <f>1.25</f>
        <v>1.25</v>
      </c>
      <c r="EU41" t="str">
        <f>""</f>
        <v/>
      </c>
      <c r="EV41" t="str">
        <f>""</f>
        <v/>
      </c>
      <c r="EW41">
        <f>1.215415</f>
        <v>1.2154149999999999</v>
      </c>
      <c r="EX41" t="str">
        <f>""</f>
        <v/>
      </c>
      <c r="EY41" t="str">
        <f>""</f>
        <v/>
      </c>
      <c r="EZ41">
        <f>1.11</f>
        <v>1.1100000000000001</v>
      </c>
      <c r="FA41" t="str">
        <f>""</f>
        <v/>
      </c>
      <c r="FB41" t="str">
        <f>""</f>
        <v/>
      </c>
      <c r="FC41">
        <f>1.13</f>
        <v>1.1299999999999999</v>
      </c>
      <c r="FD41" t="str">
        <f>""</f>
        <v/>
      </c>
      <c r="FE41" t="str">
        <f>""</f>
        <v/>
      </c>
      <c r="FF41">
        <f>1.12</f>
        <v>1.1200000000000001</v>
      </c>
      <c r="FG41" t="str">
        <f>""</f>
        <v/>
      </c>
      <c r="FH41" t="str">
        <f>""</f>
        <v/>
      </c>
      <c r="FI41">
        <f>1.07</f>
        <v>1.07</v>
      </c>
      <c r="FJ41" t="str">
        <f>""</f>
        <v/>
      </c>
      <c r="FK41" t="str">
        <f>""</f>
        <v/>
      </c>
      <c r="FL41">
        <f>1</f>
        <v>1</v>
      </c>
      <c r="FM41" t="str">
        <f>""</f>
        <v/>
      </c>
      <c r="FN41" t="str">
        <f>""</f>
        <v/>
      </c>
      <c r="FO41">
        <f>0.93</f>
        <v>0.93</v>
      </c>
      <c r="FP41" t="str">
        <f>""</f>
        <v/>
      </c>
      <c r="FQ41" t="str">
        <f>""</f>
        <v/>
      </c>
    </row>
    <row r="42" spans="1:173">
      <c r="A42" t="str">
        <f>"    UDR 公司"</f>
        <v xml:space="preserve">    UDR 公司</v>
      </c>
      <c r="B42" t="str">
        <f>"UDR US Equity"</f>
        <v>UDR US Equity</v>
      </c>
      <c r="C42" t="str">
        <f t="shared" si="12"/>
        <v>CF065</v>
      </c>
      <c r="D42" t="str">
        <f t="shared" si="13"/>
        <v>CF_FFO_PER_SH_DILUTED</v>
      </c>
      <c r="E42" t="str">
        <f t="shared" si="14"/>
        <v>动态</v>
      </c>
      <c r="F42" t="str">
        <f ca="1">IF(AND(ISNUMBER($F$288),$B$252=1),$F$288,HLOOKUP(INDIRECT(ADDRESS(2,COLUMN())),OFFSET($CL$2,0,0,ROW()-1,84),ROW()-1,FALSE))</f>
        <v/>
      </c>
      <c r="G42" t="str">
        <f ca="1">IF(AND(ISNUMBER($G$288),$B$252=1),$G$288,HLOOKUP(INDIRECT(ADDRESS(2,COLUMN())),OFFSET($CL$2,0,0,ROW()-1,84),ROW()-1,FALSE))</f>
        <v/>
      </c>
      <c r="H42" t="str">
        <f ca="1">IF(AND(ISNUMBER($H$288),$B$252=1),$H$288,HLOOKUP(INDIRECT(ADDRESS(2,COLUMN())),OFFSET($CL$2,0,0,ROW()-1,84),ROW()-1,FALSE))</f>
        <v/>
      </c>
      <c r="I42">
        <f ca="1">IF(AND(ISNUMBER($I$288),$B$252=1),$I$288,HLOOKUP(INDIRECT(ADDRESS(2,COLUMN())),OFFSET($CL$2,0,0,ROW()-1,84),ROW()-1,FALSE))</f>
        <v>0.46</v>
      </c>
      <c r="J42" t="str">
        <f ca="1">IF(AND(ISNUMBER($J$288),$B$252=1),$J$288,HLOOKUP(INDIRECT(ADDRESS(2,COLUMN())),OFFSET($CL$2,0,0,ROW()-1,84),ROW()-1,FALSE))</f>
        <v/>
      </c>
      <c r="K42" t="str">
        <f ca="1">IF(AND(ISNUMBER($K$288),$B$252=1),$K$288,HLOOKUP(INDIRECT(ADDRESS(2,COLUMN())),OFFSET($CL$2,0,0,ROW()-1,84),ROW()-1,FALSE))</f>
        <v/>
      </c>
      <c r="L42">
        <f ca="1">IF(AND(ISNUMBER($L$288),$B$252=1),$L$288,HLOOKUP(INDIRECT(ADDRESS(2,COLUMN())),OFFSET($CL$2,0,0,ROW()-1,84),ROW()-1,FALSE))</f>
        <v>0.46</v>
      </c>
      <c r="M42" t="str">
        <f ca="1">IF(AND(ISNUMBER($M$288),$B$252=1),$M$288,HLOOKUP(INDIRECT(ADDRESS(2,COLUMN())),OFFSET($CL$2,0,0,ROW()-1,84),ROW()-1,FALSE))</f>
        <v/>
      </c>
      <c r="N42" t="str">
        <f ca="1">IF(AND(ISNUMBER($N$288),$B$252=1),$N$288,HLOOKUP(INDIRECT(ADDRESS(2,COLUMN())),OFFSET($CL$2,0,0,ROW()-1,84),ROW()-1,FALSE))</f>
        <v/>
      </c>
      <c r="O42">
        <f ca="1">IF(AND(ISNUMBER($O$288),$B$252=1),$O$288,HLOOKUP(INDIRECT(ADDRESS(2,COLUMN())),OFFSET($CL$2,0,0,ROW()-1,84),ROW()-1,FALSE))</f>
        <v>0.45</v>
      </c>
      <c r="P42" t="str">
        <f ca="1">IF(AND(ISNUMBER($P$288),$B$252=1),$P$288,HLOOKUP(INDIRECT(ADDRESS(2,COLUMN())),OFFSET($CL$2,0,0,ROW()-1,84),ROW()-1,FALSE))</f>
        <v/>
      </c>
      <c r="Q42" t="str">
        <f ca="1">IF(AND(ISNUMBER($Q$288),$B$252=1),$Q$288,HLOOKUP(INDIRECT(ADDRESS(2,COLUMN())),OFFSET($CL$2,0,0,ROW()-1,84),ROW()-1,FALSE))</f>
        <v/>
      </c>
      <c r="R42">
        <f ca="1">IF(AND(ISNUMBER($R$288),$B$252=1),$R$288,HLOOKUP(INDIRECT(ADDRESS(2,COLUMN())),OFFSET($CL$2,0,0,ROW()-1,84),ROW()-1,FALSE))</f>
        <v>0.45</v>
      </c>
      <c r="S42" t="str">
        <f ca="1">IF(AND(ISNUMBER($S$288),$B$252=1),$S$288,HLOOKUP(INDIRECT(ADDRESS(2,COLUMN())),OFFSET($CL$2,0,0,ROW()-1,84),ROW()-1,FALSE))</f>
        <v/>
      </c>
      <c r="T42" t="str">
        <f ca="1">IF(AND(ISNUMBER($T$288),$B$252=1),$T$288,HLOOKUP(INDIRECT(ADDRESS(2,COLUMN())),OFFSET($CL$2,0,0,ROW()-1,84),ROW()-1,FALSE))</f>
        <v/>
      </c>
      <c r="U42">
        <f ca="1">IF(AND(ISNUMBER($U$288),$B$252=1),$U$288,HLOOKUP(INDIRECT(ADDRESS(2,COLUMN())),OFFSET($CL$2,0,0,ROW()-1,84),ROW()-1,FALSE))</f>
        <v>0.47</v>
      </c>
      <c r="V42" t="str">
        <f ca="1">IF(AND(ISNUMBER($V$288),$B$252=1),$V$288,HLOOKUP(INDIRECT(ADDRESS(2,COLUMN())),OFFSET($CL$2,0,0,ROW()-1,84),ROW()-1,FALSE))</f>
        <v/>
      </c>
      <c r="W42" t="str">
        <f ca="1">IF(AND(ISNUMBER($W$288),$B$252=1),$W$288,HLOOKUP(INDIRECT(ADDRESS(2,COLUMN())),OFFSET($CL$2,0,0,ROW()-1,84),ROW()-1,FALSE))</f>
        <v/>
      </c>
      <c r="X42">
        <f ca="1">IF(AND(ISNUMBER($X$288),$B$252=1),$X$288,HLOOKUP(INDIRECT(ADDRESS(2,COLUMN())),OFFSET($CL$2,0,0,ROW()-1,84),ROW()-1,FALSE))</f>
        <v>0.45843400000000001</v>
      </c>
      <c r="Y42" t="str">
        <f ca="1">IF(AND(ISNUMBER($Y$288),$B$252=1),$Y$288,HLOOKUP(INDIRECT(ADDRESS(2,COLUMN())),OFFSET($CL$2,0,0,ROW()-1,84),ROW()-1,FALSE))</f>
        <v/>
      </c>
      <c r="Z42" t="str">
        <f ca="1">IF(AND(ISNUMBER($Z$288),$B$252=1),$Z$288,HLOOKUP(INDIRECT(ADDRESS(2,COLUMN())),OFFSET($CL$2,0,0,ROW()-1,84),ROW()-1,FALSE))</f>
        <v/>
      </c>
      <c r="AA42">
        <f ca="1">IF(AND(ISNUMBER($AA$288),$B$252=1),$AA$288,HLOOKUP(INDIRECT(ADDRESS(2,COLUMN())),OFFSET($CL$2,0,0,ROW()-1,84),ROW()-1,FALSE))</f>
        <v>0.44</v>
      </c>
      <c r="AB42" t="str">
        <f ca="1">IF(AND(ISNUMBER($AB$288),$B$252=1),$AB$288,HLOOKUP(INDIRECT(ADDRESS(2,COLUMN())),OFFSET($CL$2,0,0,ROW()-1,84),ROW()-1,FALSE))</f>
        <v/>
      </c>
      <c r="AC42" t="str">
        <f ca="1">IF(AND(ISNUMBER($AC$288),$B$252=1),$AC$288,HLOOKUP(INDIRECT(ADDRESS(2,COLUMN())),OFFSET($CL$2,0,0,ROW()-1,84),ROW()-1,FALSE))</f>
        <v/>
      </c>
      <c r="AD42">
        <f ca="1">IF(AND(ISNUMBER($AD$288),$B$252=1),$AD$288,HLOOKUP(INDIRECT(ADDRESS(2,COLUMN())),OFFSET($CL$2,0,0,ROW()-1,84),ROW()-1,FALSE))</f>
        <v>0.43</v>
      </c>
      <c r="AE42" t="str">
        <f ca="1">IF(AND(ISNUMBER($AE$288),$B$252=1),$AE$288,HLOOKUP(INDIRECT(ADDRESS(2,COLUMN())),OFFSET($CL$2,0,0,ROW()-1,84),ROW()-1,FALSE))</f>
        <v/>
      </c>
      <c r="AF42" t="str">
        <f ca="1">IF(AND(ISNUMBER($AF$288),$B$252=1),$AF$288,HLOOKUP(INDIRECT(ADDRESS(2,COLUMN())),OFFSET($CL$2,0,0,ROW()-1,84),ROW()-1,FALSE))</f>
        <v/>
      </c>
      <c r="AG42">
        <f ca="1">IF(AND(ISNUMBER($AG$288),$B$252=1),$AG$288,HLOOKUP(INDIRECT(ADDRESS(2,COLUMN())),OFFSET($CL$2,0,0,ROW()-1,84),ROW()-1,FALSE))</f>
        <v>0.41</v>
      </c>
      <c r="AH42" t="str">
        <f ca="1">IF(AND(ISNUMBER($AH$288),$B$252=1),$AH$288,HLOOKUP(INDIRECT(ADDRESS(2,COLUMN())),OFFSET($CL$2,0,0,ROW()-1,84),ROW()-1,FALSE))</f>
        <v/>
      </c>
      <c r="AI42" t="str">
        <f ca="1">IF(AND(ISNUMBER($AI$288),$B$252=1),$AI$288,HLOOKUP(INDIRECT(ADDRESS(2,COLUMN())),OFFSET($CL$2,0,0,ROW()-1,84),ROW()-1,FALSE))</f>
        <v/>
      </c>
      <c r="AJ42">
        <f ca="1">IF(AND(ISNUMBER($AJ$288),$B$252=1),$AJ$288,HLOOKUP(INDIRECT(ADDRESS(2,COLUMN())),OFFSET($CL$2,0,0,ROW()-1,84),ROW()-1,FALSE))</f>
        <v>0.42</v>
      </c>
      <c r="AK42" t="str">
        <f ca="1">IF(AND(ISNUMBER($AK$288),$B$252=1),$AK$288,HLOOKUP(INDIRECT(ADDRESS(2,COLUMN())),OFFSET($CL$2,0,0,ROW()-1,84),ROW()-1,FALSE))</f>
        <v/>
      </c>
      <c r="AL42" t="str">
        <f ca="1">IF(AND(ISNUMBER($AL$288),$B$252=1),$AL$288,HLOOKUP(INDIRECT(ADDRESS(2,COLUMN())),OFFSET($CL$2,0,0,ROW()-1,84),ROW()-1,FALSE))</f>
        <v/>
      </c>
      <c r="AM42">
        <f ca="1">IF(AND(ISNUMBER($AM$288),$B$252=1),$AM$288,HLOOKUP(INDIRECT(ADDRESS(2,COLUMN())),OFFSET($CL$2,0,0,ROW()-1,84),ROW()-1,FALSE))</f>
        <v>0.40733799999999998</v>
      </c>
      <c r="AN42" t="str">
        <f ca="1">IF(AND(ISNUMBER($AN$288),$B$252=1),$AN$288,HLOOKUP(INDIRECT(ADDRESS(2,COLUMN())),OFFSET($CL$2,0,0,ROW()-1,84),ROW()-1,FALSE))</f>
        <v/>
      </c>
      <c r="AO42" t="str">
        <f ca="1">IF(AND(ISNUMBER($AO$288),$B$252=1),$AO$288,HLOOKUP(INDIRECT(ADDRESS(2,COLUMN())),OFFSET($CL$2,0,0,ROW()-1,84),ROW()-1,FALSE))</f>
        <v/>
      </c>
      <c r="AP42">
        <f ca="1">IF(AND(ISNUMBER($AP$288),$B$252=1),$AP$288,HLOOKUP(INDIRECT(ADDRESS(2,COLUMN())),OFFSET($CL$2,0,0,ROW()-1,84),ROW()-1,FALSE))</f>
        <v>0.43</v>
      </c>
      <c r="AQ42" t="str">
        <f ca="1">IF(AND(ISNUMBER($AQ$288),$B$252=1),$AQ$288,HLOOKUP(INDIRECT(ADDRESS(2,COLUMN())),OFFSET($CL$2,0,0,ROW()-1,84),ROW()-1,FALSE))</f>
        <v/>
      </c>
      <c r="AR42" t="str">
        <f ca="1">IF(AND(ISNUMBER($AR$288),$B$252=1),$AR$288,HLOOKUP(INDIRECT(ADDRESS(2,COLUMN())),OFFSET($CL$2,0,0,ROW()-1,84),ROW()-1,FALSE))</f>
        <v/>
      </c>
      <c r="AS42">
        <f ca="1">IF(AND(ISNUMBER($AS$288),$B$252=1),$AS$288,HLOOKUP(INDIRECT(ADDRESS(2,COLUMN())),OFFSET($CL$2,0,0,ROW()-1,84),ROW()-1,FALSE))</f>
        <v>0.4</v>
      </c>
      <c r="AT42" t="str">
        <f ca="1">IF(AND(ISNUMBER($AT$288),$B$252=1),$AT$288,HLOOKUP(INDIRECT(ADDRESS(2,COLUMN())),OFFSET($CL$2,0,0,ROW()-1,84),ROW()-1,FALSE))</f>
        <v/>
      </c>
      <c r="AU42" t="str">
        <f ca="1">IF(AND(ISNUMBER($AU$288),$B$252=1),$AU$288,HLOOKUP(INDIRECT(ADDRESS(2,COLUMN())),OFFSET($CL$2,0,0,ROW()-1,84),ROW()-1,FALSE))</f>
        <v/>
      </c>
      <c r="AV42" t="str">
        <f ca="1">IF(AND(ISNUMBER($AV$288),$B$252=1),$AV$288,HLOOKUP(INDIRECT(ADDRESS(2,COLUMN())),OFFSET($CL$2,0,0,ROW()-1,84),ROW()-1,FALSE))</f>
        <v/>
      </c>
      <c r="AW42" t="str">
        <f ca="1">IF(AND(ISNUMBER($AW$288),$B$252=1),$AW$288,HLOOKUP(INDIRECT(ADDRESS(2,COLUMN())),OFFSET($CL$2,0,0,ROW()-1,84),ROW()-1,FALSE))</f>
        <v/>
      </c>
      <c r="AX42" t="str">
        <f ca="1">IF(AND(ISNUMBER($AX$288),$B$252=1),$AX$288,HLOOKUP(INDIRECT(ADDRESS(2,COLUMN())),OFFSET($CL$2,0,0,ROW()-1,84),ROW()-1,FALSE))</f>
        <v/>
      </c>
      <c r="AY42" t="str">
        <f ca="1">IF(AND(ISNUMBER($AY$288),$B$252=1),$AY$288,HLOOKUP(INDIRECT(ADDRESS(2,COLUMN())),OFFSET($CL$2,0,0,ROW()-1,84),ROW()-1,FALSE))</f>
        <v/>
      </c>
      <c r="AZ42" t="str">
        <f ca="1">IF(AND(ISNUMBER($AZ$288),$B$252=1),$AZ$288,HLOOKUP(INDIRECT(ADDRESS(2,COLUMN())),OFFSET($CL$2,0,0,ROW()-1,84),ROW()-1,FALSE))</f>
        <v/>
      </c>
      <c r="BA42" t="str">
        <f ca="1">IF(AND(ISNUMBER($BA$288),$B$252=1),$BA$288,HLOOKUP(INDIRECT(ADDRESS(2,COLUMN())),OFFSET($CL$2,0,0,ROW()-1,84),ROW()-1,FALSE))</f>
        <v/>
      </c>
      <c r="BB42">
        <f ca="1">IF(AND(ISNUMBER($BB$288),$B$252=1),$BB$288,HLOOKUP(INDIRECT(ADDRESS(2,COLUMN())),OFFSET($CL$2,0,0,ROW()-1,84),ROW()-1,FALSE))</f>
        <v>0.36</v>
      </c>
      <c r="BC42" t="str">
        <f ca="1">IF(AND(ISNUMBER($BC$288),$B$252=1),$BC$288,HLOOKUP(INDIRECT(ADDRESS(2,COLUMN())),OFFSET($CL$2,0,0,ROW()-1,84),ROW()-1,FALSE))</f>
        <v/>
      </c>
      <c r="BD42" t="str">
        <f ca="1">IF(AND(ISNUMBER($BD$288),$B$252=1),$BD$288,HLOOKUP(INDIRECT(ADDRESS(2,COLUMN())),OFFSET($CL$2,0,0,ROW()-1,84),ROW()-1,FALSE))</f>
        <v/>
      </c>
      <c r="BE42" t="str">
        <f ca="1">IF(AND(ISNUMBER($BE$288),$B$252=1),$BE$288,HLOOKUP(INDIRECT(ADDRESS(2,COLUMN())),OFFSET($CL$2,0,0,ROW()-1,84),ROW()-1,FALSE))</f>
        <v/>
      </c>
      <c r="BF42" t="str">
        <f ca="1">IF(AND(ISNUMBER($BF$288),$B$252=1),$BF$288,HLOOKUP(INDIRECT(ADDRESS(2,COLUMN())),OFFSET($CL$2,0,0,ROW()-1,84),ROW()-1,FALSE))</f>
        <v/>
      </c>
      <c r="BG42" t="str">
        <f ca="1">IF(AND(ISNUMBER($BG$288),$B$252=1),$BG$288,HLOOKUP(INDIRECT(ADDRESS(2,COLUMN())),OFFSET($CL$2,0,0,ROW()-1,84),ROW()-1,FALSE))</f>
        <v/>
      </c>
      <c r="BH42">
        <f ca="1">IF(AND(ISNUMBER($BH$288),$B$252=1),$BH$288,HLOOKUP(INDIRECT(ADDRESS(2,COLUMN())),OFFSET($CL$2,0,0,ROW()-1,84),ROW()-1,FALSE))</f>
        <v>0.37</v>
      </c>
      <c r="BI42" t="str">
        <f ca="1">IF(AND(ISNUMBER($BI$288),$B$252=1),$BI$288,HLOOKUP(INDIRECT(ADDRESS(2,COLUMN())),OFFSET($CL$2,0,0,ROW()-1,84),ROW()-1,FALSE))</f>
        <v/>
      </c>
      <c r="BJ42" t="str">
        <f ca="1">IF(AND(ISNUMBER($BJ$288),$B$252=1),$BJ$288,HLOOKUP(INDIRECT(ADDRESS(2,COLUMN())),OFFSET($CL$2,0,0,ROW()-1,84),ROW()-1,FALSE))</f>
        <v/>
      </c>
      <c r="BK42">
        <f ca="1">IF(AND(ISNUMBER($BK$288),$B$252=1),$BK$288,HLOOKUP(INDIRECT(ADDRESS(2,COLUMN())),OFFSET($CL$2,0,0,ROW()-1,84),ROW()-1,FALSE))</f>
        <v>0.37</v>
      </c>
      <c r="BL42" t="str">
        <f ca="1">IF(AND(ISNUMBER($BL$288),$B$252=1),$BL$288,HLOOKUP(INDIRECT(ADDRESS(2,COLUMN())),OFFSET($CL$2,0,0,ROW()-1,84),ROW()-1,FALSE))</f>
        <v/>
      </c>
      <c r="BM42" t="str">
        <f ca="1">IF(AND(ISNUMBER($BM$288),$B$252=1),$BM$288,HLOOKUP(INDIRECT(ADDRESS(2,COLUMN())),OFFSET($CL$2,0,0,ROW()-1,84),ROW()-1,FALSE))</f>
        <v/>
      </c>
      <c r="BN42">
        <f ca="1">IF(AND(ISNUMBER($BN$288),$B$252=1),$BN$288,HLOOKUP(INDIRECT(ADDRESS(2,COLUMN())),OFFSET($CL$2,0,0,ROW()-1,84),ROW()-1,FALSE))</f>
        <v>0.35</v>
      </c>
      <c r="BO42" t="str">
        <f ca="1">IF(AND(ISNUMBER($BO$288),$B$252=1),$BO$288,HLOOKUP(INDIRECT(ADDRESS(2,COLUMN())),OFFSET($CL$2,0,0,ROW()-1,84),ROW()-1,FALSE))</f>
        <v/>
      </c>
      <c r="BP42" t="str">
        <f ca="1">IF(AND(ISNUMBER($BP$288),$B$252=1),$BP$288,HLOOKUP(INDIRECT(ADDRESS(2,COLUMN())),OFFSET($CL$2,0,0,ROW()-1,84),ROW()-1,FALSE))</f>
        <v/>
      </c>
      <c r="BQ42">
        <f ca="1">IF(AND(ISNUMBER($BQ$288),$B$252=1),$BQ$288,HLOOKUP(INDIRECT(ADDRESS(2,COLUMN())),OFFSET($CL$2,0,0,ROW()-1,84),ROW()-1,FALSE))</f>
        <v>0.31</v>
      </c>
      <c r="BR42" t="str">
        <f ca="1">IF(AND(ISNUMBER($BR$288),$B$252=1),$BR$288,HLOOKUP(INDIRECT(ADDRESS(2,COLUMN())),OFFSET($CL$2,0,0,ROW()-1,84),ROW()-1,FALSE))</f>
        <v/>
      </c>
      <c r="BS42" t="str">
        <f ca="1">IF(AND(ISNUMBER($BS$288),$B$252=1),$BS$288,HLOOKUP(INDIRECT(ADDRESS(2,COLUMN())),OFFSET($CL$2,0,0,ROW()-1,84),ROW()-1,FALSE))</f>
        <v/>
      </c>
      <c r="BT42">
        <f ca="1">IF(AND(ISNUMBER($BT$288),$B$252=1),$BT$288,HLOOKUP(INDIRECT(ADDRESS(2,COLUMN())),OFFSET($CL$2,0,0,ROW()-1,84),ROW()-1,FALSE))</f>
        <v>0.33</v>
      </c>
      <c r="BU42" t="str">
        <f ca="1">IF(AND(ISNUMBER($BU$288),$B$252=1),$BU$288,HLOOKUP(INDIRECT(ADDRESS(2,COLUMN())),OFFSET($CL$2,0,0,ROW()-1,84),ROW()-1,FALSE))</f>
        <v/>
      </c>
      <c r="BV42" t="str">
        <f ca="1">IF(AND(ISNUMBER($BV$288),$B$252=1),$BV$288,HLOOKUP(INDIRECT(ADDRESS(2,COLUMN())),OFFSET($CL$2,0,0,ROW()-1,84),ROW()-1,FALSE))</f>
        <v/>
      </c>
      <c r="BW42">
        <f ca="1">IF(AND(ISNUMBER($BW$288),$B$252=1),$BW$288,HLOOKUP(INDIRECT(ADDRESS(2,COLUMN())),OFFSET($CL$2,0,0,ROW()-1,84),ROW()-1,FALSE))</f>
        <v>0.33</v>
      </c>
      <c r="BX42" t="str">
        <f ca="1">IF(AND(ISNUMBER($BX$288),$B$252=1),$BX$288,HLOOKUP(INDIRECT(ADDRESS(2,COLUMN())),OFFSET($CL$2,0,0,ROW()-1,84),ROW()-1,FALSE))</f>
        <v/>
      </c>
      <c r="BY42" t="str">
        <f ca="1">IF(AND(ISNUMBER($BY$288),$B$252=1),$BY$288,HLOOKUP(INDIRECT(ADDRESS(2,COLUMN())),OFFSET($CL$2,0,0,ROW()-1,84),ROW()-1,FALSE))</f>
        <v/>
      </c>
      <c r="BZ42">
        <f ca="1">IF(AND(ISNUMBER($BZ$288),$B$252=1),$BZ$288,HLOOKUP(INDIRECT(ADDRESS(2,COLUMN())),OFFSET($CL$2,0,0,ROW()-1,84),ROW()-1,FALSE))</f>
        <v>0.35</v>
      </c>
      <c r="CA42" t="str">
        <f ca="1">IF(AND(ISNUMBER($CA$288),$B$252=1),$CA$288,HLOOKUP(INDIRECT(ADDRESS(2,COLUMN())),OFFSET($CL$2,0,0,ROW()-1,84),ROW()-1,FALSE))</f>
        <v/>
      </c>
      <c r="CB42" t="str">
        <f ca="1">IF(AND(ISNUMBER($CB$288),$B$252=1),$CB$288,HLOOKUP(INDIRECT(ADDRESS(2,COLUMN())),OFFSET($CL$2,0,0,ROW()-1,84),ROW()-1,FALSE))</f>
        <v/>
      </c>
      <c r="CC42">
        <f ca="1">IF(AND(ISNUMBER($CC$288),$B$252=1),$CC$288,HLOOKUP(INDIRECT(ADDRESS(2,COLUMN())),OFFSET($CL$2,0,0,ROW()-1,84),ROW()-1,FALSE))</f>
        <v>0.35</v>
      </c>
      <c r="CD42" t="str">
        <f ca="1">IF(AND(ISNUMBER($CD$288),$B$252=1),$CD$288,HLOOKUP(INDIRECT(ADDRESS(2,COLUMN())),OFFSET($CL$2,0,0,ROW()-1,84),ROW()-1,FALSE))</f>
        <v/>
      </c>
      <c r="CE42" t="str">
        <f ca="1">IF(AND(ISNUMBER($CE$288),$B$252=1),$CE$288,HLOOKUP(INDIRECT(ADDRESS(2,COLUMN())),OFFSET($CL$2,0,0,ROW()-1,84),ROW()-1,FALSE))</f>
        <v/>
      </c>
      <c r="CF42">
        <f ca="1">IF(AND(ISNUMBER($CF$288),$B$252=1),$CF$288,HLOOKUP(INDIRECT(ADDRESS(2,COLUMN())),OFFSET($CL$2,0,0,ROW()-1,84),ROW()-1,FALSE))</f>
        <v>0.32</v>
      </c>
      <c r="CG42" t="str">
        <f ca="1">IF(AND(ISNUMBER($CG$288),$B$252=1),$CG$288,HLOOKUP(INDIRECT(ADDRESS(2,COLUMN())),OFFSET($CL$2,0,0,ROW()-1,84),ROW()-1,FALSE))</f>
        <v/>
      </c>
      <c r="CH42" t="str">
        <f ca="1">IF(AND(ISNUMBER($CH$288),$B$252=1),$CH$288,HLOOKUP(INDIRECT(ADDRESS(2,COLUMN())),OFFSET($CL$2,0,0,ROW()-1,84),ROW()-1,FALSE))</f>
        <v/>
      </c>
      <c r="CI42">
        <f ca="1">IF(AND(ISNUMBER($CI$288),$B$252=1),$CI$288,HLOOKUP(INDIRECT(ADDRESS(2,COLUMN())),OFFSET($CL$2,0,0,ROW()-1,84),ROW()-1,FALSE))</f>
        <v>0.31</v>
      </c>
      <c r="CJ42" t="str">
        <f ca="1">IF(AND(ISNUMBER($CJ$288),$B$252=1),$CJ$288,HLOOKUP(INDIRECT(ADDRESS(2,COLUMN())),OFFSET($CL$2,0,0,ROW()-1,84),ROW()-1,FALSE))</f>
        <v/>
      </c>
      <c r="CK42" t="str">
        <f ca="1">IF(AND(ISNUMBER($CK$288),$B$252=1),$CK$288,HLOOKUP(INDIRECT(ADDRESS(2,COLUMN())),OFFSET($CL$2,0,0,ROW()-1,84),ROW()-1,FALSE))</f>
        <v/>
      </c>
      <c r="CL42" t="str">
        <f>""</f>
        <v/>
      </c>
      <c r="CM42" t="str">
        <f>""</f>
        <v/>
      </c>
      <c r="CN42" t="str">
        <f>""</f>
        <v/>
      </c>
      <c r="CO42">
        <f>0.46</f>
        <v>0.46</v>
      </c>
      <c r="CP42" t="str">
        <f>""</f>
        <v/>
      </c>
      <c r="CQ42" t="str">
        <f>""</f>
        <v/>
      </c>
      <c r="CR42">
        <f>0.46</f>
        <v>0.46</v>
      </c>
      <c r="CS42" t="str">
        <f>""</f>
        <v/>
      </c>
      <c r="CT42" t="str">
        <f>""</f>
        <v/>
      </c>
      <c r="CU42">
        <f>0.45</f>
        <v>0.45</v>
      </c>
      <c r="CV42" t="str">
        <f>""</f>
        <v/>
      </c>
      <c r="CW42" t="str">
        <f>""</f>
        <v/>
      </c>
      <c r="CX42">
        <f>0.45</f>
        <v>0.45</v>
      </c>
      <c r="CY42" t="str">
        <f>""</f>
        <v/>
      </c>
      <c r="CZ42" t="str">
        <f>""</f>
        <v/>
      </c>
      <c r="DA42">
        <f>0.47</f>
        <v>0.47</v>
      </c>
      <c r="DB42" t="str">
        <f>""</f>
        <v/>
      </c>
      <c r="DC42" t="str">
        <f>""</f>
        <v/>
      </c>
      <c r="DD42">
        <f>0.458434</f>
        <v>0.45843400000000001</v>
      </c>
      <c r="DE42" t="str">
        <f>""</f>
        <v/>
      </c>
      <c r="DF42" t="str">
        <f>""</f>
        <v/>
      </c>
      <c r="DG42">
        <f>0.44</f>
        <v>0.44</v>
      </c>
      <c r="DH42" t="str">
        <f>""</f>
        <v/>
      </c>
      <c r="DI42" t="str">
        <f>""</f>
        <v/>
      </c>
      <c r="DJ42">
        <f>0.43</f>
        <v>0.43</v>
      </c>
      <c r="DK42" t="str">
        <f>""</f>
        <v/>
      </c>
      <c r="DL42" t="str">
        <f>""</f>
        <v/>
      </c>
      <c r="DM42">
        <f>0.41</f>
        <v>0.41</v>
      </c>
      <c r="DN42" t="str">
        <f>""</f>
        <v/>
      </c>
      <c r="DO42" t="str">
        <f>""</f>
        <v/>
      </c>
      <c r="DP42">
        <f>0.42</f>
        <v>0.42</v>
      </c>
      <c r="DQ42" t="str">
        <f>""</f>
        <v/>
      </c>
      <c r="DR42" t="str">
        <f>""</f>
        <v/>
      </c>
      <c r="DS42">
        <f>0.407338</f>
        <v>0.40733799999999998</v>
      </c>
      <c r="DT42" t="str">
        <f>""</f>
        <v/>
      </c>
      <c r="DU42" t="str">
        <f>""</f>
        <v/>
      </c>
      <c r="DV42">
        <f>0.43</f>
        <v>0.43</v>
      </c>
      <c r="DW42" t="str">
        <f>""</f>
        <v/>
      </c>
      <c r="DX42" t="str">
        <f>""</f>
        <v/>
      </c>
      <c r="DY42">
        <f>0.4</f>
        <v>0.4</v>
      </c>
      <c r="DZ42" t="str">
        <f>""</f>
        <v/>
      </c>
      <c r="EA42" t="str">
        <f>""</f>
        <v/>
      </c>
      <c r="EB42" t="str">
        <f>""</f>
        <v/>
      </c>
      <c r="EC42" t="str">
        <f>""</f>
        <v/>
      </c>
      <c r="ED42" t="str">
        <f>""</f>
        <v/>
      </c>
      <c r="EE42" t="str">
        <f>""</f>
        <v/>
      </c>
      <c r="EF42" t="str">
        <f>""</f>
        <v/>
      </c>
      <c r="EG42" t="str">
        <f>""</f>
        <v/>
      </c>
      <c r="EH42">
        <f>0.36</f>
        <v>0.36</v>
      </c>
      <c r="EI42" t="str">
        <f>""</f>
        <v/>
      </c>
      <c r="EJ42" t="str">
        <f>""</f>
        <v/>
      </c>
      <c r="EK42" t="str">
        <f>""</f>
        <v/>
      </c>
      <c r="EL42" t="str">
        <f>""</f>
        <v/>
      </c>
      <c r="EM42" t="str">
        <f>""</f>
        <v/>
      </c>
      <c r="EN42">
        <f>0.37</f>
        <v>0.37</v>
      </c>
      <c r="EO42" t="str">
        <f>""</f>
        <v/>
      </c>
      <c r="EP42" t="str">
        <f>""</f>
        <v/>
      </c>
      <c r="EQ42">
        <f>0.37</f>
        <v>0.37</v>
      </c>
      <c r="ER42" t="str">
        <f>""</f>
        <v/>
      </c>
      <c r="ES42" t="str">
        <f>""</f>
        <v/>
      </c>
      <c r="ET42">
        <f>0.35</f>
        <v>0.35</v>
      </c>
      <c r="EU42" t="str">
        <f>""</f>
        <v/>
      </c>
      <c r="EV42" t="str">
        <f>""</f>
        <v/>
      </c>
      <c r="EW42">
        <f>0.31</f>
        <v>0.31</v>
      </c>
      <c r="EX42" t="str">
        <f>""</f>
        <v/>
      </c>
      <c r="EY42" t="str">
        <f>""</f>
        <v/>
      </c>
      <c r="EZ42">
        <f>0.33</f>
        <v>0.33</v>
      </c>
      <c r="FA42" t="str">
        <f>""</f>
        <v/>
      </c>
      <c r="FB42" t="str">
        <f>""</f>
        <v/>
      </c>
      <c r="FC42">
        <f>0.33</f>
        <v>0.33</v>
      </c>
      <c r="FD42" t="str">
        <f>""</f>
        <v/>
      </c>
      <c r="FE42" t="str">
        <f>""</f>
        <v/>
      </c>
      <c r="FF42">
        <f>0.35</f>
        <v>0.35</v>
      </c>
      <c r="FG42" t="str">
        <f>""</f>
        <v/>
      </c>
      <c r="FH42" t="str">
        <f>""</f>
        <v/>
      </c>
      <c r="FI42">
        <f>0.35</f>
        <v>0.35</v>
      </c>
      <c r="FJ42" t="str">
        <f>""</f>
        <v/>
      </c>
      <c r="FK42" t="str">
        <f>""</f>
        <v/>
      </c>
      <c r="FL42">
        <f>0.32</f>
        <v>0.32</v>
      </c>
      <c r="FM42" t="str">
        <f>""</f>
        <v/>
      </c>
      <c r="FN42" t="str">
        <f>""</f>
        <v/>
      </c>
      <c r="FO42">
        <f>0.31</f>
        <v>0.31</v>
      </c>
      <c r="FP42" t="str">
        <f>""</f>
        <v/>
      </c>
      <c r="FQ42" t="str">
        <f>""</f>
        <v/>
      </c>
    </row>
    <row r="43" spans="1:173">
      <c r="A43" t="str">
        <f>"未来12个月每股营运现金流"</f>
        <v>未来12个月每股营运现金流</v>
      </c>
      <c r="B43" t="str">
        <f>"BRFREITV Index"</f>
        <v>BRFREITV Index</v>
      </c>
      <c r="E43" t="str">
        <f>"Sum"</f>
        <v>Sum</v>
      </c>
      <c r="F43">
        <f ca="1">IF(ISERROR(IF(SUM($F$44:$F$50) = 0, "", SUM($F$44:$F$50))), "", (IF(SUM($F$44:$F$50) = 0, "", SUM($F$44:$F$50))))</f>
        <v>40.329107694999998</v>
      </c>
      <c r="G43">
        <f ca="1">IF(ISERROR(IF(SUM($G$44:$G$50) = 0, "", SUM($G$44:$G$50))), "", (IF(SUM($G$44:$G$50) = 0, "", SUM($G$44:$G$50))))</f>
        <v>40.236168587000002</v>
      </c>
      <c r="H43">
        <f ca="1">IF(ISERROR(IF(SUM($H$44:$H$50) = 0, "", SUM($H$44:$H$50))), "", (IF(SUM($H$44:$H$50) = 0, "", SUM($H$44:$H$50))))</f>
        <v>40.388773942999997</v>
      </c>
      <c r="I43">
        <f ca="1">IF(ISERROR(IF(SUM($I$44:$I$50) = 0, "", SUM($I$44:$I$50))), "", (IF(SUM($I$44:$I$50) = 0, "", SUM($I$44:$I$50))))</f>
        <v>40.31</v>
      </c>
      <c r="J43">
        <f ca="1">IF(ISERROR(IF(SUM($J$44:$J$50) = 0, "", SUM($J$44:$J$50))), "", (IF(SUM($J$44:$J$50) = 0, "", SUM($J$44:$J$50))))</f>
        <v>40.201540227999999</v>
      </c>
      <c r="K43">
        <f ca="1">IF(ISERROR(IF(SUM($K$44:$K$50) = 0, "", SUM($K$44:$K$50))), "", (IF(SUM($K$44:$K$50) = 0, "", SUM($K$44:$K$50))))</f>
        <v>40.059386971999999</v>
      </c>
      <c r="L43">
        <f ca="1">IF(ISERROR(IF(SUM($L$44:$L$50) = 0, "", SUM($L$44:$L$50))), "", (IF(SUM($L$44:$L$50) = 0, "", SUM($L$44:$L$50))))</f>
        <v>39.957500000000003</v>
      </c>
      <c r="M43">
        <f ca="1">IF(ISERROR(IF(SUM($M$44:$M$50) = 0, "", SUM($M$44:$M$50))), "", (IF(SUM($M$44:$M$50) = 0, "", SUM($M$44:$M$50))))</f>
        <v>39.782137933000001</v>
      </c>
      <c r="N43">
        <f ca="1">IF(ISERROR(IF(SUM($N$44:$N$50) = 0, "", SUM($N$44:$N$50))), "", (IF(SUM($N$44:$N$50) = 0, "", SUM($N$44:$N$50))))</f>
        <v>39.651026818000005</v>
      </c>
      <c r="O43">
        <f ca="1">IF(ISERROR(IF(SUM($O$44:$O$50) = 0, "", SUM($O$44:$O$50))), "", (IF(SUM($O$44:$O$50) = 0, "", SUM($O$44:$O$50))))</f>
        <v>39.4375</v>
      </c>
      <c r="P43">
        <f ca="1">IF(ISERROR(IF(SUM($P$44:$P$50) = 0, "", SUM($P$44:$P$50))), "", (IF(SUM($P$44:$P$50) = 0, "", SUM($P$44:$P$50))))</f>
        <v>39.234122609000003</v>
      </c>
      <c r="Q43">
        <f ca="1">IF(ISERROR(IF(SUM($Q$44:$Q$50) = 0, "", SUM($Q$44:$Q$50))), "", (IF(SUM($Q$44:$Q$50) = 0, "", SUM($Q$44:$Q$50))))</f>
        <v>38.942038461999999</v>
      </c>
      <c r="R43">
        <f ca="1">IF(ISERROR(IF(SUM($R$44:$R$50) = 0, "", SUM($R$44:$R$50))), "", (IF(SUM($R$44:$R$50) = 0, "", SUM($R$44:$R$50))))</f>
        <v>38.790999999999997</v>
      </c>
      <c r="S43">
        <f ca="1">IF(ISERROR(IF(SUM($S$44:$S$50) = 0, "", SUM($S$44:$S$50))), "", (IF(SUM($S$44:$S$50) = 0, "", SUM($S$44:$S$50))))</f>
        <v>38.624789268000001</v>
      </c>
      <c r="T43">
        <f ca="1">IF(ISERROR(IF(SUM($T$44:$T$50) = 0, "", SUM($T$44:$T$50))), "", (IF(SUM($T$44:$T$50) = 0, "", SUM($T$44:$T$50))))</f>
        <v>38.723509579999991</v>
      </c>
      <c r="U43">
        <f ca="1">IF(ISERROR(IF(SUM($U$44:$U$50) = 0, "", SUM($U$44:$U$50))), "", (IF(SUM($U$44:$U$50) = 0, "", SUM($U$44:$U$50))))</f>
        <v>38.536000000000001</v>
      </c>
      <c r="V43">
        <f ca="1">IF(ISERROR(IF(SUM($V$44:$V$50) = 0, "", SUM($V$44:$V$50))), "", (IF(SUM($V$44:$V$50) = 0, "", SUM($V$44:$V$50))))</f>
        <v>38.645275865999999</v>
      </c>
      <c r="W43">
        <f ca="1">IF(ISERROR(IF(SUM($W$44:$W$50) = 0, "", SUM($W$44:$W$50))), "", (IF(SUM($W$44:$W$50) = 0, "", SUM($W$44:$W$50))))</f>
        <v>38.480842914999997</v>
      </c>
      <c r="X43">
        <f ca="1">IF(ISERROR(IF(SUM($X$44:$X$50) = 0, "", SUM($X$44:$X$50))), "", (IF(SUM($X$44:$X$50) = 0, "", SUM($X$44:$X$50))))</f>
        <v>38.453499999999998</v>
      </c>
      <c r="Y43">
        <f ca="1">IF(ISERROR(IF(SUM($Y$44:$Y$50) = 0, "", SUM($Y$44:$Y$50))), "", (IF(SUM($Y$44:$Y$50) = 0, "", SUM($Y$44:$Y$50))))</f>
        <v>38.273333330999996</v>
      </c>
      <c r="Z43">
        <f ca="1">IF(ISERROR(IF(SUM($Z$44:$Z$50) = 0, "", SUM($Z$44:$Z$50))), "", (IF(SUM($Z$44:$Z$50) = 0, "", SUM($Z$44:$Z$50))))</f>
        <v>38.225307690000001</v>
      </c>
      <c r="AA43">
        <f ca="1">IF(ISERROR(IF(SUM($AA$44:$AA$50) = 0, "", SUM($AA$44:$AA$50))), "", (IF(SUM($AA$44:$AA$50) = 0, "", SUM($AA$44:$AA$50))))</f>
        <v>38.092586202999996</v>
      </c>
      <c r="AB43">
        <f ca="1">IF(ISERROR(IF(SUM($AB$44:$AB$50) = 0, "", SUM($AB$44:$AB$50))), "", (IF(SUM($AB$44:$AB$50) = 0, "", SUM($AB$44:$AB$50))))</f>
        <v>37.940827583000001</v>
      </c>
      <c r="AC43">
        <f ca="1">IF(ISERROR(IF(SUM($AC$44:$AC$50) = 0, "", SUM($AC$44:$AC$50))), "", (IF(SUM($AC$44:$AC$50) = 0, "", SUM($AC$44:$AC$50))))</f>
        <v>38.037192311000005</v>
      </c>
      <c r="AD43">
        <f ca="1">IF(ISERROR(IF(SUM($AD$44:$AD$50) = 0, "", SUM($AD$44:$AD$50))), "", (IF(SUM($AD$44:$AD$50) = 0, "", SUM($AD$44:$AD$50))))</f>
        <v>37.989486585999998</v>
      </c>
      <c r="AE43">
        <f ca="1">IF(ISERROR(IF(SUM($AE$44:$AE$50) = 0, "", SUM($AE$44:$AE$50))), "", (IF(SUM($AE$44:$AE$50) = 0, "", SUM($AE$44:$AE$50))))</f>
        <v>37.824701149999996</v>
      </c>
      <c r="AF43">
        <f ca="1">IF(ISERROR(IF(SUM($AF$44:$AF$50) = 0, "", SUM($AF$44:$AF$50))), "", (IF(SUM($AF$44:$AF$50) = 0, "", SUM($AF$44:$AF$50))))</f>
        <v>37.571076926000003</v>
      </c>
      <c r="AG43">
        <f ca="1">IF(ISERROR(IF(SUM($AG$44:$AG$50) = 0, "", SUM($AG$44:$AG$50))), "", (IF(SUM($AG$44:$AG$50) = 0, "", SUM($AG$44:$AG$50))))</f>
        <v>37.375</v>
      </c>
      <c r="AH43">
        <f ca="1">IF(ISERROR(IF(SUM($AH$44:$AH$50) = 0, "", SUM($AH$44:$AH$50))), "", (IF(SUM($AH$44:$AH$50) = 0, "", SUM($AH$44:$AH$50))))</f>
        <v>37.223767179999996</v>
      </c>
      <c r="AI43">
        <f ca="1">IF(ISERROR(IF(SUM($AI$44:$AI$50) = 0, "", SUM($AI$44:$AI$50))), "", (IF(SUM($AI$44:$AI$50) = 0, "", SUM($AI$44:$AI$50))))</f>
        <v>36.928661542999997</v>
      </c>
      <c r="AJ43">
        <f ca="1">IF(ISERROR(IF(SUM($AJ$44:$AJ$50) = 0, "", SUM($AJ$44:$AJ$50))), "", (IF(SUM($AJ$44:$AJ$50) = 0, "", SUM($AJ$44:$AJ$50))))</f>
        <v>36.718488545000007</v>
      </c>
      <c r="AK43">
        <f ca="1">IF(ISERROR(IF(SUM($AK$44:$AK$50) = 0, "", SUM($AK$44:$AK$50))), "", (IF(SUM($AK$44:$AK$50) = 0, "", SUM($AK$44:$AK$50))))</f>
        <v>36.399977102999998</v>
      </c>
      <c r="AL43">
        <f ca="1">IF(ISERROR(IF(SUM($AL$44:$AL$50) = 0, "", SUM($AL$44:$AL$50))), "", (IF(SUM($AL$44:$AL$50) = 0, "", SUM($AL$44:$AL$50))))</f>
        <v>35.863800002000005</v>
      </c>
      <c r="AM43">
        <f ca="1">IF(ISERROR(IF(SUM($AM$44:$AM$50) = 0, "", SUM($AM$44:$AM$50))), "", (IF(SUM($AM$44:$AM$50) = 0, "", SUM($AM$44:$AM$50))))</f>
        <v>35.386427476999998</v>
      </c>
      <c r="AN43">
        <f ca="1">IF(ISERROR(IF(SUM($AN$44:$AN$50) = 0, "", SUM($AN$44:$AN$50))), "", (IF(SUM($AN$44:$AN$50) = 0, "", SUM($AN$44:$AN$50))))</f>
        <v>35.118523076999999</v>
      </c>
      <c r="AO43">
        <f ca="1">IF(ISERROR(IF(SUM($AO$44:$AO$50) = 0, "", SUM($AO$44:$AO$50))), "", (IF(SUM($AO$44:$AO$50) = 0, "", SUM($AO$44:$AO$50))))</f>
        <v>34.801812260999995</v>
      </c>
      <c r="AP43">
        <f ca="1">IF(ISERROR(IF(SUM($AP$44:$AP$50) = 0, "", SUM($AP$44:$AP$50))), "", (IF(SUM($AP$44:$AP$50) = 0, "", SUM($AP$44:$AP$50))))</f>
        <v>34.520912215000003</v>
      </c>
      <c r="AQ43">
        <f ca="1">IF(ISERROR(IF(SUM($AQ$44:$AQ$50) = 0, "", SUM($AQ$44:$AQ$50))), "", (IF(SUM($AQ$44:$AQ$50) = 0, "", SUM($AQ$44:$AQ$50))))</f>
        <v>34.289649998999998</v>
      </c>
      <c r="AR43">
        <f ca="1">IF(ISERROR(IF(SUM($AR$44:$AR$50) = 0, "", SUM($AR$44:$AR$50))), "", (IF(SUM($AR$44:$AR$50) = 0, "", SUM($AR$44:$AR$50))))</f>
        <v>34.067411537999995</v>
      </c>
      <c r="AS43">
        <f ca="1">IF(ISERROR(IF(SUM($AS$44:$AS$50) = 0, "", SUM($AS$44:$AS$50))), "", (IF(SUM($AS$44:$AS$50) = 0, "", SUM($AS$44:$AS$50))))</f>
        <v>33.911000000000001</v>
      </c>
      <c r="AT43">
        <f ca="1">IF(ISERROR(IF(SUM($AT$44:$AT$50) = 0, "", SUM($AT$44:$AT$50))), "", (IF(SUM($AT$44:$AT$50) = 0, "", SUM($AT$44:$AT$50))))</f>
        <v>33.737000000999998</v>
      </c>
      <c r="AU43">
        <f ca="1">IF(ISERROR(IF(SUM($AU$44:$AU$50) = 0, "", SUM($AU$44:$AU$50))), "", (IF(SUM($AU$44:$AU$50) = 0, "", SUM($AU$44:$AU$50))))</f>
        <v>33.333965384999999</v>
      </c>
      <c r="AV43">
        <f ca="1">IF(ISERROR(IF(SUM($AV$44:$AV$50) = 0, "", SUM($AV$44:$AV$50))), "", (IF(SUM($AV$44:$AV$50) = 0, "", SUM($AV$44:$AV$50))))</f>
        <v>32.934689653999996</v>
      </c>
      <c r="AW43">
        <f ca="1">IF(ISERROR(IF(SUM($AW$44:$AW$50) = 0, "", SUM($AW$44:$AW$50))), "", (IF(SUM($AW$44:$AW$50) = 0, "", SUM($AW$44:$AW$50))))</f>
        <v>32.795107693999995</v>
      </c>
      <c r="AX43">
        <f ca="1">IF(ISERROR(IF(SUM($AX$44:$AX$50) = 0, "", SUM($AX$44:$AX$50))), "", (IF(SUM($AX$44:$AX$50) = 0, "", SUM($AX$44:$AX$50))))</f>
        <v>32.422448276000004</v>
      </c>
      <c r="AY43">
        <f ca="1">IF(ISERROR(IF(SUM($AY$44:$AY$50) = 0, "", SUM($AY$44:$AY$50))), "", (IF(SUM($AY$44:$AY$50) = 0, "", SUM($AY$44:$AY$50))))</f>
        <v>32.079137931000005</v>
      </c>
      <c r="AZ43">
        <f ca="1">IF(ISERROR(IF(SUM($AZ$44:$AZ$50) = 0, "", SUM($AZ$44:$AZ$50))), "", (IF(SUM($AZ$44:$AZ$50) = 0, "", SUM($AZ$44:$AZ$50))))</f>
        <v>31.771507691</v>
      </c>
      <c r="BA43">
        <f ca="1">IF(ISERROR(IF(SUM($BA$44:$BA$50) = 0, "", SUM($BA$44:$BA$50))), "", (IF(SUM($BA$44:$BA$50) = 0, "", SUM($BA$44:$BA$50))))</f>
        <v>31.730490421999999</v>
      </c>
      <c r="BB43">
        <f ca="1">IF(ISERROR(IF(SUM($BB$44:$BB$50) = 0, "", SUM($BB$44:$BB$50))), "", (IF(SUM($BB$44:$BB$50) = 0, "", SUM($BB$44:$BB$50))))</f>
        <v>31.560394636000002</v>
      </c>
      <c r="BC43">
        <f ca="1">IF(ISERROR(IF(SUM($BC$44:$BC$50) = 0, "", SUM($BC$44:$BC$50))), "", (IF(SUM($BC$44:$BC$50) = 0, "", SUM($BC$44:$BC$50))))</f>
        <v>31.366461537999999</v>
      </c>
      <c r="BD43">
        <f ca="1">IF(ISERROR(IF(SUM($BD$44:$BD$50) = 0, "", SUM($BD$44:$BD$50))), "", (IF(SUM($BD$44:$BD$50) = 0, "", SUM($BD$44:$BD$50))))</f>
        <v>31.418099999999999</v>
      </c>
      <c r="BE43">
        <f ca="1">IF(ISERROR(IF(SUM($BE$44:$BE$50) = 0, "", SUM($BE$44:$BE$50))), "", (IF(SUM($BE$44:$BE$50) = 0, "", SUM($BE$44:$BE$50))))</f>
        <v>31.272000000000002</v>
      </c>
      <c r="BF43">
        <f ca="1">IF(ISERROR(IF(SUM($BF$44:$BF$50) = 0, "", SUM($BF$44:$BF$50))), "", (IF(SUM($BF$44:$BF$50) = 0, "", SUM($BF$44:$BF$50))))</f>
        <v>31.023907692000002</v>
      </c>
      <c r="BG43">
        <f ca="1">IF(ISERROR(IF(SUM($BG$44:$BG$50) = 0, "", SUM($BG$44:$BG$50))), "", (IF(SUM($BG$44:$BG$50) = 0, "", SUM($BG$44:$BG$50))))</f>
        <v>30.855789272999999</v>
      </c>
      <c r="BH43">
        <f ca="1">IF(ISERROR(IF(SUM($BH$44:$BH$50) = 0, "", SUM($BH$44:$BH$50))), "", (IF(SUM($BH$44:$BH$50) = 0, "", SUM($BH$44:$BH$50))))</f>
        <v>30.644551723999999</v>
      </c>
      <c r="BI43">
        <f ca="1">IF(ISERROR(IF(SUM($BI$44:$BI$50) = 0, "", SUM($BI$44:$BI$50))), "", (IF(SUM($BI$44:$BI$50) = 0, "", SUM($BI$44:$BI$50))))</f>
        <v>30.469919229999999</v>
      </c>
      <c r="BJ43">
        <f ca="1">IF(ISERROR(IF(SUM($BJ$44:$BJ$50) = 0, "", SUM($BJ$44:$BJ$50))), "", (IF(SUM($BJ$44:$BJ$50) = 0, "", SUM($BJ$44:$BJ$50))))</f>
        <v>30.22381609</v>
      </c>
      <c r="BK43">
        <f ca="1">IF(ISERROR(IF(SUM($BK$44:$BK$50) = 0, "", SUM($BK$44:$BK$50))), "", (IF(SUM($BK$44:$BK$50) = 0, "", SUM($BK$44:$BK$50))))</f>
        <v>29.852338461999999</v>
      </c>
      <c r="BL43">
        <f ca="1">IF(ISERROR(IF(SUM($BL$44:$BL$50) = 0, "", SUM($BL$44:$BL$50))), "", (IF(SUM($BL$44:$BL$50) = 0, "", SUM($BL$44:$BL$50))))</f>
        <v>29.437984615999998</v>
      </c>
      <c r="BM43">
        <f ca="1">IF(ISERROR(IF(SUM($BM$44:$BM$50) = 0, "", SUM($BM$44:$BM$50))), "", (IF(SUM($BM$44:$BM$50) = 0, "", SUM($BM$44:$BM$50))))</f>
        <v>28.520954021999998</v>
      </c>
      <c r="BN43">
        <f ca="1">IF(ISERROR(IF(SUM($BN$44:$BN$50) = 0, "", SUM($BN$44:$BN$50))), "", (IF(SUM($BN$44:$BN$50) = 0, "", SUM($BN$44:$BN$50))))</f>
        <v>28.196515384000001</v>
      </c>
      <c r="BO43">
        <f ca="1">IF(ISERROR(IF(SUM($BO$44:$BO$50) = 0, "", SUM($BO$44:$BO$50))), "", (IF(SUM($BO$44:$BO$50) = 0, "", SUM($BO$44:$BO$50))))</f>
        <v>28.049762453000003</v>
      </c>
      <c r="BP43">
        <f ca="1">IF(ISERROR(IF(SUM($BP$44:$BP$50) = 0, "", SUM($BP$44:$BP$50))), "", (IF(SUM($BP$44:$BP$50) = 0, "", SUM($BP$44:$BP$50))))</f>
        <v>28.804988504999997</v>
      </c>
      <c r="BQ43">
        <f ca="1">IF(ISERROR(IF(SUM($BQ$44:$BQ$50) = 0, "", SUM($BQ$44:$BQ$50))), "", (IF(SUM($BQ$44:$BQ$50) = 0, "", SUM($BQ$44:$BQ$50))))</f>
        <v>28.952999999999996</v>
      </c>
      <c r="BR43">
        <f ca="1">IF(ISERROR(IF(SUM($BR$44:$BR$50) = 0, "", SUM($BR$44:$BR$50))), "", (IF(SUM($BR$44:$BR$50) = 0, "", SUM($BR$44:$BR$50))))</f>
        <v>28.713611537999999</v>
      </c>
      <c r="BS43">
        <f ca="1">IF(ISERROR(IF(SUM($BS$44:$BS$50) = 0, "", SUM($BS$44:$BS$50))), "", (IF(SUM($BS$44:$BS$50) = 0, "", SUM($BS$44:$BS$50))))</f>
        <v>28.384352490000001</v>
      </c>
      <c r="BT43">
        <f ca="1">IF(ISERROR(IF(SUM($BT$44:$BT$50) = 0, "", SUM($BT$44:$BT$50))), "", (IF(SUM($BT$44:$BT$50) = 0, "", SUM($BT$44:$BT$50))))</f>
        <v>28.137453846</v>
      </c>
      <c r="BU43">
        <f ca="1">IF(ISERROR(IF(SUM($BU$44:$BU$50) = 0, "", SUM($BU$44:$BU$50))), "", (IF(SUM($BU$44:$BU$50) = 0, "", SUM($BU$44:$BU$50))))</f>
        <v>27.931361539000001</v>
      </c>
      <c r="BV43">
        <f ca="1">IF(ISERROR(IF(SUM($BV$44:$BV$50) = 0, "", SUM($BV$44:$BV$50))), "", (IF(SUM($BV$44:$BV$50) = 0, "", SUM($BV$44:$BV$50))))</f>
        <v>27.561452107000001</v>
      </c>
      <c r="BW43">
        <f ca="1">IF(ISERROR(IF(SUM($BW$44:$BW$50) = 0, "", SUM($BW$44:$BW$50))), "", (IF(SUM($BW$44:$BW$50) = 0, "", SUM($BW$44:$BW$50))))</f>
        <v>27.297388461000001</v>
      </c>
      <c r="BX43">
        <f ca="1">IF(ISERROR(IF(SUM($BX$44:$BX$50) = 0, "", SUM($BX$44:$BX$50))), "", (IF(SUM($BX$44:$BX$50) = 0, "", SUM($BX$44:$BX$50))))</f>
        <v>27.103681992999999</v>
      </c>
      <c r="BY43">
        <f ca="1">IF(ISERROR(IF(SUM($BY$44:$BY$50) = 0, "", SUM($BY$44:$BY$50))), "", (IF(SUM($BY$44:$BY$50) = 0, "", SUM($BY$44:$BY$50))))</f>
        <v>26.841624520000003</v>
      </c>
      <c r="BZ43">
        <f ca="1">IF(ISERROR(IF(SUM($BZ$44:$BZ$50) = 0, "", SUM($BZ$44:$BZ$50))), "", (IF(SUM($BZ$44:$BZ$50) = 0, "", SUM($BZ$44:$BZ$50))))</f>
        <v>26.518569232000004</v>
      </c>
      <c r="CA43">
        <f ca="1">IF(ISERROR(IF(SUM($CA$44:$CA$50) = 0, "", SUM($CA$44:$CA$50))), "", (IF(SUM($CA$44:$CA$50) = 0, "", SUM($CA$44:$CA$50))))</f>
        <v>26.268291187999999</v>
      </c>
      <c r="CB43">
        <f ca="1">IF(ISERROR(IF(SUM($CB$44:$CB$50) = 0, "", SUM($CB$44:$CB$50))), "", (IF(SUM($CB$44:$CB$50) = 0, "", SUM($CB$44:$CB$50))))</f>
        <v>26.000690840000001</v>
      </c>
      <c r="CC43">
        <f ca="1">IF(ISERROR(IF(SUM($CC$44:$CC$50) = 0, "", SUM($CC$44:$CC$50))), "", (IF(SUM($CC$44:$CC$50) = 0, "", SUM($CC$44:$CC$50))))</f>
        <v>25.634000000000004</v>
      </c>
      <c r="CD43">
        <f ca="1">IF(ISERROR(IF(SUM($CD$44:$CD$50) = 0, "", SUM($CD$44:$CD$50))), "", (IF(SUM($CD$44:$CD$50) = 0, "", SUM($CD$44:$CD$50))))</f>
        <v>25.355038168</v>
      </c>
      <c r="CE43">
        <f ca="1">IF(ISERROR(IF(SUM($CE$44:$CE$50) = 0, "", SUM($CE$44:$CE$50))), "", (IF(SUM($CE$44:$CE$50) = 0, "", SUM($CE$44:$CE$50))))</f>
        <v>25.130282442999999</v>
      </c>
      <c r="CF43">
        <f ca="1">IF(ISERROR(IF(SUM($CF$44:$CF$50) = 0, "", SUM($CF$44:$CF$50))), "", (IF(SUM($CF$44:$CF$50) = 0, "", SUM($CF$44:$CF$50))))</f>
        <v>24.883999999999997</v>
      </c>
      <c r="CG43">
        <f ca="1">IF(ISERROR(IF(SUM($CG$44:$CG$50) = 0, "", SUM($CG$44:$CG$50))), "", (IF(SUM($CG$44:$CG$50) = 0, "", SUM($CG$44:$CG$50))))</f>
        <v>24.604706108000002</v>
      </c>
      <c r="CH43">
        <f ca="1">IF(ISERROR(IF(SUM($CH$44:$CH$50) = 0, "", SUM($CH$44:$CH$50))), "", (IF(SUM($CH$44:$CH$50) = 0, "", SUM($CH$44:$CH$50))))</f>
        <v>24.098500000000001</v>
      </c>
      <c r="CI43">
        <f ca="1">IF(ISERROR(IF(SUM($CI$44:$CI$50) = 0, "", SUM($CI$44:$CI$50))), "", (IF(SUM($CI$44:$CI$50) = 0, "", SUM($CI$44:$CI$50))))</f>
        <v>23.868187738999996</v>
      </c>
      <c r="CJ43">
        <f ca="1">IF(ISERROR(IF(SUM($CJ$44:$CJ$50) = 0, "", SUM($CJ$44:$CJ$50))), "", (IF(SUM($CJ$44:$CJ$50) = 0, "", SUM($CJ$44:$CJ$50))))</f>
        <v>23.704637404000003</v>
      </c>
      <c r="CK43">
        <f ca="1">IF(ISERROR(IF(SUM($CK$44:$CK$50) = 0, "", SUM($CK$44:$CK$50))), "", (IF(SUM($CK$44:$CK$50) = 0, "", SUM($CK$44:$CK$50))))</f>
        <v>23.202480769999998</v>
      </c>
      <c r="CL43">
        <f>40.32910769</f>
        <v>40.329107690000001</v>
      </c>
      <c r="CM43">
        <f>40.23616858</f>
        <v>40.236168579999998</v>
      </c>
      <c r="CN43">
        <f>40.38877395</f>
        <v>40.388773950000001</v>
      </c>
      <c r="CO43">
        <f>40.31</f>
        <v>40.31</v>
      </c>
      <c r="CP43">
        <f>40.20154023</f>
        <v>40.201540229999999</v>
      </c>
      <c r="CQ43">
        <f>40.05938697</f>
        <v>40.059386969999998</v>
      </c>
      <c r="CR43">
        <f>39.9575</f>
        <v>39.957500000000003</v>
      </c>
      <c r="CS43">
        <f>39.78213793</f>
        <v>39.782137929999998</v>
      </c>
      <c r="CT43">
        <f>39.65102682</f>
        <v>39.651026819999998</v>
      </c>
      <c r="CU43">
        <f>39.4375</f>
        <v>39.4375</v>
      </c>
      <c r="CV43">
        <f>39.23412261</f>
        <v>39.23412261</v>
      </c>
      <c r="CW43">
        <f>38.94203846</f>
        <v>38.942038459999999</v>
      </c>
      <c r="CX43">
        <f>38.791</f>
        <v>38.790999999999997</v>
      </c>
      <c r="CY43">
        <f>38.62478927</f>
        <v>38.624789270000001</v>
      </c>
      <c r="CZ43">
        <f>38.72350958</f>
        <v>38.723509579999998</v>
      </c>
      <c r="DA43">
        <f>38.536</f>
        <v>38.536000000000001</v>
      </c>
      <c r="DB43">
        <f>38.64527586</f>
        <v>38.645275859999998</v>
      </c>
      <c r="DC43">
        <f>38.48084291</f>
        <v>38.48084291</v>
      </c>
      <c r="DD43">
        <f>38.4535</f>
        <v>38.453499999999998</v>
      </c>
      <c r="DE43">
        <f>38.27333333</f>
        <v>38.27333333</v>
      </c>
      <c r="DF43">
        <f>38.22530769</f>
        <v>38.225307690000001</v>
      </c>
      <c r="DG43">
        <f>38.09258621</f>
        <v>38.09258621</v>
      </c>
      <c r="DH43">
        <f>37.94082759</f>
        <v>37.940827589999998</v>
      </c>
      <c r="DI43">
        <f>38.03719231</f>
        <v>38.037192310000002</v>
      </c>
      <c r="DJ43">
        <f>37.98948659</f>
        <v>37.989486589999999</v>
      </c>
      <c r="DK43">
        <f>37.82470115</f>
        <v>37.824701150000003</v>
      </c>
      <c r="DL43">
        <f>37.57107692</f>
        <v>37.571076920000003</v>
      </c>
      <c r="DM43">
        <f>37.375</f>
        <v>37.375</v>
      </c>
      <c r="DN43">
        <f>37.22376718</f>
        <v>37.223767180000003</v>
      </c>
      <c r="DO43">
        <f>36.92866154</f>
        <v>36.92866154</v>
      </c>
      <c r="DP43">
        <f>36.71848855</f>
        <v>36.718488549999996</v>
      </c>
      <c r="DQ43">
        <f>36.3999771</f>
        <v>36.399977100000001</v>
      </c>
      <c r="DR43">
        <f>35.8638</f>
        <v>35.863799999999998</v>
      </c>
      <c r="DS43">
        <f>35.38642748</f>
        <v>35.386427480000002</v>
      </c>
      <c r="DT43">
        <f>35.11852308</f>
        <v>35.118523080000003</v>
      </c>
      <c r="DU43">
        <f>34.80181226</f>
        <v>34.801812259999998</v>
      </c>
      <c r="DV43">
        <f>34.52091221</f>
        <v>34.520912209999999</v>
      </c>
      <c r="DW43">
        <f>34.28965</f>
        <v>34.289650000000002</v>
      </c>
      <c r="DX43">
        <f>34.06741154</f>
        <v>34.067411540000002</v>
      </c>
      <c r="DY43">
        <f>33.911</f>
        <v>33.911000000000001</v>
      </c>
      <c r="DZ43">
        <f>33.737</f>
        <v>33.737000000000002</v>
      </c>
      <c r="EA43">
        <f>33.33396538</f>
        <v>33.333965380000002</v>
      </c>
      <c r="EB43">
        <f>32.93468966</f>
        <v>32.934689659999997</v>
      </c>
      <c r="EC43">
        <f>32.79510769</f>
        <v>32.795107690000002</v>
      </c>
      <c r="ED43">
        <f>32.42244828</f>
        <v>32.422448279999998</v>
      </c>
      <c r="EE43">
        <f>32.07913793</f>
        <v>32.079137930000002</v>
      </c>
      <c r="EF43">
        <f>31.77150769</f>
        <v>31.77150769</v>
      </c>
      <c r="EG43">
        <f>31.73049042</f>
        <v>31.730490419999999</v>
      </c>
      <c r="EH43">
        <f>31.56039464</f>
        <v>31.560394639999998</v>
      </c>
      <c r="EI43">
        <f>31.36646154</f>
        <v>31.36646154</v>
      </c>
      <c r="EJ43">
        <f>31.4181</f>
        <v>31.418099999999999</v>
      </c>
      <c r="EK43">
        <f>31.272</f>
        <v>31.271999999999998</v>
      </c>
      <c r="EL43">
        <f>31.02390769</f>
        <v>31.023907690000001</v>
      </c>
      <c r="EM43">
        <f>30.85578927</f>
        <v>30.855789269999999</v>
      </c>
      <c r="EN43">
        <f>30.64455172</f>
        <v>30.644551719999999</v>
      </c>
      <c r="EO43">
        <f>30.46991923</f>
        <v>30.469919229999999</v>
      </c>
      <c r="EP43">
        <f>30.22381609</f>
        <v>30.22381609</v>
      </c>
      <c r="EQ43">
        <f>29.85233846</f>
        <v>29.852338459999999</v>
      </c>
      <c r="ER43">
        <f>29.43798462</f>
        <v>29.437984620000002</v>
      </c>
      <c r="ES43">
        <f>28.52095402</f>
        <v>28.520954020000001</v>
      </c>
      <c r="ET43">
        <f>28.19651538</f>
        <v>28.196515380000001</v>
      </c>
      <c r="EU43">
        <f>28.04976245</f>
        <v>28.049762449999999</v>
      </c>
      <c r="EV43">
        <f>28.80498851</f>
        <v>28.804988510000001</v>
      </c>
      <c r="EW43">
        <f>28.953</f>
        <v>28.952999999999999</v>
      </c>
      <c r="EX43">
        <f>28.71361154</f>
        <v>28.713611539999999</v>
      </c>
      <c r="EY43">
        <f>28.38435249</f>
        <v>28.384352490000001</v>
      </c>
      <c r="EZ43">
        <f>28.13745385</f>
        <v>28.13745385</v>
      </c>
      <c r="FA43">
        <f>27.93136154</f>
        <v>27.931361540000001</v>
      </c>
      <c r="FB43">
        <f>27.56145211</f>
        <v>27.561452110000001</v>
      </c>
      <c r="FC43">
        <f>27.29738846</f>
        <v>27.297388460000001</v>
      </c>
      <c r="FD43">
        <f>27.10368199</f>
        <v>27.103681989999998</v>
      </c>
      <c r="FE43">
        <f>26.84162452</f>
        <v>26.84162452</v>
      </c>
      <c r="FF43">
        <f>26.51856923</f>
        <v>26.518569230000001</v>
      </c>
      <c r="FG43">
        <f>26.26829119</f>
        <v>26.268291189999999</v>
      </c>
      <c r="FH43">
        <f>26.00069084</f>
        <v>26.000690840000001</v>
      </c>
      <c r="FI43">
        <f>25.634</f>
        <v>25.634</v>
      </c>
      <c r="FJ43">
        <f>25.35503817</f>
        <v>25.35503817</v>
      </c>
      <c r="FK43">
        <f>25.13028244</f>
        <v>25.130282439999998</v>
      </c>
      <c r="FL43">
        <f>24.884</f>
        <v>24.884</v>
      </c>
      <c r="FM43">
        <f>24.60470611</f>
        <v>24.604706109999999</v>
      </c>
      <c r="FN43">
        <f>24.0985</f>
        <v>24.098500000000001</v>
      </c>
      <c r="FO43">
        <f>23.86818774</f>
        <v>23.86818774</v>
      </c>
      <c r="FP43">
        <f>23.7046374</f>
        <v>23.704637399999999</v>
      </c>
      <c r="FQ43">
        <f>23.20248077</f>
        <v>23.202480770000001</v>
      </c>
    </row>
    <row r="44" spans="1:173">
      <c r="A44" t="str">
        <f>"    公寓投资与管理"</f>
        <v xml:space="preserve">    公寓投资与管理</v>
      </c>
      <c r="B44" t="str">
        <f>"AIV US Equity"</f>
        <v>AIV US Equity</v>
      </c>
      <c r="C44" t="str">
        <f t="shared" ref="C44:C50" si="15">"BE038"</f>
        <v>BE038</v>
      </c>
      <c r="D44" t="str">
        <f t="shared" ref="D44:D50" si="16">"BEST_FFOPS"</f>
        <v>BEST_FFOPS</v>
      </c>
      <c r="E44" t="str">
        <f t="shared" ref="E44:E50" si="17">"动态"</f>
        <v>动态</v>
      </c>
      <c r="F44">
        <f ca="1">IF(AND(ISNUMBER($F$289),$B$252=1),$F$289,HLOOKUP(INDIRECT(ADDRESS(2,COLUMN())),OFFSET($CL$2,0,0,ROW()-1,84),ROW()-1,FALSE))</f>
        <v>2.5163538459999999</v>
      </c>
      <c r="G44">
        <f ca="1">IF(AND(ISNUMBER($G$289),$B$252=1),$G$289,HLOOKUP(INDIRECT(ADDRESS(2,COLUMN())),OFFSET($CL$2,0,0,ROW()-1,84),ROW()-1,FALSE))</f>
        <v>2.5231341</v>
      </c>
      <c r="H44">
        <f ca="1">IF(AND(ISNUMBER($H$289),$B$252=1),$H$289,HLOOKUP(INDIRECT(ADDRESS(2,COLUMN())),OFFSET($CL$2,0,0,ROW()-1,84),ROW()-1,FALSE))</f>
        <v>2.5518084289999998</v>
      </c>
      <c r="I44">
        <f ca="1">IF(AND(ISNUMBER($I$289),$B$252=1),$I$289,HLOOKUP(INDIRECT(ADDRESS(2,COLUMN())),OFFSET($CL$2,0,0,ROW()-1,84),ROW()-1,FALSE))</f>
        <v>2.5419999999999998</v>
      </c>
      <c r="J44">
        <f ca="1">IF(AND(ISNUMBER($J$289),$B$252=1),$J$289,HLOOKUP(INDIRECT(ADDRESS(2,COLUMN())),OFFSET($CL$2,0,0,ROW()-1,84),ROW()-1,FALSE))</f>
        <v>2.5375517240000001</v>
      </c>
      <c r="K44">
        <f ca="1">IF(AND(ISNUMBER($K$289),$B$252=1),$K$289,HLOOKUP(INDIRECT(ADDRESS(2,COLUMN())),OFFSET($CL$2,0,0,ROW()-1,84),ROW()-1,FALSE))</f>
        <v>2.532383142</v>
      </c>
      <c r="L44">
        <f ca="1">IF(AND(ISNUMBER($L$289),$B$252=1),$L$289,HLOOKUP(INDIRECT(ADDRESS(2,COLUMN())),OFFSET($CL$2,0,0,ROW()-1,84),ROW()-1,FALSE))</f>
        <v>2.5212500000000002</v>
      </c>
      <c r="M44">
        <f ca="1">IF(AND(ISNUMBER($M$289),$B$252=1),$M$289,HLOOKUP(INDIRECT(ADDRESS(2,COLUMN())),OFFSET($CL$2,0,0,ROW()-1,84),ROW()-1,FALSE))</f>
        <v>2.515084291</v>
      </c>
      <c r="N44">
        <f ca="1">IF(AND(ISNUMBER($N$289),$B$252=1),$N$289,HLOOKUP(INDIRECT(ADDRESS(2,COLUMN())),OFFSET($CL$2,0,0,ROW()-1,84),ROW()-1,FALSE))</f>
        <v>2.501226054</v>
      </c>
      <c r="O44">
        <f ca="1">IF(AND(ISNUMBER($O$289),$B$252=1),$O$289,HLOOKUP(INDIRECT(ADDRESS(2,COLUMN())),OFFSET($CL$2,0,0,ROW()-1,84),ROW()-1,FALSE))</f>
        <v>2.4944999999999999</v>
      </c>
      <c r="P44">
        <f ca="1">IF(AND(ISNUMBER($P$289),$B$252=1),$P$289,HLOOKUP(INDIRECT(ADDRESS(2,COLUMN())),OFFSET($CL$2,0,0,ROW()-1,84),ROW()-1,FALSE))</f>
        <v>2.485785441</v>
      </c>
      <c r="Q44">
        <f ca="1">IF(AND(ISNUMBER($Q$289),$B$252=1),$Q$289,HLOOKUP(INDIRECT(ADDRESS(2,COLUMN())),OFFSET($CL$2,0,0,ROW()-1,84),ROW()-1,FALSE))</f>
        <v>2.491884615</v>
      </c>
      <c r="R44">
        <f ca="1">IF(AND(ISNUMBER($R$289),$B$252=1),$R$289,HLOOKUP(INDIRECT(ADDRESS(2,COLUMN())),OFFSET($CL$2,0,0,ROW()-1,84),ROW()-1,FALSE))</f>
        <v>2.4794999999999998</v>
      </c>
      <c r="S44">
        <f ca="1">IF(AND(ISNUMBER($S$289),$B$252=1),$S$289,HLOOKUP(INDIRECT(ADDRESS(2,COLUMN())),OFFSET($CL$2,0,0,ROW()-1,84),ROW()-1,FALSE))</f>
        <v>2.467923372</v>
      </c>
      <c r="T44">
        <f ca="1">IF(AND(ISNUMBER($T$289),$B$252=1),$T$289,HLOOKUP(INDIRECT(ADDRESS(2,COLUMN())),OFFSET($CL$2,0,0,ROW()-1,84),ROW()-1,FALSE))</f>
        <v>2.4628084289999999</v>
      </c>
      <c r="U44">
        <f ca="1">IF(AND(ISNUMBER($U$289),$B$252=1),$U$289,HLOOKUP(INDIRECT(ADDRESS(2,COLUMN())),OFFSET($CL$2,0,0,ROW()-1,84),ROW()-1,FALSE))</f>
        <v>2.4510000000000001</v>
      </c>
      <c r="V44">
        <f ca="1">IF(AND(ISNUMBER($V$289),$B$252=1),$V$289,HLOOKUP(INDIRECT(ADDRESS(2,COLUMN())),OFFSET($CL$2,0,0,ROW()-1,84),ROW()-1,FALSE))</f>
        <v>2.442777778</v>
      </c>
      <c r="W44">
        <f ca="1">IF(AND(ISNUMBER($W$289),$B$252=1),$W$289,HLOOKUP(INDIRECT(ADDRESS(2,COLUMN())),OFFSET($CL$2,0,0,ROW()-1,84),ROW()-1,FALSE))</f>
        <v>2.447363985</v>
      </c>
      <c r="X44">
        <f ca="1">IF(AND(ISNUMBER($X$289),$B$252=1),$X$289,HLOOKUP(INDIRECT(ADDRESS(2,COLUMN())),OFFSET($CL$2,0,0,ROW()-1,84),ROW()-1,FALSE))</f>
        <v>2.4507500000000002</v>
      </c>
      <c r="Y44">
        <f ca="1">IF(AND(ISNUMBER($Y$289),$B$252=1),$Y$289,HLOOKUP(INDIRECT(ADDRESS(2,COLUMN())),OFFSET($CL$2,0,0,ROW()-1,84),ROW()-1,FALSE))</f>
        <v>2.4359999999999999</v>
      </c>
      <c r="Z44">
        <f ca="1">IF(AND(ISNUMBER($Z$289),$B$252=1),$Z$289,HLOOKUP(INDIRECT(ADDRESS(2,COLUMN())),OFFSET($CL$2,0,0,ROW()-1,84),ROW()-1,FALSE))</f>
        <v>2.4098076919999998</v>
      </c>
      <c r="AA44">
        <f ca="1">IF(AND(ISNUMBER($AA$289),$B$252=1),$AA$289,HLOOKUP(INDIRECT(ADDRESS(2,COLUMN())),OFFSET($CL$2,0,0,ROW()-1,84),ROW()-1,FALSE))</f>
        <v>2.3866934870000001</v>
      </c>
      <c r="AB44">
        <f ca="1">IF(AND(ISNUMBER($AB$289),$B$252=1),$AB$289,HLOOKUP(INDIRECT(ADDRESS(2,COLUMN())),OFFSET($CL$2,0,0,ROW()-1,84),ROW()-1,FALSE))</f>
        <v>2.3799310340000002</v>
      </c>
      <c r="AC44">
        <f ca="1">IF(AND(ISNUMBER($AC$289),$B$252=1),$AC$289,HLOOKUP(INDIRECT(ADDRESS(2,COLUMN())),OFFSET($CL$2,0,0,ROW()-1,84),ROW()-1,FALSE))</f>
        <v>2.346961538</v>
      </c>
      <c r="AD44">
        <f ca="1">IF(AND(ISNUMBER($AD$289),$B$252=1),$AD$289,HLOOKUP(INDIRECT(ADDRESS(2,COLUMN())),OFFSET($CL$2,0,0,ROW()-1,84),ROW()-1,FALSE))</f>
        <v>2.340835249</v>
      </c>
      <c r="AE44">
        <f ca="1">IF(AND(ISNUMBER($AE$289),$B$252=1),$AE$289,HLOOKUP(INDIRECT(ADDRESS(2,COLUMN())),OFFSET($CL$2,0,0,ROW()-1,84),ROW()-1,FALSE))</f>
        <v>2.3559080460000001</v>
      </c>
      <c r="AF44">
        <f ca="1">IF(AND(ISNUMBER($AF$289),$B$252=1),$AF$289,HLOOKUP(INDIRECT(ADDRESS(2,COLUMN())),OFFSET($CL$2,0,0,ROW()-1,84),ROW()-1,FALSE))</f>
        <v>2.3956153850000002</v>
      </c>
      <c r="AG44">
        <f ca="1">IF(AND(ISNUMBER($AG$289),$B$252=1),$AG$289,HLOOKUP(INDIRECT(ADDRESS(2,COLUMN())),OFFSET($CL$2,0,0,ROW()-1,84),ROW()-1,FALSE))</f>
        <v>2.3849999999999998</v>
      </c>
      <c r="AH44">
        <f ca="1">IF(AND(ISNUMBER($AH$289),$B$252=1),$AH$289,HLOOKUP(INDIRECT(ADDRESS(2,COLUMN())),OFFSET($CL$2,0,0,ROW()-1,84),ROW()-1,FALSE))</f>
        <v>2.3708664119999998</v>
      </c>
      <c r="AI44">
        <f ca="1">IF(AND(ISNUMBER($AI$289),$B$252=1),$AI$289,HLOOKUP(INDIRECT(ADDRESS(2,COLUMN())),OFFSET($CL$2,0,0,ROW()-1,84),ROW()-1,FALSE))</f>
        <v>2.3504461540000001</v>
      </c>
      <c r="AJ44">
        <f ca="1">IF(AND(ISNUMBER($AJ$289),$B$252=1),$AJ$289,HLOOKUP(INDIRECT(ADDRESS(2,COLUMN())),OFFSET($CL$2,0,0,ROW()-1,84),ROW()-1,FALSE))</f>
        <v>2.3352137399999999</v>
      </c>
      <c r="AK44">
        <f ca="1">IF(AND(ISNUMBER($AK$289),$B$252=1),$AK$289,HLOOKUP(INDIRECT(ADDRESS(2,COLUMN())),OFFSET($CL$2,0,0,ROW()-1,84),ROW()-1,FALSE))</f>
        <v>2.3202748089999998</v>
      </c>
      <c r="AL44">
        <f ca="1">IF(AND(ISNUMBER($AL$289),$B$252=1),$AL$289,HLOOKUP(INDIRECT(ADDRESS(2,COLUMN())),OFFSET($CL$2,0,0,ROW()-1,84),ROW()-1,FALSE))</f>
        <v>2.2831807689999999</v>
      </c>
      <c r="AM44">
        <f ca="1">IF(AND(ISNUMBER($AM$289),$B$252=1),$AM$289,HLOOKUP(INDIRECT(ADDRESS(2,COLUMN())),OFFSET($CL$2,0,0,ROW()-1,84),ROW()-1,FALSE))</f>
        <v>2.2718702290000001</v>
      </c>
      <c r="AN44">
        <f ca="1">IF(AND(ISNUMBER($AN$289),$B$252=1),$AN$289,HLOOKUP(INDIRECT(ADDRESS(2,COLUMN())),OFFSET($CL$2,0,0,ROW()-1,84),ROW()-1,FALSE))</f>
        <v>2.2492999999999999</v>
      </c>
      <c r="AO44">
        <f ca="1">IF(AND(ISNUMBER($AO$289),$B$252=1),$AO$289,HLOOKUP(INDIRECT(ADDRESS(2,COLUMN())),OFFSET($CL$2,0,0,ROW()-1,84),ROW()-1,FALSE))</f>
        <v>2.232777778</v>
      </c>
      <c r="AP44">
        <f ca="1">IF(AND(ISNUMBER($AP$289),$B$252=1),$AP$289,HLOOKUP(INDIRECT(ADDRESS(2,COLUMN())),OFFSET($CL$2,0,0,ROW()-1,84),ROW()-1,FALSE))</f>
        <v>2.2194465650000001</v>
      </c>
      <c r="AQ44">
        <f ca="1">IF(AND(ISNUMBER($AQ$289),$B$252=1),$AQ$289,HLOOKUP(INDIRECT(ADDRESS(2,COLUMN())),OFFSET($CL$2,0,0,ROW()-1,84),ROW()-1,FALSE))</f>
        <v>2.2040192310000002</v>
      </c>
      <c r="AR44">
        <f ca="1">IF(AND(ISNUMBER($AR$289),$B$252=1),$AR$289,HLOOKUP(INDIRECT(ADDRESS(2,COLUMN())),OFFSET($CL$2,0,0,ROW()-1,84),ROW()-1,FALSE))</f>
        <v>2.1932653850000001</v>
      </c>
      <c r="AS44">
        <f ca="1">IF(AND(ISNUMBER($AS$289),$B$252=1),$AS$289,HLOOKUP(INDIRECT(ADDRESS(2,COLUMN())),OFFSET($CL$2,0,0,ROW()-1,84),ROW()-1,FALSE))</f>
        <v>2.2200000000000002</v>
      </c>
      <c r="AT44">
        <f ca="1">IF(AND(ISNUMBER($AT$289),$B$252=1),$AT$289,HLOOKUP(INDIRECT(ADDRESS(2,COLUMN())),OFFSET($CL$2,0,0,ROW()-1,84),ROW()-1,FALSE))</f>
        <v>2.2126153849999999</v>
      </c>
      <c r="AU44">
        <f ca="1">IF(AND(ISNUMBER($AU$289),$B$252=1),$AU$289,HLOOKUP(INDIRECT(ADDRESS(2,COLUMN())),OFFSET($CL$2,0,0,ROW()-1,84),ROW()-1,FALSE))</f>
        <v>2.1959961539999999</v>
      </c>
      <c r="AV44">
        <f ca="1">IF(AND(ISNUMBER($AV$289),$B$252=1),$AV$289,HLOOKUP(INDIRECT(ADDRESS(2,COLUMN())),OFFSET($CL$2,0,0,ROW()-1,84),ROW()-1,FALSE))</f>
        <v>2.188873563</v>
      </c>
      <c r="AW44">
        <f ca="1">IF(AND(ISNUMBER($AW$289),$B$252=1),$AW$289,HLOOKUP(INDIRECT(ADDRESS(2,COLUMN())),OFFSET($CL$2,0,0,ROW()-1,84),ROW()-1,FALSE))</f>
        <v>2.1756461539999998</v>
      </c>
      <c r="AX44">
        <f ca="1">IF(AND(ISNUMBER($AX$289),$B$252=1),$AX$289,HLOOKUP(INDIRECT(ADDRESS(2,COLUMN())),OFFSET($CL$2,0,0,ROW()-1,84),ROW()-1,FALSE))</f>
        <v>2.150785441</v>
      </c>
      <c r="AY44">
        <f ca="1">IF(AND(ISNUMBER($AY$289),$B$252=1),$AY$289,HLOOKUP(INDIRECT(ADDRESS(2,COLUMN())),OFFSET($CL$2,0,0,ROW()-1,84),ROW()-1,FALSE))</f>
        <v>2.126758621</v>
      </c>
      <c r="AZ44">
        <f ca="1">IF(AND(ISNUMBER($AZ$289),$B$252=1),$AZ$289,HLOOKUP(INDIRECT(ADDRESS(2,COLUMN())),OFFSET($CL$2,0,0,ROW()-1,84),ROW()-1,FALSE))</f>
        <v>2.1159115380000002</v>
      </c>
      <c r="BA44">
        <f ca="1">IF(AND(ISNUMBER($BA$289),$B$252=1),$BA$289,HLOOKUP(INDIRECT(ADDRESS(2,COLUMN())),OFFSET($CL$2,0,0,ROW()-1,84),ROW()-1,FALSE))</f>
        <v>2.1190727969999998</v>
      </c>
      <c r="BB44">
        <f ca="1">IF(AND(ISNUMBER($BB$289),$B$252=1),$BB$289,HLOOKUP(INDIRECT(ADDRESS(2,COLUMN())),OFFSET($CL$2,0,0,ROW()-1,84),ROW()-1,FALSE))</f>
        <v>2.1245555559999998</v>
      </c>
      <c r="BC44">
        <f ca="1">IF(AND(ISNUMBER($BC$289),$B$252=1),$BC$289,HLOOKUP(INDIRECT(ADDRESS(2,COLUMN())),OFFSET($CL$2,0,0,ROW()-1,84),ROW()-1,FALSE))</f>
        <v>2.1302692310000002</v>
      </c>
      <c r="BD44">
        <f ca="1">IF(AND(ISNUMBER($BD$289),$B$252=1),$BD$289,HLOOKUP(INDIRECT(ADDRESS(2,COLUMN())),OFFSET($CL$2,0,0,ROW()-1,84),ROW()-1,FALSE))</f>
        <v>2.198853846</v>
      </c>
      <c r="BE44">
        <f ca="1">IF(AND(ISNUMBER($BE$289),$B$252=1),$BE$289,HLOOKUP(INDIRECT(ADDRESS(2,COLUMN())),OFFSET($CL$2,0,0,ROW()-1,84),ROW()-1,FALSE))</f>
        <v>2.169</v>
      </c>
      <c r="BF44">
        <f ca="1">IF(AND(ISNUMBER($BF$289),$B$252=1),$BF$289,HLOOKUP(INDIRECT(ADDRESS(2,COLUMN())),OFFSET($CL$2,0,0,ROW()-1,84),ROW()-1,FALSE))</f>
        <v>2.1512538459999999</v>
      </c>
      <c r="BG44">
        <f ca="1">IF(AND(ISNUMBER($BG$289),$B$252=1),$BG$289,HLOOKUP(INDIRECT(ADDRESS(2,COLUMN())),OFFSET($CL$2,0,0,ROW()-1,84),ROW()-1,FALSE))</f>
        <v>2.1729808429999999</v>
      </c>
      <c r="BH44">
        <f ca="1">IF(AND(ISNUMBER($BH$289),$B$252=1),$BH$289,HLOOKUP(INDIRECT(ADDRESS(2,COLUMN())),OFFSET($CL$2,0,0,ROW()-1,84),ROW()-1,FALSE))</f>
        <v>2.166275862</v>
      </c>
      <c r="BI44">
        <f ca="1">IF(AND(ISNUMBER($BI$289),$B$252=1),$BI$289,HLOOKUP(INDIRECT(ADDRESS(2,COLUMN())),OFFSET($CL$2,0,0,ROW()-1,84),ROW()-1,FALSE))</f>
        <v>2.1531269229999999</v>
      </c>
      <c r="BJ44">
        <f ca="1">IF(AND(ISNUMBER($BJ$289),$B$252=1),$BJ$289,HLOOKUP(INDIRECT(ADDRESS(2,COLUMN())),OFFSET($CL$2,0,0,ROW()-1,84),ROW()-1,FALSE))</f>
        <v>2.1291685820000001</v>
      </c>
      <c r="BK44">
        <f ca="1">IF(AND(ISNUMBER($BK$289),$B$252=1),$BK$289,HLOOKUP(INDIRECT(ADDRESS(2,COLUMN())),OFFSET($CL$2,0,0,ROW()-1,84),ROW()-1,FALSE))</f>
        <v>2.1186461539999999</v>
      </c>
      <c r="BL44">
        <f ca="1">IF(AND(ISNUMBER($BL$289),$B$252=1),$BL$289,HLOOKUP(INDIRECT(ADDRESS(2,COLUMN())),OFFSET($CL$2,0,0,ROW()-1,84),ROW()-1,FALSE))</f>
        <v>2.1051076919999998</v>
      </c>
      <c r="BM44">
        <f ca="1">IF(AND(ISNUMBER($BM$289),$B$252=1),$BM$289,HLOOKUP(INDIRECT(ADDRESS(2,COLUMN())),OFFSET($CL$2,0,0,ROW()-1,84),ROW()-1,FALSE))</f>
        <v>2.0802873559999999</v>
      </c>
      <c r="BN44">
        <f ca="1">IF(AND(ISNUMBER($BN$289),$B$252=1),$BN$289,HLOOKUP(INDIRECT(ADDRESS(2,COLUMN())),OFFSET($CL$2,0,0,ROW()-1,84),ROW()-1,FALSE))</f>
        <v>2.0655846150000001</v>
      </c>
      <c r="BO44">
        <f ca="1">IF(AND(ISNUMBER($BO$289),$B$252=1),$BO$289,HLOOKUP(INDIRECT(ADDRESS(2,COLUMN())),OFFSET($CL$2,0,0,ROW()-1,84),ROW()-1,FALSE))</f>
        <v>2.0579731799999998</v>
      </c>
      <c r="BP44">
        <f ca="1">IF(AND(ISNUMBER($BP$289),$B$252=1),$BP$289,HLOOKUP(INDIRECT(ADDRESS(2,COLUMN())),OFFSET($CL$2,0,0,ROW()-1,84),ROW()-1,FALSE))</f>
        <v>2.0589770110000001</v>
      </c>
      <c r="BQ44">
        <f ca="1">IF(AND(ISNUMBER($BQ$289),$B$252=1),$BQ$289,HLOOKUP(INDIRECT(ADDRESS(2,COLUMN())),OFFSET($CL$2,0,0,ROW()-1,84),ROW()-1,FALSE))</f>
        <v>2.0209999999999999</v>
      </c>
      <c r="BR44">
        <f ca="1">IF(AND(ISNUMBER($BR$289),$B$252=1),$BR$289,HLOOKUP(INDIRECT(ADDRESS(2,COLUMN())),OFFSET($CL$2,0,0,ROW()-1,84),ROW()-1,FALSE))</f>
        <v>2.0019499999999999</v>
      </c>
      <c r="BS44">
        <f ca="1">IF(AND(ISNUMBER($BS$289),$B$252=1),$BS$289,HLOOKUP(INDIRECT(ADDRESS(2,COLUMN())),OFFSET($CL$2,0,0,ROW()-1,84),ROW()-1,FALSE))</f>
        <v>1.982245211</v>
      </c>
      <c r="BT44">
        <f ca="1">IF(AND(ISNUMBER($BT$289),$B$252=1),$BT$289,HLOOKUP(INDIRECT(ADDRESS(2,COLUMN())),OFFSET($CL$2,0,0,ROW()-1,84),ROW()-1,FALSE))</f>
        <v>1.940130769</v>
      </c>
      <c r="BU44">
        <f ca="1">IF(AND(ISNUMBER($BU$289),$B$252=1),$BU$289,HLOOKUP(INDIRECT(ADDRESS(2,COLUMN())),OFFSET($CL$2,0,0,ROW()-1,84),ROW()-1,FALSE))</f>
        <v>1.925415385</v>
      </c>
      <c r="BV44">
        <f ca="1">IF(AND(ISNUMBER($BV$289),$B$252=1),$BV$289,HLOOKUP(INDIRECT(ADDRESS(2,COLUMN())),OFFSET($CL$2,0,0,ROW()-1,84),ROW()-1,FALSE))</f>
        <v>1.9015057470000001</v>
      </c>
      <c r="BW44">
        <f ca="1">IF(AND(ISNUMBER($BW$289),$B$252=1),$BW$289,HLOOKUP(INDIRECT(ADDRESS(2,COLUMN())),OFFSET($CL$2,0,0,ROW()-1,84),ROW()-1,FALSE))</f>
        <v>1.8821076919999999</v>
      </c>
      <c r="BX44">
        <f ca="1">IF(AND(ISNUMBER($BX$289),$B$252=1),$BX$289,HLOOKUP(INDIRECT(ADDRESS(2,COLUMN())),OFFSET($CL$2,0,0,ROW()-1,84),ROW()-1,FALSE))</f>
        <v>1.8600421460000001</v>
      </c>
      <c r="BY44">
        <f ca="1">IF(AND(ISNUMBER($BY$289),$B$252=1),$BY$289,HLOOKUP(INDIRECT(ADDRESS(2,COLUMN())),OFFSET($CL$2,0,0,ROW()-1,84),ROW()-1,FALSE))</f>
        <v>1.820662835</v>
      </c>
      <c r="BZ44">
        <f ca="1">IF(AND(ISNUMBER($BZ$289),$B$252=1),$BZ$289,HLOOKUP(INDIRECT(ADDRESS(2,COLUMN())),OFFSET($CL$2,0,0,ROW()-1,84),ROW()-1,FALSE))</f>
        <v>1.8058307689999999</v>
      </c>
      <c r="CA44">
        <f ca="1">IF(AND(ISNUMBER($CA$289),$B$252=1),$CA$289,HLOOKUP(INDIRECT(ADDRESS(2,COLUMN())),OFFSET($CL$2,0,0,ROW()-1,84),ROW()-1,FALSE))</f>
        <v>1.7893371650000001</v>
      </c>
      <c r="CB44">
        <f ca="1">IF(AND(ISNUMBER($CB$289),$B$252=1),$CB$289,HLOOKUP(INDIRECT(ADDRESS(2,COLUMN())),OFFSET($CL$2,0,0,ROW()-1,84),ROW()-1,FALSE))</f>
        <v>1.777923664</v>
      </c>
      <c r="CC44">
        <f ca="1">IF(AND(ISNUMBER($CC$289),$B$252=1),$CC$289,HLOOKUP(INDIRECT(ADDRESS(2,COLUMN())),OFFSET($CL$2,0,0,ROW()-1,84),ROW()-1,FALSE))</f>
        <v>1.766</v>
      </c>
      <c r="CD44">
        <f ca="1">IF(AND(ISNUMBER($CD$289),$B$252=1),$CD$289,HLOOKUP(INDIRECT(ADDRESS(2,COLUMN())),OFFSET($CL$2,0,0,ROW()-1,84),ROW()-1,FALSE))</f>
        <v>1.747969466</v>
      </c>
      <c r="CE44">
        <f ca="1">IF(AND(ISNUMBER($CE$289),$B$252=1),$CE$289,HLOOKUP(INDIRECT(ADDRESS(2,COLUMN())),OFFSET($CL$2,0,0,ROW()-1,84),ROW()-1,FALSE))</f>
        <v>1.750259542</v>
      </c>
      <c r="CF44">
        <f ca="1">IF(AND(ISNUMBER($CF$289),$B$252=1),$CF$289,HLOOKUP(INDIRECT(ADDRESS(2,COLUMN())),OFFSET($CL$2,0,0,ROW()-1,84),ROW()-1,FALSE))</f>
        <v>1.7297499999999999</v>
      </c>
      <c r="CG44">
        <f ca="1">IF(AND(ISNUMBER($CG$289),$B$252=1),$CG$289,HLOOKUP(INDIRECT(ADDRESS(2,COLUMN())),OFFSET($CL$2,0,0,ROW()-1,84),ROW()-1,FALSE))</f>
        <v>1.70539313</v>
      </c>
      <c r="CH44">
        <f ca="1">IF(AND(ISNUMBER($CH$289),$B$252=1),$CH$289,HLOOKUP(INDIRECT(ADDRESS(2,COLUMN())),OFFSET($CL$2,0,0,ROW()-1,84),ROW()-1,FALSE))</f>
        <v>1.6187692309999999</v>
      </c>
      <c r="CI44">
        <f ca="1">IF(AND(ISNUMBER($CI$289),$B$252=1),$CI$289,HLOOKUP(INDIRECT(ADDRESS(2,COLUMN())),OFFSET($CL$2,0,0,ROW()-1,84),ROW()-1,FALSE))</f>
        <v>1.611494253</v>
      </c>
      <c r="CJ44">
        <f ca="1">IF(AND(ISNUMBER($CJ$289),$B$252=1),$CJ$289,HLOOKUP(INDIRECT(ADDRESS(2,COLUMN())),OFFSET($CL$2,0,0,ROW()-1,84),ROW()-1,FALSE))</f>
        <v>1.602526718</v>
      </c>
      <c r="CK44">
        <f ca="1">IF(AND(ISNUMBER($CK$289),$B$252=1),$CK$289,HLOOKUP(INDIRECT(ADDRESS(2,COLUMN())),OFFSET($CL$2,0,0,ROW()-1,84),ROW()-1,FALSE))</f>
        <v>1.6052884620000001</v>
      </c>
      <c r="CL44">
        <f>2.516353846</f>
        <v>2.5163538459999999</v>
      </c>
      <c r="CM44">
        <f>2.5231341</f>
        <v>2.5231341</v>
      </c>
      <c r="CN44">
        <f>2.551808429</f>
        <v>2.5518084289999998</v>
      </c>
      <c r="CO44">
        <f>2.542</f>
        <v>2.5419999999999998</v>
      </c>
      <c r="CP44">
        <f>2.537551724</f>
        <v>2.5375517240000001</v>
      </c>
      <c r="CQ44">
        <f>2.532383142</f>
        <v>2.532383142</v>
      </c>
      <c r="CR44">
        <f>2.52125</f>
        <v>2.5212500000000002</v>
      </c>
      <c r="CS44">
        <f>2.515084291</f>
        <v>2.515084291</v>
      </c>
      <c r="CT44">
        <f>2.501226054</f>
        <v>2.501226054</v>
      </c>
      <c r="CU44">
        <f>2.4945</f>
        <v>2.4944999999999999</v>
      </c>
      <c r="CV44">
        <f>2.485785441</f>
        <v>2.485785441</v>
      </c>
      <c r="CW44">
        <f>2.491884615</f>
        <v>2.491884615</v>
      </c>
      <c r="CX44">
        <f>2.4795</f>
        <v>2.4794999999999998</v>
      </c>
      <c r="CY44">
        <f>2.467923372</f>
        <v>2.467923372</v>
      </c>
      <c r="CZ44">
        <f>2.462808429</f>
        <v>2.4628084289999999</v>
      </c>
      <c r="DA44">
        <f>2.451</f>
        <v>2.4510000000000001</v>
      </c>
      <c r="DB44">
        <f>2.442777778</f>
        <v>2.442777778</v>
      </c>
      <c r="DC44">
        <f>2.447363985</f>
        <v>2.447363985</v>
      </c>
      <c r="DD44">
        <f>2.45075</f>
        <v>2.4507500000000002</v>
      </c>
      <c r="DE44">
        <f>2.436</f>
        <v>2.4359999999999999</v>
      </c>
      <c r="DF44">
        <f>2.409807692</f>
        <v>2.4098076919999998</v>
      </c>
      <c r="DG44">
        <f>2.386693487</f>
        <v>2.3866934870000001</v>
      </c>
      <c r="DH44">
        <f>2.379931034</f>
        <v>2.3799310340000002</v>
      </c>
      <c r="DI44">
        <f>2.346961538</f>
        <v>2.346961538</v>
      </c>
      <c r="DJ44">
        <f>2.340835249</f>
        <v>2.340835249</v>
      </c>
      <c r="DK44">
        <f>2.355908046</f>
        <v>2.3559080460000001</v>
      </c>
      <c r="DL44">
        <f>2.395615385</f>
        <v>2.3956153850000002</v>
      </c>
      <c r="DM44">
        <f>2.385</f>
        <v>2.3849999999999998</v>
      </c>
      <c r="DN44">
        <f>2.370866412</f>
        <v>2.3708664119999998</v>
      </c>
      <c r="DO44">
        <f>2.350446154</f>
        <v>2.3504461540000001</v>
      </c>
      <c r="DP44">
        <f>2.33521374</f>
        <v>2.3352137399999999</v>
      </c>
      <c r="DQ44">
        <f>2.320274809</f>
        <v>2.3202748089999998</v>
      </c>
      <c r="DR44">
        <f>2.283180769</f>
        <v>2.2831807689999999</v>
      </c>
      <c r="DS44">
        <f>2.271870229</f>
        <v>2.2718702290000001</v>
      </c>
      <c r="DT44">
        <f>2.2493</f>
        <v>2.2492999999999999</v>
      </c>
      <c r="DU44">
        <f>2.232777778</f>
        <v>2.232777778</v>
      </c>
      <c r="DV44">
        <f>2.219446565</f>
        <v>2.2194465650000001</v>
      </c>
      <c r="DW44">
        <f>2.204019231</f>
        <v>2.2040192310000002</v>
      </c>
      <c r="DX44">
        <f>2.193265385</f>
        <v>2.1932653850000001</v>
      </c>
      <c r="DY44">
        <f>2.22</f>
        <v>2.2200000000000002</v>
      </c>
      <c r="DZ44">
        <f>2.212615385</f>
        <v>2.2126153849999999</v>
      </c>
      <c r="EA44">
        <f>2.195996154</f>
        <v>2.1959961539999999</v>
      </c>
      <c r="EB44">
        <f>2.188873563</f>
        <v>2.188873563</v>
      </c>
      <c r="EC44">
        <f>2.175646154</f>
        <v>2.1756461539999998</v>
      </c>
      <c r="ED44">
        <f>2.150785441</f>
        <v>2.150785441</v>
      </c>
      <c r="EE44">
        <f>2.126758621</f>
        <v>2.126758621</v>
      </c>
      <c r="EF44">
        <f>2.115911538</f>
        <v>2.1159115380000002</v>
      </c>
      <c r="EG44">
        <f>2.119072797</f>
        <v>2.1190727969999998</v>
      </c>
      <c r="EH44">
        <f>2.124555556</f>
        <v>2.1245555559999998</v>
      </c>
      <c r="EI44">
        <f>2.130269231</f>
        <v>2.1302692310000002</v>
      </c>
      <c r="EJ44">
        <f>2.198853846</f>
        <v>2.198853846</v>
      </c>
      <c r="EK44">
        <f>2.169</f>
        <v>2.169</v>
      </c>
      <c r="EL44">
        <f>2.151253846</f>
        <v>2.1512538459999999</v>
      </c>
      <c r="EM44">
        <f>2.172980843</f>
        <v>2.1729808429999999</v>
      </c>
      <c r="EN44">
        <f>2.166275862</f>
        <v>2.166275862</v>
      </c>
      <c r="EO44">
        <f>2.153126923</f>
        <v>2.1531269229999999</v>
      </c>
      <c r="EP44">
        <f>2.129168582</f>
        <v>2.1291685820000001</v>
      </c>
      <c r="EQ44">
        <f>2.118646154</f>
        <v>2.1186461539999999</v>
      </c>
      <c r="ER44">
        <f>2.105107692</f>
        <v>2.1051076919999998</v>
      </c>
      <c r="ES44">
        <f>2.080287356</f>
        <v>2.0802873559999999</v>
      </c>
      <c r="ET44">
        <f>2.065584615</f>
        <v>2.0655846150000001</v>
      </c>
      <c r="EU44">
        <f>2.05797318</f>
        <v>2.0579731799999998</v>
      </c>
      <c r="EV44">
        <f>2.058977011</f>
        <v>2.0589770110000001</v>
      </c>
      <c r="EW44">
        <f>2.021</f>
        <v>2.0209999999999999</v>
      </c>
      <c r="EX44">
        <f>2.00195</f>
        <v>2.0019499999999999</v>
      </c>
      <c r="EY44">
        <f>1.982245211</f>
        <v>1.982245211</v>
      </c>
      <c r="EZ44">
        <f>1.940130769</f>
        <v>1.940130769</v>
      </c>
      <c r="FA44">
        <f>1.925415385</f>
        <v>1.925415385</v>
      </c>
      <c r="FB44">
        <f>1.901505747</f>
        <v>1.9015057470000001</v>
      </c>
      <c r="FC44">
        <f>1.882107692</f>
        <v>1.8821076919999999</v>
      </c>
      <c r="FD44">
        <f>1.860042146</f>
        <v>1.8600421460000001</v>
      </c>
      <c r="FE44">
        <f>1.820662835</f>
        <v>1.820662835</v>
      </c>
      <c r="FF44">
        <f>1.805830769</f>
        <v>1.8058307689999999</v>
      </c>
      <c r="FG44">
        <f>1.789337165</f>
        <v>1.7893371650000001</v>
      </c>
      <c r="FH44">
        <f>1.777923664</f>
        <v>1.777923664</v>
      </c>
      <c r="FI44">
        <f>1.766</f>
        <v>1.766</v>
      </c>
      <c r="FJ44">
        <f>1.747969466</f>
        <v>1.747969466</v>
      </c>
      <c r="FK44">
        <f>1.750259542</f>
        <v>1.750259542</v>
      </c>
      <c r="FL44">
        <f>1.72975</f>
        <v>1.7297499999999999</v>
      </c>
      <c r="FM44">
        <f>1.70539313</f>
        <v>1.70539313</v>
      </c>
      <c r="FN44">
        <f>1.618769231</f>
        <v>1.6187692309999999</v>
      </c>
      <c r="FO44">
        <f>1.611494253</f>
        <v>1.611494253</v>
      </c>
      <c r="FP44">
        <f>1.602526718</f>
        <v>1.602526718</v>
      </c>
      <c r="FQ44">
        <f>1.605288462</f>
        <v>1.6052884620000001</v>
      </c>
    </row>
    <row r="45" spans="1:173">
      <c r="A45" t="str">
        <f>"    AvalonBay社区股份有限公司"</f>
        <v xml:space="preserve">    AvalonBay社区股份有限公司</v>
      </c>
      <c r="B45" t="str">
        <f>"AVB US Equity"</f>
        <v>AVB US Equity</v>
      </c>
      <c r="C45" t="str">
        <f t="shared" si="15"/>
        <v>BE038</v>
      </c>
      <c r="D45" t="str">
        <f t="shared" si="16"/>
        <v>BEST_FFOPS</v>
      </c>
      <c r="E45" t="str">
        <f t="shared" si="17"/>
        <v>动态</v>
      </c>
      <c r="F45">
        <f ca="1">IF(AND(ISNUMBER($F$290),$B$252=1),$F$290,HLOOKUP(INDIRECT(ADDRESS(2,COLUMN())),OFFSET($CL$2,0,0,ROW()-1,84),ROW()-1,FALSE))</f>
        <v>9.0447538460000008</v>
      </c>
      <c r="G45">
        <f ca="1">IF(AND(ISNUMBER($G$290),$B$252=1),$G$290,HLOOKUP(INDIRECT(ADDRESS(2,COLUMN())),OFFSET($CL$2,0,0,ROW()-1,84),ROW()-1,FALSE))</f>
        <v>9.0204406129999999</v>
      </c>
      <c r="H45">
        <f ca="1">IF(AND(ISNUMBER($H$290),$B$252=1),$H$290,HLOOKUP(INDIRECT(ADDRESS(2,COLUMN())),OFFSET($CL$2,0,0,ROW()-1,84),ROW()-1,FALSE))</f>
        <v>9.1155095789999994</v>
      </c>
      <c r="I45">
        <f ca="1">IF(AND(ISNUMBER($I$290),$B$252=1),$I$290,HLOOKUP(INDIRECT(ADDRESS(2,COLUMN())),OFFSET($CL$2,0,0,ROW()-1,84),ROW()-1,FALSE))</f>
        <v>9.1029999999999998</v>
      </c>
      <c r="J45">
        <f ca="1">IF(AND(ISNUMBER($J$290),$B$252=1),$J$290,HLOOKUP(INDIRECT(ADDRESS(2,COLUMN())),OFFSET($CL$2,0,0,ROW()-1,84),ROW()-1,FALSE))</f>
        <v>9.0467931030000006</v>
      </c>
      <c r="K45">
        <f ca="1">IF(AND(ISNUMBER($K$290),$B$252=1),$K$290,HLOOKUP(INDIRECT(ADDRESS(2,COLUMN())),OFFSET($CL$2,0,0,ROW()-1,84),ROW()-1,FALSE))</f>
        <v>8.9918582380000007</v>
      </c>
      <c r="L45">
        <f ca="1">IF(AND(ISNUMBER($L$290),$B$252=1),$L$290,HLOOKUP(INDIRECT(ADDRESS(2,COLUMN())),OFFSET($CL$2,0,0,ROW()-1,84),ROW()-1,FALSE))</f>
        <v>8.9607500000000009</v>
      </c>
      <c r="M45">
        <f ca="1">IF(AND(ISNUMBER($M$290),$B$252=1),$M$290,HLOOKUP(INDIRECT(ADDRESS(2,COLUMN())),OFFSET($CL$2,0,0,ROW()-1,84),ROW()-1,FALSE))</f>
        <v>8.9240459770000005</v>
      </c>
      <c r="N45">
        <f ca="1">IF(AND(ISNUMBER($N$290),$B$252=1),$N$290,HLOOKUP(INDIRECT(ADDRESS(2,COLUMN())),OFFSET($CL$2,0,0,ROW()-1,84),ROW()-1,FALSE))</f>
        <v>8.9581187740000008</v>
      </c>
      <c r="O45">
        <f ca="1">IF(AND(ISNUMBER($O$290),$B$252=1),$O$290,HLOOKUP(INDIRECT(ADDRESS(2,COLUMN())),OFFSET($CL$2,0,0,ROW()-1,84),ROW()-1,FALSE))</f>
        <v>8.9149999999999991</v>
      </c>
      <c r="P45">
        <f ca="1">IF(AND(ISNUMBER($P$290),$B$252=1),$P$290,HLOOKUP(INDIRECT(ADDRESS(2,COLUMN())),OFFSET($CL$2,0,0,ROW()-1,84),ROW()-1,FALSE))</f>
        <v>8.8861532570000001</v>
      </c>
      <c r="Q45">
        <f ca="1">IF(AND(ISNUMBER($Q$290),$B$252=1),$Q$290,HLOOKUP(INDIRECT(ADDRESS(2,COLUMN())),OFFSET($CL$2,0,0,ROW()-1,84),ROW()-1,FALSE))</f>
        <v>8.8507307690000001</v>
      </c>
      <c r="R45">
        <f ca="1">IF(AND(ISNUMBER($R$290),$B$252=1),$R$290,HLOOKUP(INDIRECT(ADDRESS(2,COLUMN())),OFFSET($CL$2,0,0,ROW()-1,84),ROW()-1,FALSE))</f>
        <v>8.8137500000000006</v>
      </c>
      <c r="S45">
        <f ca="1">IF(AND(ISNUMBER($S$290),$B$252=1),$S$290,HLOOKUP(INDIRECT(ADDRESS(2,COLUMN())),OFFSET($CL$2,0,0,ROW()-1,84),ROW()-1,FALSE))</f>
        <v>8.7641992339999994</v>
      </c>
      <c r="T45">
        <f ca="1">IF(AND(ISNUMBER($T$290),$B$252=1),$T$290,HLOOKUP(INDIRECT(ADDRESS(2,COLUMN())),OFFSET($CL$2,0,0,ROW()-1,84),ROW()-1,FALSE))</f>
        <v>8.7770919539999994</v>
      </c>
      <c r="U45">
        <f ca="1">IF(AND(ISNUMBER($U$290),$B$252=1),$U$290,HLOOKUP(INDIRECT(ADDRESS(2,COLUMN())),OFFSET($CL$2,0,0,ROW()-1,84),ROW()-1,FALSE))</f>
        <v>8.7270000000000003</v>
      </c>
      <c r="V45">
        <f ca="1">IF(AND(ISNUMBER($V$290),$B$252=1),$V$290,HLOOKUP(INDIRECT(ADDRESS(2,COLUMN())),OFFSET($CL$2,0,0,ROW()-1,84),ROW()-1,FALSE))</f>
        <v>8.6998314180000005</v>
      </c>
      <c r="W45">
        <f ca="1">IF(AND(ISNUMBER($W$290),$B$252=1),$W$290,HLOOKUP(INDIRECT(ADDRESS(2,COLUMN())),OFFSET($CL$2,0,0,ROW()-1,84),ROW()-1,FALSE))</f>
        <v>8.6934827590000001</v>
      </c>
      <c r="X45">
        <f ca="1">IF(AND(ISNUMBER($X$290),$B$252=1),$X$290,HLOOKUP(INDIRECT(ADDRESS(2,COLUMN())),OFFSET($CL$2,0,0,ROW()-1,84),ROW()-1,FALSE))</f>
        <v>8.7127499999999998</v>
      </c>
      <c r="Y45">
        <f ca="1">IF(AND(ISNUMBER($Y$290),$B$252=1),$Y$290,HLOOKUP(INDIRECT(ADDRESS(2,COLUMN())),OFFSET($CL$2,0,0,ROW()-1,84),ROW()-1,FALSE))</f>
        <v>8.6630000000000003</v>
      </c>
      <c r="Z45">
        <f ca="1">IF(AND(ISNUMBER($Z$290),$B$252=1),$Z$290,HLOOKUP(INDIRECT(ADDRESS(2,COLUMN())),OFFSET($CL$2,0,0,ROW()-1,84),ROW()-1,FALSE))</f>
        <v>8.6633461539999992</v>
      </c>
      <c r="AA45">
        <f ca="1">IF(AND(ISNUMBER($AA$290),$B$252=1),$AA$290,HLOOKUP(INDIRECT(ADDRESS(2,COLUMN())),OFFSET($CL$2,0,0,ROW()-1,84),ROW()-1,FALSE))</f>
        <v>8.6237854410000008</v>
      </c>
      <c r="AB45">
        <f ca="1">IF(AND(ISNUMBER($AB$290),$B$252=1),$AB$290,HLOOKUP(INDIRECT(ADDRESS(2,COLUMN())),OFFSET($CL$2,0,0,ROW()-1,84),ROW()-1,FALSE))</f>
        <v>8.5715172410000005</v>
      </c>
      <c r="AC45">
        <f ca="1">IF(AND(ISNUMBER($AC$290),$B$252=1),$AC$290,HLOOKUP(INDIRECT(ADDRESS(2,COLUMN())),OFFSET($CL$2,0,0,ROW()-1,84),ROW()-1,FALSE))</f>
        <v>8.5083269230000003</v>
      </c>
      <c r="AD45">
        <f ca="1">IF(AND(ISNUMBER($AD$290),$B$252=1),$AD$290,HLOOKUP(INDIRECT(ADDRESS(2,COLUMN())),OFFSET($CL$2,0,0,ROW()-1,84),ROW()-1,FALSE))</f>
        <v>8.5029003830000001</v>
      </c>
      <c r="AE45">
        <f ca="1">IF(AND(ISNUMBER($AE$290),$B$252=1),$AE$290,HLOOKUP(INDIRECT(ADDRESS(2,COLUMN())),OFFSET($CL$2,0,0,ROW()-1,84),ROW()-1,FALSE))</f>
        <v>8.4245287359999992</v>
      </c>
      <c r="AF45">
        <f ca="1">IF(AND(ISNUMBER($AF$290),$B$252=1),$AF$290,HLOOKUP(INDIRECT(ADDRESS(2,COLUMN())),OFFSET($CL$2,0,0,ROW()-1,84),ROW()-1,FALSE))</f>
        <v>8.3194615380000005</v>
      </c>
      <c r="AG45">
        <f ca="1">IF(AND(ISNUMBER($AG$290),$B$252=1),$AG$290,HLOOKUP(INDIRECT(ADDRESS(2,COLUMN())),OFFSET($CL$2,0,0,ROW()-1,84),ROW()-1,FALSE))</f>
        <v>8.2590000000000003</v>
      </c>
      <c r="AH45">
        <f ca="1">IF(AND(ISNUMBER($AH$290),$B$252=1),$AH$290,HLOOKUP(INDIRECT(ADDRESS(2,COLUMN())),OFFSET($CL$2,0,0,ROW()-1,84),ROW()-1,FALSE))</f>
        <v>8.1971908399999993</v>
      </c>
      <c r="AI45">
        <f ca="1">IF(AND(ISNUMBER($AI$290),$B$252=1),$AI$290,HLOOKUP(INDIRECT(ADDRESS(2,COLUMN())),OFFSET($CL$2,0,0,ROW()-1,84),ROW()-1,FALSE))</f>
        <v>8.1159692309999993</v>
      </c>
      <c r="AJ45">
        <f ca="1">IF(AND(ISNUMBER($AJ$290),$B$252=1),$AJ$290,HLOOKUP(INDIRECT(ADDRESS(2,COLUMN())),OFFSET($CL$2,0,0,ROW()-1,84),ROW()-1,FALSE))</f>
        <v>8.0363053440000005</v>
      </c>
      <c r="AK45">
        <f ca="1">IF(AND(ISNUMBER($AK$290),$B$252=1),$AK$290,HLOOKUP(INDIRECT(ADDRESS(2,COLUMN())),OFFSET($CL$2,0,0,ROW()-1,84),ROW()-1,FALSE))</f>
        <v>7.9690000000000003</v>
      </c>
      <c r="AL45">
        <f ca="1">IF(AND(ISNUMBER($AL$290),$B$252=1),$AL$290,HLOOKUP(INDIRECT(ADDRESS(2,COLUMN())),OFFSET($CL$2,0,0,ROW()-1,84),ROW()-1,FALSE))</f>
        <v>7.8427384619999998</v>
      </c>
      <c r="AM45">
        <f ca="1">IF(AND(ISNUMBER($AM$290),$B$252=1),$AM$290,HLOOKUP(INDIRECT(ADDRESS(2,COLUMN())),OFFSET($CL$2,0,0,ROW()-1,84),ROW()-1,FALSE))</f>
        <v>7.6985648849999997</v>
      </c>
      <c r="AN45">
        <f ca="1">IF(AND(ISNUMBER($AN$290),$B$252=1),$AN$290,HLOOKUP(INDIRECT(ADDRESS(2,COLUMN())),OFFSET($CL$2,0,0,ROW()-1,84),ROW()-1,FALSE))</f>
        <v>7.6592153850000004</v>
      </c>
      <c r="AO45">
        <f ca="1">IF(AND(ISNUMBER($AO$290),$B$252=1),$AO$290,HLOOKUP(INDIRECT(ADDRESS(2,COLUMN())),OFFSET($CL$2,0,0,ROW()-1,84),ROW()-1,FALSE))</f>
        <v>7.5982030649999999</v>
      </c>
      <c r="AP45">
        <f ca="1">IF(AND(ISNUMBER($AP$290),$B$252=1),$AP$290,HLOOKUP(INDIRECT(ADDRESS(2,COLUMN())),OFFSET($CL$2,0,0,ROW()-1,84),ROW()-1,FALSE))</f>
        <v>7.5362022900000003</v>
      </c>
      <c r="AQ45">
        <f ca="1">IF(AND(ISNUMBER($AQ$290),$B$252=1),$AQ$290,HLOOKUP(INDIRECT(ADDRESS(2,COLUMN())),OFFSET($CL$2,0,0,ROW()-1,84),ROW()-1,FALSE))</f>
        <v>7.4856192310000003</v>
      </c>
      <c r="AR45">
        <f ca="1">IF(AND(ISNUMBER($AR$290),$B$252=1),$AR$290,HLOOKUP(INDIRECT(ADDRESS(2,COLUMN())),OFFSET($CL$2,0,0,ROW()-1,84),ROW()-1,FALSE))</f>
        <v>7.4463615379999997</v>
      </c>
      <c r="AS45">
        <f ca="1">IF(AND(ISNUMBER($AS$290),$B$252=1),$AS$290,HLOOKUP(INDIRECT(ADDRESS(2,COLUMN())),OFFSET($CL$2,0,0,ROW()-1,84),ROW()-1,FALSE))</f>
        <v>7.4269999999999996</v>
      </c>
      <c r="AT45">
        <f ca="1">IF(AND(ISNUMBER($AT$290),$B$252=1),$AT$290,HLOOKUP(INDIRECT(ADDRESS(2,COLUMN())),OFFSET($CL$2,0,0,ROW()-1,84),ROW()-1,FALSE))</f>
        <v>7.3847461540000001</v>
      </c>
      <c r="AU45">
        <f ca="1">IF(AND(ISNUMBER($AU$290),$B$252=1),$AU$290,HLOOKUP(INDIRECT(ADDRESS(2,COLUMN())),OFFSET($CL$2,0,0,ROW()-1,84),ROW()-1,FALSE))</f>
        <v>7.3339115379999997</v>
      </c>
      <c r="AV45">
        <f ca="1">IF(AND(ISNUMBER($AV$290),$B$252=1),$AV$290,HLOOKUP(INDIRECT(ADDRESS(2,COLUMN())),OFFSET($CL$2,0,0,ROW()-1,84),ROW()-1,FALSE))</f>
        <v>7.3014482760000003</v>
      </c>
      <c r="AW45">
        <f ca="1">IF(AND(ISNUMBER($AW$290),$B$252=1),$AW$290,HLOOKUP(INDIRECT(ADDRESS(2,COLUMN())),OFFSET($CL$2,0,0,ROW()-1,84),ROW()-1,FALSE))</f>
        <v>7.2252307690000004</v>
      </c>
      <c r="AX45">
        <f ca="1">IF(AND(ISNUMBER($AX$290),$B$252=1),$AX$290,HLOOKUP(INDIRECT(ADDRESS(2,COLUMN())),OFFSET($CL$2,0,0,ROW()-1,84),ROW()-1,FALSE))</f>
        <v>7.1764942530000004</v>
      </c>
      <c r="AY45">
        <f ca="1">IF(AND(ISNUMBER($AY$290),$B$252=1),$AY$290,HLOOKUP(INDIRECT(ADDRESS(2,COLUMN())),OFFSET($CL$2,0,0,ROW()-1,84),ROW()-1,FALSE))</f>
        <v>7.0531034479999999</v>
      </c>
      <c r="AZ45">
        <f ca="1">IF(AND(ISNUMBER($AZ$290),$B$252=1),$AZ$290,HLOOKUP(INDIRECT(ADDRESS(2,COLUMN())),OFFSET($CL$2,0,0,ROW()-1,84),ROW()-1,FALSE))</f>
        <v>6.9928115379999998</v>
      </c>
      <c r="BA45">
        <f ca="1">IF(AND(ISNUMBER($BA$290),$B$252=1),$BA$290,HLOOKUP(INDIRECT(ADDRESS(2,COLUMN())),OFFSET($CL$2,0,0,ROW()-1,84),ROW()-1,FALSE))</f>
        <v>6.941498084</v>
      </c>
      <c r="BB45">
        <f ca="1">IF(AND(ISNUMBER($BB$290),$B$252=1),$BB$290,HLOOKUP(INDIRECT(ADDRESS(2,COLUMN())),OFFSET($CL$2,0,0,ROW()-1,84),ROW()-1,FALSE))</f>
        <v>6.9007164750000003</v>
      </c>
      <c r="BC45">
        <f ca="1">IF(AND(ISNUMBER($BC$290),$B$252=1),$BC$290,HLOOKUP(INDIRECT(ADDRESS(2,COLUMN())),OFFSET($CL$2,0,0,ROW()-1,84),ROW()-1,FALSE))</f>
        <v>6.8704230769999999</v>
      </c>
      <c r="BD45">
        <f ca="1">IF(AND(ISNUMBER($BD$290),$B$252=1),$BD$290,HLOOKUP(INDIRECT(ADDRESS(2,COLUMN())),OFFSET($CL$2,0,0,ROW()-1,84),ROW()-1,FALSE))</f>
        <v>6.8370153849999999</v>
      </c>
      <c r="BE45">
        <f ca="1">IF(AND(ISNUMBER($BE$290),$B$252=1),$BE$290,HLOOKUP(INDIRECT(ADDRESS(2,COLUMN())),OFFSET($CL$2,0,0,ROW()-1,84),ROW()-1,FALSE))</f>
        <v>6.8019999999999996</v>
      </c>
      <c r="BF45">
        <f ca="1">IF(AND(ISNUMBER($BF$290),$B$252=1),$BF$290,HLOOKUP(INDIRECT(ADDRESS(2,COLUMN())),OFFSET($CL$2,0,0,ROW()-1,84),ROW()-1,FALSE))</f>
        <v>6.6658461539999996</v>
      </c>
      <c r="BG45">
        <f ca="1">IF(AND(ISNUMBER($BG$290),$B$252=1),$BG$290,HLOOKUP(INDIRECT(ADDRESS(2,COLUMN())),OFFSET($CL$2,0,0,ROW()-1,84),ROW()-1,FALSE))</f>
        <v>6.5330306509999998</v>
      </c>
      <c r="BH45">
        <f ca="1">IF(AND(ISNUMBER($BH$290),$B$252=1),$BH$290,HLOOKUP(INDIRECT(ADDRESS(2,COLUMN())),OFFSET($CL$2,0,0,ROW()-1,84),ROW()-1,FALSE))</f>
        <v>6.4453563220000003</v>
      </c>
      <c r="BI45">
        <f ca="1">IF(AND(ISNUMBER($BI$290),$B$252=1),$BI$290,HLOOKUP(INDIRECT(ADDRESS(2,COLUMN())),OFFSET($CL$2,0,0,ROW()-1,84),ROW()-1,FALSE))</f>
        <v>6.3502115379999999</v>
      </c>
      <c r="BJ45">
        <f ca="1">IF(AND(ISNUMBER($BJ$290),$B$252=1),$BJ$290,HLOOKUP(INDIRECT(ADDRESS(2,COLUMN())),OFFSET($CL$2,0,0,ROW()-1,84),ROW()-1,FALSE))</f>
        <v>6.2862222220000001</v>
      </c>
      <c r="BK45">
        <f ca="1">IF(AND(ISNUMBER($BK$290),$B$252=1),$BK$290,HLOOKUP(INDIRECT(ADDRESS(2,COLUMN())),OFFSET($CL$2,0,0,ROW()-1,84),ROW()-1,FALSE))</f>
        <v>6.107630769</v>
      </c>
      <c r="BL45">
        <f ca="1">IF(AND(ISNUMBER($BL$290),$B$252=1),$BL$290,HLOOKUP(INDIRECT(ADDRESS(2,COLUMN())),OFFSET($CL$2,0,0,ROW()-1,84),ROW()-1,FALSE))</f>
        <v>5.8738307689999996</v>
      </c>
      <c r="BM45">
        <f ca="1">IF(AND(ISNUMBER($BM$290),$B$252=1),$BM$290,HLOOKUP(INDIRECT(ADDRESS(2,COLUMN())),OFFSET($CL$2,0,0,ROW()-1,84),ROW()-1,FALSE))</f>
        <v>5.1475440609999996</v>
      </c>
      <c r="BN45">
        <f ca="1">IF(AND(ISNUMBER($BN$290),$B$252=1),$BN$290,HLOOKUP(INDIRECT(ADDRESS(2,COLUMN())),OFFSET($CL$2,0,0,ROW()-1,84),ROW()-1,FALSE))</f>
        <v>4.894230769</v>
      </c>
      <c r="BO45">
        <f ca="1">IF(AND(ISNUMBER($BO$290),$B$252=1),$BO$290,HLOOKUP(INDIRECT(ADDRESS(2,COLUMN())),OFFSET($CL$2,0,0,ROW()-1,84),ROW()-1,FALSE))</f>
        <v>4.9778582379999996</v>
      </c>
      <c r="BP45">
        <f ca="1">IF(AND(ISNUMBER($BP$290),$B$252=1),$BP$290,HLOOKUP(INDIRECT(ADDRESS(2,COLUMN())),OFFSET($CL$2,0,0,ROW()-1,84),ROW()-1,FALSE))</f>
        <v>5.8286819919999999</v>
      </c>
      <c r="BQ45">
        <f ca="1">IF(AND(ISNUMBER($BQ$290),$B$252=1),$BQ$290,HLOOKUP(INDIRECT(ADDRESS(2,COLUMN())),OFFSET($CL$2,0,0,ROW()-1,84),ROW()-1,FALSE))</f>
        <v>6.1639999999999997</v>
      </c>
      <c r="BR45">
        <f ca="1">IF(AND(ISNUMBER($BR$290),$B$252=1),$BR$290,HLOOKUP(INDIRECT(ADDRESS(2,COLUMN())),OFFSET($CL$2,0,0,ROW()-1,84),ROW()-1,FALSE))</f>
        <v>6.0923999999999996</v>
      </c>
      <c r="BS45">
        <f ca="1">IF(AND(ISNUMBER($BS$290),$B$252=1),$BS$290,HLOOKUP(INDIRECT(ADDRESS(2,COLUMN())),OFFSET($CL$2,0,0,ROW()-1,84),ROW()-1,FALSE))</f>
        <v>6.0354521070000002</v>
      </c>
      <c r="BT45">
        <f ca="1">IF(AND(ISNUMBER($BT$290),$B$252=1),$BT$290,HLOOKUP(INDIRECT(ADDRESS(2,COLUMN())),OFFSET($CL$2,0,0,ROW()-1,84),ROW()-1,FALSE))</f>
        <v>5.9684153850000001</v>
      </c>
      <c r="BU45">
        <f ca="1">IF(AND(ISNUMBER($BU$290),$B$252=1),$BU$290,HLOOKUP(INDIRECT(ADDRESS(2,COLUMN())),OFFSET($CL$2,0,0,ROW()-1,84),ROW()-1,FALSE))</f>
        <v>5.9110230770000003</v>
      </c>
      <c r="BV45">
        <f ca="1">IF(AND(ISNUMBER($BV$290),$B$252=1),$BV$290,HLOOKUP(INDIRECT(ADDRESS(2,COLUMN())),OFFSET($CL$2,0,0,ROW()-1,84),ROW()-1,FALSE))</f>
        <v>5.8599386969999996</v>
      </c>
      <c r="BW45">
        <f ca="1">IF(AND(ISNUMBER($BW$290),$B$252=1),$BW$290,HLOOKUP(INDIRECT(ADDRESS(2,COLUMN())),OFFSET($CL$2,0,0,ROW()-1,84),ROW()-1,FALSE))</f>
        <v>5.8038884619999997</v>
      </c>
      <c r="BX45">
        <f ca="1">IF(AND(ISNUMBER($BX$290),$B$252=1),$BX$290,HLOOKUP(INDIRECT(ADDRESS(2,COLUMN())),OFFSET($CL$2,0,0,ROW()-1,84),ROW()-1,FALSE))</f>
        <v>5.7539080460000003</v>
      </c>
      <c r="BY45">
        <f ca="1">IF(AND(ISNUMBER($BY$290),$B$252=1),$BY$290,HLOOKUP(INDIRECT(ADDRESS(2,COLUMN())),OFFSET($CL$2,0,0,ROW()-1,84),ROW()-1,FALSE))</f>
        <v>5.7270498080000003</v>
      </c>
      <c r="BZ45">
        <f ca="1">IF(AND(ISNUMBER($BZ$290),$B$252=1),$BZ$290,HLOOKUP(INDIRECT(ADDRESS(2,COLUMN())),OFFSET($CL$2,0,0,ROW()-1,84),ROW()-1,FALSE))</f>
        <v>5.6070923080000004</v>
      </c>
      <c r="CA45">
        <f ca="1">IF(AND(ISNUMBER($CA$290),$B$252=1),$CA$290,HLOOKUP(INDIRECT(ADDRESS(2,COLUMN())),OFFSET($CL$2,0,0,ROW()-1,84),ROW()-1,FALSE))</f>
        <v>5.5490306509999998</v>
      </c>
      <c r="CB45">
        <f ca="1">IF(AND(ISNUMBER($CB$290),$B$252=1),$CB$290,HLOOKUP(INDIRECT(ADDRESS(2,COLUMN())),OFFSET($CL$2,0,0,ROW()-1,84),ROW()-1,FALSE))</f>
        <v>5.5101145039999997</v>
      </c>
      <c r="CC45">
        <f ca="1">IF(AND(ISNUMBER($CC$290),$B$252=1),$CC$290,HLOOKUP(INDIRECT(ADDRESS(2,COLUMN())),OFFSET($CL$2,0,0,ROW()-1,84),ROW()-1,FALSE))</f>
        <v>5.43</v>
      </c>
      <c r="CD45">
        <f ca="1">IF(AND(ISNUMBER($CD$290),$B$252=1),$CD$290,HLOOKUP(INDIRECT(ADDRESS(2,COLUMN())),OFFSET($CL$2,0,0,ROW()-1,84),ROW()-1,FALSE))</f>
        <v>5.360221374</v>
      </c>
      <c r="CE45">
        <f ca="1">IF(AND(ISNUMBER($CE$290),$B$252=1),$CE$290,HLOOKUP(INDIRECT(ADDRESS(2,COLUMN())),OFFSET($CL$2,0,0,ROW()-1,84),ROW()-1,FALSE))</f>
        <v>5.3607633589999999</v>
      </c>
      <c r="CF45">
        <f ca="1">IF(AND(ISNUMBER($CF$290),$B$252=1),$CF$290,HLOOKUP(INDIRECT(ADDRESS(2,COLUMN())),OFFSET($CL$2,0,0,ROW()-1,84),ROW()-1,FALSE))</f>
        <v>5.3179999999999996</v>
      </c>
      <c r="CG45">
        <f ca="1">IF(AND(ISNUMBER($CG$290),$B$252=1),$CG$290,HLOOKUP(INDIRECT(ADDRESS(2,COLUMN())),OFFSET($CL$2,0,0,ROW()-1,84),ROW()-1,FALSE))</f>
        <v>5.2440725190000004</v>
      </c>
      <c r="CH45">
        <f ca="1">IF(AND(ISNUMBER($CH$290),$B$252=1),$CH$290,HLOOKUP(INDIRECT(ADDRESS(2,COLUMN())),OFFSET($CL$2,0,0,ROW()-1,84),ROW()-1,FALSE))</f>
        <v>5.1932692310000004</v>
      </c>
      <c r="CI45">
        <f ca="1">IF(AND(ISNUMBER($CI$290),$B$252=1),$CI$290,HLOOKUP(INDIRECT(ADDRESS(2,COLUMN())),OFFSET($CL$2,0,0,ROW()-1,84),ROW()-1,FALSE))</f>
        <v>5.1345823749999999</v>
      </c>
      <c r="CJ45">
        <f ca="1">IF(AND(ISNUMBER($CJ$290),$B$252=1),$CJ$290,HLOOKUP(INDIRECT(ADDRESS(2,COLUMN())),OFFSET($CL$2,0,0,ROW()-1,84),ROW()-1,FALSE))</f>
        <v>5.0129007630000002</v>
      </c>
      <c r="CK45">
        <f ca="1">IF(AND(ISNUMBER($CK$290),$B$252=1),$CK$290,HLOOKUP(INDIRECT(ADDRESS(2,COLUMN())),OFFSET($CL$2,0,0,ROW()-1,84),ROW()-1,FALSE))</f>
        <v>4.9078461539999996</v>
      </c>
      <c r="CL45">
        <f>9.044753846</f>
        <v>9.0447538460000008</v>
      </c>
      <c r="CM45">
        <f>9.020440613</f>
        <v>9.0204406129999999</v>
      </c>
      <c r="CN45">
        <f>9.115509579</f>
        <v>9.1155095789999994</v>
      </c>
      <c r="CO45">
        <f>9.103</f>
        <v>9.1029999999999998</v>
      </c>
      <c r="CP45">
        <f>9.046793103</f>
        <v>9.0467931030000006</v>
      </c>
      <c r="CQ45">
        <f>8.991858238</f>
        <v>8.9918582380000007</v>
      </c>
      <c r="CR45">
        <f>8.96075</f>
        <v>8.9607500000000009</v>
      </c>
      <c r="CS45">
        <f>8.924045977</f>
        <v>8.9240459770000005</v>
      </c>
      <c r="CT45">
        <f>8.958118774</f>
        <v>8.9581187740000008</v>
      </c>
      <c r="CU45">
        <f>8.915</f>
        <v>8.9149999999999991</v>
      </c>
      <c r="CV45">
        <f>8.886153257</f>
        <v>8.8861532570000001</v>
      </c>
      <c r="CW45">
        <f>8.850730769</f>
        <v>8.8507307690000001</v>
      </c>
      <c r="CX45">
        <f>8.81375</f>
        <v>8.8137500000000006</v>
      </c>
      <c r="CY45">
        <f>8.764199234</f>
        <v>8.7641992339999994</v>
      </c>
      <c r="CZ45">
        <f>8.777091954</f>
        <v>8.7770919539999994</v>
      </c>
      <c r="DA45">
        <f>8.727</f>
        <v>8.7270000000000003</v>
      </c>
      <c r="DB45">
        <f>8.699831418</f>
        <v>8.6998314180000005</v>
      </c>
      <c r="DC45">
        <f>8.693482759</f>
        <v>8.6934827590000001</v>
      </c>
      <c r="DD45">
        <f>8.71275</f>
        <v>8.7127499999999998</v>
      </c>
      <c r="DE45">
        <f>8.663</f>
        <v>8.6630000000000003</v>
      </c>
      <c r="DF45">
        <f>8.663346154</f>
        <v>8.6633461539999992</v>
      </c>
      <c r="DG45">
        <f>8.623785441</f>
        <v>8.6237854410000008</v>
      </c>
      <c r="DH45">
        <f>8.571517241</f>
        <v>8.5715172410000005</v>
      </c>
      <c r="DI45">
        <f>8.508326923</f>
        <v>8.5083269230000003</v>
      </c>
      <c r="DJ45">
        <f>8.502900383</f>
        <v>8.5029003830000001</v>
      </c>
      <c r="DK45">
        <f>8.424528736</f>
        <v>8.4245287359999992</v>
      </c>
      <c r="DL45">
        <f>8.319461538</f>
        <v>8.3194615380000005</v>
      </c>
      <c r="DM45">
        <f>8.259</f>
        <v>8.2590000000000003</v>
      </c>
      <c r="DN45">
        <f>8.19719084</f>
        <v>8.1971908399999993</v>
      </c>
      <c r="DO45">
        <f>8.115969231</f>
        <v>8.1159692309999993</v>
      </c>
      <c r="DP45">
        <f>8.036305344</f>
        <v>8.0363053440000005</v>
      </c>
      <c r="DQ45">
        <f>7.969</f>
        <v>7.9690000000000003</v>
      </c>
      <c r="DR45">
        <f>7.842738462</f>
        <v>7.8427384619999998</v>
      </c>
      <c r="DS45">
        <f>7.698564885</f>
        <v>7.6985648849999997</v>
      </c>
      <c r="DT45">
        <f>7.659215385</f>
        <v>7.6592153850000004</v>
      </c>
      <c r="DU45">
        <f>7.598203065</f>
        <v>7.5982030649999999</v>
      </c>
      <c r="DV45">
        <f>7.53620229</f>
        <v>7.5362022900000003</v>
      </c>
      <c r="DW45">
        <f>7.485619231</f>
        <v>7.4856192310000003</v>
      </c>
      <c r="DX45">
        <f>7.446361538</f>
        <v>7.4463615379999997</v>
      </c>
      <c r="DY45">
        <f>7.427</f>
        <v>7.4269999999999996</v>
      </c>
      <c r="DZ45">
        <f>7.384746154</f>
        <v>7.3847461540000001</v>
      </c>
      <c r="EA45">
        <f>7.333911538</f>
        <v>7.3339115379999997</v>
      </c>
      <c r="EB45">
        <f>7.301448276</f>
        <v>7.3014482760000003</v>
      </c>
      <c r="EC45">
        <f>7.225230769</f>
        <v>7.2252307690000004</v>
      </c>
      <c r="ED45">
        <f>7.176494253</f>
        <v>7.1764942530000004</v>
      </c>
      <c r="EE45">
        <f>7.053103448</f>
        <v>7.0531034479999999</v>
      </c>
      <c r="EF45">
        <f>6.992811538</f>
        <v>6.9928115379999998</v>
      </c>
      <c r="EG45">
        <f>6.941498084</f>
        <v>6.941498084</v>
      </c>
      <c r="EH45">
        <f>6.900716475</f>
        <v>6.9007164750000003</v>
      </c>
      <c r="EI45">
        <f>6.870423077</f>
        <v>6.8704230769999999</v>
      </c>
      <c r="EJ45">
        <f>6.837015385</f>
        <v>6.8370153849999999</v>
      </c>
      <c r="EK45">
        <f>6.802</f>
        <v>6.8019999999999996</v>
      </c>
      <c r="EL45">
        <f>6.665846154</f>
        <v>6.6658461539999996</v>
      </c>
      <c r="EM45">
        <f>6.533030651</f>
        <v>6.5330306509999998</v>
      </c>
      <c r="EN45">
        <f>6.445356322</f>
        <v>6.4453563220000003</v>
      </c>
      <c r="EO45">
        <f>6.350211538</f>
        <v>6.3502115379999999</v>
      </c>
      <c r="EP45">
        <f>6.286222222</f>
        <v>6.2862222220000001</v>
      </c>
      <c r="EQ45">
        <f>6.107630769</f>
        <v>6.107630769</v>
      </c>
      <c r="ER45">
        <f>5.873830769</f>
        <v>5.8738307689999996</v>
      </c>
      <c r="ES45">
        <f>5.147544061</f>
        <v>5.1475440609999996</v>
      </c>
      <c r="ET45">
        <f>4.894230769</f>
        <v>4.894230769</v>
      </c>
      <c r="EU45">
        <f>4.977858238</f>
        <v>4.9778582379999996</v>
      </c>
      <c r="EV45">
        <f>5.828681992</f>
        <v>5.8286819919999999</v>
      </c>
      <c r="EW45">
        <f>6.164</f>
        <v>6.1639999999999997</v>
      </c>
      <c r="EX45">
        <f>6.0924</f>
        <v>6.0923999999999996</v>
      </c>
      <c r="EY45">
        <f>6.035452107</f>
        <v>6.0354521070000002</v>
      </c>
      <c r="EZ45">
        <f>5.968415385</f>
        <v>5.9684153850000001</v>
      </c>
      <c r="FA45">
        <f>5.911023077</f>
        <v>5.9110230770000003</v>
      </c>
      <c r="FB45">
        <f>5.859938697</f>
        <v>5.8599386969999996</v>
      </c>
      <c r="FC45">
        <f>5.803888462</f>
        <v>5.8038884619999997</v>
      </c>
      <c r="FD45">
        <f>5.753908046</f>
        <v>5.7539080460000003</v>
      </c>
      <c r="FE45">
        <f>5.727049808</f>
        <v>5.7270498080000003</v>
      </c>
      <c r="FF45">
        <f>5.607092308</f>
        <v>5.6070923080000004</v>
      </c>
      <c r="FG45">
        <f>5.549030651</f>
        <v>5.5490306509999998</v>
      </c>
      <c r="FH45">
        <f>5.510114504</f>
        <v>5.5101145039999997</v>
      </c>
      <c r="FI45">
        <f>5.43</f>
        <v>5.43</v>
      </c>
      <c r="FJ45">
        <f>5.360221374</f>
        <v>5.360221374</v>
      </c>
      <c r="FK45">
        <f>5.360763359</f>
        <v>5.3607633589999999</v>
      </c>
      <c r="FL45">
        <f>5.318</f>
        <v>5.3179999999999996</v>
      </c>
      <c r="FM45">
        <f>5.244072519</f>
        <v>5.2440725190000004</v>
      </c>
      <c r="FN45">
        <f>5.193269231</f>
        <v>5.1932692310000004</v>
      </c>
      <c r="FO45">
        <f>5.134582375</f>
        <v>5.1345823749999999</v>
      </c>
      <c r="FP45">
        <f>5.012900763</f>
        <v>5.0129007630000002</v>
      </c>
      <c r="FQ45">
        <f>4.907846154</f>
        <v>4.9078461539999996</v>
      </c>
    </row>
    <row r="46" spans="1:173">
      <c r="A46" t="str">
        <f>"    Camden 房地产信托公司"</f>
        <v xml:space="preserve">    Camden 房地产信托公司</v>
      </c>
      <c r="B46" t="str">
        <f>"CPT US Equity"</f>
        <v>CPT US Equity</v>
      </c>
      <c r="C46" t="str">
        <f t="shared" si="15"/>
        <v>BE038</v>
      </c>
      <c r="D46" t="str">
        <f t="shared" si="16"/>
        <v>BEST_FFOPS</v>
      </c>
      <c r="E46" t="str">
        <f t="shared" si="17"/>
        <v>动态</v>
      </c>
      <c r="F46">
        <f ca="1">IF(AND(ISNUMBER($F$291),$B$252=1),$F$291,HLOOKUP(INDIRECT(ADDRESS(2,COLUMN())),OFFSET($CL$2,0,0,ROW()-1,84),ROW()-1,FALSE))</f>
        <v>4.8174923080000003</v>
      </c>
      <c r="G46">
        <f ca="1">IF(AND(ISNUMBER($G$291),$B$252=1),$G$291,HLOOKUP(INDIRECT(ADDRESS(2,COLUMN())),OFFSET($CL$2,0,0,ROW()-1,84),ROW()-1,FALSE))</f>
        <v>4.8004942530000001</v>
      </c>
      <c r="H46">
        <f ca="1">IF(AND(ISNUMBER($H$291),$B$252=1),$H$291,HLOOKUP(INDIRECT(ADDRESS(2,COLUMN())),OFFSET($CL$2,0,0,ROW()-1,84),ROW()-1,FALSE))</f>
        <v>4.8149118770000001</v>
      </c>
      <c r="I46">
        <f ca="1">IF(AND(ISNUMBER($I$291),$B$252=1),$I$291,HLOOKUP(INDIRECT(ADDRESS(2,COLUMN())),OFFSET($CL$2,0,0,ROW()-1,84),ROW()-1,FALSE))</f>
        <v>4.7969999999999997</v>
      </c>
      <c r="J46">
        <f ca="1">IF(AND(ISNUMBER($J$291),$B$252=1),$J$291,HLOOKUP(INDIRECT(ADDRESS(2,COLUMN())),OFFSET($CL$2,0,0,ROW()-1,84),ROW()-1,FALSE))</f>
        <v>4.7787586209999997</v>
      </c>
      <c r="K46">
        <f ca="1">IF(AND(ISNUMBER($K$291),$B$252=1),$K$291,HLOOKUP(INDIRECT(ADDRESS(2,COLUMN())),OFFSET($CL$2,0,0,ROW()-1,84),ROW()-1,FALSE))</f>
        <v>4.7436475099999997</v>
      </c>
      <c r="L46">
        <f ca="1">IF(AND(ISNUMBER($L$291),$B$252=1),$L$291,HLOOKUP(INDIRECT(ADDRESS(2,COLUMN())),OFFSET($CL$2,0,0,ROW()-1,84),ROW()-1,FALSE))</f>
        <v>4.7392500000000002</v>
      </c>
      <c r="M46">
        <f ca="1">IF(AND(ISNUMBER($M$291),$B$252=1),$M$291,HLOOKUP(INDIRECT(ADDRESS(2,COLUMN())),OFFSET($CL$2,0,0,ROW()-1,84),ROW()-1,FALSE))</f>
        <v>4.736804598</v>
      </c>
      <c r="N46">
        <f ca="1">IF(AND(ISNUMBER($N$291),$B$252=1),$N$291,HLOOKUP(INDIRECT(ADDRESS(2,COLUMN())),OFFSET($CL$2,0,0,ROW()-1,84),ROW()-1,FALSE))</f>
        <v>4.7124636019999997</v>
      </c>
      <c r="O46">
        <f ca="1">IF(AND(ISNUMBER($O$291),$B$252=1),$O$291,HLOOKUP(INDIRECT(ADDRESS(2,COLUMN())),OFFSET($CL$2,0,0,ROW()-1,84),ROW()-1,FALSE))</f>
        <v>4.6805000000000003</v>
      </c>
      <c r="P46">
        <f ca="1">IF(AND(ISNUMBER($P$291),$B$252=1),$P$291,HLOOKUP(INDIRECT(ADDRESS(2,COLUMN())),OFFSET($CL$2,0,0,ROW()-1,84),ROW()-1,FALSE))</f>
        <v>4.6586130270000004</v>
      </c>
      <c r="Q46">
        <f ca="1">IF(AND(ISNUMBER($Q$291),$B$252=1),$Q$291,HLOOKUP(INDIRECT(ADDRESS(2,COLUMN())),OFFSET($CL$2,0,0,ROW()-1,84),ROW()-1,FALSE))</f>
        <v>4.6284038460000003</v>
      </c>
      <c r="R46">
        <f ca="1">IF(AND(ISNUMBER($R$291),$B$252=1),$R$291,HLOOKUP(INDIRECT(ADDRESS(2,COLUMN())),OFFSET($CL$2,0,0,ROW()-1,84),ROW()-1,FALSE))</f>
        <v>4.6105</v>
      </c>
      <c r="S46">
        <f ca="1">IF(AND(ISNUMBER($S$291),$B$252=1),$S$291,HLOOKUP(INDIRECT(ADDRESS(2,COLUMN())),OFFSET($CL$2,0,0,ROW()-1,84),ROW()-1,FALSE))</f>
        <v>4.5973026819999996</v>
      </c>
      <c r="T46">
        <f ca="1">IF(AND(ISNUMBER($T$291),$B$252=1),$T$291,HLOOKUP(INDIRECT(ADDRESS(2,COLUMN())),OFFSET($CL$2,0,0,ROW()-1,84),ROW()-1,FALSE))</f>
        <v>4.6105363979999998</v>
      </c>
      <c r="U46">
        <f ca="1">IF(AND(ISNUMBER($U$291),$B$252=1),$U$291,HLOOKUP(INDIRECT(ADDRESS(2,COLUMN())),OFFSET($CL$2,0,0,ROW()-1,84),ROW()-1,FALSE))</f>
        <v>4.5970000000000004</v>
      </c>
      <c r="V46">
        <f ca="1">IF(AND(ISNUMBER($V$291),$B$252=1),$V$291,HLOOKUP(INDIRECT(ADDRESS(2,COLUMN())),OFFSET($CL$2,0,0,ROW()-1,84),ROW()-1,FALSE))</f>
        <v>4.5886858239999997</v>
      </c>
      <c r="W46">
        <f ca="1">IF(AND(ISNUMBER($W$291),$B$252=1),$W$291,HLOOKUP(INDIRECT(ADDRESS(2,COLUMN())),OFFSET($CL$2,0,0,ROW()-1,84),ROW()-1,FALSE))</f>
        <v>4.5531915710000002</v>
      </c>
      <c r="X46">
        <f ca="1">IF(AND(ISNUMBER($X$291),$B$252=1),$X$291,HLOOKUP(INDIRECT(ADDRESS(2,COLUMN())),OFFSET($CL$2,0,0,ROW()-1,84),ROW()-1,FALSE))</f>
        <v>4.5525000000000002</v>
      </c>
      <c r="Y46">
        <f ca="1">IF(AND(ISNUMBER($Y$291),$B$252=1),$Y$291,HLOOKUP(INDIRECT(ADDRESS(2,COLUMN())),OFFSET($CL$2,0,0,ROW()-1,84),ROW()-1,FALSE))</f>
        <v>4.556666667</v>
      </c>
      <c r="Z46">
        <f ca="1">IF(AND(ISNUMBER($Z$291),$B$252=1),$Z$291,HLOOKUP(INDIRECT(ADDRESS(2,COLUMN())),OFFSET($CL$2,0,0,ROW()-1,84),ROW()-1,FALSE))</f>
        <v>4.5659230769999999</v>
      </c>
      <c r="AA46">
        <f ca="1">IF(AND(ISNUMBER($AA$291),$B$252=1),$AA$291,HLOOKUP(INDIRECT(ADDRESS(2,COLUMN())),OFFSET($CL$2,0,0,ROW()-1,84),ROW()-1,FALSE))</f>
        <v>4.5864674330000001</v>
      </c>
      <c r="AB46">
        <f ca="1">IF(AND(ISNUMBER($AB$291),$B$252=1),$AB$291,HLOOKUP(INDIRECT(ADDRESS(2,COLUMN())),OFFSET($CL$2,0,0,ROW()-1,84),ROW()-1,FALSE))</f>
        <v>4.6003103449999996</v>
      </c>
      <c r="AC46">
        <f ca="1">IF(AND(ISNUMBER($AC$291),$B$252=1),$AC$291,HLOOKUP(INDIRECT(ADDRESS(2,COLUMN())),OFFSET($CL$2,0,0,ROW()-1,84),ROW()-1,FALSE))</f>
        <v>4.9083269229999997</v>
      </c>
      <c r="AD46">
        <f ca="1">IF(AND(ISNUMBER($AD$291),$B$252=1),$AD$291,HLOOKUP(INDIRECT(ADDRESS(2,COLUMN())),OFFSET($CL$2,0,0,ROW()-1,84),ROW()-1,FALSE))</f>
        <v>4.9045287359999996</v>
      </c>
      <c r="AE46">
        <f ca="1">IF(AND(ISNUMBER($AE$291),$B$252=1),$AE$291,HLOOKUP(INDIRECT(ADDRESS(2,COLUMN())),OFFSET($CL$2,0,0,ROW()-1,84),ROW()-1,FALSE))</f>
        <v>4.8881379310000002</v>
      </c>
      <c r="AF46">
        <f ca="1">IF(AND(ISNUMBER($AF$291),$B$252=1),$AF$291,HLOOKUP(INDIRECT(ADDRESS(2,COLUMN())),OFFSET($CL$2,0,0,ROW()-1,84),ROW()-1,FALSE))</f>
        <v>4.8742307690000004</v>
      </c>
      <c r="AG46">
        <f ca="1">IF(AND(ISNUMBER($AG$291),$B$252=1),$AG$291,HLOOKUP(INDIRECT(ADDRESS(2,COLUMN())),OFFSET($CL$2,0,0,ROW()-1,84),ROW()-1,FALSE))</f>
        <v>4.8470000000000004</v>
      </c>
      <c r="AH46">
        <f ca="1">IF(AND(ISNUMBER($AH$291),$B$252=1),$AH$291,HLOOKUP(INDIRECT(ADDRESS(2,COLUMN())),OFFSET($CL$2,0,0,ROW()-1,84),ROW()-1,FALSE))</f>
        <v>4.8385916030000002</v>
      </c>
      <c r="AI46">
        <f ca="1">IF(AND(ISNUMBER($AI$291),$B$252=1),$AI$291,HLOOKUP(INDIRECT(ADDRESS(2,COLUMN())),OFFSET($CL$2,0,0,ROW()-1,84),ROW()-1,FALSE))</f>
        <v>4.7988307690000003</v>
      </c>
      <c r="AJ46">
        <f ca="1">IF(AND(ISNUMBER($AJ$291),$B$252=1),$AJ$291,HLOOKUP(INDIRECT(ADDRESS(2,COLUMN())),OFFSET($CL$2,0,0,ROW()-1,84),ROW()-1,FALSE))</f>
        <v>4.7731145039999996</v>
      </c>
      <c r="AK46">
        <f ca="1">IF(AND(ISNUMBER($AK$291),$B$252=1),$AK$291,HLOOKUP(INDIRECT(ADDRESS(2,COLUMN())),OFFSET($CL$2,0,0,ROW()-1,84),ROW()-1,FALSE))</f>
        <v>4.7434885500000004</v>
      </c>
      <c r="AL46">
        <f ca="1">IF(AND(ISNUMBER($AL$291),$B$252=1),$AL$291,HLOOKUP(INDIRECT(ADDRESS(2,COLUMN())),OFFSET($CL$2,0,0,ROW()-1,84),ROW()-1,FALSE))</f>
        <v>4.6838807689999999</v>
      </c>
      <c r="AM46">
        <f ca="1">IF(AND(ISNUMBER($AM$291),$B$252=1),$AM$291,HLOOKUP(INDIRECT(ADDRESS(2,COLUMN())),OFFSET($CL$2,0,0,ROW()-1,84),ROW()-1,FALSE))</f>
        <v>4.6387328239999999</v>
      </c>
      <c r="AN46">
        <f ca="1">IF(AND(ISNUMBER($AN$291),$B$252=1),$AN$291,HLOOKUP(INDIRECT(ADDRESS(2,COLUMN())),OFFSET($CL$2,0,0,ROW()-1,84),ROW()-1,FALSE))</f>
        <v>4.6135384620000002</v>
      </c>
      <c r="AO46">
        <f ca="1">IF(AND(ISNUMBER($AO$291),$B$252=1),$AO$291,HLOOKUP(INDIRECT(ADDRESS(2,COLUMN())),OFFSET($CL$2,0,0,ROW()-1,84),ROW()-1,FALSE))</f>
        <v>4.5797356320000002</v>
      </c>
      <c r="AP46">
        <f ca="1">IF(AND(ISNUMBER($AP$291),$B$252=1),$AP$291,HLOOKUP(INDIRECT(ADDRESS(2,COLUMN())),OFFSET($CL$2,0,0,ROW()-1,84),ROW()-1,FALSE))</f>
        <v>4.5466145039999999</v>
      </c>
      <c r="AQ46">
        <f ca="1">IF(AND(ISNUMBER($AQ$291),$B$252=1),$AQ$291,HLOOKUP(INDIRECT(ADDRESS(2,COLUMN())),OFFSET($CL$2,0,0,ROW()-1,84),ROW()-1,FALSE))</f>
        <v>4.5189846149999999</v>
      </c>
      <c r="AR46">
        <f ca="1">IF(AND(ISNUMBER($AR$291),$B$252=1),$AR$291,HLOOKUP(INDIRECT(ADDRESS(2,COLUMN())),OFFSET($CL$2,0,0,ROW()-1,84),ROW()-1,FALSE))</f>
        <v>4.5152999999999999</v>
      </c>
      <c r="AS46">
        <f ca="1">IF(AND(ISNUMBER($AS$291),$B$252=1),$AS$291,HLOOKUP(INDIRECT(ADDRESS(2,COLUMN())),OFFSET($CL$2,0,0,ROW()-1,84),ROW()-1,FALSE))</f>
        <v>4.5279999999999996</v>
      </c>
      <c r="AT46">
        <f ca="1">IF(AND(ISNUMBER($AT$291),$B$252=1),$AT$291,HLOOKUP(INDIRECT(ADDRESS(2,COLUMN())),OFFSET($CL$2,0,0,ROW()-1,84),ROW()-1,FALSE))</f>
        <v>4.524</v>
      </c>
      <c r="AU46">
        <f ca="1">IF(AND(ISNUMBER($AU$291),$B$252=1),$AU$291,HLOOKUP(INDIRECT(ADDRESS(2,COLUMN())),OFFSET($CL$2,0,0,ROW()-1,84),ROW()-1,FALSE))</f>
        <v>4.4886769229999999</v>
      </c>
      <c r="AV46">
        <f ca="1">IF(AND(ISNUMBER($AV$291),$B$252=1),$AV$291,HLOOKUP(INDIRECT(ADDRESS(2,COLUMN())),OFFSET($CL$2,0,0,ROW()-1,84),ROW()-1,FALSE))</f>
        <v>4.4589655170000002</v>
      </c>
      <c r="AW46">
        <f ca="1">IF(AND(ISNUMBER($AW$291),$B$252=1),$AW$291,HLOOKUP(INDIRECT(ADDRESS(2,COLUMN())),OFFSET($CL$2,0,0,ROW()-1,84),ROW()-1,FALSE))</f>
        <v>4.4346153849999999</v>
      </c>
      <c r="AX46">
        <f ca="1">IF(AND(ISNUMBER($AX$291),$B$252=1),$AX$291,HLOOKUP(INDIRECT(ADDRESS(2,COLUMN())),OFFSET($CL$2,0,0,ROW()-1,84),ROW()-1,FALSE))</f>
        <v>4.4058122610000003</v>
      </c>
      <c r="AY46">
        <f ca="1">IF(AND(ISNUMBER($AY$291),$B$252=1),$AY$291,HLOOKUP(INDIRECT(ADDRESS(2,COLUMN())),OFFSET($CL$2,0,0,ROW()-1,84),ROW()-1,FALSE))</f>
        <v>4.3714482759999997</v>
      </c>
      <c r="AZ46">
        <f ca="1">IF(AND(ISNUMBER($AZ$291),$B$252=1),$AZ$291,HLOOKUP(INDIRECT(ADDRESS(2,COLUMN())),OFFSET($CL$2,0,0,ROW()-1,84),ROW()-1,FALSE))</f>
        <v>4.3437038460000004</v>
      </c>
      <c r="BA46">
        <f ca="1">IF(AND(ISNUMBER($BA$291),$B$252=1),$BA$291,HLOOKUP(INDIRECT(ADDRESS(2,COLUMN())),OFFSET($CL$2,0,0,ROW()-1,84),ROW()-1,FALSE))</f>
        <v>4.3133639849999996</v>
      </c>
      <c r="BB46">
        <f ca="1">IF(AND(ISNUMBER($BB$291),$B$252=1),$BB$291,HLOOKUP(INDIRECT(ADDRESS(2,COLUMN())),OFFSET($CL$2,0,0,ROW()-1,84),ROW()-1,FALSE))</f>
        <v>4.2835862069999999</v>
      </c>
      <c r="BC46">
        <f ca="1">IF(AND(ISNUMBER($BC$291),$B$252=1),$BC$291,HLOOKUP(INDIRECT(ADDRESS(2,COLUMN())),OFFSET($CL$2,0,0,ROW()-1,84),ROW()-1,FALSE))</f>
        <v>4.2707384619999997</v>
      </c>
      <c r="BD46">
        <f ca="1">IF(AND(ISNUMBER($BD$291),$B$252=1),$BD$291,HLOOKUP(INDIRECT(ADDRESS(2,COLUMN())),OFFSET($CL$2,0,0,ROW()-1,84),ROW()-1,FALSE))</f>
        <v>4.2800846149999998</v>
      </c>
      <c r="BE46">
        <f ca="1">IF(AND(ISNUMBER($BE$291),$B$252=1),$BE$291,HLOOKUP(INDIRECT(ADDRESS(2,COLUMN())),OFFSET($CL$2,0,0,ROW()-1,84),ROW()-1,FALSE))</f>
        <v>4.2729999999999997</v>
      </c>
      <c r="BF46">
        <f ca="1">IF(AND(ISNUMBER($BF$291),$B$252=1),$BF$291,HLOOKUP(INDIRECT(ADDRESS(2,COLUMN())),OFFSET($CL$2,0,0,ROW()-1,84),ROW()-1,FALSE))</f>
        <v>4.2705538460000003</v>
      </c>
      <c r="BG46">
        <f ca="1">IF(AND(ISNUMBER($BG$291),$B$252=1),$BG$291,HLOOKUP(INDIRECT(ADDRESS(2,COLUMN())),OFFSET($CL$2,0,0,ROW()-1,84),ROW()-1,FALSE))</f>
        <v>4.2701647510000003</v>
      </c>
      <c r="BH46">
        <f ca="1">IF(AND(ISNUMBER($BH$291),$B$252=1),$BH$291,HLOOKUP(INDIRECT(ADDRESS(2,COLUMN())),OFFSET($CL$2,0,0,ROW()-1,84),ROW()-1,FALSE))</f>
        <v>4.2537126440000002</v>
      </c>
      <c r="BI46">
        <f ca="1">IF(AND(ISNUMBER($BI$291),$B$252=1),$BI$291,HLOOKUP(INDIRECT(ADDRESS(2,COLUMN())),OFFSET($CL$2,0,0,ROW()-1,84),ROW()-1,FALSE))</f>
        <v>4.2326461540000002</v>
      </c>
      <c r="BJ46">
        <f ca="1">IF(AND(ISNUMBER($BJ$291),$B$252=1),$BJ$291,HLOOKUP(INDIRECT(ADDRESS(2,COLUMN())),OFFSET($CL$2,0,0,ROW()-1,84),ROW()-1,FALSE))</f>
        <v>4.2096360150000001</v>
      </c>
      <c r="BK46">
        <f ca="1">IF(AND(ISNUMBER($BK$291),$B$252=1),$BK$291,HLOOKUP(INDIRECT(ADDRESS(2,COLUMN())),OFFSET($CL$2,0,0,ROW()-1,84),ROW()-1,FALSE))</f>
        <v>4.1586461540000004</v>
      </c>
      <c r="BL46">
        <f ca="1">IF(AND(ISNUMBER($BL$291),$B$252=1),$BL$291,HLOOKUP(INDIRECT(ADDRESS(2,COLUMN())),OFFSET($CL$2,0,0,ROW()-1,84),ROW()-1,FALSE))</f>
        <v>4.1356923080000003</v>
      </c>
      <c r="BM46">
        <f ca="1">IF(AND(ISNUMBER($BM$291),$B$252=1),$BM$291,HLOOKUP(INDIRECT(ADDRESS(2,COLUMN())),OFFSET($CL$2,0,0,ROW()-1,84),ROW()-1,FALSE))</f>
        <v>4.087088123</v>
      </c>
      <c r="BN46">
        <f ca="1">IF(AND(ISNUMBER($BN$291),$B$252=1),$BN$291,HLOOKUP(INDIRECT(ADDRESS(2,COLUMN())),OFFSET($CL$2,0,0,ROW()-1,84),ROW()-1,FALSE))</f>
        <v>4.0487500000000001</v>
      </c>
      <c r="BO46">
        <f ca="1">IF(AND(ISNUMBER($BO$291),$B$252=1),$BO$291,HLOOKUP(INDIRECT(ADDRESS(2,COLUMN())),OFFSET($CL$2,0,0,ROW()-1,84),ROW()-1,FALSE))</f>
        <v>4.0168965520000004</v>
      </c>
      <c r="BP46">
        <f ca="1">IF(AND(ISNUMBER($BP$291),$B$252=1),$BP$291,HLOOKUP(INDIRECT(ADDRESS(2,COLUMN())),OFFSET($CL$2,0,0,ROW()-1,84),ROW()-1,FALSE))</f>
        <v>3.9667586209999999</v>
      </c>
      <c r="BQ46">
        <f ca="1">IF(AND(ISNUMBER($BQ$291),$B$252=1),$BQ$291,HLOOKUP(INDIRECT(ADDRESS(2,COLUMN())),OFFSET($CL$2,0,0,ROW()-1,84),ROW()-1,FALSE))</f>
        <v>3.9550000000000001</v>
      </c>
      <c r="BR46">
        <f ca="1">IF(AND(ISNUMBER($BR$291),$B$252=1),$BR$291,HLOOKUP(INDIRECT(ADDRESS(2,COLUMN())),OFFSET($CL$2,0,0,ROW()-1,84),ROW()-1,FALSE))</f>
        <v>3.9294076919999998</v>
      </c>
      <c r="BS46">
        <f ca="1">IF(AND(ISNUMBER($BS$291),$B$252=1),$BS$291,HLOOKUP(INDIRECT(ADDRESS(2,COLUMN())),OFFSET($CL$2,0,0,ROW()-1,84),ROW()-1,FALSE))</f>
        <v>3.8264444439999998</v>
      </c>
      <c r="BT46">
        <f ca="1">IF(AND(ISNUMBER($BT$291),$B$252=1),$BT$291,HLOOKUP(INDIRECT(ADDRESS(2,COLUMN())),OFFSET($CL$2,0,0,ROW()-1,84),ROW()-1,FALSE))</f>
        <v>3.795769231</v>
      </c>
      <c r="BU46">
        <f ca="1">IF(AND(ISNUMBER($BU$291),$B$252=1),$BU$291,HLOOKUP(INDIRECT(ADDRESS(2,COLUMN())),OFFSET($CL$2,0,0,ROW()-1,84),ROW()-1,FALSE))</f>
        <v>3.7648076920000002</v>
      </c>
      <c r="BV46">
        <f ca="1">IF(AND(ISNUMBER($BV$291),$B$252=1),$BV$291,HLOOKUP(INDIRECT(ADDRESS(2,COLUMN())),OFFSET($CL$2,0,0,ROW()-1,84),ROW()-1,FALSE))</f>
        <v>3.715524904</v>
      </c>
      <c r="BW46">
        <f ca="1">IF(AND(ISNUMBER($BW$291),$B$252=1),$BW$291,HLOOKUP(INDIRECT(ADDRESS(2,COLUMN())),OFFSET($CL$2,0,0,ROW()-1,84),ROW()-1,FALSE))</f>
        <v>3.6827615379999998</v>
      </c>
      <c r="BX46">
        <f ca="1">IF(AND(ISNUMBER($BX$291),$B$252=1),$BX$291,HLOOKUP(INDIRECT(ADDRESS(2,COLUMN())),OFFSET($CL$2,0,0,ROW()-1,84),ROW()-1,FALSE))</f>
        <v>3.6593103450000002</v>
      </c>
      <c r="BY46">
        <f ca="1">IF(AND(ISNUMBER($BY$291),$B$252=1),$BY$291,HLOOKUP(INDIRECT(ADDRESS(2,COLUMN())),OFFSET($CL$2,0,0,ROW()-1,84),ROW()-1,FALSE))</f>
        <v>3.5976781610000002</v>
      </c>
      <c r="BZ46">
        <f ca="1">IF(AND(ISNUMBER($BZ$291),$B$252=1),$BZ$291,HLOOKUP(INDIRECT(ADDRESS(2,COLUMN())),OFFSET($CL$2,0,0,ROW()-1,84),ROW()-1,FALSE))</f>
        <v>3.5434153849999999</v>
      </c>
      <c r="CA46">
        <f ca="1">IF(AND(ISNUMBER($CA$291),$B$252=1),$CA$291,HLOOKUP(INDIRECT(ADDRESS(2,COLUMN())),OFFSET($CL$2,0,0,ROW()-1,84),ROW()-1,FALSE))</f>
        <v>3.5088505749999999</v>
      </c>
      <c r="CB46">
        <f ca="1">IF(AND(ISNUMBER($CB$291),$B$252=1),$CB$291,HLOOKUP(INDIRECT(ADDRESS(2,COLUMN())),OFFSET($CL$2,0,0,ROW()-1,84),ROW()-1,FALSE))</f>
        <v>3.4429694660000001</v>
      </c>
      <c r="CC46">
        <f ca="1">IF(AND(ISNUMBER($CC$291),$B$252=1),$CC$291,HLOOKUP(INDIRECT(ADDRESS(2,COLUMN())),OFFSET($CL$2,0,0,ROW()-1,84),ROW()-1,FALSE))</f>
        <v>3.411</v>
      </c>
      <c r="CD46">
        <f ca="1">IF(AND(ISNUMBER($CD$291),$B$252=1),$CD$291,HLOOKUP(INDIRECT(ADDRESS(2,COLUMN())),OFFSET($CL$2,0,0,ROW()-1,84),ROW()-1,FALSE))</f>
        <v>3.354725191</v>
      </c>
      <c r="CE46">
        <f ca="1">IF(AND(ISNUMBER($CE$291),$B$252=1),$CE$291,HLOOKUP(INDIRECT(ADDRESS(2,COLUMN())),OFFSET($CL$2,0,0,ROW()-1,84),ROW()-1,FALSE))</f>
        <v>3.2822900759999998</v>
      </c>
      <c r="CF46">
        <f ca="1">IF(AND(ISNUMBER($CF$291),$B$252=1),$CF$291,HLOOKUP(INDIRECT(ADDRESS(2,COLUMN())),OFFSET($CL$2,0,0,ROW()-1,84),ROW()-1,FALSE))</f>
        <v>3.218</v>
      </c>
      <c r="CG46">
        <f ca="1">IF(AND(ISNUMBER($CG$291),$B$252=1),$CG$291,HLOOKUP(INDIRECT(ADDRESS(2,COLUMN())),OFFSET($CL$2,0,0,ROW()-1,84),ROW()-1,FALSE))</f>
        <v>3.1638549619999998</v>
      </c>
      <c r="CH46">
        <f ca="1">IF(AND(ISNUMBER($CH$291),$B$252=1),$CH$291,HLOOKUP(INDIRECT(ADDRESS(2,COLUMN())),OFFSET($CL$2,0,0,ROW()-1,84),ROW()-1,FALSE))</f>
        <v>3.080807692</v>
      </c>
      <c r="CI46">
        <f ca="1">IF(AND(ISNUMBER($CI$291),$B$252=1),$CI$291,HLOOKUP(INDIRECT(ADDRESS(2,COLUMN())),OFFSET($CL$2,0,0,ROW()-1,84),ROW()-1,FALSE))</f>
        <v>3.0203180079999998</v>
      </c>
      <c r="CJ46">
        <f ca="1">IF(AND(ISNUMBER($CJ$291),$B$252=1),$CJ$291,HLOOKUP(INDIRECT(ADDRESS(2,COLUMN())),OFFSET($CL$2,0,0,ROW()-1,84),ROW()-1,FALSE))</f>
        <v>3.1266717559999999</v>
      </c>
      <c r="CK46">
        <f ca="1">IF(AND(ISNUMBER($CK$291),$B$252=1),$CK$291,HLOOKUP(INDIRECT(ADDRESS(2,COLUMN())),OFFSET($CL$2,0,0,ROW()-1,84),ROW()-1,FALSE))</f>
        <v>3.0086538460000001</v>
      </c>
      <c r="CL46">
        <f>4.817492308</f>
        <v>4.8174923080000003</v>
      </c>
      <c r="CM46">
        <f>4.800494253</f>
        <v>4.8004942530000001</v>
      </c>
      <c r="CN46">
        <f>4.814911877</f>
        <v>4.8149118770000001</v>
      </c>
      <c r="CO46">
        <f>4.797</f>
        <v>4.7969999999999997</v>
      </c>
      <c r="CP46">
        <f>4.778758621</f>
        <v>4.7787586209999997</v>
      </c>
      <c r="CQ46">
        <f>4.74364751</f>
        <v>4.7436475099999997</v>
      </c>
      <c r="CR46">
        <f>4.73925</f>
        <v>4.7392500000000002</v>
      </c>
      <c r="CS46">
        <f>4.736804598</f>
        <v>4.736804598</v>
      </c>
      <c r="CT46">
        <f>4.712463602</f>
        <v>4.7124636019999997</v>
      </c>
      <c r="CU46">
        <f>4.6805</f>
        <v>4.6805000000000003</v>
      </c>
      <c r="CV46">
        <f>4.658613027</f>
        <v>4.6586130270000004</v>
      </c>
      <c r="CW46">
        <f>4.628403846</f>
        <v>4.6284038460000003</v>
      </c>
      <c r="CX46">
        <f>4.6105</f>
        <v>4.6105</v>
      </c>
      <c r="CY46">
        <f>4.597302682</f>
        <v>4.5973026819999996</v>
      </c>
      <c r="CZ46">
        <f>4.610536398</f>
        <v>4.6105363979999998</v>
      </c>
      <c r="DA46">
        <f>4.597</f>
        <v>4.5970000000000004</v>
      </c>
      <c r="DB46">
        <f>4.588685824</f>
        <v>4.5886858239999997</v>
      </c>
      <c r="DC46">
        <f>4.553191571</f>
        <v>4.5531915710000002</v>
      </c>
      <c r="DD46">
        <f>4.5525</f>
        <v>4.5525000000000002</v>
      </c>
      <c r="DE46">
        <f>4.556666667</f>
        <v>4.556666667</v>
      </c>
      <c r="DF46">
        <f>4.565923077</f>
        <v>4.5659230769999999</v>
      </c>
      <c r="DG46">
        <f>4.586467433</f>
        <v>4.5864674330000001</v>
      </c>
      <c r="DH46">
        <f>4.600310345</f>
        <v>4.6003103449999996</v>
      </c>
      <c r="DI46">
        <f>4.908326923</f>
        <v>4.9083269229999997</v>
      </c>
      <c r="DJ46">
        <f>4.904528736</f>
        <v>4.9045287359999996</v>
      </c>
      <c r="DK46">
        <f>4.888137931</f>
        <v>4.8881379310000002</v>
      </c>
      <c r="DL46">
        <f>4.874230769</f>
        <v>4.8742307690000004</v>
      </c>
      <c r="DM46">
        <f>4.847</f>
        <v>4.8470000000000004</v>
      </c>
      <c r="DN46">
        <f>4.838591603</f>
        <v>4.8385916030000002</v>
      </c>
      <c r="DO46">
        <f>4.798830769</f>
        <v>4.7988307690000003</v>
      </c>
      <c r="DP46">
        <f>4.773114504</f>
        <v>4.7731145039999996</v>
      </c>
      <c r="DQ46">
        <f>4.74348855</f>
        <v>4.7434885500000004</v>
      </c>
      <c r="DR46">
        <f>4.683880769</f>
        <v>4.6838807689999999</v>
      </c>
      <c r="DS46">
        <f>4.638732824</f>
        <v>4.6387328239999999</v>
      </c>
      <c r="DT46">
        <f>4.613538462</f>
        <v>4.6135384620000002</v>
      </c>
      <c r="DU46">
        <f>4.579735632</f>
        <v>4.5797356320000002</v>
      </c>
      <c r="DV46">
        <f>4.546614504</f>
        <v>4.5466145039999999</v>
      </c>
      <c r="DW46">
        <f>4.518984615</f>
        <v>4.5189846149999999</v>
      </c>
      <c r="DX46">
        <f>4.5153</f>
        <v>4.5152999999999999</v>
      </c>
      <c r="DY46">
        <f>4.528</f>
        <v>4.5279999999999996</v>
      </c>
      <c r="DZ46">
        <f>4.524</f>
        <v>4.524</v>
      </c>
      <c r="EA46">
        <f>4.488676923</f>
        <v>4.4886769229999999</v>
      </c>
      <c r="EB46">
        <f>4.458965517</f>
        <v>4.4589655170000002</v>
      </c>
      <c r="EC46">
        <f>4.434615385</f>
        <v>4.4346153849999999</v>
      </c>
      <c r="ED46">
        <f>4.405812261</f>
        <v>4.4058122610000003</v>
      </c>
      <c r="EE46">
        <f>4.371448276</f>
        <v>4.3714482759999997</v>
      </c>
      <c r="EF46">
        <f>4.343703846</f>
        <v>4.3437038460000004</v>
      </c>
      <c r="EG46">
        <f>4.313363985</f>
        <v>4.3133639849999996</v>
      </c>
      <c r="EH46">
        <f>4.283586207</f>
        <v>4.2835862069999999</v>
      </c>
      <c r="EI46">
        <f>4.270738462</f>
        <v>4.2707384619999997</v>
      </c>
      <c r="EJ46">
        <f>4.280084615</f>
        <v>4.2800846149999998</v>
      </c>
      <c r="EK46">
        <f>4.273</f>
        <v>4.2729999999999997</v>
      </c>
      <c r="EL46">
        <f>4.270553846</f>
        <v>4.2705538460000003</v>
      </c>
      <c r="EM46">
        <f>4.270164751</f>
        <v>4.2701647510000003</v>
      </c>
      <c r="EN46">
        <f>4.253712644</f>
        <v>4.2537126440000002</v>
      </c>
      <c r="EO46">
        <f>4.232646154</f>
        <v>4.2326461540000002</v>
      </c>
      <c r="EP46">
        <f>4.209636015</f>
        <v>4.2096360150000001</v>
      </c>
      <c r="EQ46">
        <f>4.158646154</f>
        <v>4.1586461540000004</v>
      </c>
      <c r="ER46">
        <f>4.135692308</f>
        <v>4.1356923080000003</v>
      </c>
      <c r="ES46">
        <f>4.087088123</f>
        <v>4.087088123</v>
      </c>
      <c r="ET46">
        <f>4.04875</f>
        <v>4.0487500000000001</v>
      </c>
      <c r="EU46">
        <f>4.016896552</f>
        <v>4.0168965520000004</v>
      </c>
      <c r="EV46">
        <f>3.966758621</f>
        <v>3.9667586209999999</v>
      </c>
      <c r="EW46">
        <f>3.955</f>
        <v>3.9550000000000001</v>
      </c>
      <c r="EX46">
        <f>3.929407692</f>
        <v>3.9294076919999998</v>
      </c>
      <c r="EY46">
        <f>3.826444444</f>
        <v>3.8264444439999998</v>
      </c>
      <c r="EZ46">
        <f>3.795769231</f>
        <v>3.795769231</v>
      </c>
      <c r="FA46">
        <f>3.764807692</f>
        <v>3.7648076920000002</v>
      </c>
      <c r="FB46">
        <f>3.715524904</f>
        <v>3.715524904</v>
      </c>
      <c r="FC46">
        <f>3.682761538</f>
        <v>3.6827615379999998</v>
      </c>
      <c r="FD46">
        <f>3.659310345</f>
        <v>3.6593103450000002</v>
      </c>
      <c r="FE46">
        <f>3.597678161</f>
        <v>3.5976781610000002</v>
      </c>
      <c r="FF46">
        <f>3.543415385</f>
        <v>3.5434153849999999</v>
      </c>
      <c r="FG46">
        <f>3.508850575</f>
        <v>3.5088505749999999</v>
      </c>
      <c r="FH46">
        <f>3.442969466</f>
        <v>3.4429694660000001</v>
      </c>
      <c r="FI46">
        <f>3.411</f>
        <v>3.411</v>
      </c>
      <c r="FJ46">
        <f>3.354725191</f>
        <v>3.354725191</v>
      </c>
      <c r="FK46">
        <f>3.282290076</f>
        <v>3.2822900759999998</v>
      </c>
      <c r="FL46">
        <f>3.218</f>
        <v>3.218</v>
      </c>
      <c r="FM46">
        <f>3.163854962</f>
        <v>3.1638549619999998</v>
      </c>
      <c r="FN46">
        <f>3.080807692</f>
        <v>3.080807692</v>
      </c>
      <c r="FO46">
        <f>3.020318008</f>
        <v>3.0203180079999998</v>
      </c>
      <c r="FP46">
        <f>3.126671756</f>
        <v>3.1266717559999999</v>
      </c>
      <c r="FQ46">
        <f>3.008653846</f>
        <v>3.0086538460000001</v>
      </c>
    </row>
    <row r="47" spans="1:173">
      <c r="A47" t="str">
        <f>"    公寓物业权益信托"</f>
        <v xml:space="preserve">    公寓物业权益信托</v>
      </c>
      <c r="B47" t="str">
        <f>"EQR US Equity"</f>
        <v>EQR US Equity</v>
      </c>
      <c r="C47" t="str">
        <f t="shared" si="15"/>
        <v>BE038</v>
      </c>
      <c r="D47" t="str">
        <f t="shared" si="16"/>
        <v>BEST_FFOPS</v>
      </c>
      <c r="E47" t="str">
        <f t="shared" si="17"/>
        <v>动态</v>
      </c>
      <c r="F47">
        <f ca="1">IF(AND(ISNUMBER($F$292),$B$252=1),$F$292,HLOOKUP(INDIRECT(ADDRESS(2,COLUMN())),OFFSET($CL$2,0,0,ROW()-1,84),ROW()-1,FALSE))</f>
        <v>3.2737230770000001</v>
      </c>
      <c r="G47">
        <f ca="1">IF(AND(ISNUMBER($G$292),$B$252=1),$G$292,HLOOKUP(INDIRECT(ADDRESS(2,COLUMN())),OFFSET($CL$2,0,0,ROW()-1,84),ROW()-1,FALSE))</f>
        <v>3.2642298850000002</v>
      </c>
      <c r="H47">
        <f ca="1">IF(AND(ISNUMBER($H$292),$B$252=1),$H$292,HLOOKUP(INDIRECT(ADDRESS(2,COLUMN())),OFFSET($CL$2,0,0,ROW()-1,84),ROW()-1,FALSE))</f>
        <v>3.272187739</v>
      </c>
      <c r="I47">
        <f ca="1">IF(AND(ISNUMBER($I$292),$B$252=1),$I$292,HLOOKUP(INDIRECT(ADDRESS(2,COLUMN())),OFFSET($CL$2,0,0,ROW()-1,84),ROW()-1,FALSE))</f>
        <v>3.262</v>
      </c>
      <c r="J47">
        <f ca="1">IF(AND(ISNUMBER($J$292),$B$252=1),$J$292,HLOOKUP(INDIRECT(ADDRESS(2,COLUMN())),OFFSET($CL$2,0,0,ROW()-1,84),ROW()-1,FALSE))</f>
        <v>3.2517356319999999</v>
      </c>
      <c r="K47">
        <f ca="1">IF(AND(ISNUMBER($K$292),$B$252=1),$K$292,HLOOKUP(INDIRECT(ADDRESS(2,COLUMN())),OFFSET($CL$2,0,0,ROW()-1,84),ROW()-1,FALSE))</f>
        <v>3.2424406129999999</v>
      </c>
      <c r="L47">
        <f ca="1">IF(AND(ISNUMBER($L$292),$B$252=1),$L$292,HLOOKUP(INDIRECT(ADDRESS(2,COLUMN())),OFFSET($CL$2,0,0,ROW()-1,84),ROW()-1,FALSE))</f>
        <v>3.2322500000000001</v>
      </c>
      <c r="M47">
        <f ca="1">IF(AND(ISNUMBER($M$292),$B$252=1),$M$292,HLOOKUP(INDIRECT(ADDRESS(2,COLUMN())),OFFSET($CL$2,0,0,ROW()-1,84),ROW()-1,FALSE))</f>
        <v>3.2215977009999999</v>
      </c>
      <c r="N47">
        <f ca="1">IF(AND(ISNUMBER($N$292),$B$252=1),$N$292,HLOOKUP(INDIRECT(ADDRESS(2,COLUMN())),OFFSET($CL$2,0,0,ROW()-1,84),ROW()-1,FALSE))</f>
        <v>3.2047624520000002</v>
      </c>
      <c r="O47">
        <f ca="1">IF(AND(ISNUMBER($O$292),$B$252=1),$O$292,HLOOKUP(INDIRECT(ADDRESS(2,COLUMN())),OFFSET($CL$2,0,0,ROW()-1,84),ROW()-1,FALSE))</f>
        <v>3.1775000000000002</v>
      </c>
      <c r="P47">
        <f ca="1">IF(AND(ISNUMBER($P$292),$B$252=1),$P$292,HLOOKUP(INDIRECT(ADDRESS(2,COLUMN())),OFFSET($CL$2,0,0,ROW()-1,84),ROW()-1,FALSE))</f>
        <v>3.1619731799999999</v>
      </c>
      <c r="Q47">
        <f ca="1">IF(AND(ISNUMBER($Q$292),$B$252=1),$Q$292,HLOOKUP(INDIRECT(ADDRESS(2,COLUMN())),OFFSET($CL$2,0,0,ROW()-1,84),ROW()-1,FALSE))</f>
        <v>3.1440192310000001</v>
      </c>
      <c r="R47">
        <f ca="1">IF(AND(ISNUMBER($R$292),$B$252=1),$R$292,HLOOKUP(INDIRECT(ADDRESS(2,COLUMN())),OFFSET($CL$2,0,0,ROW()-1,84),ROW()-1,FALSE))</f>
        <v>3.1507499999999999</v>
      </c>
      <c r="S47">
        <f ca="1">IF(AND(ISNUMBER($S$292),$B$252=1),$S$292,HLOOKUP(INDIRECT(ADDRESS(2,COLUMN())),OFFSET($CL$2,0,0,ROW()-1,84),ROW()-1,FALSE))</f>
        <v>3.1533946359999998</v>
      </c>
      <c r="T47">
        <f ca="1">IF(AND(ISNUMBER($T$292),$B$252=1),$T$292,HLOOKUP(INDIRECT(ADDRESS(2,COLUMN())),OFFSET($CL$2,0,0,ROW()-1,84),ROW()-1,FALSE))</f>
        <v>3.1908658999999999</v>
      </c>
      <c r="U47">
        <f ca="1">IF(AND(ISNUMBER($U$292),$B$252=1),$U$292,HLOOKUP(INDIRECT(ADDRESS(2,COLUMN())),OFFSET($CL$2,0,0,ROW()-1,84),ROW()-1,FALSE))</f>
        <v>3.1669999999999998</v>
      </c>
      <c r="V47">
        <f ca="1">IF(AND(ISNUMBER($V$292),$B$252=1),$V$292,HLOOKUP(INDIRECT(ADDRESS(2,COLUMN())),OFFSET($CL$2,0,0,ROW()-1,84),ROW()-1,FALSE))</f>
        <v>3.1617394640000001</v>
      </c>
      <c r="W47">
        <f ca="1">IF(AND(ISNUMBER($W$292),$B$252=1),$W$292,HLOOKUP(INDIRECT(ADDRESS(2,COLUMN())),OFFSET($CL$2,0,0,ROW()-1,84),ROW()-1,FALSE))</f>
        <v>3.1561302680000001</v>
      </c>
      <c r="X47">
        <f ca="1">IF(AND(ISNUMBER($X$292),$B$252=1),$X$292,HLOOKUP(INDIRECT(ADDRESS(2,COLUMN())),OFFSET($CL$2,0,0,ROW()-1,84),ROW()-1,FALSE))</f>
        <v>3.1452499999999999</v>
      </c>
      <c r="Y47">
        <f ca="1">IF(AND(ISNUMBER($Y$292),$B$252=1),$Y$292,HLOOKUP(INDIRECT(ADDRESS(2,COLUMN())),OFFSET($CL$2,0,0,ROW()-1,84),ROW()-1,FALSE))</f>
        <v>3.137666667</v>
      </c>
      <c r="Z47">
        <f ca="1">IF(AND(ISNUMBER($Z$292),$B$252=1),$Z$292,HLOOKUP(INDIRECT(ADDRESS(2,COLUMN())),OFFSET($CL$2,0,0,ROW()-1,84),ROW()-1,FALSE))</f>
        <v>3.1390384619999998</v>
      </c>
      <c r="AA47">
        <f ca="1">IF(AND(ISNUMBER($AA$292),$B$252=1),$AA$292,HLOOKUP(INDIRECT(ADDRESS(2,COLUMN())),OFFSET($CL$2,0,0,ROW()-1,84),ROW()-1,FALSE))</f>
        <v>3.1531647509999998</v>
      </c>
      <c r="AB47">
        <f ca="1">IF(AND(ISNUMBER($AB$292),$B$252=1),$AB$292,HLOOKUP(INDIRECT(ADDRESS(2,COLUMN())),OFFSET($CL$2,0,0,ROW()-1,84),ROW()-1,FALSE))</f>
        <v>3.1261034479999998</v>
      </c>
      <c r="AC47">
        <f ca="1">IF(AND(ISNUMBER($AC$292),$B$252=1),$AC$292,HLOOKUP(INDIRECT(ADDRESS(2,COLUMN())),OFFSET($CL$2,0,0,ROW()-1,84),ROW()-1,FALSE))</f>
        <v>3.1476538459999999</v>
      </c>
      <c r="AD47">
        <f ca="1">IF(AND(ISNUMBER($AD$292),$B$252=1),$AD$292,HLOOKUP(INDIRECT(ADDRESS(2,COLUMN())),OFFSET($CL$2,0,0,ROW()-1,84),ROW()-1,FALSE))</f>
        <v>3.1863409960000002</v>
      </c>
      <c r="AE47">
        <f ca="1">IF(AND(ISNUMBER($AE$292),$B$252=1),$AE$292,HLOOKUP(INDIRECT(ADDRESS(2,COLUMN())),OFFSET($CL$2,0,0,ROW()-1,84),ROW()-1,FALSE))</f>
        <v>3.1899080460000002</v>
      </c>
      <c r="AF47">
        <f ca="1">IF(AND(ISNUMBER($AF$292),$B$252=1),$AF$292,HLOOKUP(INDIRECT(ADDRESS(2,COLUMN())),OFFSET($CL$2,0,0,ROW()-1,84),ROW()-1,FALSE))</f>
        <v>3.3243076920000001</v>
      </c>
      <c r="AG47">
        <f ca="1">IF(AND(ISNUMBER($AG$292),$B$252=1),$AG$292,HLOOKUP(INDIRECT(ADDRESS(2,COLUMN())),OFFSET($CL$2,0,0,ROW()-1,84),ROW()-1,FALSE))</f>
        <v>3.331</v>
      </c>
      <c r="AH47">
        <f ca="1">IF(AND(ISNUMBER($AH$292),$B$252=1),$AH$292,HLOOKUP(INDIRECT(ADDRESS(2,COLUMN())),OFFSET($CL$2,0,0,ROW()-1,84),ROW()-1,FALSE))</f>
        <v>3.4195992369999999</v>
      </c>
      <c r="AI47">
        <f ca="1">IF(AND(ISNUMBER($AI$292),$B$252=1),$AI$292,HLOOKUP(INDIRECT(ADDRESS(2,COLUMN())),OFFSET($CL$2,0,0,ROW()-1,84),ROW()-1,FALSE))</f>
        <v>3.527430769</v>
      </c>
      <c r="AJ47">
        <f ca="1">IF(AND(ISNUMBER($AJ$292),$B$252=1),$AJ$292,HLOOKUP(INDIRECT(ADDRESS(2,COLUMN())),OFFSET($CL$2,0,0,ROW()-1,84),ROW()-1,FALSE))</f>
        <v>3.6646793889999998</v>
      </c>
      <c r="AK47">
        <f ca="1">IF(AND(ISNUMBER($AK$292),$B$252=1),$AK$292,HLOOKUP(INDIRECT(ADDRESS(2,COLUMN())),OFFSET($CL$2,0,0,ROW()-1,84),ROW()-1,FALSE))</f>
        <v>3.637244275</v>
      </c>
      <c r="AL47">
        <f ca="1">IF(AND(ISNUMBER($AL$292),$B$252=1),$AL$292,HLOOKUP(INDIRECT(ADDRESS(2,COLUMN())),OFFSET($CL$2,0,0,ROW()-1,84),ROW()-1,FALSE))</f>
        <v>3.5930346150000001</v>
      </c>
      <c r="AM47">
        <f ca="1">IF(AND(ISNUMBER($AM$292),$B$252=1),$AM$292,HLOOKUP(INDIRECT(ADDRESS(2,COLUMN())),OFFSET($CL$2,0,0,ROW()-1,84),ROW()-1,FALSE))</f>
        <v>3.5564885500000001</v>
      </c>
      <c r="AN47">
        <f ca="1">IF(AND(ISNUMBER($AN$292),$B$252=1),$AN$292,HLOOKUP(INDIRECT(ADDRESS(2,COLUMN())),OFFSET($CL$2,0,0,ROW()-1,84),ROW()-1,FALSE))</f>
        <v>3.5352230769999999</v>
      </c>
      <c r="AO47">
        <f ca="1">IF(AND(ISNUMBER($AO$292),$B$252=1),$AO$292,HLOOKUP(INDIRECT(ADDRESS(2,COLUMN())),OFFSET($CL$2,0,0,ROW()-1,84),ROW()-1,FALSE))</f>
        <v>3.5123984670000001</v>
      </c>
      <c r="AP47">
        <f ca="1">IF(AND(ISNUMBER($AP$292),$B$252=1),$AP$292,HLOOKUP(INDIRECT(ADDRESS(2,COLUMN())),OFFSET($CL$2,0,0,ROW()-1,84),ROW()-1,FALSE))</f>
        <v>3.49028626</v>
      </c>
      <c r="AQ47">
        <f ca="1">IF(AND(ISNUMBER($AQ$292),$B$252=1),$AQ$292,HLOOKUP(INDIRECT(ADDRESS(2,COLUMN())),OFFSET($CL$2,0,0,ROW()-1,84),ROW()-1,FALSE))</f>
        <v>3.4619</v>
      </c>
      <c r="AR47">
        <f ca="1">IF(AND(ISNUMBER($AR$292),$B$252=1),$AR$292,HLOOKUP(INDIRECT(ADDRESS(2,COLUMN())),OFFSET($CL$2,0,0,ROW()-1,84),ROW()-1,FALSE))</f>
        <v>3.415930769</v>
      </c>
      <c r="AS47">
        <f ca="1">IF(AND(ISNUMBER($AS$292),$B$252=1),$AS$292,HLOOKUP(INDIRECT(ADDRESS(2,COLUMN())),OFFSET($CL$2,0,0,ROW()-1,84),ROW()-1,FALSE))</f>
        <v>3.391</v>
      </c>
      <c r="AT47">
        <f ca="1">IF(AND(ISNUMBER($AT$292),$B$252=1),$AT$292,HLOOKUP(INDIRECT(ADDRESS(2,COLUMN())),OFFSET($CL$2,0,0,ROW()-1,84),ROW()-1,FALSE))</f>
        <v>3.3661769229999998</v>
      </c>
      <c r="AU47">
        <f ca="1">IF(AND(ISNUMBER($AU$292),$B$252=1),$AU$292,HLOOKUP(INDIRECT(ADDRESS(2,COLUMN())),OFFSET($CL$2,0,0,ROW()-1,84),ROW()-1,FALSE))</f>
        <v>3.3283153849999998</v>
      </c>
      <c r="AV47">
        <f ca="1">IF(AND(ISNUMBER($AV$292),$B$252=1),$AV$292,HLOOKUP(INDIRECT(ADDRESS(2,COLUMN())),OFFSET($CL$2,0,0,ROW()-1,84),ROW()-1,FALSE))</f>
        <v>3.286563218</v>
      </c>
      <c r="AW47">
        <f ca="1">IF(AND(ISNUMBER($AW$292),$B$252=1),$AW$292,HLOOKUP(INDIRECT(ADDRESS(2,COLUMN())),OFFSET($CL$2,0,0,ROW()-1,84),ROW()-1,FALSE))</f>
        <v>3.2621384619999998</v>
      </c>
      <c r="AX47">
        <f ca="1">IF(AND(ISNUMBER($AX$292),$B$252=1),$AX$292,HLOOKUP(INDIRECT(ADDRESS(2,COLUMN())),OFFSET($CL$2,0,0,ROW()-1,84),ROW()-1,FALSE))</f>
        <v>3.2189578540000001</v>
      </c>
      <c r="AY47">
        <f ca="1">IF(AND(ISNUMBER($AY$292),$B$252=1),$AY$292,HLOOKUP(INDIRECT(ADDRESS(2,COLUMN())),OFFSET($CL$2,0,0,ROW()-1,84),ROW()-1,FALSE))</f>
        <v>3.1858505749999999</v>
      </c>
      <c r="AZ47">
        <f ca="1">IF(AND(ISNUMBER($AZ$292),$B$252=1),$AZ$292,HLOOKUP(INDIRECT(ADDRESS(2,COLUMN())),OFFSET($CL$2,0,0,ROW()-1,84),ROW()-1,FALSE))</f>
        <v>3.1721307689999998</v>
      </c>
      <c r="BA47">
        <f ca="1">IF(AND(ISNUMBER($BA$292),$B$252=1),$BA$292,HLOOKUP(INDIRECT(ADDRESS(2,COLUMN())),OFFSET($CL$2,0,0,ROW()-1,84),ROW()-1,FALSE))</f>
        <v>3.1645708809999999</v>
      </c>
      <c r="BB47">
        <f ca="1">IF(AND(ISNUMBER($BB$292),$B$252=1),$BB$292,HLOOKUP(INDIRECT(ADDRESS(2,COLUMN())),OFFSET($CL$2,0,0,ROW()-1,84),ROW()-1,FALSE))</f>
        <v>3.1485325670000002</v>
      </c>
      <c r="BC47">
        <f ca="1">IF(AND(ISNUMBER($BC$292),$B$252=1),$BC$292,HLOOKUP(INDIRECT(ADDRESS(2,COLUMN())),OFFSET($CL$2,0,0,ROW()-1,84),ROW()-1,FALSE))</f>
        <v>3.1279846149999999</v>
      </c>
      <c r="BD47">
        <f ca="1">IF(AND(ISNUMBER($BD$292),$B$252=1),$BD$292,HLOOKUP(INDIRECT(ADDRESS(2,COLUMN())),OFFSET($CL$2,0,0,ROW()-1,84),ROW()-1,FALSE))</f>
        <v>3.1192769230000001</v>
      </c>
      <c r="BE47">
        <f ca="1">IF(AND(ISNUMBER($BE$292),$B$252=1),$BE$292,HLOOKUP(INDIRECT(ADDRESS(2,COLUMN())),OFFSET($CL$2,0,0,ROW()-1,84),ROW()-1,FALSE))</f>
        <v>3.097</v>
      </c>
      <c r="BF47">
        <f ca="1">IF(AND(ISNUMBER($BF$292),$B$252=1),$BF$292,HLOOKUP(INDIRECT(ADDRESS(2,COLUMN())),OFFSET($CL$2,0,0,ROW()-1,84),ROW()-1,FALSE))</f>
        <v>3.0780769229999998</v>
      </c>
      <c r="BG47">
        <f ca="1">IF(AND(ISNUMBER($BG$292),$B$252=1),$BG$292,HLOOKUP(INDIRECT(ADDRESS(2,COLUMN())),OFFSET($CL$2,0,0,ROW()-1,84),ROW()-1,FALSE))</f>
        <v>3.0386666670000002</v>
      </c>
      <c r="BH47">
        <f ca="1">IF(AND(ISNUMBER($BH$292),$B$252=1),$BH$292,HLOOKUP(INDIRECT(ADDRESS(2,COLUMN())),OFFSET($CL$2,0,0,ROW()-1,84),ROW()-1,FALSE))</f>
        <v>3.0119080459999998</v>
      </c>
      <c r="BI47">
        <f ca="1">IF(AND(ISNUMBER($BI$292),$B$252=1),$BI$292,HLOOKUP(INDIRECT(ADDRESS(2,COLUMN())),OFFSET($CL$2,0,0,ROW()-1,84),ROW()-1,FALSE))</f>
        <v>2.9808576919999998</v>
      </c>
      <c r="BJ47">
        <f ca="1">IF(AND(ISNUMBER($BJ$292),$B$252=1),$BJ$292,HLOOKUP(INDIRECT(ADDRESS(2,COLUMN())),OFFSET($CL$2,0,0,ROW()-1,84),ROW()-1,FALSE))</f>
        <v>2.9502796930000001</v>
      </c>
      <c r="BK47">
        <f ca="1">IF(AND(ISNUMBER($BK$292),$B$252=1),$BK$292,HLOOKUP(INDIRECT(ADDRESS(2,COLUMN())),OFFSET($CL$2,0,0,ROW()-1,84),ROW()-1,FALSE))</f>
        <v>2.9091999999999998</v>
      </c>
      <c r="BL47">
        <f ca="1">IF(AND(ISNUMBER($BL$292),$B$252=1),$BL$292,HLOOKUP(INDIRECT(ADDRESS(2,COLUMN())),OFFSET($CL$2,0,0,ROW()-1,84),ROW()-1,FALSE))</f>
        <v>2.8772000000000002</v>
      </c>
      <c r="BM47">
        <f ca="1">IF(AND(ISNUMBER($BM$292),$B$252=1),$BM$292,HLOOKUP(INDIRECT(ADDRESS(2,COLUMN())),OFFSET($CL$2,0,0,ROW()-1,84),ROW()-1,FALSE))</f>
        <v>2.907076628</v>
      </c>
      <c r="BN47">
        <f ca="1">IF(AND(ISNUMBER($BN$292),$B$252=1),$BN$292,HLOOKUP(INDIRECT(ADDRESS(2,COLUMN())),OFFSET($CL$2,0,0,ROW()-1,84),ROW()-1,FALSE))</f>
        <v>2.9664000000000001</v>
      </c>
      <c r="BO47">
        <f ca="1">IF(AND(ISNUMBER($BO$292),$B$252=1),$BO$292,HLOOKUP(INDIRECT(ADDRESS(2,COLUMN())),OFFSET($CL$2,0,0,ROW()-1,84),ROW()-1,FALSE))</f>
        <v>2.8968007660000001</v>
      </c>
      <c r="BP47">
        <f ca="1">IF(AND(ISNUMBER($BP$292),$B$252=1),$BP$292,HLOOKUP(INDIRECT(ADDRESS(2,COLUMN())),OFFSET($CL$2,0,0,ROW()-1,84),ROW()-1,FALSE))</f>
        <v>3.0241187740000002</v>
      </c>
      <c r="BQ47">
        <f ca="1">IF(AND(ISNUMBER($BQ$292),$B$252=1),$BQ$292,HLOOKUP(INDIRECT(ADDRESS(2,COLUMN())),OFFSET($CL$2,0,0,ROW()-1,84),ROW()-1,FALSE))</f>
        <v>3.0209999999999999</v>
      </c>
      <c r="BR47">
        <f ca="1">IF(AND(ISNUMBER($BR$292),$B$252=1),$BR$292,HLOOKUP(INDIRECT(ADDRESS(2,COLUMN())),OFFSET($CL$2,0,0,ROW()-1,84),ROW()-1,FALSE))</f>
        <v>3.0130615380000001</v>
      </c>
      <c r="BS47">
        <f ca="1">IF(AND(ISNUMBER($BS$292),$B$252=1),$BS$292,HLOOKUP(INDIRECT(ADDRESS(2,COLUMN())),OFFSET($CL$2,0,0,ROW()-1,84),ROW()-1,FALSE))</f>
        <v>2.9992835250000001</v>
      </c>
      <c r="BT47">
        <f ca="1">IF(AND(ISNUMBER($BT$292),$B$252=1),$BT$292,HLOOKUP(INDIRECT(ADDRESS(2,COLUMN())),OFFSET($CL$2,0,0,ROW()-1,84),ROW()-1,FALSE))</f>
        <v>2.966507692</v>
      </c>
      <c r="BU47">
        <f ca="1">IF(AND(ISNUMBER($BU$292),$B$252=1),$BU$292,HLOOKUP(INDIRECT(ADDRESS(2,COLUMN())),OFFSET($CL$2,0,0,ROW()-1,84),ROW()-1,FALSE))</f>
        <v>2.9492384619999998</v>
      </c>
      <c r="BV47">
        <f ca="1">IF(AND(ISNUMBER($BV$292),$B$252=1),$BV$292,HLOOKUP(INDIRECT(ADDRESS(2,COLUMN())),OFFSET($CL$2,0,0,ROW()-1,84),ROW()-1,FALSE))</f>
        <v>2.92754023</v>
      </c>
      <c r="BW47">
        <f ca="1">IF(AND(ISNUMBER($BW$292),$B$252=1),$BW$292,HLOOKUP(INDIRECT(ADDRESS(2,COLUMN())),OFFSET($CL$2,0,0,ROW()-1,84),ROW()-1,FALSE))</f>
        <v>2.8593730769999999</v>
      </c>
      <c r="BX47">
        <f ca="1">IF(AND(ISNUMBER($BX$292),$B$252=1),$BX$292,HLOOKUP(INDIRECT(ADDRESS(2,COLUMN())),OFFSET($CL$2,0,0,ROW()-1,84),ROW()-1,FALSE))</f>
        <v>2.8401111110000001</v>
      </c>
      <c r="BY47">
        <f ca="1">IF(AND(ISNUMBER($BY$292),$B$252=1),$BY$292,HLOOKUP(INDIRECT(ADDRESS(2,COLUMN())),OFFSET($CL$2,0,0,ROW()-1,84),ROW()-1,FALSE))</f>
        <v>2.8352375479999998</v>
      </c>
      <c r="BZ47">
        <f ca="1">IF(AND(ISNUMBER($BZ$292),$B$252=1),$BZ$292,HLOOKUP(INDIRECT(ADDRESS(2,COLUMN())),OFFSET($CL$2,0,0,ROW()-1,84),ROW()-1,FALSE))</f>
        <v>2.8017384619999999</v>
      </c>
      <c r="CA47">
        <f ca="1">IF(AND(ISNUMBER($CA$292),$B$252=1),$CA$292,HLOOKUP(INDIRECT(ADDRESS(2,COLUMN())),OFFSET($CL$2,0,0,ROW()-1,84),ROW()-1,FALSE))</f>
        <v>2.7759999999999998</v>
      </c>
      <c r="CB47">
        <f ca="1">IF(AND(ISNUMBER($CB$292),$B$252=1),$CB$292,HLOOKUP(INDIRECT(ADDRESS(2,COLUMN())),OFFSET($CL$2,0,0,ROW()-1,84),ROW()-1,FALSE))</f>
        <v>2.7815954199999999</v>
      </c>
      <c r="CC47">
        <f ca="1">IF(AND(ISNUMBER($CC$292),$B$252=1),$CC$292,HLOOKUP(INDIRECT(ADDRESS(2,COLUMN())),OFFSET($CL$2,0,0,ROW()-1,84),ROW()-1,FALSE))</f>
        <v>2.766</v>
      </c>
      <c r="CD47">
        <f ca="1">IF(AND(ISNUMBER($CD$292),$B$252=1),$CD$292,HLOOKUP(INDIRECT(ADDRESS(2,COLUMN())),OFFSET($CL$2,0,0,ROW()-1,84),ROW()-1,FALSE))</f>
        <v>2.7363664120000002</v>
      </c>
      <c r="CE47">
        <f ca="1">IF(AND(ISNUMBER($CE$292),$B$252=1),$CE$292,HLOOKUP(INDIRECT(ADDRESS(2,COLUMN())),OFFSET($CL$2,0,0,ROW()-1,84),ROW()-1,FALSE))</f>
        <v>2.7093969470000001</v>
      </c>
      <c r="CF47">
        <f ca="1">IF(AND(ISNUMBER($CF$292),$B$252=1),$CF$292,HLOOKUP(INDIRECT(ADDRESS(2,COLUMN())),OFFSET($CL$2,0,0,ROW()-1,84),ROW()-1,FALSE))</f>
        <v>2.6917499999999999</v>
      </c>
      <c r="CG47">
        <f ca="1">IF(AND(ISNUMBER($CG$292),$B$252=1),$CG$292,HLOOKUP(INDIRECT(ADDRESS(2,COLUMN())),OFFSET($CL$2,0,0,ROW()-1,84),ROW()-1,FALSE))</f>
        <v>2.66178626</v>
      </c>
      <c r="CH47">
        <f ca="1">IF(AND(ISNUMBER($CH$292),$B$252=1),$CH$292,HLOOKUP(INDIRECT(ADDRESS(2,COLUMN())),OFFSET($CL$2,0,0,ROW()-1,84),ROW()-1,FALSE))</f>
        <v>2.6414615380000002</v>
      </c>
      <c r="CI47">
        <f ca="1">IF(AND(ISNUMBER($CI$292),$B$252=1),$CI$292,HLOOKUP(INDIRECT(ADDRESS(2,COLUMN())),OFFSET($CL$2,0,0,ROW()-1,84),ROW()-1,FALSE))</f>
        <v>2.634835249</v>
      </c>
      <c r="CJ47">
        <f ca="1">IF(AND(ISNUMBER($CJ$292),$B$252=1),$CJ$292,HLOOKUP(INDIRECT(ADDRESS(2,COLUMN())),OFFSET($CL$2,0,0,ROW()-1,84),ROW()-1,FALSE))</f>
        <v>2.601034351</v>
      </c>
      <c r="CK47">
        <f ca="1">IF(AND(ISNUMBER($CK$292),$B$252=1),$CK$292,HLOOKUP(INDIRECT(ADDRESS(2,COLUMN())),OFFSET($CL$2,0,0,ROW()-1,84),ROW()-1,FALSE))</f>
        <v>2.566615385</v>
      </c>
      <c r="CL47">
        <f>3.273723077</f>
        <v>3.2737230770000001</v>
      </c>
      <c r="CM47">
        <f>3.264229885</f>
        <v>3.2642298850000002</v>
      </c>
      <c r="CN47">
        <f>3.272187739</f>
        <v>3.272187739</v>
      </c>
      <c r="CO47">
        <f>3.262</f>
        <v>3.262</v>
      </c>
      <c r="CP47">
        <f>3.251735632</f>
        <v>3.2517356319999999</v>
      </c>
      <c r="CQ47">
        <f>3.242440613</f>
        <v>3.2424406129999999</v>
      </c>
      <c r="CR47">
        <f>3.23225</f>
        <v>3.2322500000000001</v>
      </c>
      <c r="CS47">
        <f>3.221597701</f>
        <v>3.2215977009999999</v>
      </c>
      <c r="CT47">
        <f>3.204762452</f>
        <v>3.2047624520000002</v>
      </c>
      <c r="CU47">
        <f>3.1775</f>
        <v>3.1775000000000002</v>
      </c>
      <c r="CV47">
        <f>3.16197318</f>
        <v>3.1619731799999999</v>
      </c>
      <c r="CW47">
        <f>3.144019231</f>
        <v>3.1440192310000001</v>
      </c>
      <c r="CX47">
        <f>3.15075</f>
        <v>3.1507499999999999</v>
      </c>
      <c r="CY47">
        <f>3.153394636</f>
        <v>3.1533946359999998</v>
      </c>
      <c r="CZ47">
        <f>3.1908659</f>
        <v>3.1908658999999999</v>
      </c>
      <c r="DA47">
        <f>3.167</f>
        <v>3.1669999999999998</v>
      </c>
      <c r="DB47">
        <f>3.161739464</f>
        <v>3.1617394640000001</v>
      </c>
      <c r="DC47">
        <f>3.156130268</f>
        <v>3.1561302680000001</v>
      </c>
      <c r="DD47">
        <f>3.14525</f>
        <v>3.1452499999999999</v>
      </c>
      <c r="DE47">
        <f>3.137666667</f>
        <v>3.137666667</v>
      </c>
      <c r="DF47">
        <f>3.139038462</f>
        <v>3.1390384619999998</v>
      </c>
      <c r="DG47">
        <f>3.153164751</f>
        <v>3.1531647509999998</v>
      </c>
      <c r="DH47">
        <f>3.126103448</f>
        <v>3.1261034479999998</v>
      </c>
      <c r="DI47">
        <f>3.147653846</f>
        <v>3.1476538459999999</v>
      </c>
      <c r="DJ47">
        <f>3.186340996</f>
        <v>3.1863409960000002</v>
      </c>
      <c r="DK47">
        <f>3.189908046</f>
        <v>3.1899080460000002</v>
      </c>
      <c r="DL47">
        <f>3.324307692</f>
        <v>3.3243076920000001</v>
      </c>
      <c r="DM47">
        <f>3.331</f>
        <v>3.331</v>
      </c>
      <c r="DN47">
        <f>3.419599237</f>
        <v>3.4195992369999999</v>
      </c>
      <c r="DO47">
        <f>3.527430769</f>
        <v>3.527430769</v>
      </c>
      <c r="DP47">
        <f>3.664679389</f>
        <v>3.6646793889999998</v>
      </c>
      <c r="DQ47">
        <f>3.637244275</f>
        <v>3.637244275</v>
      </c>
      <c r="DR47">
        <f>3.593034615</f>
        <v>3.5930346150000001</v>
      </c>
      <c r="DS47">
        <f>3.55648855</f>
        <v>3.5564885500000001</v>
      </c>
      <c r="DT47">
        <f>3.535223077</f>
        <v>3.5352230769999999</v>
      </c>
      <c r="DU47">
        <f>3.512398467</f>
        <v>3.5123984670000001</v>
      </c>
      <c r="DV47">
        <f>3.49028626</f>
        <v>3.49028626</v>
      </c>
      <c r="DW47">
        <f>3.4619</f>
        <v>3.4619</v>
      </c>
      <c r="DX47">
        <f>3.415930769</f>
        <v>3.415930769</v>
      </c>
      <c r="DY47">
        <f>3.391</f>
        <v>3.391</v>
      </c>
      <c r="DZ47">
        <f>3.366176923</f>
        <v>3.3661769229999998</v>
      </c>
      <c r="EA47">
        <f>3.328315385</f>
        <v>3.3283153849999998</v>
      </c>
      <c r="EB47">
        <f>3.286563218</f>
        <v>3.286563218</v>
      </c>
      <c r="EC47">
        <f>3.262138462</f>
        <v>3.2621384619999998</v>
      </c>
      <c r="ED47">
        <f>3.218957854</f>
        <v>3.2189578540000001</v>
      </c>
      <c r="EE47">
        <f>3.185850575</f>
        <v>3.1858505749999999</v>
      </c>
      <c r="EF47">
        <f>3.172130769</f>
        <v>3.1721307689999998</v>
      </c>
      <c r="EG47">
        <f>3.164570881</f>
        <v>3.1645708809999999</v>
      </c>
      <c r="EH47">
        <f>3.148532567</f>
        <v>3.1485325670000002</v>
      </c>
      <c r="EI47">
        <f>3.127984615</f>
        <v>3.1279846149999999</v>
      </c>
      <c r="EJ47">
        <f>3.119276923</f>
        <v>3.1192769230000001</v>
      </c>
      <c r="EK47">
        <f>3.097</f>
        <v>3.097</v>
      </c>
      <c r="EL47">
        <f>3.078076923</f>
        <v>3.0780769229999998</v>
      </c>
      <c r="EM47">
        <f>3.038666667</f>
        <v>3.0386666670000002</v>
      </c>
      <c r="EN47">
        <f>3.011908046</f>
        <v>3.0119080459999998</v>
      </c>
      <c r="EO47">
        <f>2.980857692</f>
        <v>2.9808576919999998</v>
      </c>
      <c r="EP47">
        <f>2.950279693</f>
        <v>2.9502796930000001</v>
      </c>
      <c r="EQ47">
        <f>2.9092</f>
        <v>2.9091999999999998</v>
      </c>
      <c r="ER47">
        <f>2.8772</f>
        <v>2.8772000000000002</v>
      </c>
      <c r="ES47">
        <f>2.907076628</f>
        <v>2.907076628</v>
      </c>
      <c r="ET47">
        <f>2.9664</f>
        <v>2.9664000000000001</v>
      </c>
      <c r="EU47">
        <f>2.896800766</f>
        <v>2.8968007660000001</v>
      </c>
      <c r="EV47">
        <f>3.024118774</f>
        <v>3.0241187740000002</v>
      </c>
      <c r="EW47">
        <f>3.021</f>
        <v>3.0209999999999999</v>
      </c>
      <c r="EX47">
        <f>3.013061538</f>
        <v>3.0130615380000001</v>
      </c>
      <c r="EY47">
        <f>2.999283525</f>
        <v>2.9992835250000001</v>
      </c>
      <c r="EZ47">
        <f>2.966507692</f>
        <v>2.966507692</v>
      </c>
      <c r="FA47">
        <f>2.949238462</f>
        <v>2.9492384619999998</v>
      </c>
      <c r="FB47">
        <f>2.92754023</f>
        <v>2.92754023</v>
      </c>
      <c r="FC47">
        <f>2.859373077</f>
        <v>2.8593730769999999</v>
      </c>
      <c r="FD47">
        <f>2.840111111</f>
        <v>2.8401111110000001</v>
      </c>
      <c r="FE47">
        <f>2.835237548</f>
        <v>2.8352375479999998</v>
      </c>
      <c r="FF47">
        <f>2.801738462</f>
        <v>2.8017384619999999</v>
      </c>
      <c r="FG47">
        <f>2.776</f>
        <v>2.7759999999999998</v>
      </c>
      <c r="FH47">
        <f>2.78159542</f>
        <v>2.7815954199999999</v>
      </c>
      <c r="FI47">
        <f>2.766</f>
        <v>2.766</v>
      </c>
      <c r="FJ47">
        <f>2.736366412</f>
        <v>2.7363664120000002</v>
      </c>
      <c r="FK47">
        <f>2.709396947</f>
        <v>2.7093969470000001</v>
      </c>
      <c r="FL47">
        <f>2.69175</f>
        <v>2.6917499999999999</v>
      </c>
      <c r="FM47">
        <f>2.66178626</f>
        <v>2.66178626</v>
      </c>
      <c r="FN47">
        <f>2.641461538</f>
        <v>2.6414615380000002</v>
      </c>
      <c r="FO47">
        <f>2.634835249</f>
        <v>2.634835249</v>
      </c>
      <c r="FP47">
        <f>2.601034351</f>
        <v>2.601034351</v>
      </c>
      <c r="FQ47">
        <f>2.566615385</f>
        <v>2.566615385</v>
      </c>
    </row>
    <row r="48" spans="1:173">
      <c r="A48" t="str">
        <f>"    埃塞克斯房地产信托公司"</f>
        <v xml:space="preserve">    埃塞克斯房地产信托公司</v>
      </c>
      <c r="B48" t="str">
        <f>"ESS US Equity"</f>
        <v>ESS US Equity</v>
      </c>
      <c r="C48" t="str">
        <f t="shared" si="15"/>
        <v>BE038</v>
      </c>
      <c r="D48" t="str">
        <f t="shared" si="16"/>
        <v>BEST_FFOPS</v>
      </c>
      <c r="E48" t="str">
        <f t="shared" si="17"/>
        <v>动态</v>
      </c>
      <c r="F48">
        <f ca="1">IF(AND(ISNUMBER($F$293),$B$252=1),$F$293,HLOOKUP(INDIRECT(ADDRESS(2,COLUMN())),OFFSET($CL$2,0,0,ROW()-1,84),ROW()-1,FALSE))</f>
        <v>12.59372308</v>
      </c>
      <c r="G48">
        <f ca="1">IF(AND(ISNUMBER($G$293),$B$252=1),$G$293,HLOOKUP(INDIRECT(ADDRESS(2,COLUMN())),OFFSET($CL$2,0,0,ROW()-1,84),ROW()-1,FALSE))</f>
        <v>12.54820307</v>
      </c>
      <c r="H48">
        <f ca="1">IF(AND(ISNUMBER($H$293),$B$252=1),$H$293,HLOOKUP(INDIRECT(ADDRESS(2,COLUMN())),OFFSET($CL$2,0,0,ROW()-1,84),ROW()-1,FALSE))</f>
        <v>12.48752107</v>
      </c>
      <c r="I48">
        <f ca="1">IF(AND(ISNUMBER($I$293),$B$252=1),$I$293,HLOOKUP(INDIRECT(ADDRESS(2,COLUMN())),OFFSET($CL$2,0,0,ROW()-1,84),ROW()-1,FALSE))</f>
        <v>12.45</v>
      </c>
      <c r="J48">
        <f ca="1">IF(AND(ISNUMBER($J$293),$B$252=1),$J$293,HLOOKUP(INDIRECT(ADDRESS(2,COLUMN())),OFFSET($CL$2,0,0,ROW()-1,84),ROW()-1,FALSE))</f>
        <v>12.408137930000001</v>
      </c>
      <c r="K48">
        <f ca="1">IF(AND(ISNUMBER($K$293),$B$252=1),$K$293,HLOOKUP(INDIRECT(ADDRESS(2,COLUMN())),OFFSET($CL$2,0,0,ROW()-1,84),ROW()-1,FALSE))</f>
        <v>12.37030268</v>
      </c>
      <c r="L48">
        <f ca="1">IF(AND(ISNUMBER($L$293),$B$252=1),$L$293,HLOOKUP(INDIRECT(ADDRESS(2,COLUMN())),OFFSET($CL$2,0,0,ROW()-1,84),ROW()-1,FALSE))</f>
        <v>12.32225</v>
      </c>
      <c r="M48">
        <f ca="1">IF(AND(ISNUMBER($M$293),$B$252=1),$M$293,HLOOKUP(INDIRECT(ADDRESS(2,COLUMN())),OFFSET($CL$2,0,0,ROW()-1,84),ROW()-1,FALSE))</f>
        <v>12.256911880000001</v>
      </c>
      <c r="N48">
        <f ca="1">IF(AND(ISNUMBER($N$293),$B$252=1),$N$293,HLOOKUP(INDIRECT(ADDRESS(2,COLUMN())),OFFSET($CL$2,0,0,ROW()-1,84),ROW()-1,FALSE))</f>
        <v>12.197655170000001</v>
      </c>
      <c r="O48">
        <f ca="1">IF(AND(ISNUMBER($O$293),$B$252=1),$O$293,HLOOKUP(INDIRECT(ADDRESS(2,COLUMN())),OFFSET($CL$2,0,0,ROW()-1,84),ROW()-1,FALSE))</f>
        <v>12.1225</v>
      </c>
      <c r="P48">
        <f ca="1">IF(AND(ISNUMBER($P$293),$B$252=1),$P$293,HLOOKUP(INDIRECT(ADDRESS(2,COLUMN())),OFFSET($CL$2,0,0,ROW()-1,84),ROW()-1,FALSE))</f>
        <v>12.044827590000001</v>
      </c>
      <c r="Q48">
        <f ca="1">IF(AND(ISNUMBER($Q$293),$B$252=1),$Q$293,HLOOKUP(INDIRECT(ADDRESS(2,COLUMN())),OFFSET($CL$2,0,0,ROW()-1,84),ROW()-1,FALSE))</f>
        <v>11.91173077</v>
      </c>
      <c r="R48">
        <f ca="1">IF(AND(ISNUMBER($R$293),$B$252=1),$R$293,HLOOKUP(INDIRECT(ADDRESS(2,COLUMN())),OFFSET($CL$2,0,0,ROW()-1,84),ROW()-1,FALSE))</f>
        <v>11.873250000000001</v>
      </c>
      <c r="S48">
        <f ca="1">IF(AND(ISNUMBER($S$293),$B$252=1),$S$293,HLOOKUP(INDIRECT(ADDRESS(2,COLUMN())),OFFSET($CL$2,0,0,ROW()-1,84),ROW()-1,FALSE))</f>
        <v>11.82049808</v>
      </c>
      <c r="T48">
        <f ca="1">IF(AND(ISNUMBER($T$293),$B$252=1),$T$293,HLOOKUP(INDIRECT(ADDRESS(2,COLUMN())),OFFSET($CL$2,0,0,ROW()-1,84),ROW()-1,FALSE))</f>
        <v>11.827858239999999</v>
      </c>
      <c r="U48">
        <f ca="1">IF(AND(ISNUMBER($U$293),$B$252=1),$U$293,HLOOKUP(INDIRECT(ADDRESS(2,COLUMN())),OFFSET($CL$2,0,0,ROW()-1,84),ROW()-1,FALSE))</f>
        <v>11.771000000000001</v>
      </c>
      <c r="V48">
        <f ca="1">IF(AND(ISNUMBER($V$293),$B$252=1),$V$293,HLOOKUP(INDIRECT(ADDRESS(2,COLUMN())),OFFSET($CL$2,0,0,ROW()-1,84),ROW()-1,FALSE))</f>
        <v>11.7429387</v>
      </c>
      <c r="W48">
        <f ca="1">IF(AND(ISNUMBER($W$293),$B$252=1),$W$293,HLOOKUP(INDIRECT(ADDRESS(2,COLUMN())),OFFSET($CL$2,0,0,ROW()-1,84),ROW()-1,FALSE))</f>
        <v>11.65737165</v>
      </c>
      <c r="X48">
        <f ca="1">IF(AND(ISNUMBER($X$293),$B$252=1),$X$293,HLOOKUP(INDIRECT(ADDRESS(2,COLUMN())),OFFSET($CL$2,0,0,ROW()-1,84),ROW()-1,FALSE))</f>
        <v>11.61525</v>
      </c>
      <c r="Y48">
        <f ca="1">IF(AND(ISNUMBER($Y$293),$B$252=1),$Y$293,HLOOKUP(INDIRECT(ADDRESS(2,COLUMN())),OFFSET($CL$2,0,0,ROW()-1,84),ROW()-1,FALSE))</f>
        <v>11.54933333</v>
      </c>
      <c r="Z48">
        <f ca="1">IF(AND(ISNUMBER($Z$293),$B$252=1),$Z$293,HLOOKUP(INDIRECT(ADDRESS(2,COLUMN())),OFFSET($CL$2,0,0,ROW()-1,84),ROW()-1,FALSE))</f>
        <v>11.461576920000001</v>
      </c>
      <c r="AA48">
        <f ca="1">IF(AND(ISNUMBER($AA$293),$B$252=1),$AA$293,HLOOKUP(INDIRECT(ADDRESS(2,COLUMN())),OFFSET($CL$2,0,0,ROW()-1,84),ROW()-1,FALSE))</f>
        <v>11.404363979999999</v>
      </c>
      <c r="AB48">
        <f ca="1">IF(AND(ISNUMBER($AB$293),$B$252=1),$AB$293,HLOOKUP(INDIRECT(ADDRESS(2,COLUMN())),OFFSET($CL$2,0,0,ROW()-1,84),ROW()-1,FALSE))</f>
        <v>11.34965517</v>
      </c>
      <c r="AC48">
        <f ca="1">IF(AND(ISNUMBER($AC$293),$B$252=1),$AC$293,HLOOKUP(INDIRECT(ADDRESS(2,COLUMN())),OFFSET($CL$2,0,0,ROW()-1,84),ROW()-1,FALSE))</f>
        <v>11.28563462</v>
      </c>
      <c r="AD48">
        <f ca="1">IF(AND(ISNUMBER($AD$293),$B$252=1),$AD$293,HLOOKUP(INDIRECT(ADDRESS(2,COLUMN())),OFFSET($CL$2,0,0,ROW()-1,84),ROW()-1,FALSE))</f>
        <v>11.226605360000001</v>
      </c>
      <c r="AE48">
        <f ca="1">IF(AND(ISNUMBER($AE$293),$B$252=1),$AE$293,HLOOKUP(INDIRECT(ADDRESS(2,COLUMN())),OFFSET($CL$2,0,0,ROW()-1,84),ROW()-1,FALSE))</f>
        <v>11.16778161</v>
      </c>
      <c r="AF48">
        <f ca="1">IF(AND(ISNUMBER($AF$293),$B$252=1),$AF$293,HLOOKUP(INDIRECT(ADDRESS(2,COLUMN())),OFFSET($CL$2,0,0,ROW()-1,84),ROW()-1,FALSE))</f>
        <v>10.98415385</v>
      </c>
      <c r="AG48">
        <f ca="1">IF(AND(ISNUMBER($AG$293),$B$252=1),$AG$293,HLOOKUP(INDIRECT(ADDRESS(2,COLUMN())),OFFSET($CL$2,0,0,ROW()-1,84),ROW()-1,FALSE))</f>
        <v>10.898</v>
      </c>
      <c r="AH48">
        <f ca="1">IF(AND(ISNUMBER($AH$293),$B$252=1),$AH$293,HLOOKUP(INDIRECT(ADDRESS(2,COLUMN())),OFFSET($CL$2,0,0,ROW()-1,84),ROW()-1,FALSE))</f>
        <v>10.772290079999999</v>
      </c>
      <c r="AI48">
        <f ca="1">IF(AND(ISNUMBER($AI$293),$B$252=1),$AI$293,HLOOKUP(INDIRECT(ADDRESS(2,COLUMN())),OFFSET($CL$2,0,0,ROW()-1,84),ROW()-1,FALSE))</f>
        <v>10.60478462</v>
      </c>
      <c r="AJ48">
        <f ca="1">IF(AND(ISNUMBER($AJ$293),$B$252=1),$AJ$293,HLOOKUP(INDIRECT(ADDRESS(2,COLUMN())),OFFSET($CL$2,0,0,ROW()-1,84),ROW()-1,FALSE))</f>
        <v>10.4771374</v>
      </c>
      <c r="AK48">
        <f ca="1">IF(AND(ISNUMBER($AK$293),$B$252=1),$AK$293,HLOOKUP(INDIRECT(ADDRESS(2,COLUMN())),OFFSET($CL$2,0,0,ROW()-1,84),ROW()-1,FALSE))</f>
        <v>10.36950382</v>
      </c>
      <c r="AL48">
        <f ca="1">IF(AND(ISNUMBER($AL$293),$B$252=1),$AL$293,HLOOKUP(INDIRECT(ADDRESS(2,COLUMN())),OFFSET($CL$2,0,0,ROW()-1,84),ROW()-1,FALSE))</f>
        <v>10.15629231</v>
      </c>
      <c r="AM48">
        <f ca="1">IF(AND(ISNUMBER($AM$293),$B$252=1),$AM$293,HLOOKUP(INDIRECT(ADDRESS(2,COLUMN())),OFFSET($CL$2,0,0,ROW()-1,84),ROW()-1,FALSE))</f>
        <v>10.01168702</v>
      </c>
      <c r="AN48">
        <f ca="1">IF(AND(ISNUMBER($AN$293),$B$252=1),$AN$293,HLOOKUP(INDIRECT(ADDRESS(2,COLUMN())),OFFSET($CL$2,0,0,ROW()-1,84),ROW()-1,FALSE))</f>
        <v>9.8965076920000001</v>
      </c>
      <c r="AO48">
        <f ca="1">IF(AND(ISNUMBER($AO$293),$B$252=1),$AO$293,HLOOKUP(INDIRECT(ADDRESS(2,COLUMN())),OFFSET($CL$2,0,0,ROW()-1,84),ROW()-1,FALSE))</f>
        <v>9.7613908049999996</v>
      </c>
      <c r="AP48">
        <f ca="1">IF(AND(ISNUMBER($AP$293),$B$252=1),$AP$293,HLOOKUP(INDIRECT(ADDRESS(2,COLUMN())),OFFSET($CL$2,0,0,ROW()-1,84),ROW()-1,FALSE))</f>
        <v>9.643896947</v>
      </c>
      <c r="AQ48">
        <f ca="1">IF(AND(ISNUMBER($AQ$293),$B$252=1),$AQ$293,HLOOKUP(INDIRECT(ADDRESS(2,COLUMN())),OFFSET($CL$2,0,0,ROW()-1,84),ROW()-1,FALSE))</f>
        <v>9.5183846150000004</v>
      </c>
      <c r="AR48">
        <f ca="1">IF(AND(ISNUMBER($AR$293),$B$252=1),$AR$293,HLOOKUP(INDIRECT(ADDRESS(2,COLUMN())),OFFSET($CL$2,0,0,ROW()-1,84),ROW()-1,FALSE))</f>
        <v>9.4369769229999996</v>
      </c>
      <c r="AS48">
        <f ca="1">IF(AND(ISNUMBER($AS$293),$B$252=1),$AS$293,HLOOKUP(INDIRECT(ADDRESS(2,COLUMN())),OFFSET($CL$2,0,0,ROW()-1,84),ROW()-1,FALSE))</f>
        <v>9.3190000000000008</v>
      </c>
      <c r="AT48">
        <f ca="1">IF(AND(ISNUMBER($AT$293),$B$252=1),$AT$293,HLOOKUP(INDIRECT(ADDRESS(2,COLUMN())),OFFSET($CL$2,0,0,ROW()-1,84),ROW()-1,FALSE))</f>
        <v>9.2323884619999994</v>
      </c>
      <c r="AU48">
        <f ca="1">IF(AND(ISNUMBER($AU$293),$B$252=1),$AU$293,HLOOKUP(INDIRECT(ADDRESS(2,COLUMN())),OFFSET($CL$2,0,0,ROW()-1,84),ROW()-1,FALSE))</f>
        <v>9.0431230770000006</v>
      </c>
      <c r="AV48">
        <f ca="1">IF(AND(ISNUMBER($AV$293),$B$252=1),$AV$293,HLOOKUP(INDIRECT(ADDRESS(2,COLUMN())),OFFSET($CL$2,0,0,ROW()-1,84),ROW()-1,FALSE))</f>
        <v>8.8666896550000001</v>
      </c>
      <c r="AW48">
        <f ca="1">IF(AND(ISNUMBER($AW$293),$B$252=1),$AW$293,HLOOKUP(INDIRECT(ADDRESS(2,COLUMN())),OFFSET($CL$2,0,0,ROW()-1,84),ROW()-1,FALSE))</f>
        <v>8.8524923080000004</v>
      </c>
      <c r="AX48">
        <f ca="1">IF(AND(ISNUMBER($AX$293),$B$252=1),$AX$293,HLOOKUP(INDIRECT(ADDRESS(2,COLUMN())),OFFSET($CL$2,0,0,ROW()-1,84),ROW()-1,FALSE))</f>
        <v>8.6038735630000005</v>
      </c>
      <c r="AY48">
        <f ca="1">IF(AND(ISNUMBER($AY$293),$B$252=1),$AY$293,HLOOKUP(INDIRECT(ADDRESS(2,COLUMN())),OFFSET($CL$2,0,0,ROW()-1,84),ROW()-1,FALSE))</f>
        <v>8.5367011490000007</v>
      </c>
      <c r="AZ48">
        <f ca="1">IF(AND(ISNUMBER($AZ$293),$B$252=1),$AZ$293,HLOOKUP(INDIRECT(ADDRESS(2,COLUMN())),OFFSET($CL$2,0,0,ROW()-1,84),ROW()-1,FALSE))</f>
        <v>8.3833692309999996</v>
      </c>
      <c r="BA48">
        <f ca="1">IF(AND(ISNUMBER($BA$293),$B$252=1),$BA$293,HLOOKUP(INDIRECT(ADDRESS(2,COLUMN())),OFFSET($CL$2,0,0,ROW()-1,84),ROW()-1,FALSE))</f>
        <v>8.5626398469999998</v>
      </c>
      <c r="BB48">
        <f ca="1">IF(AND(ISNUMBER($BB$293),$B$252=1),$BB$293,HLOOKUP(INDIRECT(ADDRESS(2,COLUMN())),OFFSET($CL$2,0,0,ROW()-1,84),ROW()-1,FALSE))</f>
        <v>8.481141762</v>
      </c>
      <c r="BC48">
        <f ca="1">IF(AND(ISNUMBER($BC$293),$B$252=1),$BC$293,HLOOKUP(INDIRECT(ADDRESS(2,COLUMN())),OFFSET($CL$2,0,0,ROW()-1,84),ROW()-1,FALSE))</f>
        <v>8.4119076919999998</v>
      </c>
      <c r="BD48">
        <f ca="1">IF(AND(ISNUMBER($BD$293),$B$252=1),$BD$293,HLOOKUP(INDIRECT(ADDRESS(2,COLUMN())),OFFSET($CL$2,0,0,ROW()-1,84),ROW()-1,FALSE))</f>
        <v>8.2760538459999999</v>
      </c>
      <c r="BE48">
        <f ca="1">IF(AND(ISNUMBER($BE$293),$B$252=1),$BE$293,HLOOKUP(INDIRECT(ADDRESS(2,COLUMN())),OFFSET($CL$2,0,0,ROW()-1,84),ROW()-1,FALSE))</f>
        <v>8.2650000000000006</v>
      </c>
      <c r="BF48">
        <f ca="1">IF(AND(ISNUMBER($BF$293),$B$252=1),$BF$293,HLOOKUP(INDIRECT(ADDRESS(2,COLUMN())),OFFSET($CL$2,0,0,ROW()-1,84),ROW()-1,FALSE))</f>
        <v>8.2230769230000007</v>
      </c>
      <c r="BG48">
        <f ca="1">IF(AND(ISNUMBER($BG$293),$B$252=1),$BG$293,HLOOKUP(INDIRECT(ADDRESS(2,COLUMN())),OFFSET($CL$2,0,0,ROW()-1,84),ROW()-1,FALSE))</f>
        <v>8.1844214560000008</v>
      </c>
      <c r="BH48">
        <f ca="1">IF(AND(ISNUMBER($BH$293),$B$252=1),$BH$293,HLOOKUP(INDIRECT(ADDRESS(2,COLUMN())),OFFSET($CL$2,0,0,ROW()-1,84),ROW()-1,FALSE))</f>
        <v>8.1429310340000001</v>
      </c>
      <c r="BI48">
        <f ca="1">IF(AND(ISNUMBER($BI$293),$B$252=1),$BI$293,HLOOKUP(INDIRECT(ADDRESS(2,COLUMN())),OFFSET($CL$2,0,0,ROW()-1,84),ROW()-1,FALSE))</f>
        <v>8.1076269229999998</v>
      </c>
      <c r="BJ48">
        <f ca="1">IF(AND(ISNUMBER($BJ$293),$B$252=1),$BJ$293,HLOOKUP(INDIRECT(ADDRESS(2,COLUMN())),OFFSET($CL$2,0,0,ROW()-1,84),ROW()-1,FALSE))</f>
        <v>8.0609770110000003</v>
      </c>
      <c r="BK48">
        <f ca="1">IF(AND(ISNUMBER($BK$293),$B$252=1),$BK$293,HLOOKUP(INDIRECT(ADDRESS(2,COLUMN())),OFFSET($CL$2,0,0,ROW()-1,84),ROW()-1,FALSE))</f>
        <v>8.0142923079999999</v>
      </c>
      <c r="BL48">
        <f ca="1">IF(AND(ISNUMBER($BL$293),$B$252=1),$BL$293,HLOOKUP(INDIRECT(ADDRESS(2,COLUMN())),OFFSET($CL$2,0,0,ROW()-1,84),ROW()-1,FALSE))</f>
        <v>7.9702153850000004</v>
      </c>
      <c r="BM48">
        <f ca="1">IF(AND(ISNUMBER($BM$293),$B$252=1),$BM$293,HLOOKUP(INDIRECT(ADDRESS(2,COLUMN())),OFFSET($CL$2,0,0,ROW()-1,84),ROW()-1,FALSE))</f>
        <v>7.8992145589999998</v>
      </c>
      <c r="BN48">
        <f ca="1">IF(AND(ISNUMBER($BN$293),$B$252=1),$BN$293,HLOOKUP(INDIRECT(ADDRESS(2,COLUMN())),OFFSET($CL$2,0,0,ROW()-1,84),ROW()-1,FALSE))</f>
        <v>7.8470269229999996</v>
      </c>
      <c r="BO48">
        <f ca="1">IF(AND(ISNUMBER($BO$293),$B$252=1),$BO$293,HLOOKUP(INDIRECT(ADDRESS(2,COLUMN())),OFFSET($CL$2,0,0,ROW()-1,84),ROW()-1,FALSE))</f>
        <v>7.7500153259999998</v>
      </c>
      <c r="BP48">
        <f ca="1">IF(AND(ISNUMBER($BP$293),$B$252=1),$BP$293,HLOOKUP(INDIRECT(ADDRESS(2,COLUMN())),OFFSET($CL$2,0,0,ROW()-1,84),ROW()-1,FALSE))</f>
        <v>7.6132413789999998</v>
      </c>
      <c r="BQ48">
        <f ca="1">IF(AND(ISNUMBER($BQ$293),$B$252=1),$BQ$293,HLOOKUP(INDIRECT(ADDRESS(2,COLUMN())),OFFSET($CL$2,0,0,ROW()-1,84),ROW()-1,FALSE))</f>
        <v>7.5259999999999998</v>
      </c>
      <c r="BR48">
        <f ca="1">IF(AND(ISNUMBER($BR$293),$B$252=1),$BR$293,HLOOKUP(INDIRECT(ADDRESS(2,COLUMN())),OFFSET($CL$2,0,0,ROW()-1,84),ROW()-1,FALSE))</f>
        <v>7.4485153850000003</v>
      </c>
      <c r="BS48">
        <f ca="1">IF(AND(ISNUMBER($BS$293),$B$252=1),$BS$293,HLOOKUP(INDIRECT(ADDRESS(2,COLUMN())),OFFSET($CL$2,0,0,ROW()-1,84),ROW()-1,FALSE))</f>
        <v>7.3483793100000003</v>
      </c>
      <c r="BT48">
        <f ca="1">IF(AND(ISNUMBER($BT$293),$B$252=1),$BT$293,HLOOKUP(INDIRECT(ADDRESS(2,COLUMN())),OFFSET($CL$2,0,0,ROW()-1,84),ROW()-1,FALSE))</f>
        <v>7.2892307690000004</v>
      </c>
      <c r="BU48">
        <f ca="1">IF(AND(ISNUMBER($BU$293),$B$252=1),$BU$293,HLOOKUP(INDIRECT(ADDRESS(2,COLUMN())),OFFSET($CL$2,0,0,ROW()-1,84),ROW()-1,FALSE))</f>
        <v>7.2321769229999999</v>
      </c>
      <c r="BV48">
        <f ca="1">IF(AND(ISNUMBER($BV$293),$B$252=1),$BV$293,HLOOKUP(INDIRECT(ADDRESS(2,COLUMN())),OFFSET($CL$2,0,0,ROW()-1,84),ROW()-1,FALSE))</f>
        <v>7.1285862069999997</v>
      </c>
      <c r="BW48">
        <f ca="1">IF(AND(ISNUMBER($BW$293),$B$252=1),$BW$293,HLOOKUP(INDIRECT(ADDRESS(2,COLUMN())),OFFSET($CL$2,0,0,ROW()-1,84),ROW()-1,FALSE))</f>
        <v>7.0673615380000001</v>
      </c>
      <c r="BX48">
        <f ca="1">IF(AND(ISNUMBER($BX$293),$B$252=1),$BX$293,HLOOKUP(INDIRECT(ADDRESS(2,COLUMN())),OFFSET($CL$2,0,0,ROW()-1,84),ROW()-1,FALSE))</f>
        <v>7.0124022989999997</v>
      </c>
      <c r="BY48">
        <f ca="1">IF(AND(ISNUMBER($BY$293),$B$252=1),$BY$293,HLOOKUP(INDIRECT(ADDRESS(2,COLUMN())),OFFSET($CL$2,0,0,ROW()-1,84),ROW()-1,FALSE))</f>
        <v>6.911130268</v>
      </c>
      <c r="BZ48">
        <f ca="1">IF(AND(ISNUMBER($BZ$293),$B$252=1),$BZ$293,HLOOKUP(INDIRECT(ADDRESS(2,COLUMN())),OFFSET($CL$2,0,0,ROW()-1,84),ROW()-1,FALSE))</f>
        <v>6.8444923080000004</v>
      </c>
      <c r="CA48">
        <f ca="1">IF(AND(ISNUMBER($CA$293),$B$252=1),$CA$293,HLOOKUP(INDIRECT(ADDRESS(2,COLUMN())),OFFSET($CL$2,0,0,ROW()-1,84),ROW()-1,FALSE))</f>
        <v>6.7805823749999998</v>
      </c>
      <c r="CB48">
        <f ca="1">IF(AND(ISNUMBER($CB$293),$B$252=1),$CB$293,HLOOKUP(INDIRECT(ADDRESS(2,COLUMN())),OFFSET($CL$2,0,0,ROW()-1,84),ROW()-1,FALSE))</f>
        <v>6.6689007629999999</v>
      </c>
      <c r="CC48">
        <f ca="1">IF(AND(ISNUMBER($CC$293),$B$252=1),$CC$293,HLOOKUP(INDIRECT(ADDRESS(2,COLUMN())),OFFSET($CL$2,0,0,ROW()-1,84),ROW()-1,FALSE))</f>
        <v>6.48</v>
      </c>
      <c r="CD48">
        <f ca="1">IF(AND(ISNUMBER($CD$293),$B$252=1),$CD$293,HLOOKUP(INDIRECT(ADDRESS(2,COLUMN())),OFFSET($CL$2,0,0,ROW()-1,84),ROW()-1,FALSE))</f>
        <v>6.418419847</v>
      </c>
      <c r="CE48">
        <f ca="1">IF(AND(ISNUMBER($CE$293),$B$252=1),$CE$293,HLOOKUP(INDIRECT(ADDRESS(2,COLUMN())),OFFSET($CL$2,0,0,ROW()-1,84),ROW()-1,FALSE))</f>
        <v>6.3260152669999998</v>
      </c>
      <c r="CF48">
        <f ca="1">IF(AND(ISNUMBER($CF$293),$B$252=1),$CF$293,HLOOKUP(INDIRECT(ADDRESS(2,COLUMN())),OFFSET($CL$2,0,0,ROW()-1,84),ROW()-1,FALSE))</f>
        <v>6.2607499999999998</v>
      </c>
      <c r="CG48">
        <f ca="1">IF(AND(ISNUMBER($CG$293),$B$252=1),$CG$293,HLOOKUP(INDIRECT(ADDRESS(2,COLUMN())),OFFSET($CL$2,0,0,ROW()-1,84),ROW()-1,FALSE))</f>
        <v>6.195648855</v>
      </c>
      <c r="CH48">
        <f ca="1">IF(AND(ISNUMBER($CH$293),$B$252=1),$CH$293,HLOOKUP(INDIRECT(ADDRESS(2,COLUMN())),OFFSET($CL$2,0,0,ROW()-1,84),ROW()-1,FALSE))</f>
        <v>6.0231923079999996</v>
      </c>
      <c r="CI48">
        <f ca="1">IF(AND(ISNUMBER($CI$293),$B$252=1),$CI$293,HLOOKUP(INDIRECT(ADDRESS(2,COLUMN())),OFFSET($CL$2,0,0,ROW()-1,84),ROW()-1,FALSE))</f>
        <v>5.9712413790000003</v>
      </c>
      <c r="CJ48">
        <f ca="1">IF(AND(ISNUMBER($CJ$293),$B$252=1),$CJ$293,HLOOKUP(INDIRECT(ADDRESS(2,COLUMN())),OFFSET($CL$2,0,0,ROW()-1,84),ROW()-1,FALSE))</f>
        <v>5.9030114500000002</v>
      </c>
      <c r="CK48">
        <f ca="1">IF(AND(ISNUMBER($CK$293),$B$252=1),$CK$293,HLOOKUP(INDIRECT(ADDRESS(2,COLUMN())),OFFSET($CL$2,0,0,ROW()-1,84),ROW()-1,FALSE))</f>
        <v>5.7202307689999996</v>
      </c>
      <c r="CL48">
        <f>12.59372308</f>
        <v>12.59372308</v>
      </c>
      <c r="CM48">
        <f>12.54820307</f>
        <v>12.54820307</v>
      </c>
      <c r="CN48">
        <f>12.48752107</f>
        <v>12.48752107</v>
      </c>
      <c r="CO48">
        <f>12.45</f>
        <v>12.45</v>
      </c>
      <c r="CP48">
        <f>12.40813793</f>
        <v>12.408137930000001</v>
      </c>
      <c r="CQ48">
        <f>12.37030268</f>
        <v>12.37030268</v>
      </c>
      <c r="CR48">
        <f>12.32225</f>
        <v>12.32225</v>
      </c>
      <c r="CS48">
        <f>12.25691188</f>
        <v>12.256911880000001</v>
      </c>
      <c r="CT48">
        <f>12.19765517</f>
        <v>12.197655170000001</v>
      </c>
      <c r="CU48">
        <f>12.1225</f>
        <v>12.1225</v>
      </c>
      <c r="CV48">
        <f>12.04482759</f>
        <v>12.044827590000001</v>
      </c>
      <c r="CW48">
        <f>11.91173077</f>
        <v>11.91173077</v>
      </c>
      <c r="CX48">
        <f>11.87325</f>
        <v>11.873250000000001</v>
      </c>
      <c r="CY48">
        <f>11.82049808</f>
        <v>11.82049808</v>
      </c>
      <c r="CZ48">
        <f>11.82785824</f>
        <v>11.827858239999999</v>
      </c>
      <c r="DA48">
        <f>11.771</f>
        <v>11.771000000000001</v>
      </c>
      <c r="DB48">
        <f>11.7429387</f>
        <v>11.7429387</v>
      </c>
      <c r="DC48">
        <f>11.65737165</f>
        <v>11.65737165</v>
      </c>
      <c r="DD48">
        <f>11.61525</f>
        <v>11.61525</v>
      </c>
      <c r="DE48">
        <f>11.54933333</f>
        <v>11.54933333</v>
      </c>
      <c r="DF48">
        <f>11.46157692</f>
        <v>11.461576920000001</v>
      </c>
      <c r="DG48">
        <f>11.40436398</f>
        <v>11.404363979999999</v>
      </c>
      <c r="DH48">
        <f>11.34965517</f>
        <v>11.34965517</v>
      </c>
      <c r="DI48">
        <f>11.28563462</f>
        <v>11.28563462</v>
      </c>
      <c r="DJ48">
        <f>11.22660536</f>
        <v>11.226605360000001</v>
      </c>
      <c r="DK48">
        <f>11.16778161</f>
        <v>11.16778161</v>
      </c>
      <c r="DL48">
        <f>10.98415385</f>
        <v>10.98415385</v>
      </c>
      <c r="DM48">
        <f>10.898</f>
        <v>10.898</v>
      </c>
      <c r="DN48">
        <f>10.77229008</f>
        <v>10.772290079999999</v>
      </c>
      <c r="DO48">
        <f>10.60478462</f>
        <v>10.60478462</v>
      </c>
      <c r="DP48">
        <f>10.4771374</f>
        <v>10.4771374</v>
      </c>
      <c r="DQ48">
        <f>10.36950382</f>
        <v>10.36950382</v>
      </c>
      <c r="DR48">
        <f>10.15629231</f>
        <v>10.15629231</v>
      </c>
      <c r="DS48">
        <f>10.01168702</f>
        <v>10.01168702</v>
      </c>
      <c r="DT48">
        <f>9.896507692</f>
        <v>9.8965076920000001</v>
      </c>
      <c r="DU48">
        <f>9.761390805</f>
        <v>9.7613908049999996</v>
      </c>
      <c r="DV48">
        <f>9.643896947</f>
        <v>9.643896947</v>
      </c>
      <c r="DW48">
        <f>9.518384615</f>
        <v>9.5183846150000004</v>
      </c>
      <c r="DX48">
        <f>9.436976923</f>
        <v>9.4369769229999996</v>
      </c>
      <c r="DY48">
        <f>9.319</f>
        <v>9.3190000000000008</v>
      </c>
      <c r="DZ48">
        <f>9.232388462</f>
        <v>9.2323884619999994</v>
      </c>
      <c r="EA48">
        <f>9.043123077</f>
        <v>9.0431230770000006</v>
      </c>
      <c r="EB48">
        <f>8.866689655</f>
        <v>8.8666896550000001</v>
      </c>
      <c r="EC48">
        <f>8.852492308</f>
        <v>8.8524923080000004</v>
      </c>
      <c r="ED48">
        <f>8.603873563</f>
        <v>8.6038735630000005</v>
      </c>
      <c r="EE48">
        <f>8.536701149</f>
        <v>8.5367011490000007</v>
      </c>
      <c r="EF48">
        <f>8.383369231</f>
        <v>8.3833692309999996</v>
      </c>
      <c r="EG48">
        <f>8.562639847</f>
        <v>8.5626398469999998</v>
      </c>
      <c r="EH48">
        <f>8.481141762</f>
        <v>8.481141762</v>
      </c>
      <c r="EI48">
        <f>8.411907692</f>
        <v>8.4119076919999998</v>
      </c>
      <c r="EJ48">
        <f>8.276053846</f>
        <v>8.2760538459999999</v>
      </c>
      <c r="EK48">
        <f>8.265</f>
        <v>8.2650000000000006</v>
      </c>
      <c r="EL48">
        <f>8.223076923</f>
        <v>8.2230769230000007</v>
      </c>
      <c r="EM48">
        <f>8.184421456</f>
        <v>8.1844214560000008</v>
      </c>
      <c r="EN48">
        <f>8.142931034</f>
        <v>8.1429310340000001</v>
      </c>
      <c r="EO48">
        <f>8.107626923</f>
        <v>8.1076269229999998</v>
      </c>
      <c r="EP48">
        <f>8.060977011</f>
        <v>8.0609770110000003</v>
      </c>
      <c r="EQ48">
        <f>8.014292308</f>
        <v>8.0142923079999999</v>
      </c>
      <c r="ER48">
        <f>7.970215385</f>
        <v>7.9702153850000004</v>
      </c>
      <c r="ES48">
        <f>7.899214559</f>
        <v>7.8992145589999998</v>
      </c>
      <c r="ET48">
        <f>7.847026923</f>
        <v>7.8470269229999996</v>
      </c>
      <c r="EU48">
        <f>7.750015326</f>
        <v>7.7500153259999998</v>
      </c>
      <c r="EV48">
        <f>7.613241379</f>
        <v>7.6132413789999998</v>
      </c>
      <c r="EW48">
        <f>7.526</f>
        <v>7.5259999999999998</v>
      </c>
      <c r="EX48">
        <f>7.448515385</f>
        <v>7.4485153850000003</v>
      </c>
      <c r="EY48">
        <f>7.34837931</f>
        <v>7.3483793100000003</v>
      </c>
      <c r="EZ48">
        <f>7.289230769</f>
        <v>7.2892307690000004</v>
      </c>
      <c r="FA48">
        <f>7.232176923</f>
        <v>7.2321769229999999</v>
      </c>
      <c r="FB48">
        <f>7.128586207</f>
        <v>7.1285862069999997</v>
      </c>
      <c r="FC48">
        <f>7.067361538</f>
        <v>7.0673615380000001</v>
      </c>
      <c r="FD48">
        <f>7.012402299</f>
        <v>7.0124022989999997</v>
      </c>
      <c r="FE48">
        <f>6.911130268</f>
        <v>6.911130268</v>
      </c>
      <c r="FF48">
        <f>6.844492308</f>
        <v>6.8444923080000004</v>
      </c>
      <c r="FG48">
        <f>6.780582375</f>
        <v>6.7805823749999998</v>
      </c>
      <c r="FH48">
        <f>6.668900763</f>
        <v>6.6689007629999999</v>
      </c>
      <c r="FI48">
        <f>6.48</f>
        <v>6.48</v>
      </c>
      <c r="FJ48">
        <f>6.418419847</f>
        <v>6.418419847</v>
      </c>
      <c r="FK48">
        <f>6.326015267</f>
        <v>6.3260152669999998</v>
      </c>
      <c r="FL48">
        <f>6.26075</f>
        <v>6.2607499999999998</v>
      </c>
      <c r="FM48">
        <f>6.195648855</f>
        <v>6.195648855</v>
      </c>
      <c r="FN48">
        <f>6.023192308</f>
        <v>6.0231923079999996</v>
      </c>
      <c r="FO48">
        <f>5.971241379</f>
        <v>5.9712413790000003</v>
      </c>
      <c r="FP48">
        <f>5.90301145</f>
        <v>5.9030114500000002</v>
      </c>
      <c r="FQ48">
        <f>5.720230769</f>
        <v>5.7202307689999996</v>
      </c>
    </row>
    <row r="49" spans="1:173">
      <c r="A49" t="str">
        <f>"    Mid-America Apartment Communities股份有限公司"</f>
        <v xml:space="preserve">    Mid-America Apartment Communities股份有限公司</v>
      </c>
      <c r="B49" t="str">
        <f>"MAA US Equity"</f>
        <v>MAA US Equity</v>
      </c>
      <c r="C49" t="str">
        <f t="shared" si="15"/>
        <v>BE038</v>
      </c>
      <c r="D49" t="str">
        <f t="shared" si="16"/>
        <v>BEST_FFOPS</v>
      </c>
      <c r="E49" t="str">
        <f t="shared" si="17"/>
        <v>动态</v>
      </c>
      <c r="F49">
        <f ca="1">IF(AND(ISNUMBER($F$294),$B$252=1),$F$294,HLOOKUP(INDIRECT(ADDRESS(2,COLUMN())),OFFSET($CL$2,0,0,ROW()-1,84),ROW()-1,FALSE))</f>
        <v>6.1154769230000001</v>
      </c>
      <c r="G49">
        <f ca="1">IF(AND(ISNUMBER($G$294),$B$252=1),$G$294,HLOOKUP(INDIRECT(ADDRESS(2,COLUMN())),OFFSET($CL$2,0,0,ROW()-1,84),ROW()-1,FALSE))</f>
        <v>6.1183793099999999</v>
      </c>
      <c r="H49">
        <f ca="1">IF(AND(ISNUMBER($H$294),$B$252=1),$H$294,HLOOKUP(INDIRECT(ADDRESS(2,COLUMN())),OFFSET($CL$2,0,0,ROW()-1,84),ROW()-1,FALSE))</f>
        <v>6.167141762</v>
      </c>
      <c r="I49">
        <f ca="1">IF(AND(ISNUMBER($I$294),$B$252=1),$I$294,HLOOKUP(INDIRECT(ADDRESS(2,COLUMN())),OFFSET($CL$2,0,0,ROW()-1,84),ROW()-1,FALSE))</f>
        <v>6.1879999999999997</v>
      </c>
      <c r="J49">
        <f ca="1">IF(AND(ISNUMBER($J$294),$B$252=1),$J$294,HLOOKUP(INDIRECT(ADDRESS(2,COLUMN())),OFFSET($CL$2,0,0,ROW()-1,84),ROW()-1,FALSE))</f>
        <v>6.2216091950000001</v>
      </c>
      <c r="K49">
        <f ca="1">IF(AND(ISNUMBER($K$294),$B$252=1),$K$294,HLOOKUP(INDIRECT(ADDRESS(2,COLUMN())),OFFSET($CL$2,0,0,ROW()-1,84),ROW()-1,FALSE))</f>
        <v>6.2338888890000002</v>
      </c>
      <c r="L49">
        <f ca="1">IF(AND(ISNUMBER($L$294),$B$252=1),$L$294,HLOOKUP(INDIRECT(ADDRESS(2,COLUMN())),OFFSET($CL$2,0,0,ROW()-1,84),ROW()-1,FALSE))</f>
        <v>6.2467499999999996</v>
      </c>
      <c r="M49">
        <f ca="1">IF(AND(ISNUMBER($M$294),$B$252=1),$M$294,HLOOKUP(INDIRECT(ADDRESS(2,COLUMN())),OFFSET($CL$2,0,0,ROW()-1,84),ROW()-1,FALSE))</f>
        <v>6.200314176</v>
      </c>
      <c r="N49">
        <f ca="1">IF(AND(ISNUMBER($N$294),$B$252=1),$N$294,HLOOKUP(INDIRECT(ADDRESS(2,COLUMN())),OFFSET($CL$2,0,0,ROW()-1,84),ROW()-1,FALSE))</f>
        <v>6.1597279690000004</v>
      </c>
      <c r="O49">
        <f ca="1">IF(AND(ISNUMBER($O$294),$B$252=1),$O$294,HLOOKUP(INDIRECT(ADDRESS(2,COLUMN())),OFFSET($CL$2,0,0,ROW()-1,84),ROW()-1,FALSE))</f>
        <v>6.141</v>
      </c>
      <c r="P49">
        <f ca="1">IF(AND(ISNUMBER($P$294),$B$252=1),$P$294,HLOOKUP(INDIRECT(ADDRESS(2,COLUMN())),OFFSET($CL$2,0,0,ROW()-1,84),ROW()-1,FALSE))</f>
        <v>6.0999310339999999</v>
      </c>
      <c r="Q49">
        <f ca="1">IF(AND(ISNUMBER($Q$294),$B$252=1),$Q$294,HLOOKUP(INDIRECT(ADDRESS(2,COLUMN())),OFFSET($CL$2,0,0,ROW()-1,84),ROW()-1,FALSE))</f>
        <v>6.0321538459999999</v>
      </c>
      <c r="R49">
        <f ca="1">IF(AND(ISNUMBER($R$294),$B$252=1),$R$294,HLOOKUP(INDIRECT(ADDRESS(2,COLUMN())),OFFSET($CL$2,0,0,ROW()-1,84),ROW()-1,FALSE))</f>
        <v>5.9874999999999998</v>
      </c>
      <c r="S49">
        <f ca="1">IF(AND(ISNUMBER($S$294),$B$252=1),$S$294,HLOOKUP(INDIRECT(ADDRESS(2,COLUMN())),OFFSET($CL$2,0,0,ROW()-1,84),ROW()-1,FALSE))</f>
        <v>5.9533026820000003</v>
      </c>
      <c r="T49">
        <f ca="1">IF(AND(ISNUMBER($T$294),$B$252=1),$T$294,HLOOKUP(INDIRECT(ADDRESS(2,COLUMN())),OFFSET($CL$2,0,0,ROW()-1,84),ROW()-1,FALSE))</f>
        <v>5.9812720309999996</v>
      </c>
      <c r="U49">
        <f ca="1">IF(AND(ISNUMBER($U$294),$B$252=1),$U$294,HLOOKUP(INDIRECT(ADDRESS(2,COLUMN())),OFFSET($CL$2,0,0,ROW()-1,84),ROW()-1,FALSE))</f>
        <v>5.9580000000000002</v>
      </c>
      <c r="V49">
        <f ca="1">IF(AND(ISNUMBER($V$294),$B$252=1),$V$294,HLOOKUP(INDIRECT(ADDRESS(2,COLUMN())),OFFSET($CL$2,0,0,ROW()-1,84),ROW()-1,FALSE))</f>
        <v>6.1464674329999998</v>
      </c>
      <c r="W49">
        <f ca="1">IF(AND(ISNUMBER($W$294),$B$252=1),$W$294,HLOOKUP(INDIRECT(ADDRESS(2,COLUMN())),OFFSET($CL$2,0,0,ROW()-1,84),ROW()-1,FALSE))</f>
        <v>6.117969349</v>
      </c>
      <c r="X49">
        <f ca="1">IF(AND(ISNUMBER($X$294),$B$252=1),$X$294,HLOOKUP(INDIRECT(ADDRESS(2,COLUMN())),OFFSET($CL$2,0,0,ROW()-1,84),ROW()-1,FALSE))</f>
        <v>6.1207500000000001</v>
      </c>
      <c r="Y49">
        <f ca="1">IF(AND(ISNUMBER($Y$294),$B$252=1),$Y$294,HLOOKUP(INDIRECT(ADDRESS(2,COLUMN())),OFFSET($CL$2,0,0,ROW()-1,84),ROW()-1,FALSE))</f>
        <v>6.0796666669999997</v>
      </c>
      <c r="Z49">
        <f ca="1">IF(AND(ISNUMBER($Z$294),$B$252=1),$Z$294,HLOOKUP(INDIRECT(ADDRESS(2,COLUMN())),OFFSET($CL$2,0,0,ROW()-1,84),ROW()-1,FALSE))</f>
        <v>6.1429999999999998</v>
      </c>
      <c r="AA49">
        <f ca="1">IF(AND(ISNUMBER($AA$294),$B$252=1),$AA$294,HLOOKUP(INDIRECT(ADDRESS(2,COLUMN())),OFFSET($CL$2,0,0,ROW()-1,84),ROW()-1,FALSE))</f>
        <v>6.1073371649999997</v>
      </c>
      <c r="AB49">
        <f ca="1">IF(AND(ISNUMBER($AB$294),$B$252=1),$AB$294,HLOOKUP(INDIRECT(ADDRESS(2,COLUMN())),OFFSET($CL$2,0,0,ROW()-1,84),ROW()-1,FALSE))</f>
        <v>6.0852413790000002</v>
      </c>
      <c r="AC49">
        <f ca="1">IF(AND(ISNUMBER($AC$294),$B$252=1),$AC$294,HLOOKUP(INDIRECT(ADDRESS(2,COLUMN())),OFFSET($CL$2,0,0,ROW()-1,84),ROW()-1,FALSE))</f>
        <v>6.022384615</v>
      </c>
      <c r="AD49">
        <f ca="1">IF(AND(ISNUMBER($AD$294),$B$252=1),$AD$294,HLOOKUP(INDIRECT(ADDRESS(2,COLUMN())),OFFSET($CL$2,0,0,ROW()-1,84),ROW()-1,FALSE))</f>
        <v>6.0121379309999998</v>
      </c>
      <c r="AE49">
        <f ca="1">IF(AND(ISNUMBER($AE$294),$B$252=1),$AE$294,HLOOKUP(INDIRECT(ADDRESS(2,COLUMN())),OFFSET($CL$2,0,0,ROW()-1,84),ROW()-1,FALSE))</f>
        <v>5.9949655169999998</v>
      </c>
      <c r="AF49">
        <f ca="1">IF(AND(ISNUMBER($AF$294),$B$252=1),$AF$294,HLOOKUP(INDIRECT(ADDRESS(2,COLUMN())),OFFSET($CL$2,0,0,ROW()-1,84),ROW()-1,FALSE))</f>
        <v>5.8780769230000001</v>
      </c>
      <c r="AG49">
        <f ca="1">IF(AND(ISNUMBER($AG$294),$B$252=1),$AG$294,HLOOKUP(INDIRECT(ADDRESS(2,COLUMN())),OFFSET($CL$2,0,0,ROW()-1,84),ROW()-1,FALSE))</f>
        <v>5.8659999999999997</v>
      </c>
      <c r="AH49">
        <f ca="1">IF(AND(ISNUMBER($AH$294),$B$252=1),$AH$294,HLOOKUP(INDIRECT(ADDRESS(2,COLUMN())),OFFSET($CL$2,0,0,ROW()-1,84),ROW()-1,FALSE))</f>
        <v>5.8476755730000001</v>
      </c>
      <c r="AI49">
        <f ca="1">IF(AND(ISNUMBER($AI$294),$B$252=1),$AI$294,HLOOKUP(INDIRECT(ADDRESS(2,COLUMN())),OFFSET($CL$2,0,0,ROW()-1,84),ROW()-1,FALSE))</f>
        <v>5.7690000000000001</v>
      </c>
      <c r="AJ49">
        <f ca="1">IF(AND(ISNUMBER($AJ$294),$B$252=1),$AJ$294,HLOOKUP(INDIRECT(ADDRESS(2,COLUMN())),OFFSET($CL$2,0,0,ROW()-1,84),ROW()-1,FALSE))</f>
        <v>5.6807633590000002</v>
      </c>
      <c r="AK49">
        <f ca="1">IF(AND(ISNUMBER($AK$294),$B$252=1),$AK$294,HLOOKUP(INDIRECT(ADDRESS(2,COLUMN())),OFFSET($CL$2,0,0,ROW()-1,84),ROW()-1,FALSE))</f>
        <v>5.6234198470000001</v>
      </c>
      <c r="AL49">
        <f ca="1">IF(AND(ISNUMBER($AL$294),$B$252=1),$AL$294,HLOOKUP(INDIRECT(ADDRESS(2,COLUMN())),OFFSET($CL$2,0,0,ROW()-1,84),ROW()-1,FALSE))</f>
        <v>5.5839499999999997</v>
      </c>
      <c r="AM49">
        <f ca="1">IF(AND(ISNUMBER($AM$294),$B$252=1),$AM$294,HLOOKUP(INDIRECT(ADDRESS(2,COLUMN())),OFFSET($CL$2,0,0,ROW()-1,84),ROW()-1,FALSE))</f>
        <v>5.5024961829999999</v>
      </c>
      <c r="AN49">
        <f ca="1">IF(AND(ISNUMBER($AN$294),$B$252=1),$AN$294,HLOOKUP(INDIRECT(ADDRESS(2,COLUMN())),OFFSET($CL$2,0,0,ROW()-1,84),ROW()-1,FALSE))</f>
        <v>5.4740076919999998</v>
      </c>
      <c r="AO49">
        <f ca="1">IF(AND(ISNUMBER($AO$294),$B$252=1),$AO$294,HLOOKUP(INDIRECT(ADDRESS(2,COLUMN())),OFFSET($CL$2,0,0,ROW()-1,84),ROW()-1,FALSE))</f>
        <v>5.4403448279999997</v>
      </c>
      <c r="AP49">
        <f ca="1">IF(AND(ISNUMBER($AP$294),$B$252=1),$AP$294,HLOOKUP(INDIRECT(ADDRESS(2,COLUMN())),OFFSET($CL$2,0,0,ROW()-1,84),ROW()-1,FALSE))</f>
        <v>5.4231526719999996</v>
      </c>
      <c r="AQ49">
        <f ca="1">IF(AND(ISNUMBER($AQ$294),$B$252=1),$AQ$294,HLOOKUP(INDIRECT(ADDRESS(2,COLUMN())),OFFSET($CL$2,0,0,ROW()-1,84),ROW()-1,FALSE))</f>
        <v>5.452130769</v>
      </c>
      <c r="AR49">
        <f ca="1">IF(AND(ISNUMBER($AR$294),$B$252=1),$AR$294,HLOOKUP(INDIRECT(ADDRESS(2,COLUMN())),OFFSET($CL$2,0,0,ROW()-1,84),ROW()-1,FALSE))</f>
        <v>5.4116615379999997</v>
      </c>
      <c r="AS49">
        <f ca="1">IF(AND(ISNUMBER($AS$294),$B$252=1),$AS$294,HLOOKUP(INDIRECT(ADDRESS(2,COLUMN())),OFFSET($CL$2,0,0,ROW()-1,84),ROW()-1,FALSE))</f>
        <v>5.3879999999999999</v>
      </c>
      <c r="AT49">
        <f ca="1">IF(AND(ISNUMBER($AT$294),$B$252=1),$AT$294,HLOOKUP(INDIRECT(ADDRESS(2,COLUMN())),OFFSET($CL$2,0,0,ROW()-1,84),ROW()-1,FALSE))</f>
        <v>5.3874500000000003</v>
      </c>
      <c r="AU49">
        <f ca="1">IF(AND(ISNUMBER($AU$294),$B$252=1),$AU$294,HLOOKUP(INDIRECT(ADDRESS(2,COLUMN())),OFFSET($CL$2,0,0,ROW()-1,84),ROW()-1,FALSE))</f>
        <v>5.3389923079999999</v>
      </c>
      <c r="AV49">
        <f ca="1">IF(AND(ISNUMBER($AV$294),$B$252=1),$AV$294,HLOOKUP(INDIRECT(ADDRESS(2,COLUMN())),OFFSET($CL$2,0,0,ROW()-1,84),ROW()-1,FALSE))</f>
        <v>5.2336551719999997</v>
      </c>
      <c r="AW49">
        <f ca="1">IF(AND(ISNUMBER($AW$294),$B$252=1),$AW$294,HLOOKUP(INDIRECT(ADDRESS(2,COLUMN())),OFFSET($CL$2,0,0,ROW()-1,84),ROW()-1,FALSE))</f>
        <v>5.2617384620000003</v>
      </c>
      <c r="AX49">
        <f ca="1">IF(AND(ISNUMBER($AX$294),$B$252=1),$AX$294,HLOOKUP(INDIRECT(ADDRESS(2,COLUMN())),OFFSET($CL$2,0,0,ROW()-1,84),ROW()-1,FALSE))</f>
        <v>5.2864521069999997</v>
      </c>
      <c r="AY49">
        <f ca="1">IF(AND(ISNUMBER($AY$294),$B$252=1),$AY$294,HLOOKUP(INDIRECT(ADDRESS(2,COLUMN())),OFFSET($CL$2,0,0,ROW()-1,84),ROW()-1,FALSE))</f>
        <v>5.2498160919999997</v>
      </c>
      <c r="AZ49">
        <f ca="1">IF(AND(ISNUMBER($AZ$294),$B$252=1),$AZ$294,HLOOKUP(INDIRECT(ADDRESS(2,COLUMN())),OFFSET($CL$2,0,0,ROW()-1,84),ROW()-1,FALSE))</f>
        <v>5.2171307689999997</v>
      </c>
      <c r="BA49">
        <f ca="1">IF(AND(ISNUMBER($BA$294),$B$252=1),$BA$294,HLOOKUP(INDIRECT(ADDRESS(2,COLUMN())),OFFSET($CL$2,0,0,ROW()-1,84),ROW()-1,FALSE))</f>
        <v>5.0947126440000003</v>
      </c>
      <c r="BB49">
        <f ca="1">IF(AND(ISNUMBER($BB$294),$B$252=1),$BB$294,HLOOKUP(INDIRECT(ADDRESS(2,COLUMN())),OFFSET($CL$2,0,0,ROW()-1,84),ROW()-1,FALSE))</f>
        <v>5.0950957849999998</v>
      </c>
      <c r="BC49">
        <f ca="1">IF(AND(ISNUMBER($BC$294),$B$252=1),$BC$294,HLOOKUP(INDIRECT(ADDRESS(2,COLUMN())),OFFSET($CL$2,0,0,ROW()-1,84),ROW()-1,FALSE))</f>
        <v>5.0406615380000002</v>
      </c>
      <c r="BD49">
        <f ca="1">IF(AND(ISNUMBER($BD$294),$B$252=1),$BD$294,HLOOKUP(INDIRECT(ADDRESS(2,COLUMN())),OFFSET($CL$2,0,0,ROW()-1,84),ROW()-1,FALSE))</f>
        <v>5.2085923080000001</v>
      </c>
      <c r="BE49">
        <f ca="1">IF(AND(ISNUMBER($BE$294),$B$252=1),$BE$294,HLOOKUP(INDIRECT(ADDRESS(2,COLUMN())),OFFSET($CL$2,0,0,ROW()-1,84),ROW()-1,FALSE))</f>
        <v>5.1779999999999999</v>
      </c>
      <c r="BF49">
        <f ca="1">IF(AND(ISNUMBER($BF$294),$B$252=1),$BF$294,HLOOKUP(INDIRECT(ADDRESS(2,COLUMN())),OFFSET($CL$2,0,0,ROW()-1,84),ROW()-1,FALSE))</f>
        <v>5.1542615380000001</v>
      </c>
      <c r="BG49">
        <f ca="1">IF(AND(ISNUMBER($BG$294),$B$252=1),$BG$294,HLOOKUP(INDIRECT(ADDRESS(2,COLUMN())),OFFSET($CL$2,0,0,ROW()-1,84),ROW()-1,FALSE))</f>
        <v>5.1837394640000003</v>
      </c>
      <c r="BH49">
        <f ca="1">IF(AND(ISNUMBER($BH$294),$B$252=1),$BH$294,HLOOKUP(INDIRECT(ADDRESS(2,COLUMN())),OFFSET($CL$2,0,0,ROW()-1,84),ROW()-1,FALSE))</f>
        <v>5.1603218389999999</v>
      </c>
      <c r="BI49">
        <f ca="1">IF(AND(ISNUMBER($BI$294),$B$252=1),$BI$294,HLOOKUP(INDIRECT(ADDRESS(2,COLUMN())),OFFSET($CL$2,0,0,ROW()-1,84),ROW()-1,FALSE))</f>
        <v>5.1865423079999999</v>
      </c>
      <c r="BJ49">
        <f ca="1">IF(AND(ISNUMBER($BJ$294),$B$252=1),$BJ$294,HLOOKUP(INDIRECT(ADDRESS(2,COLUMN())),OFFSET($CL$2,0,0,ROW()-1,84),ROW()-1,FALSE))</f>
        <v>5.1322835250000001</v>
      </c>
      <c r="BK49">
        <f ca="1">IF(AND(ISNUMBER($BK$294),$B$252=1),$BK$294,HLOOKUP(INDIRECT(ADDRESS(2,COLUMN())),OFFSET($CL$2,0,0,ROW()-1,84),ROW()-1,FALSE))</f>
        <v>5.1080769229999996</v>
      </c>
      <c r="BL49">
        <f ca="1">IF(AND(ISNUMBER($BL$294),$B$252=1),$BL$294,HLOOKUP(INDIRECT(ADDRESS(2,COLUMN())),OFFSET($CL$2,0,0,ROW()-1,84),ROW()-1,FALSE))</f>
        <v>5.0507999999999997</v>
      </c>
      <c r="BM49">
        <f ca="1">IF(AND(ISNUMBER($BM$294),$B$252=1),$BM$294,HLOOKUP(INDIRECT(ADDRESS(2,COLUMN())),OFFSET($CL$2,0,0,ROW()-1,84),ROW()-1,FALSE))</f>
        <v>4.9867586209999999</v>
      </c>
      <c r="BN49">
        <f ca="1">IF(AND(ISNUMBER($BN$294),$B$252=1),$BN$294,HLOOKUP(INDIRECT(ADDRESS(2,COLUMN())),OFFSET($CL$2,0,0,ROW()-1,84),ROW()-1,FALSE))</f>
        <v>4.9660192309999998</v>
      </c>
      <c r="BO49">
        <f ca="1">IF(AND(ISNUMBER($BO$294),$B$252=1),$BO$294,HLOOKUP(INDIRECT(ADDRESS(2,COLUMN())),OFFSET($CL$2,0,0,ROW()-1,84),ROW()-1,FALSE))</f>
        <v>4.9355555559999997</v>
      </c>
      <c r="BP49">
        <f ca="1">IF(AND(ISNUMBER($BP$294),$B$252=1),$BP$294,HLOOKUP(INDIRECT(ADDRESS(2,COLUMN())),OFFSET($CL$2,0,0,ROW()-1,84),ROW()-1,FALSE))</f>
        <v>4.866693487</v>
      </c>
      <c r="BQ49">
        <f ca="1">IF(AND(ISNUMBER($BQ$294),$B$252=1),$BQ$294,HLOOKUP(INDIRECT(ADDRESS(2,COLUMN())),OFFSET($CL$2,0,0,ROW()-1,84),ROW()-1,FALSE))</f>
        <v>4.83</v>
      </c>
      <c r="BR49">
        <f ca="1">IF(AND(ISNUMBER($BR$294),$B$252=1),$BR$294,HLOOKUP(INDIRECT(ADDRESS(2,COLUMN())),OFFSET($CL$2,0,0,ROW()-1,84),ROW()-1,FALSE))</f>
        <v>4.7897076920000003</v>
      </c>
      <c r="BS49">
        <f ca="1">IF(AND(ISNUMBER($BS$294),$B$252=1),$BS$294,HLOOKUP(INDIRECT(ADDRESS(2,COLUMN())),OFFSET($CL$2,0,0,ROW()-1,84),ROW()-1,FALSE))</f>
        <v>4.7563754789999999</v>
      </c>
      <c r="BT49">
        <f ca="1">IF(AND(ISNUMBER($BT$294),$B$252=1),$BT$294,HLOOKUP(INDIRECT(ADDRESS(2,COLUMN())),OFFSET($CL$2,0,0,ROW()-1,84),ROW()-1,FALSE))</f>
        <v>4.7512307690000002</v>
      </c>
      <c r="BU49">
        <f ca="1">IF(AND(ISNUMBER($BU$294),$B$252=1),$BU$294,HLOOKUP(INDIRECT(ADDRESS(2,COLUMN())),OFFSET($CL$2,0,0,ROW()-1,84),ROW()-1,FALSE))</f>
        <v>4.729476923</v>
      </c>
      <c r="BV49">
        <f ca="1">IF(AND(ISNUMBER($BV$294),$B$252=1),$BV$294,HLOOKUP(INDIRECT(ADDRESS(2,COLUMN())),OFFSET($CL$2,0,0,ROW()-1,84),ROW()-1,FALSE))</f>
        <v>4.6146896550000003</v>
      </c>
      <c r="BW49">
        <f ca="1">IF(AND(ISNUMBER($BW$294),$B$252=1),$BW$294,HLOOKUP(INDIRECT(ADDRESS(2,COLUMN())),OFFSET($CL$2,0,0,ROW()-1,84),ROW()-1,FALSE))</f>
        <v>4.5897538459999998</v>
      </c>
      <c r="BX49">
        <f ca="1">IF(AND(ISNUMBER($BX$294),$B$252=1),$BX$294,HLOOKUP(INDIRECT(ADDRESS(2,COLUMN())),OFFSET($CL$2,0,0,ROW()-1,84),ROW()-1,FALSE))</f>
        <v>4.5594750959999999</v>
      </c>
      <c r="BY49">
        <f ca="1">IF(AND(ISNUMBER($BY$294),$B$252=1),$BY$294,HLOOKUP(INDIRECT(ADDRESS(2,COLUMN())),OFFSET($CL$2,0,0,ROW()-1,84),ROW()-1,FALSE))</f>
        <v>4.517984674</v>
      </c>
      <c r="BZ49">
        <f ca="1">IF(AND(ISNUMBER($BZ$294),$B$252=1),$BZ$294,HLOOKUP(INDIRECT(ADDRESS(2,COLUMN())),OFFSET($CL$2,0,0,ROW()-1,84),ROW()-1,FALSE))</f>
        <v>4.4774923080000004</v>
      </c>
      <c r="CA49">
        <f ca="1">IF(AND(ISNUMBER($CA$294),$B$252=1),$CA$294,HLOOKUP(INDIRECT(ADDRESS(2,COLUMN())),OFFSET($CL$2,0,0,ROW()-1,84),ROW()-1,FALSE))</f>
        <v>4.4354022989999997</v>
      </c>
      <c r="CB49">
        <f ca="1">IF(AND(ISNUMBER($CB$294),$B$252=1),$CB$294,HLOOKUP(INDIRECT(ADDRESS(2,COLUMN())),OFFSET($CL$2,0,0,ROW()-1,84),ROW()-1,FALSE))</f>
        <v>4.3981259540000002</v>
      </c>
      <c r="CC49">
        <f ca="1">IF(AND(ISNUMBER($CC$294),$B$252=1),$CC$294,HLOOKUP(INDIRECT(ADDRESS(2,COLUMN())),OFFSET($CL$2,0,0,ROW()-1,84),ROW()-1,FALSE))</f>
        <v>4.3620000000000001</v>
      </c>
      <c r="CD49">
        <f ca="1">IF(AND(ISNUMBER($CD$294),$B$252=1),$CD$294,HLOOKUP(INDIRECT(ADDRESS(2,COLUMN())),OFFSET($CL$2,0,0,ROW()-1,84),ROW()-1,FALSE))</f>
        <v>4.3305954199999999</v>
      </c>
      <c r="CE49">
        <f ca="1">IF(AND(ISNUMBER($CE$294),$B$252=1),$CE$294,HLOOKUP(INDIRECT(ADDRESS(2,COLUMN())),OFFSET($CL$2,0,0,ROW()-1,84),ROW()-1,FALSE))</f>
        <v>4.3095801529999997</v>
      </c>
      <c r="CF49">
        <f ca="1">IF(AND(ISNUMBER($CF$294),$B$252=1),$CF$294,HLOOKUP(INDIRECT(ADDRESS(2,COLUMN())),OFFSET($CL$2,0,0,ROW()-1,84),ROW()-1,FALSE))</f>
        <v>4.2850000000000001</v>
      </c>
      <c r="CG49">
        <f ca="1">IF(AND(ISNUMBER($CG$294),$B$252=1),$CG$294,HLOOKUP(INDIRECT(ADDRESS(2,COLUMN())),OFFSET($CL$2,0,0,ROW()-1,84),ROW()-1,FALSE))</f>
        <v>4.2650916030000001</v>
      </c>
      <c r="CH49">
        <f ca="1">IF(AND(ISNUMBER($CH$294),$B$252=1),$CH$294,HLOOKUP(INDIRECT(ADDRESS(2,COLUMN())),OFFSET($CL$2,0,0,ROW()-1,84),ROW()-1,FALSE))</f>
        <v>4.196961538</v>
      </c>
      <c r="CI49">
        <f ca="1">IF(AND(ISNUMBER($CI$294),$B$252=1),$CI$294,HLOOKUP(INDIRECT(ADDRESS(2,COLUMN())),OFFSET($CL$2,0,0,ROW()-1,84),ROW()-1,FALSE))</f>
        <v>4.1769808429999999</v>
      </c>
      <c r="CJ49">
        <f ca="1">IF(AND(ISNUMBER($CJ$294),$B$252=1),$CJ$294,HLOOKUP(INDIRECT(ADDRESS(2,COLUMN())),OFFSET($CL$2,0,0,ROW()-1,84),ROW()-1,FALSE))</f>
        <v>4.1534961829999997</v>
      </c>
      <c r="CK49">
        <f ca="1">IF(AND(ISNUMBER($CK$294),$B$252=1),$CK$294,HLOOKUP(INDIRECT(ADDRESS(2,COLUMN())),OFFSET($CL$2,0,0,ROW()-1,84),ROW()-1,FALSE))</f>
        <v>4.1103461540000001</v>
      </c>
      <c r="CL49">
        <f>6.115476923</f>
        <v>6.1154769230000001</v>
      </c>
      <c r="CM49">
        <f>6.11837931</f>
        <v>6.1183793099999999</v>
      </c>
      <c r="CN49">
        <f>6.167141762</f>
        <v>6.167141762</v>
      </c>
      <c r="CO49">
        <f>6.188</f>
        <v>6.1879999999999997</v>
      </c>
      <c r="CP49">
        <f>6.221609195</f>
        <v>6.2216091950000001</v>
      </c>
      <c r="CQ49">
        <f>6.233888889</f>
        <v>6.2338888890000002</v>
      </c>
      <c r="CR49">
        <f>6.24675</f>
        <v>6.2467499999999996</v>
      </c>
      <c r="CS49">
        <f>6.200314176</f>
        <v>6.200314176</v>
      </c>
      <c r="CT49">
        <f>6.159727969</f>
        <v>6.1597279690000004</v>
      </c>
      <c r="CU49">
        <f>6.141</f>
        <v>6.141</v>
      </c>
      <c r="CV49">
        <f>6.099931034</f>
        <v>6.0999310339999999</v>
      </c>
      <c r="CW49">
        <f>6.032153846</f>
        <v>6.0321538459999999</v>
      </c>
      <c r="CX49">
        <f>5.9875</f>
        <v>5.9874999999999998</v>
      </c>
      <c r="CY49">
        <f>5.953302682</f>
        <v>5.9533026820000003</v>
      </c>
      <c r="CZ49">
        <f>5.981272031</f>
        <v>5.9812720309999996</v>
      </c>
      <c r="DA49">
        <f>5.958</f>
        <v>5.9580000000000002</v>
      </c>
      <c r="DB49">
        <f>6.146467433</f>
        <v>6.1464674329999998</v>
      </c>
      <c r="DC49">
        <f>6.117969349</f>
        <v>6.117969349</v>
      </c>
      <c r="DD49">
        <f>6.12075</f>
        <v>6.1207500000000001</v>
      </c>
      <c r="DE49">
        <f>6.079666667</f>
        <v>6.0796666669999997</v>
      </c>
      <c r="DF49">
        <f>6.143</f>
        <v>6.1429999999999998</v>
      </c>
      <c r="DG49">
        <f>6.107337165</f>
        <v>6.1073371649999997</v>
      </c>
      <c r="DH49">
        <f>6.085241379</f>
        <v>6.0852413790000002</v>
      </c>
      <c r="DI49">
        <f>6.022384615</f>
        <v>6.022384615</v>
      </c>
      <c r="DJ49">
        <f>6.012137931</f>
        <v>6.0121379309999998</v>
      </c>
      <c r="DK49">
        <f>5.994965517</f>
        <v>5.9949655169999998</v>
      </c>
      <c r="DL49">
        <f>5.878076923</f>
        <v>5.8780769230000001</v>
      </c>
      <c r="DM49">
        <f>5.866</f>
        <v>5.8659999999999997</v>
      </c>
      <c r="DN49">
        <f>5.847675573</f>
        <v>5.8476755730000001</v>
      </c>
      <c r="DO49">
        <f>5.769</f>
        <v>5.7690000000000001</v>
      </c>
      <c r="DP49">
        <f>5.680763359</f>
        <v>5.6807633590000002</v>
      </c>
      <c r="DQ49">
        <f>5.623419847</f>
        <v>5.6234198470000001</v>
      </c>
      <c r="DR49">
        <f>5.58395</f>
        <v>5.5839499999999997</v>
      </c>
      <c r="DS49">
        <f>5.502496183</f>
        <v>5.5024961829999999</v>
      </c>
      <c r="DT49">
        <f>5.474007692</f>
        <v>5.4740076919999998</v>
      </c>
      <c r="DU49">
        <f>5.440344828</f>
        <v>5.4403448279999997</v>
      </c>
      <c r="DV49">
        <f>5.423152672</f>
        <v>5.4231526719999996</v>
      </c>
      <c r="DW49">
        <f>5.452130769</f>
        <v>5.452130769</v>
      </c>
      <c r="DX49">
        <f>5.411661538</f>
        <v>5.4116615379999997</v>
      </c>
      <c r="DY49">
        <f>5.388</f>
        <v>5.3879999999999999</v>
      </c>
      <c r="DZ49">
        <f>5.38745</f>
        <v>5.3874500000000003</v>
      </c>
      <c r="EA49">
        <f>5.338992308</f>
        <v>5.3389923079999999</v>
      </c>
      <c r="EB49">
        <f>5.233655172</f>
        <v>5.2336551719999997</v>
      </c>
      <c r="EC49">
        <f>5.261738462</f>
        <v>5.2617384620000003</v>
      </c>
      <c r="ED49">
        <f>5.286452107</f>
        <v>5.2864521069999997</v>
      </c>
      <c r="EE49">
        <f>5.249816092</f>
        <v>5.2498160919999997</v>
      </c>
      <c r="EF49">
        <f>5.217130769</f>
        <v>5.2171307689999997</v>
      </c>
      <c r="EG49">
        <f>5.094712644</f>
        <v>5.0947126440000003</v>
      </c>
      <c r="EH49">
        <f>5.095095785</f>
        <v>5.0950957849999998</v>
      </c>
      <c r="EI49">
        <f>5.040661538</f>
        <v>5.0406615380000002</v>
      </c>
      <c r="EJ49">
        <f>5.208592308</f>
        <v>5.2085923080000001</v>
      </c>
      <c r="EK49">
        <f>5.178</f>
        <v>5.1779999999999999</v>
      </c>
      <c r="EL49">
        <f>5.154261538</f>
        <v>5.1542615380000001</v>
      </c>
      <c r="EM49">
        <f>5.183739464</f>
        <v>5.1837394640000003</v>
      </c>
      <c r="EN49">
        <f>5.160321839</f>
        <v>5.1603218389999999</v>
      </c>
      <c r="EO49">
        <f>5.186542308</f>
        <v>5.1865423079999999</v>
      </c>
      <c r="EP49">
        <f>5.132283525</f>
        <v>5.1322835250000001</v>
      </c>
      <c r="EQ49">
        <f>5.108076923</f>
        <v>5.1080769229999996</v>
      </c>
      <c r="ER49">
        <f>5.0508</f>
        <v>5.0507999999999997</v>
      </c>
      <c r="ES49">
        <f>4.986758621</f>
        <v>4.9867586209999999</v>
      </c>
      <c r="ET49">
        <f>4.966019231</f>
        <v>4.9660192309999998</v>
      </c>
      <c r="EU49">
        <f>4.935555556</f>
        <v>4.9355555559999997</v>
      </c>
      <c r="EV49">
        <f>4.866693487</f>
        <v>4.866693487</v>
      </c>
      <c r="EW49">
        <f>4.83</f>
        <v>4.83</v>
      </c>
      <c r="EX49">
        <f>4.789707692</f>
        <v>4.7897076920000003</v>
      </c>
      <c r="EY49">
        <f>4.756375479</f>
        <v>4.7563754789999999</v>
      </c>
      <c r="EZ49">
        <f>4.751230769</f>
        <v>4.7512307690000002</v>
      </c>
      <c r="FA49">
        <f>4.729476923</f>
        <v>4.729476923</v>
      </c>
      <c r="FB49">
        <f>4.614689655</f>
        <v>4.6146896550000003</v>
      </c>
      <c r="FC49">
        <f>4.589753846</f>
        <v>4.5897538459999998</v>
      </c>
      <c r="FD49">
        <f>4.559475096</f>
        <v>4.5594750959999999</v>
      </c>
      <c r="FE49">
        <f>4.517984674</f>
        <v>4.517984674</v>
      </c>
      <c r="FF49">
        <f>4.477492308</f>
        <v>4.4774923080000004</v>
      </c>
      <c r="FG49">
        <f>4.435402299</f>
        <v>4.4354022989999997</v>
      </c>
      <c r="FH49">
        <f>4.398125954</f>
        <v>4.3981259540000002</v>
      </c>
      <c r="FI49">
        <f>4.362</f>
        <v>4.3620000000000001</v>
      </c>
      <c r="FJ49">
        <f>4.33059542</f>
        <v>4.3305954199999999</v>
      </c>
      <c r="FK49">
        <f>4.309580153</f>
        <v>4.3095801529999997</v>
      </c>
      <c r="FL49">
        <f>4.285</f>
        <v>4.2850000000000001</v>
      </c>
      <c r="FM49">
        <f>4.265091603</f>
        <v>4.2650916030000001</v>
      </c>
      <c r="FN49">
        <f>4.196961538</f>
        <v>4.196961538</v>
      </c>
      <c r="FO49">
        <f>4.176980843</f>
        <v>4.1769808429999999</v>
      </c>
      <c r="FP49">
        <f>4.153496183</f>
        <v>4.1534961829999997</v>
      </c>
      <c r="FQ49">
        <f>4.110346154</f>
        <v>4.1103461540000001</v>
      </c>
    </row>
    <row r="50" spans="1:173">
      <c r="A50" t="str">
        <f>"    UDR 公司"</f>
        <v xml:space="preserve">    UDR 公司</v>
      </c>
      <c r="B50" t="str">
        <f>"UDR US Equity"</f>
        <v>UDR US Equity</v>
      </c>
      <c r="C50" t="str">
        <f t="shared" si="15"/>
        <v>BE038</v>
      </c>
      <c r="D50" t="str">
        <f t="shared" si="16"/>
        <v>BEST_FFOPS</v>
      </c>
      <c r="E50" t="str">
        <f t="shared" si="17"/>
        <v>动态</v>
      </c>
      <c r="F50">
        <f ca="1">IF(AND(ISNUMBER($F$295),$B$252=1),$F$295,HLOOKUP(INDIRECT(ADDRESS(2,COLUMN())),OFFSET($CL$2,0,0,ROW()-1,84),ROW()-1,FALSE))</f>
        <v>1.967584615</v>
      </c>
      <c r="G50">
        <f ca="1">IF(AND(ISNUMBER($G$295),$B$252=1),$G$295,HLOOKUP(INDIRECT(ADDRESS(2,COLUMN())),OFFSET($CL$2,0,0,ROW()-1,84),ROW()-1,FALSE))</f>
        <v>1.9612873559999999</v>
      </c>
      <c r="H50">
        <f ca="1">IF(AND(ISNUMBER($H$295),$B$252=1),$H$295,HLOOKUP(INDIRECT(ADDRESS(2,COLUMN())),OFFSET($CL$2,0,0,ROW()-1,84),ROW()-1,FALSE))</f>
        <v>1.979693487</v>
      </c>
      <c r="I50">
        <f ca="1">IF(AND(ISNUMBER($I$295),$B$252=1),$I$295,HLOOKUP(INDIRECT(ADDRESS(2,COLUMN())),OFFSET($CL$2,0,0,ROW()-1,84),ROW()-1,FALSE))</f>
        <v>1.968</v>
      </c>
      <c r="J50">
        <f ca="1">IF(AND(ISNUMBER($J$295),$B$252=1),$J$295,HLOOKUP(INDIRECT(ADDRESS(2,COLUMN())),OFFSET($CL$2,0,0,ROW()-1,84),ROW()-1,FALSE))</f>
        <v>1.956954023</v>
      </c>
      <c r="K50">
        <f ca="1">IF(AND(ISNUMBER($K$295),$B$252=1),$K$295,HLOOKUP(INDIRECT(ADDRESS(2,COLUMN())),OFFSET($CL$2,0,0,ROW()-1,84),ROW()-1,FALSE))</f>
        <v>1.9448658999999999</v>
      </c>
      <c r="L50">
        <f ca="1">IF(AND(ISNUMBER($L$295),$B$252=1),$L$295,HLOOKUP(INDIRECT(ADDRESS(2,COLUMN())),OFFSET($CL$2,0,0,ROW()-1,84),ROW()-1,FALSE))</f>
        <v>1.9350000000000001</v>
      </c>
      <c r="M50">
        <f ca="1">IF(AND(ISNUMBER($M$295),$B$252=1),$M$295,HLOOKUP(INDIRECT(ADDRESS(2,COLUMN())),OFFSET($CL$2,0,0,ROW()-1,84),ROW()-1,FALSE))</f>
        <v>1.9273793100000001</v>
      </c>
      <c r="N50">
        <f ca="1">IF(AND(ISNUMBER($N$295),$B$252=1),$N$295,HLOOKUP(INDIRECT(ADDRESS(2,COLUMN())),OFFSET($CL$2,0,0,ROW()-1,84),ROW()-1,FALSE))</f>
        <v>1.9170727970000001</v>
      </c>
      <c r="O50">
        <f ca="1">IF(AND(ISNUMBER($O$295),$B$252=1),$O$295,HLOOKUP(INDIRECT(ADDRESS(2,COLUMN())),OFFSET($CL$2,0,0,ROW()-1,84),ROW()-1,FALSE))</f>
        <v>1.9065000000000001</v>
      </c>
      <c r="P50">
        <f ca="1">IF(AND(ISNUMBER($P$295),$B$252=1),$P$295,HLOOKUP(INDIRECT(ADDRESS(2,COLUMN())),OFFSET($CL$2,0,0,ROW()-1,84),ROW()-1,FALSE))</f>
        <v>1.8968390799999999</v>
      </c>
      <c r="Q50">
        <f ca="1">IF(AND(ISNUMBER($Q$295),$B$252=1),$Q$295,HLOOKUP(INDIRECT(ADDRESS(2,COLUMN())),OFFSET($CL$2,0,0,ROW()-1,84),ROW()-1,FALSE))</f>
        <v>1.883115385</v>
      </c>
      <c r="R50">
        <f ca="1">IF(AND(ISNUMBER($R$295),$B$252=1),$R$295,HLOOKUP(INDIRECT(ADDRESS(2,COLUMN())),OFFSET($CL$2,0,0,ROW()-1,84),ROW()-1,FALSE))</f>
        <v>1.87575</v>
      </c>
      <c r="S50">
        <f ca="1">IF(AND(ISNUMBER($S$295),$B$252=1),$S$295,HLOOKUP(INDIRECT(ADDRESS(2,COLUMN())),OFFSET($CL$2,0,0,ROW()-1,84),ROW()-1,FALSE))</f>
        <v>1.868168582</v>
      </c>
      <c r="T50">
        <f ca="1">IF(AND(ISNUMBER($T$295),$B$252=1),$T$295,HLOOKUP(INDIRECT(ADDRESS(2,COLUMN())),OFFSET($CL$2,0,0,ROW()-1,84),ROW()-1,FALSE))</f>
        <v>1.873076628</v>
      </c>
      <c r="U50">
        <f ca="1">IF(AND(ISNUMBER($U$295),$B$252=1),$U$295,HLOOKUP(INDIRECT(ADDRESS(2,COLUMN())),OFFSET($CL$2,0,0,ROW()-1,84),ROW()-1,FALSE))</f>
        <v>1.865</v>
      </c>
      <c r="V50">
        <f ca="1">IF(AND(ISNUMBER($V$295),$B$252=1),$V$295,HLOOKUP(INDIRECT(ADDRESS(2,COLUMN())),OFFSET($CL$2,0,0,ROW()-1,84),ROW()-1,FALSE))</f>
        <v>1.862835249</v>
      </c>
      <c r="W50">
        <f ca="1">IF(AND(ISNUMBER($W$295),$B$252=1),$W$295,HLOOKUP(INDIRECT(ADDRESS(2,COLUMN())),OFFSET($CL$2,0,0,ROW()-1,84),ROW()-1,FALSE))</f>
        <v>1.8553333329999999</v>
      </c>
      <c r="X50">
        <f ca="1">IF(AND(ISNUMBER($X$295),$B$252=1),$X$295,HLOOKUP(INDIRECT(ADDRESS(2,COLUMN())),OFFSET($CL$2,0,0,ROW()-1,84),ROW()-1,FALSE))</f>
        <v>1.85625</v>
      </c>
      <c r="Y50">
        <f ca="1">IF(AND(ISNUMBER($Y$295),$B$252=1),$Y$295,HLOOKUP(INDIRECT(ADDRESS(2,COLUMN())),OFFSET($CL$2,0,0,ROW()-1,84),ROW()-1,FALSE))</f>
        <v>1.851</v>
      </c>
      <c r="Z50">
        <f ca="1">IF(AND(ISNUMBER($Z$295),$B$252=1),$Z$295,HLOOKUP(INDIRECT(ADDRESS(2,COLUMN())),OFFSET($CL$2,0,0,ROW()-1,84),ROW()-1,FALSE))</f>
        <v>1.842615385</v>
      </c>
      <c r="AA50">
        <f ca="1">IF(AND(ISNUMBER($AA$295),$B$252=1),$AA$295,HLOOKUP(INDIRECT(ADDRESS(2,COLUMN())),OFFSET($CL$2,0,0,ROW()-1,84),ROW()-1,FALSE))</f>
        <v>1.8307739460000001</v>
      </c>
      <c r="AB50">
        <f ca="1">IF(AND(ISNUMBER($AB$295),$B$252=1),$AB$295,HLOOKUP(INDIRECT(ADDRESS(2,COLUMN())),OFFSET($CL$2,0,0,ROW()-1,84),ROW()-1,FALSE))</f>
        <v>1.828068966</v>
      </c>
      <c r="AC50">
        <f ca="1">IF(AND(ISNUMBER($AC$295),$B$252=1),$AC$295,HLOOKUP(INDIRECT(ADDRESS(2,COLUMN())),OFFSET($CL$2,0,0,ROW()-1,84),ROW()-1,FALSE))</f>
        <v>1.8179038460000001</v>
      </c>
      <c r="AD50">
        <f ca="1">IF(AND(ISNUMBER($AD$295),$B$252=1),$AD$295,HLOOKUP(INDIRECT(ADDRESS(2,COLUMN())),OFFSET($CL$2,0,0,ROW()-1,84),ROW()-1,FALSE))</f>
        <v>1.8161379310000001</v>
      </c>
      <c r="AE50">
        <f ca="1">IF(AND(ISNUMBER($AE$295),$B$252=1),$AE$295,HLOOKUP(INDIRECT(ADDRESS(2,COLUMN())),OFFSET($CL$2,0,0,ROW()-1,84),ROW()-1,FALSE))</f>
        <v>1.8034712639999999</v>
      </c>
      <c r="AF50">
        <f ca="1">IF(AND(ISNUMBER($AF$295),$B$252=1),$AF$295,HLOOKUP(INDIRECT(ADDRESS(2,COLUMN())),OFFSET($CL$2,0,0,ROW()-1,84),ROW()-1,FALSE))</f>
        <v>1.795230769</v>
      </c>
      <c r="AG50">
        <f ca="1">IF(AND(ISNUMBER($AG$295),$B$252=1),$AG$295,HLOOKUP(INDIRECT(ADDRESS(2,COLUMN())),OFFSET($CL$2,0,0,ROW()-1,84),ROW()-1,FALSE))</f>
        <v>1.7889999999999999</v>
      </c>
      <c r="AH50">
        <f ca="1">IF(AND(ISNUMBER($AH$295),$B$252=1),$AH$295,HLOOKUP(INDIRECT(ADDRESS(2,COLUMN())),OFFSET($CL$2,0,0,ROW()-1,84),ROW()-1,FALSE))</f>
        <v>1.777553435</v>
      </c>
      <c r="AI50">
        <f ca="1">IF(AND(ISNUMBER($AI$295),$B$252=1),$AI$295,HLOOKUP(INDIRECT(ADDRESS(2,COLUMN())),OFFSET($CL$2,0,0,ROW()-1,84),ROW()-1,FALSE))</f>
        <v>1.7622</v>
      </c>
      <c r="AJ50">
        <f ca="1">IF(AND(ISNUMBER($AJ$295),$B$252=1),$AJ$295,HLOOKUP(INDIRECT(ADDRESS(2,COLUMN())),OFFSET($CL$2,0,0,ROW()-1,84),ROW()-1,FALSE))</f>
        <v>1.7512748090000001</v>
      </c>
      <c r="AK50">
        <f ca="1">IF(AND(ISNUMBER($AK$295),$B$252=1),$AK$295,HLOOKUP(INDIRECT(ADDRESS(2,COLUMN())),OFFSET($CL$2,0,0,ROW()-1,84),ROW()-1,FALSE))</f>
        <v>1.7370458019999999</v>
      </c>
      <c r="AL50">
        <f ca="1">IF(AND(ISNUMBER($AL$295),$B$252=1),$AL$295,HLOOKUP(INDIRECT(ADDRESS(2,COLUMN())),OFFSET($CL$2,0,0,ROW()-1,84),ROW()-1,FALSE))</f>
        <v>1.7207230769999999</v>
      </c>
      <c r="AM50">
        <f ca="1">IF(AND(ISNUMBER($AM$295),$B$252=1),$AM$295,HLOOKUP(INDIRECT(ADDRESS(2,COLUMN())),OFFSET($CL$2,0,0,ROW()-1,84),ROW()-1,FALSE))</f>
        <v>1.7065877860000001</v>
      </c>
      <c r="AN50">
        <f ca="1">IF(AND(ISNUMBER($AN$295),$B$252=1),$AN$295,HLOOKUP(INDIRECT(ADDRESS(2,COLUMN())),OFFSET($CL$2,0,0,ROW()-1,84),ROW()-1,FALSE))</f>
        <v>1.690730769</v>
      </c>
      <c r="AO50">
        <f ca="1">IF(AND(ISNUMBER($AO$295),$B$252=1),$AO$295,HLOOKUP(INDIRECT(ADDRESS(2,COLUMN())),OFFSET($CL$2,0,0,ROW()-1,84),ROW()-1,FALSE))</f>
        <v>1.6769616860000001</v>
      </c>
      <c r="AP50">
        <f ca="1">IF(AND(ISNUMBER($AP$295),$B$252=1),$AP$295,HLOOKUP(INDIRECT(ADDRESS(2,COLUMN())),OFFSET($CL$2,0,0,ROW()-1,84),ROW()-1,FALSE))</f>
        <v>1.6613129769999999</v>
      </c>
      <c r="AQ50">
        <f ca="1">IF(AND(ISNUMBER($AQ$295),$B$252=1),$AQ$295,HLOOKUP(INDIRECT(ADDRESS(2,COLUMN())),OFFSET($CL$2,0,0,ROW()-1,84),ROW()-1,FALSE))</f>
        <v>1.6486115379999999</v>
      </c>
      <c r="AR50">
        <f ca="1">IF(AND(ISNUMBER($AR$295),$B$252=1),$AR$295,HLOOKUP(INDIRECT(ADDRESS(2,COLUMN())),OFFSET($CL$2,0,0,ROW()-1,84),ROW()-1,FALSE))</f>
        <v>1.6479153849999999</v>
      </c>
      <c r="AS50">
        <f ca="1">IF(AND(ISNUMBER($AS$295),$B$252=1),$AS$295,HLOOKUP(INDIRECT(ADDRESS(2,COLUMN())),OFFSET($CL$2,0,0,ROW()-1,84),ROW()-1,FALSE))</f>
        <v>1.6379999999999999</v>
      </c>
      <c r="AT50">
        <f ca="1">IF(AND(ISNUMBER($AT$295),$B$252=1),$AT$295,HLOOKUP(INDIRECT(ADDRESS(2,COLUMN())),OFFSET($CL$2,0,0,ROW()-1,84),ROW()-1,FALSE))</f>
        <v>1.629623077</v>
      </c>
      <c r="AU50">
        <f ca="1">IF(AND(ISNUMBER($AU$295),$B$252=1),$AU$295,HLOOKUP(INDIRECT(ADDRESS(2,COLUMN())),OFFSET($CL$2,0,0,ROW()-1,84),ROW()-1,FALSE))</f>
        <v>1.6049500000000001</v>
      </c>
      <c r="AV50">
        <f ca="1">IF(AND(ISNUMBER($AV$295),$B$252=1),$AV$295,HLOOKUP(INDIRECT(ADDRESS(2,COLUMN())),OFFSET($CL$2,0,0,ROW()-1,84),ROW()-1,FALSE))</f>
        <v>1.5984942529999999</v>
      </c>
      <c r="AW50">
        <f ca="1">IF(AND(ISNUMBER($AW$295),$B$252=1),$AW$295,HLOOKUP(INDIRECT(ADDRESS(2,COLUMN())),OFFSET($CL$2,0,0,ROW()-1,84),ROW()-1,FALSE))</f>
        <v>1.583246154</v>
      </c>
      <c r="AX50">
        <f ca="1">IF(AND(ISNUMBER($AX$295),$B$252=1),$AX$295,HLOOKUP(INDIRECT(ADDRESS(2,COLUMN())),OFFSET($CL$2,0,0,ROW()-1,84),ROW()-1,FALSE))</f>
        <v>1.5800727969999999</v>
      </c>
      <c r="AY50">
        <f ca="1">IF(AND(ISNUMBER($AY$295),$B$252=1),$AY$295,HLOOKUP(INDIRECT(ADDRESS(2,COLUMN())),OFFSET($CL$2,0,0,ROW()-1,84),ROW()-1,FALSE))</f>
        <v>1.5554597699999999</v>
      </c>
      <c r="AZ50">
        <f ca="1">IF(AND(ISNUMBER($AZ$295),$B$252=1),$AZ$295,HLOOKUP(INDIRECT(ADDRESS(2,COLUMN())),OFFSET($CL$2,0,0,ROW()-1,84),ROW()-1,FALSE))</f>
        <v>1.5464500000000001</v>
      </c>
      <c r="BA50">
        <f ca="1">IF(AND(ISNUMBER($BA$295),$B$252=1),$BA$295,HLOOKUP(INDIRECT(ADDRESS(2,COLUMN())),OFFSET($CL$2,0,0,ROW()-1,84),ROW()-1,FALSE))</f>
        <v>1.5346321839999999</v>
      </c>
      <c r="BB50">
        <f ca="1">IF(AND(ISNUMBER($BB$295),$B$252=1),$BB$295,HLOOKUP(INDIRECT(ADDRESS(2,COLUMN())),OFFSET($CL$2,0,0,ROW()-1,84),ROW()-1,FALSE))</f>
        <v>1.526766284</v>
      </c>
      <c r="BC50">
        <f ca="1">IF(AND(ISNUMBER($BC$295),$B$252=1),$BC$295,HLOOKUP(INDIRECT(ADDRESS(2,COLUMN())),OFFSET($CL$2,0,0,ROW()-1,84),ROW()-1,FALSE))</f>
        <v>1.5144769229999999</v>
      </c>
      <c r="BD50">
        <f ca="1">IF(AND(ISNUMBER($BD$295),$B$252=1),$BD$295,HLOOKUP(INDIRECT(ADDRESS(2,COLUMN())),OFFSET($CL$2,0,0,ROW()-1,84),ROW()-1,FALSE))</f>
        <v>1.498223077</v>
      </c>
      <c r="BE50">
        <f ca="1">IF(AND(ISNUMBER($BE$295),$B$252=1),$BE$295,HLOOKUP(INDIRECT(ADDRESS(2,COLUMN())),OFFSET($CL$2,0,0,ROW()-1,84),ROW()-1,FALSE))</f>
        <v>1.488</v>
      </c>
      <c r="BF50">
        <f ca="1">IF(AND(ISNUMBER($BF$295),$B$252=1),$BF$295,HLOOKUP(INDIRECT(ADDRESS(2,COLUMN())),OFFSET($CL$2,0,0,ROW()-1,84),ROW()-1,FALSE))</f>
        <v>1.4808384619999999</v>
      </c>
      <c r="BG50">
        <f ca="1">IF(AND(ISNUMBER($BG$295),$B$252=1),$BG$295,HLOOKUP(INDIRECT(ADDRESS(2,COLUMN())),OFFSET($CL$2,0,0,ROW()-1,84),ROW()-1,FALSE))</f>
        <v>1.4727854410000001</v>
      </c>
      <c r="BH50">
        <f ca="1">IF(AND(ISNUMBER($BH$295),$B$252=1),$BH$295,HLOOKUP(INDIRECT(ADDRESS(2,COLUMN())),OFFSET($CL$2,0,0,ROW()-1,84),ROW()-1,FALSE))</f>
        <v>1.4640459770000001</v>
      </c>
      <c r="BI50">
        <f ca="1">IF(AND(ISNUMBER($BI$295),$B$252=1),$BI$295,HLOOKUP(INDIRECT(ADDRESS(2,COLUMN())),OFFSET($CL$2,0,0,ROW()-1,84),ROW()-1,FALSE))</f>
        <v>1.4589076919999999</v>
      </c>
      <c r="BJ50">
        <f ca="1">IF(AND(ISNUMBER($BJ$295),$B$252=1),$BJ$295,HLOOKUP(INDIRECT(ADDRESS(2,COLUMN())),OFFSET($CL$2,0,0,ROW()-1,84),ROW()-1,FALSE))</f>
        <v>1.4552490419999999</v>
      </c>
      <c r="BK50">
        <f ca="1">IF(AND(ISNUMBER($BK$295),$B$252=1),$BK$295,HLOOKUP(INDIRECT(ADDRESS(2,COLUMN())),OFFSET($CL$2,0,0,ROW()-1,84),ROW()-1,FALSE))</f>
        <v>1.435846154</v>
      </c>
      <c r="BL50">
        <f ca="1">IF(AND(ISNUMBER($BL$295),$B$252=1),$BL$295,HLOOKUP(INDIRECT(ADDRESS(2,COLUMN())),OFFSET($CL$2,0,0,ROW()-1,84),ROW()-1,FALSE))</f>
        <v>1.4251384620000001</v>
      </c>
      <c r="BM50">
        <f ca="1">IF(AND(ISNUMBER($BM$295),$B$252=1),$BM$295,HLOOKUP(INDIRECT(ADDRESS(2,COLUMN())),OFFSET($CL$2,0,0,ROW()-1,84),ROW()-1,FALSE))</f>
        <v>1.4129846740000001</v>
      </c>
      <c r="BN50">
        <f ca="1">IF(AND(ISNUMBER($BN$295),$B$252=1),$BN$295,HLOOKUP(INDIRECT(ADDRESS(2,COLUMN())),OFFSET($CL$2,0,0,ROW()-1,84),ROW()-1,FALSE))</f>
        <v>1.4085038459999999</v>
      </c>
      <c r="BO50">
        <f ca="1">IF(AND(ISNUMBER($BO$295),$B$252=1),$BO$295,HLOOKUP(INDIRECT(ADDRESS(2,COLUMN())),OFFSET($CL$2,0,0,ROW()-1,84),ROW()-1,FALSE))</f>
        <v>1.4146628349999999</v>
      </c>
      <c r="BP50">
        <f ca="1">IF(AND(ISNUMBER($BP$295),$B$252=1),$BP$295,HLOOKUP(INDIRECT(ADDRESS(2,COLUMN())),OFFSET($CL$2,0,0,ROW()-1,84),ROW()-1,FALSE))</f>
        <v>1.446517241</v>
      </c>
      <c r="BQ50">
        <f ca="1">IF(AND(ISNUMBER($BQ$295),$B$252=1),$BQ$295,HLOOKUP(INDIRECT(ADDRESS(2,COLUMN())),OFFSET($CL$2,0,0,ROW()-1,84),ROW()-1,FALSE))</f>
        <v>1.4359999999999999</v>
      </c>
      <c r="BR50">
        <f ca="1">IF(AND(ISNUMBER($BR$295),$B$252=1),$BR$295,HLOOKUP(INDIRECT(ADDRESS(2,COLUMN())),OFFSET($CL$2,0,0,ROW()-1,84),ROW()-1,FALSE))</f>
        <v>1.438569231</v>
      </c>
      <c r="BS50">
        <f ca="1">IF(AND(ISNUMBER($BS$295),$B$252=1),$BS$295,HLOOKUP(INDIRECT(ADDRESS(2,COLUMN())),OFFSET($CL$2,0,0,ROW()-1,84),ROW()-1,FALSE))</f>
        <v>1.4361724140000001</v>
      </c>
      <c r="BT50">
        <f ca="1">IF(AND(ISNUMBER($BT$295),$B$252=1),$BT$295,HLOOKUP(INDIRECT(ADDRESS(2,COLUMN())),OFFSET($CL$2,0,0,ROW()-1,84),ROW()-1,FALSE))</f>
        <v>1.426169231</v>
      </c>
      <c r="BU50">
        <f ca="1">IF(AND(ISNUMBER($BU$295),$B$252=1),$BU$295,HLOOKUP(INDIRECT(ADDRESS(2,COLUMN())),OFFSET($CL$2,0,0,ROW()-1,84),ROW()-1,FALSE))</f>
        <v>1.4192230770000001</v>
      </c>
      <c r="BV50">
        <f ca="1">IF(AND(ISNUMBER($BV$295),$B$252=1),$BV$295,HLOOKUP(INDIRECT(ADDRESS(2,COLUMN())),OFFSET($CL$2,0,0,ROW()-1,84),ROW()-1,FALSE))</f>
        <v>1.413666667</v>
      </c>
      <c r="BW50">
        <f ca="1">IF(AND(ISNUMBER($BW$295),$B$252=1),$BW$295,HLOOKUP(INDIRECT(ADDRESS(2,COLUMN())),OFFSET($CL$2,0,0,ROW()-1,84),ROW()-1,FALSE))</f>
        <v>1.412142308</v>
      </c>
      <c r="BX50">
        <f ca="1">IF(AND(ISNUMBER($BX$295),$B$252=1),$BX$295,HLOOKUP(INDIRECT(ADDRESS(2,COLUMN())),OFFSET($CL$2,0,0,ROW()-1,84),ROW()-1,FALSE))</f>
        <v>1.4184329499999999</v>
      </c>
      <c r="BY50">
        <f ca="1">IF(AND(ISNUMBER($BY$295),$B$252=1),$BY$295,HLOOKUP(INDIRECT(ADDRESS(2,COLUMN())),OFFSET($CL$2,0,0,ROW()-1,84),ROW()-1,FALSE))</f>
        <v>1.431881226</v>
      </c>
      <c r="BZ50">
        <f ca="1">IF(AND(ISNUMBER($BZ$295),$B$252=1),$BZ$295,HLOOKUP(INDIRECT(ADDRESS(2,COLUMN())),OFFSET($CL$2,0,0,ROW()-1,84),ROW()-1,FALSE))</f>
        <v>1.4385076919999999</v>
      </c>
      <c r="CA50">
        <f ca="1">IF(AND(ISNUMBER($CA$295),$B$252=1),$CA$295,HLOOKUP(INDIRECT(ADDRESS(2,COLUMN())),OFFSET($CL$2,0,0,ROW()-1,84),ROW()-1,FALSE))</f>
        <v>1.4290881230000001</v>
      </c>
      <c r="CB50">
        <f ca="1">IF(AND(ISNUMBER($CB$295),$B$252=1),$CB$295,HLOOKUP(INDIRECT(ADDRESS(2,COLUMN())),OFFSET($CL$2,0,0,ROW()-1,84),ROW()-1,FALSE))</f>
        <v>1.4210610690000001</v>
      </c>
      <c r="CC50">
        <f ca="1">IF(AND(ISNUMBER($CC$295),$B$252=1),$CC$295,HLOOKUP(INDIRECT(ADDRESS(2,COLUMN())),OFFSET($CL$2,0,0,ROW()-1,84),ROW()-1,FALSE))</f>
        <v>1.419</v>
      </c>
      <c r="CD50">
        <f ca="1">IF(AND(ISNUMBER($CD$295),$B$252=1),$CD$295,HLOOKUP(INDIRECT(ADDRESS(2,COLUMN())),OFFSET($CL$2,0,0,ROW()-1,84),ROW()-1,FALSE))</f>
        <v>1.406740458</v>
      </c>
      <c r="CE50">
        <f ca="1">IF(AND(ISNUMBER($CE$295),$B$252=1),$CE$295,HLOOKUP(INDIRECT(ADDRESS(2,COLUMN())),OFFSET($CL$2,0,0,ROW()-1,84),ROW()-1,FALSE))</f>
        <v>1.391977099</v>
      </c>
      <c r="CF50">
        <f ca="1">IF(AND(ISNUMBER($CF$295),$B$252=1),$CF$295,HLOOKUP(INDIRECT(ADDRESS(2,COLUMN())),OFFSET($CL$2,0,0,ROW()-1,84),ROW()-1,FALSE))</f>
        <v>1.3807499999999999</v>
      </c>
      <c r="CG50">
        <f ca="1">IF(AND(ISNUMBER($CG$295),$B$252=1),$CG$295,HLOOKUP(INDIRECT(ADDRESS(2,COLUMN())),OFFSET($CL$2,0,0,ROW()-1,84),ROW()-1,FALSE))</f>
        <v>1.368858779</v>
      </c>
      <c r="CH50">
        <f ca="1">IF(AND(ISNUMBER($CH$295),$B$252=1),$CH$295,HLOOKUP(INDIRECT(ADDRESS(2,COLUMN())),OFFSET($CL$2,0,0,ROW()-1,84),ROW()-1,FALSE))</f>
        <v>1.3440384620000001</v>
      </c>
      <c r="CI50">
        <f ca="1">IF(AND(ISNUMBER($CI$295),$B$252=1),$CI$295,HLOOKUP(INDIRECT(ADDRESS(2,COLUMN())),OFFSET($CL$2,0,0,ROW()-1,84),ROW()-1,FALSE))</f>
        <v>1.3187356320000001</v>
      </c>
      <c r="CJ50">
        <f ca="1">IF(AND(ISNUMBER($CJ$295),$B$252=1),$CJ$295,HLOOKUP(INDIRECT(ADDRESS(2,COLUMN())),OFFSET($CL$2,0,0,ROW()-1,84),ROW()-1,FALSE))</f>
        <v>1.3049961830000001</v>
      </c>
      <c r="CK50">
        <f ca="1">IF(AND(ISNUMBER($CK$295),$B$252=1),$CK$295,HLOOKUP(INDIRECT(ADDRESS(2,COLUMN())),OFFSET($CL$2,0,0,ROW()-1,84),ROW()-1,FALSE))</f>
        <v>1.2835000000000001</v>
      </c>
      <c r="CL50">
        <f>1.967584615</f>
        <v>1.967584615</v>
      </c>
      <c r="CM50">
        <f>1.961287356</f>
        <v>1.9612873559999999</v>
      </c>
      <c r="CN50">
        <f>1.979693487</f>
        <v>1.979693487</v>
      </c>
      <c r="CO50">
        <f>1.968</f>
        <v>1.968</v>
      </c>
      <c r="CP50">
        <f>1.956954023</f>
        <v>1.956954023</v>
      </c>
      <c r="CQ50">
        <f>1.9448659</f>
        <v>1.9448658999999999</v>
      </c>
      <c r="CR50">
        <f>1.935</f>
        <v>1.9350000000000001</v>
      </c>
      <c r="CS50">
        <f>1.92737931</f>
        <v>1.9273793100000001</v>
      </c>
      <c r="CT50">
        <f>1.917072797</f>
        <v>1.9170727970000001</v>
      </c>
      <c r="CU50">
        <f>1.9065</f>
        <v>1.9065000000000001</v>
      </c>
      <c r="CV50">
        <f>1.89683908</f>
        <v>1.8968390799999999</v>
      </c>
      <c r="CW50">
        <f>1.883115385</f>
        <v>1.883115385</v>
      </c>
      <c r="CX50">
        <f>1.87575</f>
        <v>1.87575</v>
      </c>
      <c r="CY50">
        <f>1.868168582</f>
        <v>1.868168582</v>
      </c>
      <c r="CZ50">
        <f>1.873076628</f>
        <v>1.873076628</v>
      </c>
      <c r="DA50">
        <f>1.865</f>
        <v>1.865</v>
      </c>
      <c r="DB50">
        <f>1.862835249</f>
        <v>1.862835249</v>
      </c>
      <c r="DC50">
        <f>1.855333333</f>
        <v>1.8553333329999999</v>
      </c>
      <c r="DD50">
        <f>1.85625</f>
        <v>1.85625</v>
      </c>
      <c r="DE50">
        <f>1.851</f>
        <v>1.851</v>
      </c>
      <c r="DF50">
        <f>1.842615385</f>
        <v>1.842615385</v>
      </c>
      <c r="DG50">
        <f>1.830773946</f>
        <v>1.8307739460000001</v>
      </c>
      <c r="DH50">
        <f>1.828068966</f>
        <v>1.828068966</v>
      </c>
      <c r="DI50">
        <f>1.817903846</f>
        <v>1.8179038460000001</v>
      </c>
      <c r="DJ50">
        <f>1.816137931</f>
        <v>1.8161379310000001</v>
      </c>
      <c r="DK50">
        <f>1.803471264</f>
        <v>1.8034712639999999</v>
      </c>
      <c r="DL50">
        <f>1.795230769</f>
        <v>1.795230769</v>
      </c>
      <c r="DM50">
        <f>1.789</f>
        <v>1.7889999999999999</v>
      </c>
      <c r="DN50">
        <f>1.777553435</f>
        <v>1.777553435</v>
      </c>
      <c r="DO50">
        <f>1.7622</f>
        <v>1.7622</v>
      </c>
      <c r="DP50">
        <f>1.751274809</f>
        <v>1.7512748090000001</v>
      </c>
      <c r="DQ50">
        <f>1.737045802</f>
        <v>1.7370458019999999</v>
      </c>
      <c r="DR50">
        <f>1.720723077</f>
        <v>1.7207230769999999</v>
      </c>
      <c r="DS50">
        <f>1.706587786</f>
        <v>1.7065877860000001</v>
      </c>
      <c r="DT50">
        <f>1.690730769</f>
        <v>1.690730769</v>
      </c>
      <c r="DU50">
        <f>1.676961686</f>
        <v>1.6769616860000001</v>
      </c>
      <c r="DV50">
        <f>1.661312977</f>
        <v>1.6613129769999999</v>
      </c>
      <c r="DW50">
        <f>1.648611538</f>
        <v>1.6486115379999999</v>
      </c>
      <c r="DX50">
        <f>1.647915385</f>
        <v>1.6479153849999999</v>
      </c>
      <c r="DY50">
        <f>1.638</f>
        <v>1.6379999999999999</v>
      </c>
      <c r="DZ50">
        <f>1.629623077</f>
        <v>1.629623077</v>
      </c>
      <c r="EA50">
        <f>1.60495</f>
        <v>1.6049500000000001</v>
      </c>
      <c r="EB50">
        <f>1.598494253</f>
        <v>1.5984942529999999</v>
      </c>
      <c r="EC50">
        <f>1.583246154</f>
        <v>1.583246154</v>
      </c>
      <c r="ED50">
        <f>1.580072797</f>
        <v>1.5800727969999999</v>
      </c>
      <c r="EE50">
        <f>1.55545977</f>
        <v>1.5554597699999999</v>
      </c>
      <c r="EF50">
        <f>1.54645</f>
        <v>1.5464500000000001</v>
      </c>
      <c r="EG50">
        <f>1.534632184</f>
        <v>1.5346321839999999</v>
      </c>
      <c r="EH50">
        <f>1.526766284</f>
        <v>1.526766284</v>
      </c>
      <c r="EI50">
        <f>1.514476923</f>
        <v>1.5144769229999999</v>
      </c>
      <c r="EJ50">
        <f>1.498223077</f>
        <v>1.498223077</v>
      </c>
      <c r="EK50">
        <f>1.488</f>
        <v>1.488</v>
      </c>
      <c r="EL50">
        <f>1.480838462</f>
        <v>1.4808384619999999</v>
      </c>
      <c r="EM50">
        <f>1.472785441</f>
        <v>1.4727854410000001</v>
      </c>
      <c r="EN50">
        <f>1.464045977</f>
        <v>1.4640459770000001</v>
      </c>
      <c r="EO50">
        <f>1.458907692</f>
        <v>1.4589076919999999</v>
      </c>
      <c r="EP50">
        <f>1.455249042</f>
        <v>1.4552490419999999</v>
      </c>
      <c r="EQ50">
        <f>1.435846154</f>
        <v>1.435846154</v>
      </c>
      <c r="ER50">
        <f>1.425138462</f>
        <v>1.4251384620000001</v>
      </c>
      <c r="ES50">
        <f>1.412984674</f>
        <v>1.4129846740000001</v>
      </c>
      <c r="ET50">
        <f>1.408503846</f>
        <v>1.4085038459999999</v>
      </c>
      <c r="EU50">
        <f>1.414662835</f>
        <v>1.4146628349999999</v>
      </c>
      <c r="EV50">
        <f>1.446517241</f>
        <v>1.446517241</v>
      </c>
      <c r="EW50">
        <f>1.436</f>
        <v>1.4359999999999999</v>
      </c>
      <c r="EX50">
        <f>1.438569231</f>
        <v>1.438569231</v>
      </c>
      <c r="EY50">
        <f>1.436172414</f>
        <v>1.4361724140000001</v>
      </c>
      <c r="EZ50">
        <f>1.426169231</f>
        <v>1.426169231</v>
      </c>
      <c r="FA50">
        <f>1.419223077</f>
        <v>1.4192230770000001</v>
      </c>
      <c r="FB50">
        <f>1.413666667</f>
        <v>1.413666667</v>
      </c>
      <c r="FC50">
        <f>1.412142308</f>
        <v>1.412142308</v>
      </c>
      <c r="FD50">
        <f>1.41843295</f>
        <v>1.4184329499999999</v>
      </c>
      <c r="FE50">
        <f>1.431881226</f>
        <v>1.431881226</v>
      </c>
      <c r="FF50">
        <f>1.438507692</f>
        <v>1.4385076919999999</v>
      </c>
      <c r="FG50">
        <f>1.429088123</f>
        <v>1.4290881230000001</v>
      </c>
      <c r="FH50">
        <f>1.421061069</f>
        <v>1.4210610690000001</v>
      </c>
      <c r="FI50">
        <f>1.419</f>
        <v>1.419</v>
      </c>
      <c r="FJ50">
        <f>1.406740458</f>
        <v>1.406740458</v>
      </c>
      <c r="FK50">
        <f>1.391977099</f>
        <v>1.391977099</v>
      </c>
      <c r="FL50">
        <f>1.38075</f>
        <v>1.3807499999999999</v>
      </c>
      <c r="FM50">
        <f>1.368858779</f>
        <v>1.368858779</v>
      </c>
      <c r="FN50">
        <f>1.344038462</f>
        <v>1.3440384620000001</v>
      </c>
      <c r="FO50">
        <f>1.318735632</f>
        <v>1.3187356320000001</v>
      </c>
      <c r="FP50">
        <f>1.304996183</f>
        <v>1.3049961830000001</v>
      </c>
      <c r="FQ50">
        <f>1.2835</f>
        <v>1.2835000000000001</v>
      </c>
    </row>
    <row r="51" spans="1:173">
      <c r="A51" t="str">
        <f>"2017年预测每股FFO"</f>
        <v>2017年预测每股FFO</v>
      </c>
      <c r="B51" t="str">
        <f>"BRFREITV Index"</f>
        <v>BRFREITV Index</v>
      </c>
      <c r="E51" t="str">
        <f>"Sum"</f>
        <v>Sum</v>
      </c>
      <c r="F51" t="str">
        <f ca="1">IF(ISERROR(IF(SUM($F$52:$F$58) = 0, "", SUM($F$52:$F$58))), "", (IF(SUM($F$52:$F$58) = 0, "", SUM($F$52:$F$58))))</f>
        <v/>
      </c>
      <c r="G51">
        <f ca="1">IF(ISERROR(IF(SUM($G$52:$G$58) = 0, "", SUM($G$52:$G$58))), "", (IF(SUM($G$52:$G$58) = 0, "", SUM($G$52:$G$58))))</f>
        <v>18.869</v>
      </c>
      <c r="H51">
        <f ca="1">IF(ISERROR(IF(SUM($H$52:$H$58) = 0, "", SUM($H$52:$H$58))), "", (IF(SUM($H$52:$H$58) = 0, "", SUM($H$52:$H$58))))</f>
        <v>38.344000000000001</v>
      </c>
      <c r="I51">
        <f ca="1">IF(ISERROR(IF(SUM($I$52:$I$58) = 0, "", SUM($I$52:$I$58))), "", (IF(SUM($I$52:$I$58) = 0, "", SUM($I$52:$I$58))))</f>
        <v>38.363999999999997</v>
      </c>
      <c r="J51">
        <f ca="1">IF(ISERROR(IF(SUM($J$52:$J$58) = 0, "", SUM($J$52:$J$58))), "", (IF(SUM($J$52:$J$58) = 0, "", SUM($J$52:$J$58))))</f>
        <v>38.322000000000003</v>
      </c>
      <c r="K51">
        <f ca="1">IF(ISERROR(IF(SUM($K$52:$K$58) = 0, "", SUM($K$52:$K$58))), "", (IF(SUM($K$52:$K$58) = 0, "", SUM($K$52:$K$58))))</f>
        <v>38.291999999999994</v>
      </c>
      <c r="L51">
        <f ca="1">IF(ISERROR(IF(SUM($L$52:$L$58) = 0, "", SUM($L$52:$L$58))), "", (IF(SUM($L$52:$L$58) = 0, "", SUM($L$52:$L$58))))</f>
        <v>38.335999999999991</v>
      </c>
      <c r="M51">
        <f ca="1">IF(ISERROR(IF(SUM($M$52:$M$58) = 0, "", SUM($M$52:$M$58))), "", (IF(SUM($M$52:$M$58) = 0, "", SUM($M$52:$M$58))))</f>
        <v>38.357999999999997</v>
      </c>
      <c r="N51">
        <f ca="1">IF(ISERROR(IF(SUM($N$52:$N$58) = 0, "", SUM($N$52:$N$58))), "", (IF(SUM($N$52:$N$58) = 0, "", SUM($N$52:$N$58))))</f>
        <v>38.35</v>
      </c>
      <c r="O51">
        <f ca="1">IF(ISERROR(IF(SUM($O$52:$O$58) = 0, "", SUM($O$52:$O$58))), "", (IF(SUM($O$52:$O$58) = 0, "", SUM($O$52:$O$58))))</f>
        <v>38.332999999999991</v>
      </c>
      <c r="P51">
        <f ca="1">IF(ISERROR(IF(SUM($P$52:$P$58) = 0, "", SUM($P$52:$P$58))), "", (IF(SUM($P$52:$P$58) = 0, "", SUM($P$52:$P$58))))</f>
        <v>38.344999999999999</v>
      </c>
      <c r="Q51">
        <f ca="1">IF(ISERROR(IF(SUM($Q$52:$Q$58) = 0, "", SUM($Q$52:$Q$58))), "", (IF(SUM($Q$52:$Q$58) = 0, "", SUM($Q$52:$Q$58))))</f>
        <v>38.247</v>
      </c>
      <c r="R51">
        <f ca="1">IF(ISERROR(IF(SUM($R$52:$R$58) = 0, "", SUM($R$52:$R$58))), "", (IF(SUM($R$52:$R$58) = 0, "", SUM($R$52:$R$58))))</f>
        <v>38.265999999999998</v>
      </c>
      <c r="S51">
        <f ca="1">IF(ISERROR(IF(SUM($S$52:$S$58) = 0, "", SUM($S$52:$S$58))), "", (IF(SUM($S$52:$S$58) = 0, "", SUM($S$52:$S$58))))</f>
        <v>38.276999999999994</v>
      </c>
      <c r="T51">
        <f ca="1">IF(ISERROR(IF(SUM($T$52:$T$58) = 0, "", SUM($T$52:$T$58))), "", (IF(SUM($T$52:$T$58) = 0, "", SUM($T$52:$T$58))))</f>
        <v>38.524000000000001</v>
      </c>
      <c r="U51">
        <f ca="1">IF(ISERROR(IF(SUM($U$52:$U$58) = 0, "", SUM($U$52:$U$58))), "", (IF(SUM($U$52:$U$58) = 0, "", SUM($U$52:$U$58))))</f>
        <v>38.536000000000001</v>
      </c>
      <c r="V51">
        <f ca="1">IF(ISERROR(IF(SUM($V$52:$V$58) = 0, "", SUM($V$52:$V$58))), "", (IF(SUM($V$52:$V$58) = 0, "", SUM($V$52:$V$58))))</f>
        <v>38.796999999999997</v>
      </c>
      <c r="W51">
        <f ca="1">IF(ISERROR(IF(SUM($W$52:$W$58) = 0, "", SUM($W$52:$W$58))), "", (IF(SUM($W$52:$W$58) = 0, "", SUM($W$52:$W$58))))</f>
        <v>38.787999999999997</v>
      </c>
      <c r="X51">
        <f ca="1">IF(ISERROR(IF(SUM($X$52:$X$58) = 0, "", SUM($X$52:$X$58))), "", (IF(SUM($X$52:$X$58) = 0, "", SUM($X$52:$X$58))))</f>
        <v>38.959999999999994</v>
      </c>
      <c r="Y51">
        <f ca="1">IF(ISERROR(IF(SUM($Y$52:$Y$58) = 0, "", SUM($Y$52:$Y$58))), "", (IF(SUM($Y$52:$Y$58) = 0, "", SUM($Y$52:$Y$58))))</f>
        <v>38.939</v>
      </c>
      <c r="Z51">
        <f ca="1">IF(ISERROR(IF(SUM($Z$52:$Z$58) = 0, "", SUM($Z$52:$Z$58))), "", (IF(SUM($Z$52:$Z$58) = 0, "", SUM($Z$52:$Z$58))))</f>
        <v>39.173000000000002</v>
      </c>
      <c r="AA51">
        <f ca="1">IF(ISERROR(IF(SUM($AA$52:$AA$58) = 0, "", SUM($AA$52:$AA$58))), "", (IF(SUM($AA$52:$AA$58) = 0, "", SUM($AA$52:$AA$58))))</f>
        <v>39.249000000000002</v>
      </c>
      <c r="AB51">
        <f ca="1">IF(ISERROR(IF(SUM($AB$52:$AB$58) = 0, "", SUM($AB$52:$AB$58))), "", (IF(SUM($AB$52:$AB$58) = 0, "", SUM($AB$52:$AB$58))))</f>
        <v>39.335999999999999</v>
      </c>
      <c r="AC51">
        <f ca="1">IF(ISERROR(IF(SUM($AC$52:$AC$58) = 0, "", SUM($AC$52:$AC$58))), "", (IF(SUM($AC$52:$AC$58) = 0, "", SUM($AC$52:$AC$58))))</f>
        <v>39.802000000000007</v>
      </c>
      <c r="AD51">
        <f ca="1">IF(ISERROR(IF(SUM($AD$52:$AD$58) = 0, "", SUM($AD$52:$AD$58))), "", (IF(SUM($AD$52:$AD$58) = 0, "", SUM($AD$52:$AD$58))))</f>
        <v>39.960000000000008</v>
      </c>
      <c r="AE51">
        <f ca="1">IF(ISERROR(IF(SUM($AE$52:$AE$58) = 0, "", SUM($AE$52:$AE$58))), "", (IF(SUM($AE$52:$AE$58) = 0, "", SUM($AE$52:$AE$58))))</f>
        <v>39.960999999999999</v>
      </c>
      <c r="AF51">
        <f ca="1">IF(ISERROR(IF(SUM($AF$52:$AF$58) = 0, "", SUM($AF$52:$AF$58))), "", (IF(SUM($AF$52:$AF$58) = 0, "", SUM($AF$52:$AF$58))))</f>
        <v>40.067999999999998</v>
      </c>
      <c r="AG51">
        <f ca="1">IF(ISERROR(IF(SUM($AG$52:$AG$58) = 0, "", SUM($AG$52:$AG$58))), "", (IF(SUM($AG$52:$AG$58) = 0, "", SUM($AG$52:$AG$58))))</f>
        <v>40.25</v>
      </c>
      <c r="AH51">
        <f ca="1">IF(ISERROR(IF(SUM($AH$52:$AH$58) = 0, "", SUM($AH$52:$AH$58))), "", (IF(SUM($AH$52:$AH$58) = 0, "", SUM($AH$52:$AH$58))))</f>
        <v>40.345999999999989</v>
      </c>
      <c r="AI51">
        <f ca="1">IF(ISERROR(IF(SUM($AI$52:$AI$58) = 0, "", SUM($AI$52:$AI$58))), "", (IF(SUM($AI$52:$AI$58) = 0, "", SUM($AI$52:$AI$58))))</f>
        <v>40.373000000000005</v>
      </c>
      <c r="AJ51">
        <f ca="1">IF(ISERROR(IF(SUM($AJ$52:$AJ$58) = 0, "", SUM($AJ$52:$AJ$58))), "", (IF(SUM($AJ$52:$AJ$58) = 0, "", SUM($AJ$52:$AJ$58))))</f>
        <v>28.823</v>
      </c>
      <c r="AK51">
        <f ca="1">IF(ISERROR(IF(SUM($AK$52:$AK$58) = 0, "", SUM($AK$52:$AK$58))), "", (IF(SUM($AK$52:$AK$58) = 0, "", SUM($AK$52:$AK$58))))</f>
        <v>40.214999999999996</v>
      </c>
      <c r="AL51">
        <f ca="1">IF(ISERROR(IF(SUM($AL$52:$AL$58) = 0, "", SUM($AL$52:$AL$58))), "", (IF(SUM($AL$52:$AL$58) = 0, "", SUM($AL$52:$AL$58))))</f>
        <v>39.742999999999995</v>
      </c>
      <c r="AM51">
        <f ca="1">IF(ISERROR(IF(SUM($AM$52:$AM$58) = 0, "", SUM($AM$52:$AM$58))), "", (IF(SUM($AM$52:$AM$58) = 0, "", SUM($AM$52:$AM$58))))</f>
        <v>39.561</v>
      </c>
      <c r="AN51">
        <f ca="1">IF(ISERROR(IF(SUM($AN$52:$AN$58) = 0, "", SUM($AN$52:$AN$58))), "", (IF(SUM($AN$52:$AN$58) = 0, "", SUM($AN$52:$AN$58))))</f>
        <v>39.270999999999994</v>
      </c>
      <c r="AO51">
        <f ca="1">IF(ISERROR(IF(SUM($AO$52:$AO$58) = 0, "", SUM($AO$52:$AO$58))), "", (IF(SUM($AO$52:$AO$58) = 0, "", SUM($AO$52:$AO$58))))</f>
        <v>38.698</v>
      </c>
      <c r="AP51">
        <f ca="1">IF(ISERROR(IF(SUM($AP$52:$AP$58) = 0, "", SUM($AP$52:$AP$58))), "", (IF(SUM($AP$52:$AP$58) = 0, "", SUM($AP$52:$AP$58))))</f>
        <v>32.893000000000001</v>
      </c>
      <c r="AQ51">
        <f ca="1">IF(ISERROR(IF(SUM($AQ$52:$AQ$58) = 0, "", SUM($AQ$52:$AQ$58))), "", (IF(SUM($AQ$52:$AQ$58) = 0, "", SUM($AQ$52:$AQ$58))))</f>
        <v>32.800999999999995</v>
      </c>
      <c r="AR51">
        <f ca="1">IF(ISERROR(IF(SUM($AR$52:$AR$58) = 0, "", SUM($AR$52:$AR$58))), "", (IF(SUM($AR$52:$AR$58) = 0, "", SUM($AR$52:$AR$58))))</f>
        <v>13.565</v>
      </c>
      <c r="AS51" t="str">
        <f ca="1">IF(ISERROR(IF(SUM($AS$52:$AS$58) = 0, "", SUM($AS$52:$AS$58))), "", (IF(SUM($AS$52:$AS$58) = 0, "", SUM($AS$52:$AS$58))))</f>
        <v/>
      </c>
      <c r="AT51" t="str">
        <f ca="1">IF(ISERROR(IF(SUM($AT$52:$AT$58) = 0, "", SUM($AT$52:$AT$58))), "", (IF(SUM($AT$52:$AT$58) = 0, "", SUM($AT$52:$AT$58))))</f>
        <v/>
      </c>
      <c r="AU51" t="str">
        <f ca="1">IF(ISERROR(IF(SUM($AU$52:$AU$58) = 0, "", SUM($AU$52:$AU$58))), "", (IF(SUM($AU$52:$AU$58) = 0, "", SUM($AU$52:$AU$58))))</f>
        <v/>
      </c>
      <c r="AV51" t="str">
        <f ca="1">IF(ISERROR(IF(SUM($AV$52:$AV$58) = 0, "", SUM($AV$52:$AV$58))), "", (IF(SUM($AV$52:$AV$58) = 0, "", SUM($AV$52:$AV$58))))</f>
        <v/>
      </c>
      <c r="AW51" t="str">
        <f ca="1">IF(ISERROR(IF(SUM($AW$52:$AW$58) = 0, "", SUM($AW$52:$AW$58))), "", (IF(SUM($AW$52:$AW$58) = 0, "", SUM($AW$52:$AW$58))))</f>
        <v/>
      </c>
      <c r="AX51" t="str">
        <f ca="1">IF(ISERROR(IF(SUM($AX$52:$AX$58) = 0, "", SUM($AX$52:$AX$58))), "", (IF(SUM($AX$52:$AX$58) = 0, "", SUM($AX$52:$AX$58))))</f>
        <v/>
      </c>
      <c r="AY51" t="str">
        <f ca="1">IF(ISERROR(IF(SUM($AY$52:$AY$58) = 0, "", SUM($AY$52:$AY$58))), "", (IF(SUM($AY$52:$AY$58) = 0, "", SUM($AY$52:$AY$58))))</f>
        <v/>
      </c>
      <c r="AZ51" t="str">
        <f ca="1">IF(ISERROR(IF(SUM($AZ$52:$AZ$58) = 0, "", SUM($AZ$52:$AZ$58))), "", (IF(SUM($AZ$52:$AZ$58) = 0, "", SUM($AZ$52:$AZ$58))))</f>
        <v/>
      </c>
      <c r="BA51" t="str">
        <f ca="1">IF(ISERROR(IF(SUM($BA$52:$BA$58) = 0, "", SUM($BA$52:$BA$58))), "", (IF(SUM($BA$52:$BA$58) = 0, "", SUM($BA$52:$BA$58))))</f>
        <v/>
      </c>
      <c r="BB51" t="str">
        <f ca="1">IF(ISERROR(IF(SUM($BB$52:$BB$58) = 0, "", SUM($BB$52:$BB$58))), "", (IF(SUM($BB$52:$BB$58) = 0, "", SUM($BB$52:$BB$58))))</f>
        <v/>
      </c>
      <c r="BC51" t="str">
        <f ca="1">IF(ISERROR(IF(SUM($BC$52:$BC$58) = 0, "", SUM($BC$52:$BC$58))), "", (IF(SUM($BC$52:$BC$58) = 0, "", SUM($BC$52:$BC$58))))</f>
        <v/>
      </c>
      <c r="BD51" t="str">
        <f ca="1">IF(ISERROR(IF(SUM($BD$52:$BD$58) = 0, "", SUM($BD$52:$BD$58))), "", (IF(SUM($BD$52:$BD$58) = 0, "", SUM($BD$52:$BD$58))))</f>
        <v/>
      </c>
      <c r="BE51" t="str">
        <f ca="1">IF(ISERROR(IF(SUM($BE$52:$BE$58) = 0, "", SUM($BE$52:$BE$58))), "", (IF(SUM($BE$52:$BE$58) = 0, "", SUM($BE$52:$BE$58))))</f>
        <v/>
      </c>
      <c r="BF51" t="str">
        <f ca="1">IF(ISERROR(IF(SUM($BF$52:$BF$58) = 0, "", SUM($BF$52:$BF$58))), "", (IF(SUM($BF$52:$BF$58) = 0, "", SUM($BF$52:$BF$58))))</f>
        <v/>
      </c>
      <c r="BG51" t="str">
        <f ca="1">IF(ISERROR(IF(SUM($BG$52:$BG$58) = 0, "", SUM($BG$52:$BG$58))), "", (IF(SUM($BG$52:$BG$58) = 0, "", SUM($BG$52:$BG$58))))</f>
        <v/>
      </c>
      <c r="BH51" t="str">
        <f ca="1">IF(ISERROR(IF(SUM($BH$52:$BH$58) = 0, "", SUM($BH$52:$BH$58))), "", (IF(SUM($BH$52:$BH$58) = 0, "", SUM($BH$52:$BH$58))))</f>
        <v/>
      </c>
      <c r="BI51" t="str">
        <f ca="1">IF(ISERROR(IF(SUM($BI$52:$BI$58) = 0, "", SUM($BI$52:$BI$58))), "", (IF(SUM($BI$52:$BI$58) = 0, "", SUM($BI$52:$BI$58))))</f>
        <v/>
      </c>
      <c r="BJ51" t="str">
        <f ca="1">IF(ISERROR(IF(SUM($BJ$52:$BJ$58) = 0, "", SUM($BJ$52:$BJ$58))), "", (IF(SUM($BJ$52:$BJ$58) = 0, "", SUM($BJ$52:$BJ$58))))</f>
        <v/>
      </c>
      <c r="BK51" t="str">
        <f ca="1">IF(ISERROR(IF(SUM($BK$52:$BK$58) = 0, "", SUM($BK$52:$BK$58))), "", (IF(SUM($BK$52:$BK$58) = 0, "", SUM($BK$52:$BK$58))))</f>
        <v/>
      </c>
      <c r="BL51" t="str">
        <f ca="1">IF(ISERROR(IF(SUM($BL$52:$BL$58) = 0, "", SUM($BL$52:$BL$58))), "", (IF(SUM($BL$52:$BL$58) = 0, "", SUM($BL$52:$BL$58))))</f>
        <v/>
      </c>
      <c r="BM51" t="str">
        <f ca="1">IF(ISERROR(IF(SUM($BM$52:$BM$58) = 0, "", SUM($BM$52:$BM$58))), "", (IF(SUM($BM$52:$BM$58) = 0, "", SUM($BM$52:$BM$58))))</f>
        <v/>
      </c>
      <c r="BN51" t="str">
        <f ca="1">IF(ISERROR(IF(SUM($BN$52:$BN$58) = 0, "", SUM($BN$52:$BN$58))), "", (IF(SUM($BN$52:$BN$58) = 0, "", SUM($BN$52:$BN$58))))</f>
        <v/>
      </c>
      <c r="BO51" t="str">
        <f ca="1">IF(ISERROR(IF(SUM($BO$52:$BO$58) = 0, "", SUM($BO$52:$BO$58))), "", (IF(SUM($BO$52:$BO$58) = 0, "", SUM($BO$52:$BO$58))))</f>
        <v/>
      </c>
      <c r="BP51" t="str">
        <f ca="1">IF(ISERROR(IF(SUM($BP$52:$BP$58) = 0, "", SUM($BP$52:$BP$58))), "", (IF(SUM($BP$52:$BP$58) = 0, "", SUM($BP$52:$BP$58))))</f>
        <v/>
      </c>
      <c r="BQ51" t="str">
        <f ca="1">IF(ISERROR(IF(SUM($BQ$52:$BQ$58) = 0, "", SUM($BQ$52:$BQ$58))), "", (IF(SUM($BQ$52:$BQ$58) = 0, "", SUM($BQ$52:$BQ$58))))</f>
        <v/>
      </c>
      <c r="BR51" t="str">
        <f ca="1">IF(ISERROR(IF(SUM($BR$52:$BR$58) = 0, "", SUM($BR$52:$BR$58))), "", (IF(SUM($BR$52:$BR$58) = 0, "", SUM($BR$52:$BR$58))))</f>
        <v/>
      </c>
      <c r="BS51" t="str">
        <f ca="1">IF(ISERROR(IF(SUM($BS$52:$BS$58) = 0, "", SUM($BS$52:$BS$58))), "", (IF(SUM($BS$52:$BS$58) = 0, "", SUM($BS$52:$BS$58))))</f>
        <v/>
      </c>
      <c r="BT51" t="str">
        <f ca="1">IF(ISERROR(IF(SUM($BT$52:$BT$58) = 0, "", SUM($BT$52:$BT$58))), "", (IF(SUM($BT$52:$BT$58) = 0, "", SUM($BT$52:$BT$58))))</f>
        <v/>
      </c>
      <c r="BU51" t="str">
        <f ca="1">IF(ISERROR(IF(SUM($BU$52:$BU$58) = 0, "", SUM($BU$52:$BU$58))), "", (IF(SUM($BU$52:$BU$58) = 0, "", SUM($BU$52:$BU$58))))</f>
        <v/>
      </c>
      <c r="BV51" t="str">
        <f ca="1">IF(ISERROR(IF(SUM($BV$52:$BV$58) = 0, "", SUM($BV$52:$BV$58))), "", (IF(SUM($BV$52:$BV$58) = 0, "", SUM($BV$52:$BV$58))))</f>
        <v/>
      </c>
      <c r="BW51" t="str">
        <f ca="1">IF(ISERROR(IF(SUM($BW$52:$BW$58) = 0, "", SUM($BW$52:$BW$58))), "", (IF(SUM($BW$52:$BW$58) = 0, "", SUM($BW$52:$BW$58))))</f>
        <v/>
      </c>
      <c r="BX51" t="str">
        <f ca="1">IF(ISERROR(IF(SUM($BX$52:$BX$58) = 0, "", SUM($BX$52:$BX$58))), "", (IF(SUM($BX$52:$BX$58) = 0, "", SUM($BX$52:$BX$58))))</f>
        <v/>
      </c>
      <c r="BY51" t="str">
        <f ca="1">IF(ISERROR(IF(SUM($BY$52:$BY$58) = 0, "", SUM($BY$52:$BY$58))), "", (IF(SUM($BY$52:$BY$58) = 0, "", SUM($BY$52:$BY$58))))</f>
        <v/>
      </c>
      <c r="BZ51" t="str">
        <f ca="1">IF(ISERROR(IF(SUM($BZ$52:$BZ$58) = 0, "", SUM($BZ$52:$BZ$58))), "", (IF(SUM($BZ$52:$BZ$58) = 0, "", SUM($BZ$52:$BZ$58))))</f>
        <v/>
      </c>
      <c r="CA51" t="str">
        <f ca="1">IF(ISERROR(IF(SUM($CA$52:$CA$58) = 0, "", SUM($CA$52:$CA$58))), "", (IF(SUM($CA$52:$CA$58) = 0, "", SUM($CA$52:$CA$58))))</f>
        <v/>
      </c>
      <c r="CB51" t="str">
        <f ca="1">IF(ISERROR(IF(SUM($CB$52:$CB$58) = 0, "", SUM($CB$52:$CB$58))), "", (IF(SUM($CB$52:$CB$58) = 0, "", SUM($CB$52:$CB$58))))</f>
        <v/>
      </c>
      <c r="CC51" t="str">
        <f ca="1">IF(ISERROR(IF(SUM($CC$52:$CC$58) = 0, "", SUM($CC$52:$CC$58))), "", (IF(SUM($CC$52:$CC$58) = 0, "", SUM($CC$52:$CC$58))))</f>
        <v/>
      </c>
      <c r="CD51" t="str">
        <f ca="1">IF(ISERROR(IF(SUM($CD$52:$CD$58) = 0, "", SUM($CD$52:$CD$58))), "", (IF(SUM($CD$52:$CD$58) = 0, "", SUM($CD$52:$CD$58))))</f>
        <v/>
      </c>
      <c r="CE51" t="str">
        <f ca="1">IF(ISERROR(IF(SUM($CE$52:$CE$58) = 0, "", SUM($CE$52:$CE$58))), "", (IF(SUM($CE$52:$CE$58) = 0, "", SUM($CE$52:$CE$58))))</f>
        <v/>
      </c>
      <c r="CF51" t="str">
        <f ca="1">IF(ISERROR(IF(SUM($CF$52:$CF$58) = 0, "", SUM($CF$52:$CF$58))), "", (IF(SUM($CF$52:$CF$58) = 0, "", SUM($CF$52:$CF$58))))</f>
        <v/>
      </c>
      <c r="CG51" t="str">
        <f ca="1">IF(ISERROR(IF(SUM($CG$52:$CG$58) = 0, "", SUM($CG$52:$CG$58))), "", (IF(SUM($CG$52:$CG$58) = 0, "", SUM($CG$52:$CG$58))))</f>
        <v/>
      </c>
      <c r="CH51" t="str">
        <f ca="1">IF(ISERROR(IF(SUM($CH$52:$CH$58) = 0, "", SUM($CH$52:$CH$58))), "", (IF(SUM($CH$52:$CH$58) = 0, "", SUM($CH$52:$CH$58))))</f>
        <v/>
      </c>
      <c r="CI51" t="str">
        <f ca="1">IF(ISERROR(IF(SUM($CI$52:$CI$58) = 0, "", SUM($CI$52:$CI$58))), "", (IF(SUM($CI$52:$CI$58) = 0, "", SUM($CI$52:$CI$58))))</f>
        <v/>
      </c>
      <c r="CJ51" t="str">
        <f ca="1">IF(ISERROR(IF(SUM($CJ$52:$CJ$58) = 0, "", SUM($CJ$52:$CJ$58))), "", (IF(SUM($CJ$52:$CJ$58) = 0, "", SUM($CJ$52:$CJ$58))))</f>
        <v/>
      </c>
      <c r="CK51" t="str">
        <f ca="1">IF(ISERROR(IF(SUM($CK$52:$CK$58) = 0, "", SUM($CK$52:$CK$58))), "", (IF(SUM($CK$52:$CK$58) = 0, "", SUM($CK$52:$CK$58))))</f>
        <v/>
      </c>
      <c r="CL51" t="str">
        <f>""</f>
        <v/>
      </c>
      <c r="CM51">
        <f>18.869</f>
        <v>18.869</v>
      </c>
      <c r="CN51">
        <f>38.344</f>
        <v>38.344000000000001</v>
      </c>
      <c r="CO51">
        <f>38.364</f>
        <v>38.363999999999997</v>
      </c>
      <c r="CP51">
        <f>38.322</f>
        <v>38.322000000000003</v>
      </c>
      <c r="CQ51">
        <f>38.292</f>
        <v>38.292000000000002</v>
      </c>
      <c r="CR51">
        <f>38.336</f>
        <v>38.335999999999999</v>
      </c>
      <c r="CS51">
        <f>38.358</f>
        <v>38.357999999999997</v>
      </c>
      <c r="CT51">
        <f>38.35</f>
        <v>38.35</v>
      </c>
      <c r="CU51">
        <f>38.333</f>
        <v>38.332999999999998</v>
      </c>
      <c r="CV51">
        <f>38.345</f>
        <v>38.344999999999999</v>
      </c>
      <c r="CW51">
        <f>38.247</f>
        <v>38.247</v>
      </c>
      <c r="CX51">
        <f>38.266</f>
        <v>38.265999999999998</v>
      </c>
      <c r="CY51">
        <f>38.277</f>
        <v>38.277000000000001</v>
      </c>
      <c r="CZ51">
        <f>38.524</f>
        <v>38.524000000000001</v>
      </c>
      <c r="DA51">
        <f>38.536</f>
        <v>38.536000000000001</v>
      </c>
      <c r="DB51">
        <f>38.797</f>
        <v>38.796999999999997</v>
      </c>
      <c r="DC51">
        <f>38.788</f>
        <v>38.787999999999997</v>
      </c>
      <c r="DD51">
        <f>38.96</f>
        <v>38.96</v>
      </c>
      <c r="DE51">
        <f>38.939</f>
        <v>38.939</v>
      </c>
      <c r="DF51">
        <f>39.173</f>
        <v>39.173000000000002</v>
      </c>
      <c r="DG51">
        <f>39.249</f>
        <v>39.249000000000002</v>
      </c>
      <c r="DH51">
        <f>39.336</f>
        <v>39.335999999999999</v>
      </c>
      <c r="DI51">
        <f>39.802</f>
        <v>39.802</v>
      </c>
      <c r="DJ51">
        <f>39.96</f>
        <v>39.96</v>
      </c>
      <c r="DK51">
        <f>39.961</f>
        <v>39.960999999999999</v>
      </c>
      <c r="DL51">
        <f>40.068</f>
        <v>40.067999999999998</v>
      </c>
      <c r="DM51">
        <f>40.25</f>
        <v>40.25</v>
      </c>
      <c r="DN51">
        <f>40.346</f>
        <v>40.345999999999997</v>
      </c>
      <c r="DO51">
        <f>40.373</f>
        <v>40.372999999999998</v>
      </c>
      <c r="DP51">
        <f>28.823</f>
        <v>28.823</v>
      </c>
      <c r="DQ51">
        <f>40.215</f>
        <v>40.215000000000003</v>
      </c>
      <c r="DR51">
        <f>39.743</f>
        <v>39.743000000000002</v>
      </c>
      <c r="DS51">
        <f>39.561</f>
        <v>39.561</v>
      </c>
      <c r="DT51">
        <f>39.271</f>
        <v>39.271000000000001</v>
      </c>
      <c r="DU51">
        <f>38.698</f>
        <v>38.698</v>
      </c>
      <c r="DV51">
        <f>32.893</f>
        <v>32.893000000000001</v>
      </c>
      <c r="DW51">
        <f>32.801</f>
        <v>32.801000000000002</v>
      </c>
      <c r="DX51">
        <f>13.565</f>
        <v>13.565</v>
      </c>
      <c r="DY51" t="str">
        <f>""</f>
        <v/>
      </c>
      <c r="DZ51" t="str">
        <f>""</f>
        <v/>
      </c>
      <c r="EA51" t="str">
        <f>""</f>
        <v/>
      </c>
      <c r="EB51" t="str">
        <f>""</f>
        <v/>
      </c>
      <c r="EC51" t="str">
        <f>""</f>
        <v/>
      </c>
      <c r="ED51" t="str">
        <f>""</f>
        <v/>
      </c>
      <c r="EE51" t="str">
        <f>""</f>
        <v/>
      </c>
      <c r="EF51" t="str">
        <f>""</f>
        <v/>
      </c>
      <c r="EG51" t="str">
        <f>""</f>
        <v/>
      </c>
      <c r="EH51" t="str">
        <f>""</f>
        <v/>
      </c>
      <c r="EI51" t="str">
        <f>""</f>
        <v/>
      </c>
      <c r="EJ51" t="str">
        <f>""</f>
        <v/>
      </c>
      <c r="EK51" t="str">
        <f>""</f>
        <v/>
      </c>
      <c r="EL51" t="str">
        <f>""</f>
        <v/>
      </c>
      <c r="EM51" t="str">
        <f>""</f>
        <v/>
      </c>
      <c r="EN51" t="str">
        <f>""</f>
        <v/>
      </c>
      <c r="EO51" t="str">
        <f>""</f>
        <v/>
      </c>
      <c r="EP51" t="str">
        <f>""</f>
        <v/>
      </c>
      <c r="EQ51" t="str">
        <f>""</f>
        <v/>
      </c>
      <c r="ER51" t="str">
        <f>""</f>
        <v/>
      </c>
      <c r="ES51" t="str">
        <f>""</f>
        <v/>
      </c>
      <c r="ET51" t="str">
        <f>""</f>
        <v/>
      </c>
      <c r="EU51" t="str">
        <f>""</f>
        <v/>
      </c>
      <c r="EV51" t="str">
        <f>""</f>
        <v/>
      </c>
      <c r="EW51" t="str">
        <f>""</f>
        <v/>
      </c>
      <c r="EX51" t="str">
        <f>""</f>
        <v/>
      </c>
      <c r="EY51" t="str">
        <f>""</f>
        <v/>
      </c>
      <c r="EZ51" t="str">
        <f>""</f>
        <v/>
      </c>
      <c r="FA51" t="str">
        <f>""</f>
        <v/>
      </c>
      <c r="FB51" t="str">
        <f>""</f>
        <v/>
      </c>
      <c r="FC51" t="str">
        <f>""</f>
        <v/>
      </c>
      <c r="FD51" t="str">
        <f>""</f>
        <v/>
      </c>
      <c r="FE51" t="str">
        <f>""</f>
        <v/>
      </c>
      <c r="FF51" t="str">
        <f>""</f>
        <v/>
      </c>
      <c r="FG51" t="str">
        <f>""</f>
        <v/>
      </c>
      <c r="FH51" t="str">
        <f>""</f>
        <v/>
      </c>
      <c r="FI51" t="str">
        <f>""</f>
        <v/>
      </c>
      <c r="FJ51" t="str">
        <f>""</f>
        <v/>
      </c>
      <c r="FK51" t="str">
        <f>""</f>
        <v/>
      </c>
      <c r="FL51" t="str">
        <f>""</f>
        <v/>
      </c>
      <c r="FM51" t="str">
        <f>""</f>
        <v/>
      </c>
      <c r="FN51" t="str">
        <f>""</f>
        <v/>
      </c>
      <c r="FO51" t="str">
        <f>""</f>
        <v/>
      </c>
      <c r="FP51" t="str">
        <f>""</f>
        <v/>
      </c>
      <c r="FQ51" t="str">
        <f>""</f>
        <v/>
      </c>
    </row>
    <row r="52" spans="1:173">
      <c r="A52" t="str">
        <f>"    公寓投资与管理"</f>
        <v xml:space="preserve">    公寓投资与管理</v>
      </c>
      <c r="B52" t="str">
        <f>"AIV US Equity"</f>
        <v>AIV US Equity</v>
      </c>
      <c r="C52" t="str">
        <f t="shared" ref="C52:C58" si="18">"BE038"</f>
        <v>BE038</v>
      </c>
      <c r="D52" t="str">
        <f t="shared" ref="D52:D58" si="19">"BEST_FFOPS"</f>
        <v>BEST_FFOPS</v>
      </c>
      <c r="E52" t="str">
        <f t="shared" ref="E52:E58" si="20">"动态"</f>
        <v>动态</v>
      </c>
      <c r="F52" t="str">
        <f ca="1">IF(AND(ISNUMBER($F$296),$B$252=1),$F$296,HLOOKUP(INDIRECT(ADDRESS(2,COLUMN())),OFFSET($CL$2,0,0,ROW()-1,84),ROW()-1,FALSE))</f>
        <v/>
      </c>
      <c r="G52">
        <f ca="1">IF(AND(ISNUMBER($G$296),$B$252=1),$G$296,HLOOKUP(INDIRECT(ADDRESS(2,COLUMN())),OFFSET($CL$2,0,0,ROW()-1,84),ROW()-1,FALSE))</f>
        <v>2.4460000000000002</v>
      </c>
      <c r="H52">
        <f ca="1">IF(AND(ISNUMBER($H$296),$B$252=1),$H$296,HLOOKUP(INDIRECT(ADDRESS(2,COLUMN())),OFFSET($CL$2,0,0,ROW()-1,84),ROW()-1,FALSE))</f>
        <v>2.4460000000000002</v>
      </c>
      <c r="I52">
        <f ca="1">IF(AND(ISNUMBER($I$296),$B$252=1),$I$296,HLOOKUP(INDIRECT(ADDRESS(2,COLUMN())),OFFSET($CL$2,0,0,ROW()-1,84),ROW()-1,FALSE))</f>
        <v>2.4460000000000002</v>
      </c>
      <c r="J52">
        <f ca="1">IF(AND(ISNUMBER($J$296),$B$252=1),$J$296,HLOOKUP(INDIRECT(ADDRESS(2,COLUMN())),OFFSET($CL$2,0,0,ROW()-1,84),ROW()-1,FALSE))</f>
        <v>2.4409999999999998</v>
      </c>
      <c r="K52">
        <f ca="1">IF(AND(ISNUMBER($K$296),$B$252=1),$K$296,HLOOKUP(INDIRECT(ADDRESS(2,COLUMN())),OFFSET($CL$2,0,0,ROW()-1,84),ROW()-1,FALSE))</f>
        <v>2.4380000000000002</v>
      </c>
      <c r="L52">
        <f ca="1">IF(AND(ISNUMBER($L$296),$B$252=1),$L$296,HLOOKUP(INDIRECT(ADDRESS(2,COLUMN())),OFFSET($CL$2,0,0,ROW()-1,84),ROW()-1,FALSE))</f>
        <v>2.4409999999999998</v>
      </c>
      <c r="M52">
        <f ca="1">IF(AND(ISNUMBER($M$296),$B$252=1),$M$296,HLOOKUP(INDIRECT(ADDRESS(2,COLUMN())),OFFSET($CL$2,0,0,ROW()-1,84),ROW()-1,FALSE))</f>
        <v>2.4420000000000002</v>
      </c>
      <c r="N52">
        <f ca="1">IF(AND(ISNUMBER($N$296),$B$252=1),$N$296,HLOOKUP(INDIRECT(ADDRESS(2,COLUMN())),OFFSET($CL$2,0,0,ROW()-1,84),ROW()-1,FALSE))</f>
        <v>2.4359999999999999</v>
      </c>
      <c r="O52">
        <f ca="1">IF(AND(ISNUMBER($O$296),$B$252=1),$O$296,HLOOKUP(INDIRECT(ADDRESS(2,COLUMN())),OFFSET($CL$2,0,0,ROW()-1,84),ROW()-1,FALSE))</f>
        <v>2.4359999999999999</v>
      </c>
      <c r="P52">
        <f ca="1">IF(AND(ISNUMBER($P$296),$B$252=1),$P$296,HLOOKUP(INDIRECT(ADDRESS(2,COLUMN())),OFFSET($CL$2,0,0,ROW()-1,84),ROW()-1,FALSE))</f>
        <v>2.4340000000000002</v>
      </c>
      <c r="Q52">
        <f ca="1">IF(AND(ISNUMBER($Q$296),$B$252=1),$Q$296,HLOOKUP(INDIRECT(ADDRESS(2,COLUMN())),OFFSET($CL$2,0,0,ROW()-1,84),ROW()-1,FALSE))</f>
        <v>2.452</v>
      </c>
      <c r="R52">
        <f ca="1">IF(AND(ISNUMBER($R$296),$B$252=1),$R$296,HLOOKUP(INDIRECT(ADDRESS(2,COLUMN())),OFFSET($CL$2,0,0,ROW()-1,84),ROW()-1,FALSE))</f>
        <v>2.448</v>
      </c>
      <c r="S52">
        <f ca="1">IF(AND(ISNUMBER($S$296),$B$252=1),$S$296,HLOOKUP(INDIRECT(ADDRESS(2,COLUMN())),OFFSET($CL$2,0,0,ROW()-1,84),ROW()-1,FALSE))</f>
        <v>2.4470000000000001</v>
      </c>
      <c r="T52">
        <f ca="1">IF(AND(ISNUMBER($T$296),$B$252=1),$T$296,HLOOKUP(INDIRECT(ADDRESS(2,COLUMN())),OFFSET($CL$2,0,0,ROW()-1,84),ROW()-1,FALSE))</f>
        <v>2.4510000000000001</v>
      </c>
      <c r="U52">
        <f ca="1">IF(AND(ISNUMBER($U$296),$B$252=1),$U$296,HLOOKUP(INDIRECT(ADDRESS(2,COLUMN())),OFFSET($CL$2,0,0,ROW()-1,84),ROW()-1,FALSE))</f>
        <v>2.4510000000000001</v>
      </c>
      <c r="V52">
        <f ca="1">IF(AND(ISNUMBER($V$296),$B$252=1),$V$296,HLOOKUP(INDIRECT(ADDRESS(2,COLUMN())),OFFSET($CL$2,0,0,ROW()-1,84),ROW()-1,FALSE))</f>
        <v>2.4550000000000001</v>
      </c>
      <c r="W52">
        <f ca="1">IF(AND(ISNUMBER($W$296),$B$252=1),$W$296,HLOOKUP(INDIRECT(ADDRESS(2,COLUMN())),OFFSET($CL$2,0,0,ROW()-1,84),ROW()-1,FALSE))</f>
        <v>2.4740000000000002</v>
      </c>
      <c r="X52">
        <f ca="1">IF(AND(ISNUMBER($X$296),$B$252=1),$X$296,HLOOKUP(INDIRECT(ADDRESS(2,COLUMN())),OFFSET($CL$2,0,0,ROW()-1,84),ROW()-1,FALSE))</f>
        <v>2.4950000000000001</v>
      </c>
      <c r="Y52">
        <f ca="1">IF(AND(ISNUMBER($Y$296),$B$252=1),$Y$296,HLOOKUP(INDIRECT(ADDRESS(2,COLUMN())),OFFSET($CL$2,0,0,ROW()-1,84),ROW()-1,FALSE))</f>
        <v>2.4950000000000001</v>
      </c>
      <c r="Z52">
        <f ca="1">IF(AND(ISNUMBER($Z$296),$B$252=1),$Z$296,HLOOKUP(INDIRECT(ADDRESS(2,COLUMN())),OFFSET($CL$2,0,0,ROW()-1,84),ROW()-1,FALSE))</f>
        <v>2.4830000000000001</v>
      </c>
      <c r="AA52">
        <f ca="1">IF(AND(ISNUMBER($AA$296),$B$252=1),$AA$296,HLOOKUP(INDIRECT(ADDRESS(2,COLUMN())),OFFSET($CL$2,0,0,ROW()-1,84),ROW()-1,FALSE))</f>
        <v>2.4670000000000001</v>
      </c>
      <c r="AB52">
        <f ca="1">IF(AND(ISNUMBER($AB$296),$B$252=1),$AB$296,HLOOKUP(INDIRECT(ADDRESS(2,COLUMN())),OFFSET($CL$2,0,0,ROW()-1,84),ROW()-1,FALSE))</f>
        <v>2.4790000000000001</v>
      </c>
      <c r="AC52">
        <f ca="1">IF(AND(ISNUMBER($AC$296),$B$252=1),$AC$296,HLOOKUP(INDIRECT(ADDRESS(2,COLUMN())),OFFSET($CL$2,0,0,ROW()-1,84),ROW()-1,FALSE))</f>
        <v>2.456</v>
      </c>
      <c r="AD52">
        <f ca="1">IF(AND(ISNUMBER($AD$296),$B$252=1),$AD$296,HLOOKUP(INDIRECT(ADDRESS(2,COLUMN())),OFFSET($CL$2,0,0,ROW()-1,84),ROW()-1,FALSE))</f>
        <v>2.4700000000000002</v>
      </c>
      <c r="AE52">
        <f ca="1">IF(AND(ISNUMBER($AE$296),$B$252=1),$AE$296,HLOOKUP(INDIRECT(ADDRESS(2,COLUMN())),OFFSET($CL$2,0,0,ROW()-1,84),ROW()-1,FALSE))</f>
        <v>2.4910000000000001</v>
      </c>
      <c r="AF52">
        <f ca="1">IF(AND(ISNUMBER($AF$296),$B$252=1),$AF$296,HLOOKUP(INDIRECT(ADDRESS(2,COLUMN())),OFFSET($CL$2,0,0,ROW()-1,84),ROW()-1,FALSE))</f>
        <v>2.5470000000000002</v>
      </c>
      <c r="AG52">
        <f ca="1">IF(AND(ISNUMBER($AG$296),$B$252=1),$AG$296,HLOOKUP(INDIRECT(ADDRESS(2,COLUMN())),OFFSET($CL$2,0,0,ROW()-1,84),ROW()-1,FALSE))</f>
        <v>2.5649999999999999</v>
      </c>
      <c r="AH52">
        <f ca="1">IF(AND(ISNUMBER($AH$296),$B$252=1),$AH$296,HLOOKUP(INDIRECT(ADDRESS(2,COLUMN())),OFFSET($CL$2,0,0,ROW()-1,84),ROW()-1,FALSE))</f>
        <v>2.5670000000000002</v>
      </c>
      <c r="AI52">
        <f ca="1">IF(AND(ISNUMBER($AI$296),$B$252=1),$AI$296,HLOOKUP(INDIRECT(ADDRESS(2,COLUMN())),OFFSET($CL$2,0,0,ROW()-1,84),ROW()-1,FALSE))</f>
        <v>2.5819999999999999</v>
      </c>
      <c r="AJ52" t="str">
        <f ca="1">IF(AND(ISNUMBER($AJ$296),$B$252=1),$AJ$296,HLOOKUP(INDIRECT(ADDRESS(2,COLUMN())),OFFSET($CL$2,0,0,ROW()-1,84),ROW()-1,FALSE))</f>
        <v/>
      </c>
      <c r="AK52">
        <f ca="1">IF(AND(ISNUMBER($AK$296),$B$252=1),$AK$296,HLOOKUP(INDIRECT(ADDRESS(2,COLUMN())),OFFSET($CL$2,0,0,ROW()-1,84),ROW()-1,FALSE))</f>
        <v>2.57</v>
      </c>
      <c r="AL52">
        <f ca="1">IF(AND(ISNUMBER($AL$296),$B$252=1),$AL$296,HLOOKUP(INDIRECT(ADDRESS(2,COLUMN())),OFFSET($CL$2,0,0,ROW()-1,84),ROW()-1,FALSE))</f>
        <v>2.52</v>
      </c>
      <c r="AM52">
        <f ca="1">IF(AND(ISNUMBER($AM$296),$B$252=1),$AM$296,HLOOKUP(INDIRECT(ADDRESS(2,COLUMN())),OFFSET($CL$2,0,0,ROW()-1,84),ROW()-1,FALSE))</f>
        <v>2.5169999999999999</v>
      </c>
      <c r="AN52">
        <f ca="1">IF(AND(ISNUMBER($AN$296),$B$252=1),$AN$296,HLOOKUP(INDIRECT(ADDRESS(2,COLUMN())),OFFSET($CL$2,0,0,ROW()-1,84),ROW()-1,FALSE))</f>
        <v>2.4430000000000001</v>
      </c>
      <c r="AO52">
        <f ca="1">IF(AND(ISNUMBER($AO$296),$B$252=1),$AO$296,HLOOKUP(INDIRECT(ADDRESS(2,COLUMN())),OFFSET($CL$2,0,0,ROW()-1,84),ROW()-1,FALSE))</f>
        <v>2.4630000000000001</v>
      </c>
      <c r="AP52">
        <f ca="1">IF(AND(ISNUMBER($AP$296),$B$252=1),$AP$296,HLOOKUP(INDIRECT(ADDRESS(2,COLUMN())),OFFSET($CL$2,0,0,ROW()-1,84),ROW()-1,FALSE))</f>
        <v>2.4300000000000002</v>
      </c>
      <c r="AQ52">
        <f ca="1">IF(AND(ISNUMBER($AQ$296),$B$252=1),$AQ$296,HLOOKUP(INDIRECT(ADDRESS(2,COLUMN())),OFFSET($CL$2,0,0,ROW()-1,84),ROW()-1,FALSE))</f>
        <v>2.48</v>
      </c>
      <c r="AR52" t="str">
        <f ca="1">IF(AND(ISNUMBER($AR$296),$B$252=1),$AR$296,HLOOKUP(INDIRECT(ADDRESS(2,COLUMN())),OFFSET($CL$2,0,0,ROW()-1,84),ROW()-1,FALSE))</f>
        <v/>
      </c>
      <c r="AS52" t="str">
        <f ca="1">IF(AND(ISNUMBER($AS$296),$B$252=1),$AS$296,HLOOKUP(INDIRECT(ADDRESS(2,COLUMN())),OFFSET($CL$2,0,0,ROW()-1,84),ROW()-1,FALSE))</f>
        <v/>
      </c>
      <c r="AT52" t="str">
        <f ca="1">IF(AND(ISNUMBER($AT$296),$B$252=1),$AT$296,HLOOKUP(INDIRECT(ADDRESS(2,COLUMN())),OFFSET($CL$2,0,0,ROW()-1,84),ROW()-1,FALSE))</f>
        <v/>
      </c>
      <c r="AU52" t="str">
        <f ca="1">IF(AND(ISNUMBER($AU$296),$B$252=1),$AU$296,HLOOKUP(INDIRECT(ADDRESS(2,COLUMN())),OFFSET($CL$2,0,0,ROW()-1,84),ROW()-1,FALSE))</f>
        <v/>
      </c>
      <c r="AV52" t="str">
        <f ca="1">IF(AND(ISNUMBER($AV$296),$B$252=1),$AV$296,HLOOKUP(INDIRECT(ADDRESS(2,COLUMN())),OFFSET($CL$2,0,0,ROW()-1,84),ROW()-1,FALSE))</f>
        <v/>
      </c>
      <c r="AW52" t="str">
        <f ca="1">IF(AND(ISNUMBER($AW$296),$B$252=1),$AW$296,HLOOKUP(INDIRECT(ADDRESS(2,COLUMN())),OFFSET($CL$2,0,0,ROW()-1,84),ROW()-1,FALSE))</f>
        <v/>
      </c>
      <c r="AX52" t="str">
        <f ca="1">IF(AND(ISNUMBER($AX$296),$B$252=1),$AX$296,HLOOKUP(INDIRECT(ADDRESS(2,COLUMN())),OFFSET($CL$2,0,0,ROW()-1,84),ROW()-1,FALSE))</f>
        <v/>
      </c>
      <c r="AY52" t="str">
        <f ca="1">IF(AND(ISNUMBER($AY$296),$B$252=1),$AY$296,HLOOKUP(INDIRECT(ADDRESS(2,COLUMN())),OFFSET($CL$2,0,0,ROW()-1,84),ROW()-1,FALSE))</f>
        <v/>
      </c>
      <c r="AZ52" t="str">
        <f ca="1">IF(AND(ISNUMBER($AZ$296),$B$252=1),$AZ$296,HLOOKUP(INDIRECT(ADDRESS(2,COLUMN())),OFFSET($CL$2,0,0,ROW()-1,84),ROW()-1,FALSE))</f>
        <v/>
      </c>
      <c r="BA52" t="str">
        <f ca="1">IF(AND(ISNUMBER($BA$296),$B$252=1),$BA$296,HLOOKUP(INDIRECT(ADDRESS(2,COLUMN())),OFFSET($CL$2,0,0,ROW()-1,84),ROW()-1,FALSE))</f>
        <v/>
      </c>
      <c r="BB52" t="str">
        <f ca="1">IF(AND(ISNUMBER($BB$296),$B$252=1),$BB$296,HLOOKUP(INDIRECT(ADDRESS(2,COLUMN())),OFFSET($CL$2,0,0,ROW()-1,84),ROW()-1,FALSE))</f>
        <v/>
      </c>
      <c r="BC52" t="str">
        <f ca="1">IF(AND(ISNUMBER($BC$296),$B$252=1),$BC$296,HLOOKUP(INDIRECT(ADDRESS(2,COLUMN())),OFFSET($CL$2,0,0,ROW()-1,84),ROW()-1,FALSE))</f>
        <v/>
      </c>
      <c r="BD52" t="str">
        <f ca="1">IF(AND(ISNUMBER($BD$296),$B$252=1),$BD$296,HLOOKUP(INDIRECT(ADDRESS(2,COLUMN())),OFFSET($CL$2,0,0,ROW()-1,84),ROW()-1,FALSE))</f>
        <v/>
      </c>
      <c r="BE52" t="str">
        <f ca="1">IF(AND(ISNUMBER($BE$296),$B$252=1),$BE$296,HLOOKUP(INDIRECT(ADDRESS(2,COLUMN())),OFFSET($CL$2,0,0,ROW()-1,84),ROW()-1,FALSE))</f>
        <v/>
      </c>
      <c r="BF52" t="str">
        <f ca="1">IF(AND(ISNUMBER($BF$296),$B$252=1),$BF$296,HLOOKUP(INDIRECT(ADDRESS(2,COLUMN())),OFFSET($CL$2,0,0,ROW()-1,84),ROW()-1,FALSE))</f>
        <v/>
      </c>
      <c r="BG52" t="str">
        <f ca="1">IF(AND(ISNUMBER($BG$296),$B$252=1),$BG$296,HLOOKUP(INDIRECT(ADDRESS(2,COLUMN())),OFFSET($CL$2,0,0,ROW()-1,84),ROW()-1,FALSE))</f>
        <v/>
      </c>
      <c r="BH52" t="str">
        <f ca="1">IF(AND(ISNUMBER($BH$296),$B$252=1),$BH$296,HLOOKUP(INDIRECT(ADDRESS(2,COLUMN())),OFFSET($CL$2,0,0,ROW()-1,84),ROW()-1,FALSE))</f>
        <v/>
      </c>
      <c r="BI52" t="str">
        <f ca="1">IF(AND(ISNUMBER($BI$296),$B$252=1),$BI$296,HLOOKUP(INDIRECT(ADDRESS(2,COLUMN())),OFFSET($CL$2,0,0,ROW()-1,84),ROW()-1,FALSE))</f>
        <v/>
      </c>
      <c r="BJ52" t="str">
        <f ca="1">IF(AND(ISNUMBER($BJ$296),$B$252=1),$BJ$296,HLOOKUP(INDIRECT(ADDRESS(2,COLUMN())),OFFSET($CL$2,0,0,ROW()-1,84),ROW()-1,FALSE))</f>
        <v/>
      </c>
      <c r="BK52" t="str">
        <f ca="1">IF(AND(ISNUMBER($BK$296),$B$252=1),$BK$296,HLOOKUP(INDIRECT(ADDRESS(2,COLUMN())),OFFSET($CL$2,0,0,ROW()-1,84),ROW()-1,FALSE))</f>
        <v/>
      </c>
      <c r="BL52" t="str">
        <f ca="1">IF(AND(ISNUMBER($BL$296),$B$252=1),$BL$296,HLOOKUP(INDIRECT(ADDRESS(2,COLUMN())),OFFSET($CL$2,0,0,ROW()-1,84),ROW()-1,FALSE))</f>
        <v/>
      </c>
      <c r="BM52" t="str">
        <f ca="1">IF(AND(ISNUMBER($BM$296),$B$252=1),$BM$296,HLOOKUP(INDIRECT(ADDRESS(2,COLUMN())),OFFSET($CL$2,0,0,ROW()-1,84),ROW()-1,FALSE))</f>
        <v/>
      </c>
      <c r="BN52" t="str">
        <f ca="1">IF(AND(ISNUMBER($BN$296),$B$252=1),$BN$296,HLOOKUP(INDIRECT(ADDRESS(2,COLUMN())),OFFSET($CL$2,0,0,ROW()-1,84),ROW()-1,FALSE))</f>
        <v/>
      </c>
      <c r="BO52" t="str">
        <f ca="1">IF(AND(ISNUMBER($BO$296),$B$252=1),$BO$296,HLOOKUP(INDIRECT(ADDRESS(2,COLUMN())),OFFSET($CL$2,0,0,ROW()-1,84),ROW()-1,FALSE))</f>
        <v/>
      </c>
      <c r="BP52" t="str">
        <f ca="1">IF(AND(ISNUMBER($BP$296),$B$252=1),$BP$296,HLOOKUP(INDIRECT(ADDRESS(2,COLUMN())),OFFSET($CL$2,0,0,ROW()-1,84),ROW()-1,FALSE))</f>
        <v/>
      </c>
      <c r="BQ52" t="str">
        <f ca="1">IF(AND(ISNUMBER($BQ$296),$B$252=1),$BQ$296,HLOOKUP(INDIRECT(ADDRESS(2,COLUMN())),OFFSET($CL$2,0,0,ROW()-1,84),ROW()-1,FALSE))</f>
        <v/>
      </c>
      <c r="BR52" t="str">
        <f ca="1">IF(AND(ISNUMBER($BR$296),$B$252=1),$BR$296,HLOOKUP(INDIRECT(ADDRESS(2,COLUMN())),OFFSET($CL$2,0,0,ROW()-1,84),ROW()-1,FALSE))</f>
        <v/>
      </c>
      <c r="BS52" t="str">
        <f ca="1">IF(AND(ISNUMBER($BS$296),$B$252=1),$BS$296,HLOOKUP(INDIRECT(ADDRESS(2,COLUMN())),OFFSET($CL$2,0,0,ROW()-1,84),ROW()-1,FALSE))</f>
        <v/>
      </c>
      <c r="BT52" t="str">
        <f ca="1">IF(AND(ISNUMBER($BT$296),$B$252=1),$BT$296,HLOOKUP(INDIRECT(ADDRESS(2,COLUMN())),OFFSET($CL$2,0,0,ROW()-1,84),ROW()-1,FALSE))</f>
        <v/>
      </c>
      <c r="BU52" t="str">
        <f ca="1">IF(AND(ISNUMBER($BU$296),$B$252=1),$BU$296,HLOOKUP(INDIRECT(ADDRESS(2,COLUMN())),OFFSET($CL$2,0,0,ROW()-1,84),ROW()-1,FALSE))</f>
        <v/>
      </c>
      <c r="BV52" t="str">
        <f ca="1">IF(AND(ISNUMBER($BV$296),$B$252=1),$BV$296,HLOOKUP(INDIRECT(ADDRESS(2,COLUMN())),OFFSET($CL$2,0,0,ROW()-1,84),ROW()-1,FALSE))</f>
        <v/>
      </c>
      <c r="BW52" t="str">
        <f ca="1">IF(AND(ISNUMBER($BW$296),$B$252=1),$BW$296,HLOOKUP(INDIRECT(ADDRESS(2,COLUMN())),OFFSET($CL$2,0,0,ROW()-1,84),ROW()-1,FALSE))</f>
        <v/>
      </c>
      <c r="BX52" t="str">
        <f ca="1">IF(AND(ISNUMBER($BX$296),$B$252=1),$BX$296,HLOOKUP(INDIRECT(ADDRESS(2,COLUMN())),OFFSET($CL$2,0,0,ROW()-1,84),ROW()-1,FALSE))</f>
        <v/>
      </c>
      <c r="BY52" t="str">
        <f ca="1">IF(AND(ISNUMBER($BY$296),$B$252=1),$BY$296,HLOOKUP(INDIRECT(ADDRESS(2,COLUMN())),OFFSET($CL$2,0,0,ROW()-1,84),ROW()-1,FALSE))</f>
        <v/>
      </c>
      <c r="BZ52" t="str">
        <f ca="1">IF(AND(ISNUMBER($BZ$296),$B$252=1),$BZ$296,HLOOKUP(INDIRECT(ADDRESS(2,COLUMN())),OFFSET($CL$2,0,0,ROW()-1,84),ROW()-1,FALSE))</f>
        <v/>
      </c>
      <c r="CA52" t="str">
        <f ca="1">IF(AND(ISNUMBER($CA$296),$B$252=1),$CA$296,HLOOKUP(INDIRECT(ADDRESS(2,COLUMN())),OFFSET($CL$2,0,0,ROW()-1,84),ROW()-1,FALSE))</f>
        <v/>
      </c>
      <c r="CB52" t="str">
        <f ca="1">IF(AND(ISNUMBER($CB$296),$B$252=1),$CB$296,HLOOKUP(INDIRECT(ADDRESS(2,COLUMN())),OFFSET($CL$2,0,0,ROW()-1,84),ROW()-1,FALSE))</f>
        <v/>
      </c>
      <c r="CC52" t="str">
        <f ca="1">IF(AND(ISNUMBER($CC$296),$B$252=1),$CC$296,HLOOKUP(INDIRECT(ADDRESS(2,COLUMN())),OFFSET($CL$2,0,0,ROW()-1,84),ROW()-1,FALSE))</f>
        <v/>
      </c>
      <c r="CD52" t="str">
        <f ca="1">IF(AND(ISNUMBER($CD$296),$B$252=1),$CD$296,HLOOKUP(INDIRECT(ADDRESS(2,COLUMN())),OFFSET($CL$2,0,0,ROW()-1,84),ROW()-1,FALSE))</f>
        <v/>
      </c>
      <c r="CE52" t="str">
        <f ca="1">IF(AND(ISNUMBER($CE$296),$B$252=1),$CE$296,HLOOKUP(INDIRECT(ADDRESS(2,COLUMN())),OFFSET($CL$2,0,0,ROW()-1,84),ROW()-1,FALSE))</f>
        <v/>
      </c>
      <c r="CF52" t="str">
        <f ca="1">IF(AND(ISNUMBER($CF$296),$B$252=1),$CF$296,HLOOKUP(INDIRECT(ADDRESS(2,COLUMN())),OFFSET($CL$2,0,0,ROW()-1,84),ROW()-1,FALSE))</f>
        <v/>
      </c>
      <c r="CG52" t="str">
        <f ca="1">IF(AND(ISNUMBER($CG$296),$B$252=1),$CG$296,HLOOKUP(INDIRECT(ADDRESS(2,COLUMN())),OFFSET($CL$2,0,0,ROW()-1,84),ROW()-1,FALSE))</f>
        <v/>
      </c>
      <c r="CH52" t="str">
        <f ca="1">IF(AND(ISNUMBER($CH$296),$B$252=1),$CH$296,HLOOKUP(INDIRECT(ADDRESS(2,COLUMN())),OFFSET($CL$2,0,0,ROW()-1,84),ROW()-1,FALSE))</f>
        <v/>
      </c>
      <c r="CI52" t="str">
        <f ca="1">IF(AND(ISNUMBER($CI$296),$B$252=1),$CI$296,HLOOKUP(INDIRECT(ADDRESS(2,COLUMN())),OFFSET($CL$2,0,0,ROW()-1,84),ROW()-1,FALSE))</f>
        <v/>
      </c>
      <c r="CJ52" t="str">
        <f ca="1">IF(AND(ISNUMBER($CJ$296),$B$252=1),$CJ$296,HLOOKUP(INDIRECT(ADDRESS(2,COLUMN())),OFFSET($CL$2,0,0,ROW()-1,84),ROW()-1,FALSE))</f>
        <v/>
      </c>
      <c r="CK52" t="str">
        <f ca="1">IF(AND(ISNUMBER($CK$296),$B$252=1),$CK$296,HLOOKUP(INDIRECT(ADDRESS(2,COLUMN())),OFFSET($CL$2,0,0,ROW()-1,84),ROW()-1,FALSE))</f>
        <v/>
      </c>
      <c r="CL52" t="str">
        <f>""</f>
        <v/>
      </c>
      <c r="CM52">
        <f>2.446</f>
        <v>2.4460000000000002</v>
      </c>
      <c r="CN52">
        <f>2.446</f>
        <v>2.4460000000000002</v>
      </c>
      <c r="CO52">
        <f>2.446</f>
        <v>2.4460000000000002</v>
      </c>
      <c r="CP52">
        <f>2.441</f>
        <v>2.4409999999999998</v>
      </c>
      <c r="CQ52">
        <f>2.438</f>
        <v>2.4380000000000002</v>
      </c>
      <c r="CR52">
        <f>2.441</f>
        <v>2.4409999999999998</v>
      </c>
      <c r="CS52">
        <f>2.442</f>
        <v>2.4420000000000002</v>
      </c>
      <c r="CT52">
        <f>2.436</f>
        <v>2.4359999999999999</v>
      </c>
      <c r="CU52">
        <f>2.436</f>
        <v>2.4359999999999999</v>
      </c>
      <c r="CV52">
        <f>2.434</f>
        <v>2.4340000000000002</v>
      </c>
      <c r="CW52">
        <f>2.452</f>
        <v>2.452</v>
      </c>
      <c r="CX52">
        <f>2.448</f>
        <v>2.448</v>
      </c>
      <c r="CY52">
        <f>2.447</f>
        <v>2.4470000000000001</v>
      </c>
      <c r="CZ52">
        <f>2.451</f>
        <v>2.4510000000000001</v>
      </c>
      <c r="DA52">
        <f>2.451</f>
        <v>2.4510000000000001</v>
      </c>
      <c r="DB52">
        <f>2.455</f>
        <v>2.4550000000000001</v>
      </c>
      <c r="DC52">
        <f>2.474</f>
        <v>2.4740000000000002</v>
      </c>
      <c r="DD52">
        <f>2.495</f>
        <v>2.4950000000000001</v>
      </c>
      <c r="DE52">
        <f>2.495</f>
        <v>2.4950000000000001</v>
      </c>
      <c r="DF52">
        <f>2.483</f>
        <v>2.4830000000000001</v>
      </c>
      <c r="DG52">
        <f>2.467</f>
        <v>2.4670000000000001</v>
      </c>
      <c r="DH52">
        <f>2.479</f>
        <v>2.4790000000000001</v>
      </c>
      <c r="DI52">
        <f>2.456</f>
        <v>2.456</v>
      </c>
      <c r="DJ52">
        <f>2.47</f>
        <v>2.4700000000000002</v>
      </c>
      <c r="DK52">
        <f>2.491</f>
        <v>2.4910000000000001</v>
      </c>
      <c r="DL52">
        <f>2.547</f>
        <v>2.5470000000000002</v>
      </c>
      <c r="DM52">
        <f>2.565</f>
        <v>2.5649999999999999</v>
      </c>
      <c r="DN52">
        <f>2.567</f>
        <v>2.5670000000000002</v>
      </c>
      <c r="DO52">
        <f>2.582</f>
        <v>2.5819999999999999</v>
      </c>
      <c r="DP52" t="str">
        <f>""</f>
        <v/>
      </c>
      <c r="DQ52">
        <f>2.57</f>
        <v>2.57</v>
      </c>
      <c r="DR52">
        <f>2.52</f>
        <v>2.52</v>
      </c>
      <c r="DS52">
        <f>2.517</f>
        <v>2.5169999999999999</v>
      </c>
      <c r="DT52">
        <f>2.443</f>
        <v>2.4430000000000001</v>
      </c>
      <c r="DU52">
        <f>2.463</f>
        <v>2.4630000000000001</v>
      </c>
      <c r="DV52">
        <f>2.43</f>
        <v>2.4300000000000002</v>
      </c>
      <c r="DW52">
        <f>2.48</f>
        <v>2.48</v>
      </c>
      <c r="DX52" t="str">
        <f>""</f>
        <v/>
      </c>
      <c r="DY52" t="str">
        <f>""</f>
        <v/>
      </c>
      <c r="DZ52" t="str">
        <f>""</f>
        <v/>
      </c>
      <c r="EA52" t="str">
        <f>""</f>
        <v/>
      </c>
      <c r="EB52" t="str">
        <f>""</f>
        <v/>
      </c>
      <c r="EC52" t="str">
        <f>""</f>
        <v/>
      </c>
      <c r="ED52" t="str">
        <f>""</f>
        <v/>
      </c>
      <c r="EE52" t="str">
        <f>""</f>
        <v/>
      </c>
      <c r="EF52" t="str">
        <f>""</f>
        <v/>
      </c>
      <c r="EG52" t="str">
        <f>""</f>
        <v/>
      </c>
      <c r="EH52" t="str">
        <f>""</f>
        <v/>
      </c>
      <c r="EI52" t="str">
        <f>""</f>
        <v/>
      </c>
      <c r="EJ52" t="str">
        <f>""</f>
        <v/>
      </c>
      <c r="EK52" t="str">
        <f>""</f>
        <v/>
      </c>
      <c r="EL52" t="str">
        <f>""</f>
        <v/>
      </c>
      <c r="EM52" t="str">
        <f>""</f>
        <v/>
      </c>
      <c r="EN52" t="str">
        <f>""</f>
        <v/>
      </c>
      <c r="EO52" t="str">
        <f>""</f>
        <v/>
      </c>
      <c r="EP52" t="str">
        <f>""</f>
        <v/>
      </c>
      <c r="EQ52" t="str">
        <f>""</f>
        <v/>
      </c>
      <c r="ER52" t="str">
        <f>""</f>
        <v/>
      </c>
      <c r="ES52" t="str">
        <f>""</f>
        <v/>
      </c>
      <c r="ET52" t="str">
        <f>""</f>
        <v/>
      </c>
      <c r="EU52" t="str">
        <f>""</f>
        <v/>
      </c>
      <c r="EV52" t="str">
        <f>""</f>
        <v/>
      </c>
      <c r="EW52" t="str">
        <f>""</f>
        <v/>
      </c>
      <c r="EX52" t="str">
        <f>""</f>
        <v/>
      </c>
      <c r="EY52" t="str">
        <f>""</f>
        <v/>
      </c>
      <c r="EZ52" t="str">
        <f>""</f>
        <v/>
      </c>
      <c r="FA52" t="str">
        <f>""</f>
        <v/>
      </c>
      <c r="FB52" t="str">
        <f>""</f>
        <v/>
      </c>
      <c r="FC52" t="str">
        <f>""</f>
        <v/>
      </c>
      <c r="FD52" t="str">
        <f>""</f>
        <v/>
      </c>
      <c r="FE52" t="str">
        <f>""</f>
        <v/>
      </c>
      <c r="FF52" t="str">
        <f>""</f>
        <v/>
      </c>
      <c r="FG52" t="str">
        <f>""</f>
        <v/>
      </c>
      <c r="FH52" t="str">
        <f>""</f>
        <v/>
      </c>
      <c r="FI52" t="str">
        <f>""</f>
        <v/>
      </c>
      <c r="FJ52" t="str">
        <f>""</f>
        <v/>
      </c>
      <c r="FK52" t="str">
        <f>""</f>
        <v/>
      </c>
      <c r="FL52" t="str">
        <f>""</f>
        <v/>
      </c>
      <c r="FM52" t="str">
        <f>""</f>
        <v/>
      </c>
      <c r="FN52" t="str">
        <f>""</f>
        <v/>
      </c>
      <c r="FO52" t="str">
        <f>""</f>
        <v/>
      </c>
      <c r="FP52" t="str">
        <f>""</f>
        <v/>
      </c>
      <c r="FQ52" t="str">
        <f>""</f>
        <v/>
      </c>
    </row>
    <row r="53" spans="1:173">
      <c r="A53" t="str">
        <f>"    AvalonBay社区股份有限公司"</f>
        <v xml:space="preserve">    AvalonBay社区股份有限公司</v>
      </c>
      <c r="B53" t="str">
        <f>"AVB US Equity"</f>
        <v>AVB US Equity</v>
      </c>
      <c r="C53" t="str">
        <f t="shared" si="18"/>
        <v>BE038</v>
      </c>
      <c r="D53" t="str">
        <f t="shared" si="19"/>
        <v>BEST_FFOPS</v>
      </c>
      <c r="E53" t="str">
        <f t="shared" si="20"/>
        <v>动态</v>
      </c>
      <c r="F53" t="str">
        <f ca="1">IF(AND(ISNUMBER($F$297),$B$252=1),$F$297,HLOOKUP(INDIRECT(ADDRESS(2,COLUMN())),OFFSET($CL$2,0,0,ROW()-1,84),ROW()-1,FALSE))</f>
        <v/>
      </c>
      <c r="G53" t="str">
        <f ca="1">IF(AND(ISNUMBER($G$297),$B$252=1),$G$297,HLOOKUP(INDIRECT(ADDRESS(2,COLUMN())),OFFSET($CL$2,0,0,ROW()-1,84),ROW()-1,FALSE))</f>
        <v/>
      </c>
      <c r="H53">
        <f ca="1">IF(AND(ISNUMBER($H$297),$B$252=1),$H$297,HLOOKUP(INDIRECT(ADDRESS(2,COLUMN())),OFFSET($CL$2,0,0,ROW()-1,84),ROW()-1,FALSE))</f>
        <v>8.58</v>
      </c>
      <c r="I53">
        <f ca="1">IF(AND(ISNUMBER($I$297),$B$252=1),$I$297,HLOOKUP(INDIRECT(ADDRESS(2,COLUMN())),OFFSET($CL$2,0,0,ROW()-1,84),ROW()-1,FALSE))</f>
        <v>8.5879999999999992</v>
      </c>
      <c r="J53">
        <f ca="1">IF(AND(ISNUMBER($J$297),$B$252=1),$J$297,HLOOKUP(INDIRECT(ADDRESS(2,COLUMN())),OFFSET($CL$2,0,0,ROW()-1,84),ROW()-1,FALSE))</f>
        <v>8.5530000000000008</v>
      </c>
      <c r="K53">
        <f ca="1">IF(AND(ISNUMBER($K$297),$B$252=1),$K$297,HLOOKUP(INDIRECT(ADDRESS(2,COLUMN())),OFFSET($CL$2,0,0,ROW()-1,84),ROW()-1,FALSE))</f>
        <v>8.5449999999999999</v>
      </c>
      <c r="L53">
        <f ca="1">IF(AND(ISNUMBER($L$297),$B$252=1),$L$297,HLOOKUP(INDIRECT(ADDRESS(2,COLUMN())),OFFSET($CL$2,0,0,ROW()-1,84),ROW()-1,FALSE))</f>
        <v>8.5519999999999996</v>
      </c>
      <c r="M53">
        <f ca="1">IF(AND(ISNUMBER($M$297),$B$252=1),$M$297,HLOOKUP(INDIRECT(ADDRESS(2,COLUMN())),OFFSET($CL$2,0,0,ROW()-1,84),ROW()-1,FALSE))</f>
        <v>8.5660000000000007</v>
      </c>
      <c r="N53">
        <f ca="1">IF(AND(ISNUMBER($N$297),$B$252=1),$N$297,HLOOKUP(INDIRECT(ADDRESS(2,COLUMN())),OFFSET($CL$2,0,0,ROW()-1,84),ROW()-1,FALSE))</f>
        <v>8.625</v>
      </c>
      <c r="O53">
        <f ca="1">IF(AND(ISNUMBER($O$297),$B$252=1),$O$297,HLOOKUP(INDIRECT(ADDRESS(2,COLUMN())),OFFSET($CL$2,0,0,ROW()-1,84),ROW()-1,FALSE))</f>
        <v>8.6379999999999999</v>
      </c>
      <c r="P53">
        <f ca="1">IF(AND(ISNUMBER($P$297),$B$252=1),$P$297,HLOOKUP(INDIRECT(ADDRESS(2,COLUMN())),OFFSET($CL$2,0,0,ROW()-1,84),ROW()-1,FALSE))</f>
        <v>8.6739999999999995</v>
      </c>
      <c r="Q53">
        <f ca="1">IF(AND(ISNUMBER($Q$297),$B$252=1),$Q$297,HLOOKUP(INDIRECT(ADDRESS(2,COLUMN())),OFFSET($CL$2,0,0,ROW()-1,84),ROW()-1,FALSE))</f>
        <v>8.6839999999999993</v>
      </c>
      <c r="R53">
        <f ca="1">IF(AND(ISNUMBER($R$297),$B$252=1),$R$297,HLOOKUP(INDIRECT(ADDRESS(2,COLUMN())),OFFSET($CL$2,0,0,ROW()-1,84),ROW()-1,FALSE))</f>
        <v>8.6890000000000001</v>
      </c>
      <c r="S53">
        <f ca="1">IF(AND(ISNUMBER($S$297),$B$252=1),$S$297,HLOOKUP(INDIRECT(ADDRESS(2,COLUMN())),OFFSET($CL$2,0,0,ROW()-1,84),ROW()-1,FALSE))</f>
        <v>8.6809999999999992</v>
      </c>
      <c r="T53">
        <f ca="1">IF(AND(ISNUMBER($T$297),$B$252=1),$T$297,HLOOKUP(INDIRECT(ADDRESS(2,COLUMN())),OFFSET($CL$2,0,0,ROW()-1,84),ROW()-1,FALSE))</f>
        <v>8.734</v>
      </c>
      <c r="U53">
        <f ca="1">IF(AND(ISNUMBER($U$297),$B$252=1),$U$297,HLOOKUP(INDIRECT(ADDRESS(2,COLUMN())),OFFSET($CL$2,0,0,ROW()-1,84),ROW()-1,FALSE))</f>
        <v>8.7270000000000003</v>
      </c>
      <c r="V53">
        <f ca="1">IF(AND(ISNUMBER($V$297),$B$252=1),$V$297,HLOOKUP(INDIRECT(ADDRESS(2,COLUMN())),OFFSET($CL$2,0,0,ROW()-1,84),ROW()-1,FALSE))</f>
        <v>8.7439999999999998</v>
      </c>
      <c r="W53">
        <f ca="1">IF(AND(ISNUMBER($W$297),$B$252=1),$W$297,HLOOKUP(INDIRECT(ADDRESS(2,COLUMN())),OFFSET($CL$2,0,0,ROW()-1,84),ROW()-1,FALSE))</f>
        <v>8.7829999999999995</v>
      </c>
      <c r="X53">
        <f ca="1">IF(AND(ISNUMBER($X$297),$B$252=1),$X$297,HLOOKUP(INDIRECT(ADDRESS(2,COLUMN())),OFFSET($CL$2,0,0,ROW()-1,84),ROW()-1,FALSE))</f>
        <v>8.8559999999999999</v>
      </c>
      <c r="Y53">
        <f ca="1">IF(AND(ISNUMBER($Y$297),$B$252=1),$Y$297,HLOOKUP(INDIRECT(ADDRESS(2,COLUMN())),OFFSET($CL$2,0,0,ROW()-1,84),ROW()-1,FALSE))</f>
        <v>8.8529999999999998</v>
      </c>
      <c r="Z53">
        <f ca="1">IF(AND(ISNUMBER($Z$297),$B$252=1),$Z$297,HLOOKUP(INDIRECT(ADDRESS(2,COLUMN())),OFFSET($CL$2,0,0,ROW()-1,84),ROW()-1,FALSE))</f>
        <v>8.9209999999999994</v>
      </c>
      <c r="AA53">
        <f ca="1">IF(AND(ISNUMBER($AA$297),$B$252=1),$AA$297,HLOOKUP(INDIRECT(ADDRESS(2,COLUMN())),OFFSET($CL$2,0,0,ROW()-1,84),ROW()-1,FALSE))</f>
        <v>8.9420000000000002</v>
      </c>
      <c r="AB53">
        <f ca="1">IF(AND(ISNUMBER($AB$297),$B$252=1),$AB$297,HLOOKUP(INDIRECT(ADDRESS(2,COLUMN())),OFFSET($CL$2,0,0,ROW()-1,84),ROW()-1,FALSE))</f>
        <v>8.9420000000000002</v>
      </c>
      <c r="AC53">
        <f ca="1">IF(AND(ISNUMBER($AC$297),$B$252=1),$AC$297,HLOOKUP(INDIRECT(ADDRESS(2,COLUMN())),OFFSET($CL$2,0,0,ROW()-1,84),ROW()-1,FALSE))</f>
        <v>8.9290000000000003</v>
      </c>
      <c r="AD53">
        <f ca="1">IF(AND(ISNUMBER($AD$297),$B$252=1),$AD$297,HLOOKUP(INDIRECT(ADDRESS(2,COLUMN())),OFFSET($CL$2,0,0,ROW()-1,84),ROW()-1,FALSE))</f>
        <v>8.9730000000000008</v>
      </c>
      <c r="AE53">
        <f ca="1">IF(AND(ISNUMBER($AE$297),$B$252=1),$AE$297,HLOOKUP(INDIRECT(ADDRESS(2,COLUMN())),OFFSET($CL$2,0,0,ROW()-1,84),ROW()-1,FALSE))</f>
        <v>8.98</v>
      </c>
      <c r="AF53">
        <f ca="1">IF(AND(ISNUMBER($AF$297),$B$252=1),$AF$297,HLOOKUP(INDIRECT(ADDRESS(2,COLUMN())),OFFSET($CL$2,0,0,ROW()-1,84),ROW()-1,FALSE))</f>
        <v>8.9489999999999998</v>
      </c>
      <c r="AG53">
        <f ca="1">IF(AND(ISNUMBER($AG$297),$B$252=1),$AG$297,HLOOKUP(INDIRECT(ADDRESS(2,COLUMN())),OFFSET($CL$2,0,0,ROW()-1,84),ROW()-1,FALSE))</f>
        <v>8.9640000000000004</v>
      </c>
      <c r="AH53">
        <f ca="1">IF(AND(ISNUMBER($AH$297),$B$252=1),$AH$297,HLOOKUP(INDIRECT(ADDRESS(2,COLUMN())),OFFSET($CL$2,0,0,ROW()-1,84),ROW()-1,FALSE))</f>
        <v>8.9280000000000008</v>
      </c>
      <c r="AI53">
        <f ca="1">IF(AND(ISNUMBER($AI$297),$B$252=1),$AI$297,HLOOKUP(INDIRECT(ADDRESS(2,COLUMN())),OFFSET($CL$2,0,0,ROW()-1,84),ROW()-1,FALSE))</f>
        <v>8.8859999999999992</v>
      </c>
      <c r="AJ53" t="str">
        <f ca="1">IF(AND(ISNUMBER($AJ$297),$B$252=1),$AJ$297,HLOOKUP(INDIRECT(ADDRESS(2,COLUMN())),OFFSET($CL$2,0,0,ROW()-1,84),ROW()-1,FALSE))</f>
        <v/>
      </c>
      <c r="AK53">
        <f ca="1">IF(AND(ISNUMBER($AK$297),$B$252=1),$AK$297,HLOOKUP(INDIRECT(ADDRESS(2,COLUMN())),OFFSET($CL$2,0,0,ROW()-1,84),ROW()-1,FALSE))</f>
        <v>8.8239999999999998</v>
      </c>
      <c r="AL53">
        <f ca="1">IF(AND(ISNUMBER($AL$297),$B$252=1),$AL$297,HLOOKUP(INDIRECT(ADDRESS(2,COLUMN())),OFFSET($CL$2,0,0,ROW()-1,84),ROW()-1,FALSE))</f>
        <v>8.6790000000000003</v>
      </c>
      <c r="AM53">
        <f ca="1">IF(AND(ISNUMBER($AM$297),$B$252=1),$AM$297,HLOOKUP(INDIRECT(ADDRESS(2,COLUMN())),OFFSET($CL$2,0,0,ROW()-1,84),ROW()-1,FALSE))</f>
        <v>8.6050000000000004</v>
      </c>
      <c r="AN53">
        <f ca="1">IF(AND(ISNUMBER($AN$297),$B$252=1),$AN$297,HLOOKUP(INDIRECT(ADDRESS(2,COLUMN())),OFFSET($CL$2,0,0,ROW()-1,84),ROW()-1,FALSE))</f>
        <v>8.5839999999999996</v>
      </c>
      <c r="AO53">
        <f ca="1">IF(AND(ISNUMBER($AO$297),$B$252=1),$AO$297,HLOOKUP(INDIRECT(ADDRESS(2,COLUMN())),OFFSET($CL$2,0,0,ROW()-1,84),ROW()-1,FALSE))</f>
        <v>8.56</v>
      </c>
      <c r="AP53">
        <f ca="1">IF(AND(ISNUMBER($AP$297),$B$252=1),$AP$297,HLOOKUP(INDIRECT(ADDRESS(2,COLUMN())),OFFSET($CL$2,0,0,ROW()-1,84),ROW()-1,FALSE))</f>
        <v>8.49</v>
      </c>
      <c r="AQ53">
        <f ca="1">IF(AND(ISNUMBER($AQ$297),$B$252=1),$AQ$297,HLOOKUP(INDIRECT(ADDRESS(2,COLUMN())),OFFSET($CL$2,0,0,ROW()-1,84),ROW()-1,FALSE))</f>
        <v>8.5869999999999997</v>
      </c>
      <c r="AR53">
        <f ca="1">IF(AND(ISNUMBER($AR$297),$B$252=1),$AR$297,HLOOKUP(INDIRECT(ADDRESS(2,COLUMN())),OFFSET($CL$2,0,0,ROW()-1,84),ROW()-1,FALSE))</f>
        <v>8.42</v>
      </c>
      <c r="AS53" t="str">
        <f ca="1">IF(AND(ISNUMBER($AS$297),$B$252=1),$AS$297,HLOOKUP(INDIRECT(ADDRESS(2,COLUMN())),OFFSET($CL$2,0,0,ROW()-1,84),ROW()-1,FALSE))</f>
        <v/>
      </c>
      <c r="AT53" t="str">
        <f ca="1">IF(AND(ISNUMBER($AT$297),$B$252=1),$AT$297,HLOOKUP(INDIRECT(ADDRESS(2,COLUMN())),OFFSET($CL$2,0,0,ROW()-1,84),ROW()-1,FALSE))</f>
        <v/>
      </c>
      <c r="AU53" t="str">
        <f ca="1">IF(AND(ISNUMBER($AU$297),$B$252=1),$AU$297,HLOOKUP(INDIRECT(ADDRESS(2,COLUMN())),OFFSET($CL$2,0,0,ROW()-1,84),ROW()-1,FALSE))</f>
        <v/>
      </c>
      <c r="AV53" t="str">
        <f ca="1">IF(AND(ISNUMBER($AV$297),$B$252=1),$AV$297,HLOOKUP(INDIRECT(ADDRESS(2,COLUMN())),OFFSET($CL$2,0,0,ROW()-1,84),ROW()-1,FALSE))</f>
        <v/>
      </c>
      <c r="AW53" t="str">
        <f ca="1">IF(AND(ISNUMBER($AW$297),$B$252=1),$AW$297,HLOOKUP(INDIRECT(ADDRESS(2,COLUMN())),OFFSET($CL$2,0,0,ROW()-1,84),ROW()-1,FALSE))</f>
        <v/>
      </c>
      <c r="AX53" t="str">
        <f ca="1">IF(AND(ISNUMBER($AX$297),$B$252=1),$AX$297,HLOOKUP(INDIRECT(ADDRESS(2,COLUMN())),OFFSET($CL$2,0,0,ROW()-1,84),ROW()-1,FALSE))</f>
        <v/>
      </c>
      <c r="AY53" t="str">
        <f ca="1">IF(AND(ISNUMBER($AY$297),$B$252=1),$AY$297,HLOOKUP(INDIRECT(ADDRESS(2,COLUMN())),OFFSET($CL$2,0,0,ROW()-1,84),ROW()-1,FALSE))</f>
        <v/>
      </c>
      <c r="AZ53" t="str">
        <f ca="1">IF(AND(ISNUMBER($AZ$297),$B$252=1),$AZ$297,HLOOKUP(INDIRECT(ADDRESS(2,COLUMN())),OFFSET($CL$2,0,0,ROW()-1,84),ROW()-1,FALSE))</f>
        <v/>
      </c>
      <c r="BA53" t="str">
        <f ca="1">IF(AND(ISNUMBER($BA$297),$B$252=1),$BA$297,HLOOKUP(INDIRECT(ADDRESS(2,COLUMN())),OFFSET($CL$2,0,0,ROW()-1,84),ROW()-1,FALSE))</f>
        <v/>
      </c>
      <c r="BB53" t="str">
        <f ca="1">IF(AND(ISNUMBER($BB$297),$B$252=1),$BB$297,HLOOKUP(INDIRECT(ADDRESS(2,COLUMN())),OFFSET($CL$2,0,0,ROW()-1,84),ROW()-1,FALSE))</f>
        <v/>
      </c>
      <c r="BC53" t="str">
        <f ca="1">IF(AND(ISNUMBER($BC$297),$B$252=1),$BC$297,HLOOKUP(INDIRECT(ADDRESS(2,COLUMN())),OFFSET($CL$2,0,0,ROW()-1,84),ROW()-1,FALSE))</f>
        <v/>
      </c>
      <c r="BD53" t="str">
        <f ca="1">IF(AND(ISNUMBER($BD$297),$B$252=1),$BD$297,HLOOKUP(INDIRECT(ADDRESS(2,COLUMN())),OFFSET($CL$2,0,0,ROW()-1,84),ROW()-1,FALSE))</f>
        <v/>
      </c>
      <c r="BE53" t="str">
        <f ca="1">IF(AND(ISNUMBER($BE$297),$B$252=1),$BE$297,HLOOKUP(INDIRECT(ADDRESS(2,COLUMN())),OFFSET($CL$2,0,0,ROW()-1,84),ROW()-1,FALSE))</f>
        <v/>
      </c>
      <c r="BF53" t="str">
        <f ca="1">IF(AND(ISNUMBER($BF$297),$B$252=1),$BF$297,HLOOKUP(INDIRECT(ADDRESS(2,COLUMN())),OFFSET($CL$2,0,0,ROW()-1,84),ROW()-1,FALSE))</f>
        <v/>
      </c>
      <c r="BG53" t="str">
        <f ca="1">IF(AND(ISNUMBER($BG$297),$B$252=1),$BG$297,HLOOKUP(INDIRECT(ADDRESS(2,COLUMN())),OFFSET($CL$2,0,0,ROW()-1,84),ROW()-1,FALSE))</f>
        <v/>
      </c>
      <c r="BH53" t="str">
        <f ca="1">IF(AND(ISNUMBER($BH$297),$B$252=1),$BH$297,HLOOKUP(INDIRECT(ADDRESS(2,COLUMN())),OFFSET($CL$2,0,0,ROW()-1,84),ROW()-1,FALSE))</f>
        <v/>
      </c>
      <c r="BI53" t="str">
        <f ca="1">IF(AND(ISNUMBER($BI$297),$B$252=1),$BI$297,HLOOKUP(INDIRECT(ADDRESS(2,COLUMN())),OFFSET($CL$2,0,0,ROW()-1,84),ROW()-1,FALSE))</f>
        <v/>
      </c>
      <c r="BJ53" t="str">
        <f ca="1">IF(AND(ISNUMBER($BJ$297),$B$252=1),$BJ$297,HLOOKUP(INDIRECT(ADDRESS(2,COLUMN())),OFFSET($CL$2,0,0,ROW()-1,84),ROW()-1,FALSE))</f>
        <v/>
      </c>
      <c r="BK53" t="str">
        <f ca="1">IF(AND(ISNUMBER($BK$297),$B$252=1),$BK$297,HLOOKUP(INDIRECT(ADDRESS(2,COLUMN())),OFFSET($CL$2,0,0,ROW()-1,84),ROW()-1,FALSE))</f>
        <v/>
      </c>
      <c r="BL53" t="str">
        <f ca="1">IF(AND(ISNUMBER($BL$297),$B$252=1),$BL$297,HLOOKUP(INDIRECT(ADDRESS(2,COLUMN())),OFFSET($CL$2,0,0,ROW()-1,84),ROW()-1,FALSE))</f>
        <v/>
      </c>
      <c r="BM53" t="str">
        <f ca="1">IF(AND(ISNUMBER($BM$297),$B$252=1),$BM$297,HLOOKUP(INDIRECT(ADDRESS(2,COLUMN())),OFFSET($CL$2,0,0,ROW()-1,84),ROW()-1,FALSE))</f>
        <v/>
      </c>
      <c r="BN53" t="str">
        <f ca="1">IF(AND(ISNUMBER($BN$297),$B$252=1),$BN$297,HLOOKUP(INDIRECT(ADDRESS(2,COLUMN())),OFFSET($CL$2,0,0,ROW()-1,84),ROW()-1,FALSE))</f>
        <v/>
      </c>
      <c r="BO53" t="str">
        <f ca="1">IF(AND(ISNUMBER($BO$297),$B$252=1),$BO$297,HLOOKUP(INDIRECT(ADDRESS(2,COLUMN())),OFFSET($CL$2,0,0,ROW()-1,84),ROW()-1,FALSE))</f>
        <v/>
      </c>
      <c r="BP53" t="str">
        <f ca="1">IF(AND(ISNUMBER($BP$297),$B$252=1),$BP$297,HLOOKUP(INDIRECT(ADDRESS(2,COLUMN())),OFFSET($CL$2,0,0,ROW()-1,84),ROW()-1,FALSE))</f>
        <v/>
      </c>
      <c r="BQ53" t="str">
        <f ca="1">IF(AND(ISNUMBER($BQ$297),$B$252=1),$BQ$297,HLOOKUP(INDIRECT(ADDRESS(2,COLUMN())),OFFSET($CL$2,0,0,ROW()-1,84),ROW()-1,FALSE))</f>
        <v/>
      </c>
      <c r="BR53" t="str">
        <f ca="1">IF(AND(ISNUMBER($BR$297),$B$252=1),$BR$297,HLOOKUP(INDIRECT(ADDRESS(2,COLUMN())),OFFSET($CL$2,0,0,ROW()-1,84),ROW()-1,FALSE))</f>
        <v/>
      </c>
      <c r="BS53" t="str">
        <f ca="1">IF(AND(ISNUMBER($BS$297),$B$252=1),$BS$297,HLOOKUP(INDIRECT(ADDRESS(2,COLUMN())),OFFSET($CL$2,0,0,ROW()-1,84),ROW()-1,FALSE))</f>
        <v/>
      </c>
      <c r="BT53" t="str">
        <f ca="1">IF(AND(ISNUMBER($BT$297),$B$252=1),$BT$297,HLOOKUP(INDIRECT(ADDRESS(2,COLUMN())),OFFSET($CL$2,0,0,ROW()-1,84),ROW()-1,FALSE))</f>
        <v/>
      </c>
      <c r="BU53" t="str">
        <f ca="1">IF(AND(ISNUMBER($BU$297),$B$252=1),$BU$297,HLOOKUP(INDIRECT(ADDRESS(2,COLUMN())),OFFSET($CL$2,0,0,ROW()-1,84),ROW()-1,FALSE))</f>
        <v/>
      </c>
      <c r="BV53" t="str">
        <f ca="1">IF(AND(ISNUMBER($BV$297),$B$252=1),$BV$297,HLOOKUP(INDIRECT(ADDRESS(2,COLUMN())),OFFSET($CL$2,0,0,ROW()-1,84),ROW()-1,FALSE))</f>
        <v/>
      </c>
      <c r="BW53" t="str">
        <f ca="1">IF(AND(ISNUMBER($BW$297),$B$252=1),$BW$297,HLOOKUP(INDIRECT(ADDRESS(2,COLUMN())),OFFSET($CL$2,0,0,ROW()-1,84),ROW()-1,FALSE))</f>
        <v/>
      </c>
      <c r="BX53" t="str">
        <f ca="1">IF(AND(ISNUMBER($BX$297),$B$252=1),$BX$297,HLOOKUP(INDIRECT(ADDRESS(2,COLUMN())),OFFSET($CL$2,0,0,ROW()-1,84),ROW()-1,FALSE))</f>
        <v/>
      </c>
      <c r="BY53" t="str">
        <f ca="1">IF(AND(ISNUMBER($BY$297),$B$252=1),$BY$297,HLOOKUP(INDIRECT(ADDRESS(2,COLUMN())),OFFSET($CL$2,0,0,ROW()-1,84),ROW()-1,FALSE))</f>
        <v/>
      </c>
      <c r="BZ53" t="str">
        <f ca="1">IF(AND(ISNUMBER($BZ$297),$B$252=1),$BZ$297,HLOOKUP(INDIRECT(ADDRESS(2,COLUMN())),OFFSET($CL$2,0,0,ROW()-1,84),ROW()-1,FALSE))</f>
        <v/>
      </c>
      <c r="CA53" t="str">
        <f ca="1">IF(AND(ISNUMBER($CA$297),$B$252=1),$CA$297,HLOOKUP(INDIRECT(ADDRESS(2,COLUMN())),OFFSET($CL$2,0,0,ROW()-1,84),ROW()-1,FALSE))</f>
        <v/>
      </c>
      <c r="CB53" t="str">
        <f ca="1">IF(AND(ISNUMBER($CB$297),$B$252=1),$CB$297,HLOOKUP(INDIRECT(ADDRESS(2,COLUMN())),OFFSET($CL$2,0,0,ROW()-1,84),ROW()-1,FALSE))</f>
        <v/>
      </c>
      <c r="CC53" t="str">
        <f ca="1">IF(AND(ISNUMBER($CC$297),$B$252=1),$CC$297,HLOOKUP(INDIRECT(ADDRESS(2,COLUMN())),OFFSET($CL$2,0,0,ROW()-1,84),ROW()-1,FALSE))</f>
        <v/>
      </c>
      <c r="CD53" t="str">
        <f ca="1">IF(AND(ISNUMBER($CD$297),$B$252=1),$CD$297,HLOOKUP(INDIRECT(ADDRESS(2,COLUMN())),OFFSET($CL$2,0,0,ROW()-1,84),ROW()-1,FALSE))</f>
        <v/>
      </c>
      <c r="CE53" t="str">
        <f ca="1">IF(AND(ISNUMBER($CE$297),$B$252=1),$CE$297,HLOOKUP(INDIRECT(ADDRESS(2,COLUMN())),OFFSET($CL$2,0,0,ROW()-1,84),ROW()-1,FALSE))</f>
        <v/>
      </c>
      <c r="CF53" t="str">
        <f ca="1">IF(AND(ISNUMBER($CF$297),$B$252=1),$CF$297,HLOOKUP(INDIRECT(ADDRESS(2,COLUMN())),OFFSET($CL$2,0,0,ROW()-1,84),ROW()-1,FALSE))</f>
        <v/>
      </c>
      <c r="CG53" t="str">
        <f ca="1">IF(AND(ISNUMBER($CG$297),$B$252=1),$CG$297,HLOOKUP(INDIRECT(ADDRESS(2,COLUMN())),OFFSET($CL$2,0,0,ROW()-1,84),ROW()-1,FALSE))</f>
        <v/>
      </c>
      <c r="CH53" t="str">
        <f ca="1">IF(AND(ISNUMBER($CH$297),$B$252=1),$CH$297,HLOOKUP(INDIRECT(ADDRESS(2,COLUMN())),OFFSET($CL$2,0,0,ROW()-1,84),ROW()-1,FALSE))</f>
        <v/>
      </c>
      <c r="CI53" t="str">
        <f ca="1">IF(AND(ISNUMBER($CI$297),$B$252=1),$CI$297,HLOOKUP(INDIRECT(ADDRESS(2,COLUMN())),OFFSET($CL$2,0,0,ROW()-1,84),ROW()-1,FALSE))</f>
        <v/>
      </c>
      <c r="CJ53" t="str">
        <f ca="1">IF(AND(ISNUMBER($CJ$297),$B$252=1),$CJ$297,HLOOKUP(INDIRECT(ADDRESS(2,COLUMN())),OFFSET($CL$2,0,0,ROW()-1,84),ROW()-1,FALSE))</f>
        <v/>
      </c>
      <c r="CK53" t="str">
        <f ca="1">IF(AND(ISNUMBER($CK$297),$B$252=1),$CK$297,HLOOKUP(INDIRECT(ADDRESS(2,COLUMN())),OFFSET($CL$2,0,0,ROW()-1,84),ROW()-1,FALSE))</f>
        <v/>
      </c>
      <c r="CL53" t="str">
        <f>""</f>
        <v/>
      </c>
      <c r="CM53" t="str">
        <f>""</f>
        <v/>
      </c>
      <c r="CN53">
        <f>8.58</f>
        <v>8.58</v>
      </c>
      <c r="CO53">
        <f>8.588</f>
        <v>8.5879999999999992</v>
      </c>
      <c r="CP53">
        <f>8.553</f>
        <v>8.5530000000000008</v>
      </c>
      <c r="CQ53">
        <f>8.545</f>
        <v>8.5449999999999999</v>
      </c>
      <c r="CR53">
        <f>8.552</f>
        <v>8.5519999999999996</v>
      </c>
      <c r="CS53">
        <f>8.566</f>
        <v>8.5660000000000007</v>
      </c>
      <c r="CT53">
        <f>8.625</f>
        <v>8.625</v>
      </c>
      <c r="CU53">
        <f>8.638</f>
        <v>8.6379999999999999</v>
      </c>
      <c r="CV53">
        <f>8.674</f>
        <v>8.6739999999999995</v>
      </c>
      <c r="CW53">
        <f>8.684</f>
        <v>8.6839999999999993</v>
      </c>
      <c r="CX53">
        <f>8.689</f>
        <v>8.6890000000000001</v>
      </c>
      <c r="CY53">
        <f>8.681</f>
        <v>8.6809999999999992</v>
      </c>
      <c r="CZ53">
        <f>8.734</f>
        <v>8.734</v>
      </c>
      <c r="DA53">
        <f>8.727</f>
        <v>8.7270000000000003</v>
      </c>
      <c r="DB53">
        <f>8.744</f>
        <v>8.7439999999999998</v>
      </c>
      <c r="DC53">
        <f>8.783</f>
        <v>8.7829999999999995</v>
      </c>
      <c r="DD53">
        <f>8.856</f>
        <v>8.8559999999999999</v>
      </c>
      <c r="DE53">
        <f>8.853</f>
        <v>8.8529999999999998</v>
      </c>
      <c r="DF53">
        <f>8.921</f>
        <v>8.9209999999999994</v>
      </c>
      <c r="DG53">
        <f>8.942</f>
        <v>8.9420000000000002</v>
      </c>
      <c r="DH53">
        <f>8.942</f>
        <v>8.9420000000000002</v>
      </c>
      <c r="DI53">
        <f>8.929</f>
        <v>8.9290000000000003</v>
      </c>
      <c r="DJ53">
        <f>8.973</f>
        <v>8.9730000000000008</v>
      </c>
      <c r="DK53">
        <f>8.98</f>
        <v>8.98</v>
      </c>
      <c r="DL53">
        <f>8.949</f>
        <v>8.9489999999999998</v>
      </c>
      <c r="DM53">
        <f>8.964</f>
        <v>8.9640000000000004</v>
      </c>
      <c r="DN53">
        <f>8.928</f>
        <v>8.9280000000000008</v>
      </c>
      <c r="DO53">
        <f>8.886</f>
        <v>8.8859999999999992</v>
      </c>
      <c r="DP53" t="str">
        <f>""</f>
        <v/>
      </c>
      <c r="DQ53">
        <f>8.824</f>
        <v>8.8239999999999998</v>
      </c>
      <c r="DR53">
        <f>8.679</f>
        <v>8.6790000000000003</v>
      </c>
      <c r="DS53">
        <f>8.605</f>
        <v>8.6050000000000004</v>
      </c>
      <c r="DT53">
        <f>8.584</f>
        <v>8.5839999999999996</v>
      </c>
      <c r="DU53">
        <f>8.56</f>
        <v>8.56</v>
      </c>
      <c r="DV53">
        <f>8.49</f>
        <v>8.49</v>
      </c>
      <c r="DW53">
        <f>8.587</f>
        <v>8.5869999999999997</v>
      </c>
      <c r="DX53">
        <f>8.42</f>
        <v>8.42</v>
      </c>
      <c r="DY53" t="str">
        <f>""</f>
        <v/>
      </c>
      <c r="DZ53" t="str">
        <f>""</f>
        <v/>
      </c>
      <c r="EA53" t="str">
        <f>""</f>
        <v/>
      </c>
      <c r="EB53" t="str">
        <f>""</f>
        <v/>
      </c>
      <c r="EC53" t="str">
        <f>""</f>
        <v/>
      </c>
      <c r="ED53" t="str">
        <f>""</f>
        <v/>
      </c>
      <c r="EE53" t="str">
        <f>""</f>
        <v/>
      </c>
      <c r="EF53" t="str">
        <f>""</f>
        <v/>
      </c>
      <c r="EG53" t="str">
        <f>""</f>
        <v/>
      </c>
      <c r="EH53" t="str">
        <f>""</f>
        <v/>
      </c>
      <c r="EI53" t="str">
        <f>""</f>
        <v/>
      </c>
      <c r="EJ53" t="str">
        <f>""</f>
        <v/>
      </c>
      <c r="EK53" t="str">
        <f>""</f>
        <v/>
      </c>
      <c r="EL53" t="str">
        <f>""</f>
        <v/>
      </c>
      <c r="EM53" t="str">
        <f>""</f>
        <v/>
      </c>
      <c r="EN53" t="str">
        <f>""</f>
        <v/>
      </c>
      <c r="EO53" t="str">
        <f>""</f>
        <v/>
      </c>
      <c r="EP53" t="str">
        <f>""</f>
        <v/>
      </c>
      <c r="EQ53" t="str">
        <f>""</f>
        <v/>
      </c>
      <c r="ER53" t="str">
        <f>""</f>
        <v/>
      </c>
      <c r="ES53" t="str">
        <f>""</f>
        <v/>
      </c>
      <c r="ET53" t="str">
        <f>""</f>
        <v/>
      </c>
      <c r="EU53" t="str">
        <f>""</f>
        <v/>
      </c>
      <c r="EV53" t="str">
        <f>""</f>
        <v/>
      </c>
      <c r="EW53" t="str">
        <f>""</f>
        <v/>
      </c>
      <c r="EX53" t="str">
        <f>""</f>
        <v/>
      </c>
      <c r="EY53" t="str">
        <f>""</f>
        <v/>
      </c>
      <c r="EZ53" t="str">
        <f>""</f>
        <v/>
      </c>
      <c r="FA53" t="str">
        <f>""</f>
        <v/>
      </c>
      <c r="FB53" t="str">
        <f>""</f>
        <v/>
      </c>
      <c r="FC53" t="str">
        <f>""</f>
        <v/>
      </c>
      <c r="FD53" t="str">
        <f>""</f>
        <v/>
      </c>
      <c r="FE53" t="str">
        <f>""</f>
        <v/>
      </c>
      <c r="FF53" t="str">
        <f>""</f>
        <v/>
      </c>
      <c r="FG53" t="str">
        <f>""</f>
        <v/>
      </c>
      <c r="FH53" t="str">
        <f>""</f>
        <v/>
      </c>
      <c r="FI53" t="str">
        <f>""</f>
        <v/>
      </c>
      <c r="FJ53" t="str">
        <f>""</f>
        <v/>
      </c>
      <c r="FK53" t="str">
        <f>""</f>
        <v/>
      </c>
      <c r="FL53" t="str">
        <f>""</f>
        <v/>
      </c>
      <c r="FM53" t="str">
        <f>""</f>
        <v/>
      </c>
      <c r="FN53" t="str">
        <f>""</f>
        <v/>
      </c>
      <c r="FO53" t="str">
        <f>""</f>
        <v/>
      </c>
      <c r="FP53" t="str">
        <f>""</f>
        <v/>
      </c>
      <c r="FQ53" t="str">
        <f>""</f>
        <v/>
      </c>
    </row>
    <row r="54" spans="1:173">
      <c r="A54" t="str">
        <f>"    Camden 房地产信托公司"</f>
        <v xml:space="preserve">    Camden 房地产信托公司</v>
      </c>
      <c r="B54" t="str">
        <f>"CPT US Equity"</f>
        <v>CPT US Equity</v>
      </c>
      <c r="C54" t="str">
        <f t="shared" si="18"/>
        <v>BE038</v>
      </c>
      <c r="D54" t="str">
        <f t="shared" si="19"/>
        <v>BEST_FFOPS</v>
      </c>
      <c r="E54" t="str">
        <f t="shared" si="20"/>
        <v>动态</v>
      </c>
      <c r="F54" t="str">
        <f ca="1">IF(AND(ISNUMBER($F$298),$B$252=1),$F$298,HLOOKUP(INDIRECT(ADDRESS(2,COLUMN())),OFFSET($CL$2,0,0,ROW()-1,84),ROW()-1,FALSE))</f>
        <v/>
      </c>
      <c r="G54">
        <f ca="1">IF(AND(ISNUMBER($G$298),$B$252=1),$G$298,HLOOKUP(INDIRECT(ADDRESS(2,COLUMN())),OFFSET($CL$2,0,0,ROW()-1,84),ROW()-1,FALSE))</f>
        <v>4.5309999999999997</v>
      </c>
      <c r="H54">
        <f ca="1">IF(AND(ISNUMBER($H$298),$B$252=1),$H$298,HLOOKUP(INDIRECT(ADDRESS(2,COLUMN())),OFFSET($CL$2,0,0,ROW()-1,84),ROW()-1,FALSE))</f>
        <v>4.53</v>
      </c>
      <c r="I54">
        <f ca="1">IF(AND(ISNUMBER($I$298),$B$252=1),$I$298,HLOOKUP(INDIRECT(ADDRESS(2,COLUMN())),OFFSET($CL$2,0,0,ROW()-1,84),ROW()-1,FALSE))</f>
        <v>4.5309999999999997</v>
      </c>
      <c r="J54">
        <f ca="1">IF(AND(ISNUMBER($J$298),$B$252=1),$J$298,HLOOKUP(INDIRECT(ADDRESS(2,COLUMN())),OFFSET($CL$2,0,0,ROW()-1,84),ROW()-1,FALSE))</f>
        <v>4.5359999999999996</v>
      </c>
      <c r="K54">
        <f ca="1">IF(AND(ISNUMBER($K$298),$B$252=1),$K$298,HLOOKUP(INDIRECT(ADDRESS(2,COLUMN())),OFFSET($CL$2,0,0,ROW()-1,84),ROW()-1,FALSE))</f>
        <v>4.5339999999999998</v>
      </c>
      <c r="L54">
        <f ca="1">IF(AND(ISNUMBER($L$298),$B$252=1),$L$298,HLOOKUP(INDIRECT(ADDRESS(2,COLUMN())),OFFSET($CL$2,0,0,ROW()-1,84),ROW()-1,FALSE))</f>
        <v>4.5599999999999996</v>
      </c>
      <c r="M54">
        <f ca="1">IF(AND(ISNUMBER($M$298),$B$252=1),$M$298,HLOOKUP(INDIRECT(ADDRESS(2,COLUMN())),OFFSET($CL$2,0,0,ROW()-1,84),ROW()-1,FALSE))</f>
        <v>4.5960000000000001</v>
      </c>
      <c r="N54">
        <f ca="1">IF(AND(ISNUMBER($N$298),$B$252=1),$N$298,HLOOKUP(INDIRECT(ADDRESS(2,COLUMN())),OFFSET($CL$2,0,0,ROW()-1,84),ROW()-1,FALSE))</f>
        <v>4.5890000000000004</v>
      </c>
      <c r="O54">
        <f ca="1">IF(AND(ISNUMBER($O$298),$B$252=1),$O$298,HLOOKUP(INDIRECT(ADDRESS(2,COLUMN())),OFFSET($CL$2,0,0,ROW()-1,84),ROW()-1,FALSE))</f>
        <v>4.5759999999999996</v>
      </c>
      <c r="P54">
        <f ca="1">IF(AND(ISNUMBER($P$298),$B$252=1),$P$298,HLOOKUP(INDIRECT(ADDRESS(2,COLUMN())),OFFSET($CL$2,0,0,ROW()-1,84),ROW()-1,FALSE))</f>
        <v>4.5730000000000004</v>
      </c>
      <c r="Q54">
        <f ca="1">IF(AND(ISNUMBER($Q$298),$B$252=1),$Q$298,HLOOKUP(INDIRECT(ADDRESS(2,COLUMN())),OFFSET($CL$2,0,0,ROW()-1,84),ROW()-1,FALSE))</f>
        <v>4.5640000000000001</v>
      </c>
      <c r="R54">
        <f ca="1">IF(AND(ISNUMBER($R$298),$B$252=1),$R$298,HLOOKUP(INDIRECT(ADDRESS(2,COLUMN())),OFFSET($CL$2,0,0,ROW()-1,84),ROW()-1,FALSE))</f>
        <v>4.5629999999999997</v>
      </c>
      <c r="S54">
        <f ca="1">IF(AND(ISNUMBER($S$298),$B$252=1),$S$298,HLOOKUP(INDIRECT(ADDRESS(2,COLUMN())),OFFSET($CL$2,0,0,ROW()-1,84),ROW()-1,FALSE))</f>
        <v>4.5659999999999998</v>
      </c>
      <c r="T54">
        <f ca="1">IF(AND(ISNUMBER($T$298),$B$252=1),$T$298,HLOOKUP(INDIRECT(ADDRESS(2,COLUMN())),OFFSET($CL$2,0,0,ROW()-1,84),ROW()-1,FALSE))</f>
        <v>4.593</v>
      </c>
      <c r="U54">
        <f ca="1">IF(AND(ISNUMBER($U$298),$B$252=1),$U$298,HLOOKUP(INDIRECT(ADDRESS(2,COLUMN())),OFFSET($CL$2,0,0,ROW()-1,84),ROW()-1,FALSE))</f>
        <v>4.5970000000000004</v>
      </c>
      <c r="V54">
        <f ca="1">IF(AND(ISNUMBER($V$298),$B$252=1),$V$298,HLOOKUP(INDIRECT(ADDRESS(2,COLUMN())),OFFSET($CL$2,0,0,ROW()-1,84),ROW()-1,FALSE))</f>
        <v>4.5869999999999997</v>
      </c>
      <c r="W54">
        <f ca="1">IF(AND(ISNUMBER($W$298),$B$252=1),$W$298,HLOOKUP(INDIRECT(ADDRESS(2,COLUMN())),OFFSET($CL$2,0,0,ROW()-1,84),ROW()-1,FALSE))</f>
        <v>4.5510000000000002</v>
      </c>
      <c r="X54">
        <f ca="1">IF(AND(ISNUMBER($X$298),$B$252=1),$X$298,HLOOKUP(INDIRECT(ADDRESS(2,COLUMN())),OFFSET($CL$2,0,0,ROW()-1,84),ROW()-1,FALSE))</f>
        <v>4.5549999999999997</v>
      </c>
      <c r="Y54">
        <f ca="1">IF(AND(ISNUMBER($Y$298),$B$252=1),$Y$298,HLOOKUP(INDIRECT(ADDRESS(2,COLUMN())),OFFSET($CL$2,0,0,ROW()-1,84),ROW()-1,FALSE))</f>
        <v>4.5599999999999996</v>
      </c>
      <c r="Z54">
        <f ca="1">IF(AND(ISNUMBER($Z$298),$B$252=1),$Z$298,HLOOKUP(INDIRECT(ADDRESS(2,COLUMN())),OFFSET($CL$2,0,0,ROW()-1,84),ROW()-1,FALSE))</f>
        <v>4.5709999999999997</v>
      </c>
      <c r="AA54">
        <f ca="1">IF(AND(ISNUMBER($AA$298),$B$252=1),$AA$298,HLOOKUP(INDIRECT(ADDRESS(2,COLUMN())),OFFSET($CL$2,0,0,ROW()-1,84),ROW()-1,FALSE))</f>
        <v>4.5949999999999998</v>
      </c>
      <c r="AB54">
        <f ca="1">IF(AND(ISNUMBER($AB$298),$B$252=1),$AB$298,HLOOKUP(INDIRECT(ADDRESS(2,COLUMN())),OFFSET($CL$2,0,0,ROW()-1,84),ROW()-1,FALSE))</f>
        <v>4.6050000000000004</v>
      </c>
      <c r="AC54">
        <f ca="1">IF(AND(ISNUMBER($AC$298),$B$252=1),$AC$298,HLOOKUP(INDIRECT(ADDRESS(2,COLUMN())),OFFSET($CL$2,0,0,ROW()-1,84),ROW()-1,FALSE))</f>
        <v>5.0490000000000004</v>
      </c>
      <c r="AD54">
        <f ca="1">IF(AND(ISNUMBER($AD$298),$B$252=1),$AD$298,HLOOKUP(INDIRECT(ADDRESS(2,COLUMN())),OFFSET($CL$2,0,0,ROW()-1,84),ROW()-1,FALSE))</f>
        <v>5.0780000000000003</v>
      </c>
      <c r="AE54">
        <f ca="1">IF(AND(ISNUMBER($AE$298),$B$252=1),$AE$298,HLOOKUP(INDIRECT(ADDRESS(2,COLUMN())),OFFSET($CL$2,0,0,ROW()-1,84),ROW()-1,FALSE))</f>
        <v>5.0869999999999997</v>
      </c>
      <c r="AF54">
        <f ca="1">IF(AND(ISNUMBER($AF$298),$B$252=1),$AF$298,HLOOKUP(INDIRECT(ADDRESS(2,COLUMN())),OFFSET($CL$2,0,0,ROW()-1,84),ROW()-1,FALSE))</f>
        <v>5.1050000000000004</v>
      </c>
      <c r="AG54">
        <f ca="1">IF(AND(ISNUMBER($AG$298),$B$252=1),$AG$298,HLOOKUP(INDIRECT(ADDRESS(2,COLUMN())),OFFSET($CL$2,0,0,ROW()-1,84),ROW()-1,FALSE))</f>
        <v>5.1379999999999999</v>
      </c>
      <c r="AH54">
        <f ca="1">IF(AND(ISNUMBER($AH$298),$B$252=1),$AH$298,HLOOKUP(INDIRECT(ADDRESS(2,COLUMN())),OFFSET($CL$2,0,0,ROW()-1,84),ROW()-1,FALSE))</f>
        <v>5.1639999999999997</v>
      </c>
      <c r="AI54">
        <f ca="1">IF(AND(ISNUMBER($AI$298),$B$252=1),$AI$298,HLOOKUP(INDIRECT(ADDRESS(2,COLUMN())),OFFSET($CL$2,0,0,ROW()-1,84),ROW()-1,FALSE))</f>
        <v>5.1559999999999997</v>
      </c>
      <c r="AJ54">
        <f ca="1">IF(AND(ISNUMBER($AJ$298),$B$252=1),$AJ$298,HLOOKUP(INDIRECT(ADDRESS(2,COLUMN())),OFFSET($CL$2,0,0,ROW()-1,84),ROW()-1,FALSE))</f>
        <v>5.15</v>
      </c>
      <c r="AK54">
        <f ca="1">IF(AND(ISNUMBER($AK$298),$B$252=1),$AK$298,HLOOKUP(INDIRECT(ADDRESS(2,COLUMN())),OFFSET($CL$2,0,0,ROW()-1,84),ROW()-1,FALSE))</f>
        <v>5.15</v>
      </c>
      <c r="AL54">
        <f ca="1">IF(AND(ISNUMBER($AL$298),$B$252=1),$AL$298,HLOOKUP(INDIRECT(ADDRESS(2,COLUMN())),OFFSET($CL$2,0,0,ROW()-1,84),ROW()-1,FALSE))</f>
        <v>5.0720000000000001</v>
      </c>
      <c r="AM54">
        <f ca="1">IF(AND(ISNUMBER($AM$298),$B$252=1),$AM$298,HLOOKUP(INDIRECT(ADDRESS(2,COLUMN())),OFFSET($CL$2,0,0,ROW()-1,84),ROW()-1,FALSE))</f>
        <v>5.056</v>
      </c>
      <c r="AN54">
        <f ca="1">IF(AND(ISNUMBER($AN$298),$B$252=1),$AN$298,HLOOKUP(INDIRECT(ADDRESS(2,COLUMN())),OFFSET($CL$2,0,0,ROW()-1,84),ROW()-1,FALSE))</f>
        <v>5.056</v>
      </c>
      <c r="AO54">
        <f ca="1">IF(AND(ISNUMBER($AO$298),$B$252=1),$AO$298,HLOOKUP(INDIRECT(ADDRESS(2,COLUMN())),OFFSET($CL$2,0,0,ROW()-1,84),ROW()-1,FALSE))</f>
        <v>5.016</v>
      </c>
      <c r="AP54">
        <f ca="1">IF(AND(ISNUMBER($AP$298),$B$252=1),$AP$298,HLOOKUP(INDIRECT(ADDRESS(2,COLUMN())),OFFSET($CL$2,0,0,ROW()-1,84),ROW()-1,FALSE))</f>
        <v>5.0279999999999996</v>
      </c>
      <c r="AQ54">
        <f ca="1">IF(AND(ISNUMBER($AQ$298),$B$252=1),$AQ$298,HLOOKUP(INDIRECT(ADDRESS(2,COLUMN())),OFFSET($CL$2,0,0,ROW()-1,84),ROW()-1,FALSE))</f>
        <v>5.0279999999999996</v>
      </c>
      <c r="AR54">
        <f ca="1">IF(AND(ISNUMBER($AR$298),$B$252=1),$AR$298,HLOOKUP(INDIRECT(ADDRESS(2,COLUMN())),OFFSET($CL$2,0,0,ROW()-1,84),ROW()-1,FALSE))</f>
        <v>5.1449999999999996</v>
      </c>
      <c r="AS54" t="str">
        <f ca="1">IF(AND(ISNUMBER($AS$298),$B$252=1),$AS$298,HLOOKUP(INDIRECT(ADDRESS(2,COLUMN())),OFFSET($CL$2,0,0,ROW()-1,84),ROW()-1,FALSE))</f>
        <v/>
      </c>
      <c r="AT54" t="str">
        <f ca="1">IF(AND(ISNUMBER($AT$298),$B$252=1),$AT$298,HLOOKUP(INDIRECT(ADDRESS(2,COLUMN())),OFFSET($CL$2,0,0,ROW()-1,84),ROW()-1,FALSE))</f>
        <v/>
      </c>
      <c r="AU54" t="str">
        <f ca="1">IF(AND(ISNUMBER($AU$298),$B$252=1),$AU$298,HLOOKUP(INDIRECT(ADDRESS(2,COLUMN())),OFFSET($CL$2,0,0,ROW()-1,84),ROW()-1,FALSE))</f>
        <v/>
      </c>
      <c r="AV54" t="str">
        <f ca="1">IF(AND(ISNUMBER($AV$298),$B$252=1),$AV$298,HLOOKUP(INDIRECT(ADDRESS(2,COLUMN())),OFFSET($CL$2,0,0,ROW()-1,84),ROW()-1,FALSE))</f>
        <v/>
      </c>
      <c r="AW54" t="str">
        <f ca="1">IF(AND(ISNUMBER($AW$298),$B$252=1),$AW$298,HLOOKUP(INDIRECT(ADDRESS(2,COLUMN())),OFFSET($CL$2,0,0,ROW()-1,84),ROW()-1,FALSE))</f>
        <v/>
      </c>
      <c r="AX54" t="str">
        <f ca="1">IF(AND(ISNUMBER($AX$298),$B$252=1),$AX$298,HLOOKUP(INDIRECT(ADDRESS(2,COLUMN())),OFFSET($CL$2,0,0,ROW()-1,84),ROW()-1,FALSE))</f>
        <v/>
      </c>
      <c r="AY54" t="str">
        <f ca="1">IF(AND(ISNUMBER($AY$298),$B$252=1),$AY$298,HLOOKUP(INDIRECT(ADDRESS(2,COLUMN())),OFFSET($CL$2,0,0,ROW()-1,84),ROW()-1,FALSE))</f>
        <v/>
      </c>
      <c r="AZ54" t="str">
        <f ca="1">IF(AND(ISNUMBER($AZ$298),$B$252=1),$AZ$298,HLOOKUP(INDIRECT(ADDRESS(2,COLUMN())),OFFSET($CL$2,0,0,ROW()-1,84),ROW()-1,FALSE))</f>
        <v/>
      </c>
      <c r="BA54" t="str">
        <f ca="1">IF(AND(ISNUMBER($BA$298),$B$252=1),$BA$298,HLOOKUP(INDIRECT(ADDRESS(2,COLUMN())),OFFSET($CL$2,0,0,ROW()-1,84),ROW()-1,FALSE))</f>
        <v/>
      </c>
      <c r="BB54" t="str">
        <f ca="1">IF(AND(ISNUMBER($BB$298),$B$252=1),$BB$298,HLOOKUP(INDIRECT(ADDRESS(2,COLUMN())),OFFSET($CL$2,0,0,ROW()-1,84),ROW()-1,FALSE))</f>
        <v/>
      </c>
      <c r="BC54" t="str">
        <f ca="1">IF(AND(ISNUMBER($BC$298),$B$252=1),$BC$298,HLOOKUP(INDIRECT(ADDRESS(2,COLUMN())),OFFSET($CL$2,0,0,ROW()-1,84),ROW()-1,FALSE))</f>
        <v/>
      </c>
      <c r="BD54" t="str">
        <f ca="1">IF(AND(ISNUMBER($BD$298),$B$252=1),$BD$298,HLOOKUP(INDIRECT(ADDRESS(2,COLUMN())),OFFSET($CL$2,0,0,ROW()-1,84),ROW()-1,FALSE))</f>
        <v/>
      </c>
      <c r="BE54" t="str">
        <f ca="1">IF(AND(ISNUMBER($BE$298),$B$252=1),$BE$298,HLOOKUP(INDIRECT(ADDRESS(2,COLUMN())),OFFSET($CL$2,0,0,ROW()-1,84),ROW()-1,FALSE))</f>
        <v/>
      </c>
      <c r="BF54" t="str">
        <f ca="1">IF(AND(ISNUMBER($BF$298),$B$252=1),$BF$298,HLOOKUP(INDIRECT(ADDRESS(2,COLUMN())),OFFSET($CL$2,0,0,ROW()-1,84),ROW()-1,FALSE))</f>
        <v/>
      </c>
      <c r="BG54" t="str">
        <f ca="1">IF(AND(ISNUMBER($BG$298),$B$252=1),$BG$298,HLOOKUP(INDIRECT(ADDRESS(2,COLUMN())),OFFSET($CL$2,0,0,ROW()-1,84),ROW()-1,FALSE))</f>
        <v/>
      </c>
      <c r="BH54" t="str">
        <f ca="1">IF(AND(ISNUMBER($BH$298),$B$252=1),$BH$298,HLOOKUP(INDIRECT(ADDRESS(2,COLUMN())),OFFSET($CL$2,0,0,ROW()-1,84),ROW()-1,FALSE))</f>
        <v/>
      </c>
      <c r="BI54" t="str">
        <f ca="1">IF(AND(ISNUMBER($BI$298),$B$252=1),$BI$298,HLOOKUP(INDIRECT(ADDRESS(2,COLUMN())),OFFSET($CL$2,0,0,ROW()-1,84),ROW()-1,FALSE))</f>
        <v/>
      </c>
      <c r="BJ54" t="str">
        <f ca="1">IF(AND(ISNUMBER($BJ$298),$B$252=1),$BJ$298,HLOOKUP(INDIRECT(ADDRESS(2,COLUMN())),OFFSET($CL$2,0,0,ROW()-1,84),ROW()-1,FALSE))</f>
        <v/>
      </c>
      <c r="BK54" t="str">
        <f ca="1">IF(AND(ISNUMBER($BK$298),$B$252=1),$BK$298,HLOOKUP(INDIRECT(ADDRESS(2,COLUMN())),OFFSET($CL$2,0,0,ROW()-1,84),ROW()-1,FALSE))</f>
        <v/>
      </c>
      <c r="BL54" t="str">
        <f ca="1">IF(AND(ISNUMBER($BL$298),$B$252=1),$BL$298,HLOOKUP(INDIRECT(ADDRESS(2,COLUMN())),OFFSET($CL$2,0,0,ROW()-1,84),ROW()-1,FALSE))</f>
        <v/>
      </c>
      <c r="BM54" t="str">
        <f ca="1">IF(AND(ISNUMBER($BM$298),$B$252=1),$BM$298,HLOOKUP(INDIRECT(ADDRESS(2,COLUMN())),OFFSET($CL$2,0,0,ROW()-1,84),ROW()-1,FALSE))</f>
        <v/>
      </c>
      <c r="BN54" t="str">
        <f ca="1">IF(AND(ISNUMBER($BN$298),$B$252=1),$BN$298,HLOOKUP(INDIRECT(ADDRESS(2,COLUMN())),OFFSET($CL$2,0,0,ROW()-1,84),ROW()-1,FALSE))</f>
        <v/>
      </c>
      <c r="BO54" t="str">
        <f ca="1">IF(AND(ISNUMBER($BO$298),$B$252=1),$BO$298,HLOOKUP(INDIRECT(ADDRESS(2,COLUMN())),OFFSET($CL$2,0,0,ROW()-1,84),ROW()-1,FALSE))</f>
        <v/>
      </c>
      <c r="BP54" t="str">
        <f ca="1">IF(AND(ISNUMBER($BP$298),$B$252=1),$BP$298,HLOOKUP(INDIRECT(ADDRESS(2,COLUMN())),OFFSET($CL$2,0,0,ROW()-1,84),ROW()-1,FALSE))</f>
        <v/>
      </c>
      <c r="BQ54" t="str">
        <f ca="1">IF(AND(ISNUMBER($BQ$298),$B$252=1),$BQ$298,HLOOKUP(INDIRECT(ADDRESS(2,COLUMN())),OFFSET($CL$2,0,0,ROW()-1,84),ROW()-1,FALSE))</f>
        <v/>
      </c>
      <c r="BR54" t="str">
        <f ca="1">IF(AND(ISNUMBER($BR$298),$B$252=1),$BR$298,HLOOKUP(INDIRECT(ADDRESS(2,COLUMN())),OFFSET($CL$2,0,0,ROW()-1,84),ROW()-1,FALSE))</f>
        <v/>
      </c>
      <c r="BS54" t="str">
        <f ca="1">IF(AND(ISNUMBER($BS$298),$B$252=1),$BS$298,HLOOKUP(INDIRECT(ADDRESS(2,COLUMN())),OFFSET($CL$2,0,0,ROW()-1,84),ROW()-1,FALSE))</f>
        <v/>
      </c>
      <c r="BT54" t="str">
        <f ca="1">IF(AND(ISNUMBER($BT$298),$B$252=1),$BT$298,HLOOKUP(INDIRECT(ADDRESS(2,COLUMN())),OFFSET($CL$2,0,0,ROW()-1,84),ROW()-1,FALSE))</f>
        <v/>
      </c>
      <c r="BU54" t="str">
        <f ca="1">IF(AND(ISNUMBER($BU$298),$B$252=1),$BU$298,HLOOKUP(INDIRECT(ADDRESS(2,COLUMN())),OFFSET($CL$2,0,0,ROW()-1,84),ROW()-1,FALSE))</f>
        <v/>
      </c>
      <c r="BV54" t="str">
        <f ca="1">IF(AND(ISNUMBER($BV$298),$B$252=1),$BV$298,HLOOKUP(INDIRECT(ADDRESS(2,COLUMN())),OFFSET($CL$2,0,0,ROW()-1,84),ROW()-1,FALSE))</f>
        <v/>
      </c>
      <c r="BW54" t="str">
        <f ca="1">IF(AND(ISNUMBER($BW$298),$B$252=1),$BW$298,HLOOKUP(INDIRECT(ADDRESS(2,COLUMN())),OFFSET($CL$2,0,0,ROW()-1,84),ROW()-1,FALSE))</f>
        <v/>
      </c>
      <c r="BX54" t="str">
        <f ca="1">IF(AND(ISNUMBER($BX$298),$B$252=1),$BX$298,HLOOKUP(INDIRECT(ADDRESS(2,COLUMN())),OFFSET($CL$2,0,0,ROW()-1,84),ROW()-1,FALSE))</f>
        <v/>
      </c>
      <c r="BY54" t="str">
        <f ca="1">IF(AND(ISNUMBER($BY$298),$B$252=1),$BY$298,HLOOKUP(INDIRECT(ADDRESS(2,COLUMN())),OFFSET($CL$2,0,0,ROW()-1,84),ROW()-1,FALSE))</f>
        <v/>
      </c>
      <c r="BZ54" t="str">
        <f ca="1">IF(AND(ISNUMBER($BZ$298),$B$252=1),$BZ$298,HLOOKUP(INDIRECT(ADDRESS(2,COLUMN())),OFFSET($CL$2,0,0,ROW()-1,84),ROW()-1,FALSE))</f>
        <v/>
      </c>
      <c r="CA54" t="str">
        <f ca="1">IF(AND(ISNUMBER($CA$298),$B$252=1),$CA$298,HLOOKUP(INDIRECT(ADDRESS(2,COLUMN())),OFFSET($CL$2,0,0,ROW()-1,84),ROW()-1,FALSE))</f>
        <v/>
      </c>
      <c r="CB54" t="str">
        <f ca="1">IF(AND(ISNUMBER($CB$298),$B$252=1),$CB$298,HLOOKUP(INDIRECT(ADDRESS(2,COLUMN())),OFFSET($CL$2,0,0,ROW()-1,84),ROW()-1,FALSE))</f>
        <v/>
      </c>
      <c r="CC54" t="str">
        <f ca="1">IF(AND(ISNUMBER($CC$298),$B$252=1),$CC$298,HLOOKUP(INDIRECT(ADDRESS(2,COLUMN())),OFFSET($CL$2,0,0,ROW()-1,84),ROW()-1,FALSE))</f>
        <v/>
      </c>
      <c r="CD54" t="str">
        <f ca="1">IF(AND(ISNUMBER($CD$298),$B$252=1),$CD$298,HLOOKUP(INDIRECT(ADDRESS(2,COLUMN())),OFFSET($CL$2,0,0,ROW()-1,84),ROW()-1,FALSE))</f>
        <v/>
      </c>
      <c r="CE54" t="str">
        <f ca="1">IF(AND(ISNUMBER($CE$298),$B$252=1),$CE$298,HLOOKUP(INDIRECT(ADDRESS(2,COLUMN())),OFFSET($CL$2,0,0,ROW()-1,84),ROW()-1,FALSE))</f>
        <v/>
      </c>
      <c r="CF54" t="str">
        <f ca="1">IF(AND(ISNUMBER($CF$298),$B$252=1),$CF$298,HLOOKUP(INDIRECT(ADDRESS(2,COLUMN())),OFFSET($CL$2,0,0,ROW()-1,84),ROW()-1,FALSE))</f>
        <v/>
      </c>
      <c r="CG54" t="str">
        <f ca="1">IF(AND(ISNUMBER($CG$298),$B$252=1),$CG$298,HLOOKUP(INDIRECT(ADDRESS(2,COLUMN())),OFFSET($CL$2,0,0,ROW()-1,84),ROW()-1,FALSE))</f>
        <v/>
      </c>
      <c r="CH54" t="str">
        <f ca="1">IF(AND(ISNUMBER($CH$298),$B$252=1),$CH$298,HLOOKUP(INDIRECT(ADDRESS(2,COLUMN())),OFFSET($CL$2,0,0,ROW()-1,84),ROW()-1,FALSE))</f>
        <v/>
      </c>
      <c r="CI54" t="str">
        <f ca="1">IF(AND(ISNUMBER($CI$298),$B$252=1),$CI$298,HLOOKUP(INDIRECT(ADDRESS(2,COLUMN())),OFFSET($CL$2,0,0,ROW()-1,84),ROW()-1,FALSE))</f>
        <v/>
      </c>
      <c r="CJ54" t="str">
        <f ca="1">IF(AND(ISNUMBER($CJ$298),$B$252=1),$CJ$298,HLOOKUP(INDIRECT(ADDRESS(2,COLUMN())),OFFSET($CL$2,0,0,ROW()-1,84),ROW()-1,FALSE))</f>
        <v/>
      </c>
      <c r="CK54" t="str">
        <f ca="1">IF(AND(ISNUMBER($CK$298),$B$252=1),$CK$298,HLOOKUP(INDIRECT(ADDRESS(2,COLUMN())),OFFSET($CL$2,0,0,ROW()-1,84),ROW()-1,FALSE))</f>
        <v/>
      </c>
      <c r="CL54" t="str">
        <f>""</f>
        <v/>
      </c>
      <c r="CM54">
        <f>4.531</f>
        <v>4.5309999999999997</v>
      </c>
      <c r="CN54">
        <f>4.53</f>
        <v>4.53</v>
      </c>
      <c r="CO54">
        <f>4.531</f>
        <v>4.5309999999999997</v>
      </c>
      <c r="CP54">
        <f>4.536</f>
        <v>4.5359999999999996</v>
      </c>
      <c r="CQ54">
        <f>4.534</f>
        <v>4.5339999999999998</v>
      </c>
      <c r="CR54">
        <f>4.56</f>
        <v>4.5599999999999996</v>
      </c>
      <c r="CS54">
        <f>4.596</f>
        <v>4.5960000000000001</v>
      </c>
      <c r="CT54">
        <f>4.589</f>
        <v>4.5890000000000004</v>
      </c>
      <c r="CU54">
        <f>4.576</f>
        <v>4.5759999999999996</v>
      </c>
      <c r="CV54">
        <f>4.573</f>
        <v>4.5730000000000004</v>
      </c>
      <c r="CW54">
        <f>4.564</f>
        <v>4.5640000000000001</v>
      </c>
      <c r="CX54">
        <f>4.563</f>
        <v>4.5629999999999997</v>
      </c>
      <c r="CY54">
        <f>4.566</f>
        <v>4.5659999999999998</v>
      </c>
      <c r="CZ54">
        <f>4.593</f>
        <v>4.593</v>
      </c>
      <c r="DA54">
        <f>4.597</f>
        <v>4.5970000000000004</v>
      </c>
      <c r="DB54">
        <f>4.587</f>
        <v>4.5869999999999997</v>
      </c>
      <c r="DC54">
        <f>4.551</f>
        <v>4.5510000000000002</v>
      </c>
      <c r="DD54">
        <f>4.555</f>
        <v>4.5549999999999997</v>
      </c>
      <c r="DE54">
        <f>4.56</f>
        <v>4.5599999999999996</v>
      </c>
      <c r="DF54">
        <f>4.571</f>
        <v>4.5709999999999997</v>
      </c>
      <c r="DG54">
        <f>4.595</f>
        <v>4.5949999999999998</v>
      </c>
      <c r="DH54">
        <f>4.605</f>
        <v>4.6050000000000004</v>
      </c>
      <c r="DI54">
        <f>5.049</f>
        <v>5.0490000000000004</v>
      </c>
      <c r="DJ54">
        <f>5.078</f>
        <v>5.0780000000000003</v>
      </c>
      <c r="DK54">
        <f>5.087</f>
        <v>5.0869999999999997</v>
      </c>
      <c r="DL54">
        <f>5.105</f>
        <v>5.1050000000000004</v>
      </c>
      <c r="DM54">
        <f>5.138</f>
        <v>5.1379999999999999</v>
      </c>
      <c r="DN54">
        <f>5.164</f>
        <v>5.1639999999999997</v>
      </c>
      <c r="DO54">
        <f>5.156</f>
        <v>5.1559999999999997</v>
      </c>
      <c r="DP54">
        <f>5.15</f>
        <v>5.15</v>
      </c>
      <c r="DQ54">
        <f>5.15</f>
        <v>5.15</v>
      </c>
      <c r="DR54">
        <f>5.072</f>
        <v>5.0720000000000001</v>
      </c>
      <c r="DS54">
        <f>5.056</f>
        <v>5.056</v>
      </c>
      <c r="DT54">
        <f>5.056</f>
        <v>5.056</v>
      </c>
      <c r="DU54">
        <f>5.016</f>
        <v>5.016</v>
      </c>
      <c r="DV54">
        <f>5.028</f>
        <v>5.0279999999999996</v>
      </c>
      <c r="DW54">
        <f>5.028</f>
        <v>5.0279999999999996</v>
      </c>
      <c r="DX54">
        <f>5.145</f>
        <v>5.1449999999999996</v>
      </c>
      <c r="DY54" t="str">
        <f>""</f>
        <v/>
      </c>
      <c r="DZ54" t="str">
        <f>""</f>
        <v/>
      </c>
      <c r="EA54" t="str">
        <f>""</f>
        <v/>
      </c>
      <c r="EB54" t="str">
        <f>""</f>
        <v/>
      </c>
      <c r="EC54" t="str">
        <f>""</f>
        <v/>
      </c>
      <c r="ED54" t="str">
        <f>""</f>
        <v/>
      </c>
      <c r="EE54" t="str">
        <f>""</f>
        <v/>
      </c>
      <c r="EF54" t="str">
        <f>""</f>
        <v/>
      </c>
      <c r="EG54" t="str">
        <f>""</f>
        <v/>
      </c>
      <c r="EH54" t="str">
        <f>""</f>
        <v/>
      </c>
      <c r="EI54" t="str">
        <f>""</f>
        <v/>
      </c>
      <c r="EJ54" t="str">
        <f>""</f>
        <v/>
      </c>
      <c r="EK54" t="str">
        <f>""</f>
        <v/>
      </c>
      <c r="EL54" t="str">
        <f>""</f>
        <v/>
      </c>
      <c r="EM54" t="str">
        <f>""</f>
        <v/>
      </c>
      <c r="EN54" t="str">
        <f>""</f>
        <v/>
      </c>
      <c r="EO54" t="str">
        <f>""</f>
        <v/>
      </c>
      <c r="EP54" t="str">
        <f>""</f>
        <v/>
      </c>
      <c r="EQ54" t="str">
        <f>""</f>
        <v/>
      </c>
      <c r="ER54" t="str">
        <f>""</f>
        <v/>
      </c>
      <c r="ES54" t="str">
        <f>""</f>
        <v/>
      </c>
      <c r="ET54" t="str">
        <f>""</f>
        <v/>
      </c>
      <c r="EU54" t="str">
        <f>""</f>
        <v/>
      </c>
      <c r="EV54" t="str">
        <f>""</f>
        <v/>
      </c>
      <c r="EW54" t="str">
        <f>""</f>
        <v/>
      </c>
      <c r="EX54" t="str">
        <f>""</f>
        <v/>
      </c>
      <c r="EY54" t="str">
        <f>""</f>
        <v/>
      </c>
      <c r="EZ54" t="str">
        <f>""</f>
        <v/>
      </c>
      <c r="FA54" t="str">
        <f>""</f>
        <v/>
      </c>
      <c r="FB54" t="str">
        <f>""</f>
        <v/>
      </c>
      <c r="FC54" t="str">
        <f>""</f>
        <v/>
      </c>
      <c r="FD54" t="str">
        <f>""</f>
        <v/>
      </c>
      <c r="FE54" t="str">
        <f>""</f>
        <v/>
      </c>
      <c r="FF54" t="str">
        <f>""</f>
        <v/>
      </c>
      <c r="FG54" t="str">
        <f>""</f>
        <v/>
      </c>
      <c r="FH54" t="str">
        <f>""</f>
        <v/>
      </c>
      <c r="FI54" t="str">
        <f>""</f>
        <v/>
      </c>
      <c r="FJ54" t="str">
        <f>""</f>
        <v/>
      </c>
      <c r="FK54" t="str">
        <f>""</f>
        <v/>
      </c>
      <c r="FL54" t="str">
        <f>""</f>
        <v/>
      </c>
      <c r="FM54" t="str">
        <f>""</f>
        <v/>
      </c>
      <c r="FN54" t="str">
        <f>""</f>
        <v/>
      </c>
      <c r="FO54" t="str">
        <f>""</f>
        <v/>
      </c>
      <c r="FP54" t="str">
        <f>""</f>
        <v/>
      </c>
      <c r="FQ54" t="str">
        <f>""</f>
        <v/>
      </c>
    </row>
    <row r="55" spans="1:173">
      <c r="A55" t="str">
        <f>"    公寓物业权益信托"</f>
        <v xml:space="preserve">    公寓物业权益信托</v>
      </c>
      <c r="B55" t="str">
        <f>"EQR US Equity"</f>
        <v>EQR US Equity</v>
      </c>
      <c r="C55" t="str">
        <f t="shared" si="18"/>
        <v>BE038</v>
      </c>
      <c r="D55" t="str">
        <f t="shared" si="19"/>
        <v>BEST_FFOPS</v>
      </c>
      <c r="E55" t="str">
        <f t="shared" si="20"/>
        <v>动态</v>
      </c>
      <c r="F55" t="str">
        <f ca="1">IF(AND(ISNUMBER($F$299),$B$252=1),$F$299,HLOOKUP(INDIRECT(ADDRESS(2,COLUMN())),OFFSET($CL$2,0,0,ROW()-1,84),ROW()-1,FALSE))</f>
        <v/>
      </c>
      <c r="G55" t="str">
        <f ca="1">IF(AND(ISNUMBER($G$299),$B$252=1),$G$299,HLOOKUP(INDIRECT(ADDRESS(2,COLUMN())),OFFSET($CL$2,0,0,ROW()-1,84),ROW()-1,FALSE))</f>
        <v/>
      </c>
      <c r="H55">
        <f ca="1">IF(AND(ISNUMBER($H$299),$B$252=1),$H$299,HLOOKUP(INDIRECT(ADDRESS(2,COLUMN())),OFFSET($CL$2,0,0,ROW()-1,84),ROW()-1,FALSE))</f>
        <v>3.1259999999999999</v>
      </c>
      <c r="I55">
        <f ca="1">IF(AND(ISNUMBER($I$299),$B$252=1),$I$299,HLOOKUP(INDIRECT(ADDRESS(2,COLUMN())),OFFSET($CL$2,0,0,ROW()-1,84),ROW()-1,FALSE))</f>
        <v>3.125</v>
      </c>
      <c r="J55">
        <f ca="1">IF(AND(ISNUMBER($J$299),$B$252=1),$J$299,HLOOKUP(INDIRECT(ADDRESS(2,COLUMN())),OFFSET($CL$2,0,0,ROW()-1,84),ROW()-1,FALSE))</f>
        <v>3.1230000000000002</v>
      </c>
      <c r="K55">
        <f ca="1">IF(AND(ISNUMBER($K$299),$B$252=1),$K$299,HLOOKUP(INDIRECT(ADDRESS(2,COLUMN())),OFFSET($CL$2,0,0,ROW()-1,84),ROW()-1,FALSE))</f>
        <v>3.1230000000000002</v>
      </c>
      <c r="L55">
        <f ca="1">IF(AND(ISNUMBER($L$299),$B$252=1),$L$299,HLOOKUP(INDIRECT(ADDRESS(2,COLUMN())),OFFSET($CL$2,0,0,ROW()-1,84),ROW()-1,FALSE))</f>
        <v>3.1160000000000001</v>
      </c>
      <c r="M55">
        <f ca="1">IF(AND(ISNUMBER($M$299),$B$252=1),$M$299,HLOOKUP(INDIRECT(ADDRESS(2,COLUMN())),OFFSET($CL$2,0,0,ROW()-1,84),ROW()-1,FALSE))</f>
        <v>3.117</v>
      </c>
      <c r="N55">
        <f ca="1">IF(AND(ISNUMBER($N$299),$B$252=1),$N$299,HLOOKUP(INDIRECT(ADDRESS(2,COLUMN())),OFFSET($CL$2,0,0,ROW()-1,84),ROW()-1,FALSE))</f>
        <v>3.1110000000000002</v>
      </c>
      <c r="O55">
        <f ca="1">IF(AND(ISNUMBER($O$299),$B$252=1),$O$299,HLOOKUP(INDIRECT(ADDRESS(2,COLUMN())),OFFSET($CL$2,0,0,ROW()-1,84),ROW()-1,FALSE))</f>
        <v>3.105</v>
      </c>
      <c r="P55">
        <f ca="1">IF(AND(ISNUMBER($P$299),$B$252=1),$P$299,HLOOKUP(INDIRECT(ADDRESS(2,COLUMN())),OFFSET($CL$2,0,0,ROW()-1,84),ROW()-1,FALSE))</f>
        <v>3.101</v>
      </c>
      <c r="Q55">
        <f ca="1">IF(AND(ISNUMBER($Q$299),$B$252=1),$Q$299,HLOOKUP(INDIRECT(ADDRESS(2,COLUMN())),OFFSET($CL$2,0,0,ROW()-1,84),ROW()-1,FALSE))</f>
        <v>3.0939999999999999</v>
      </c>
      <c r="R55">
        <f ca="1">IF(AND(ISNUMBER($R$299),$B$252=1),$R$299,HLOOKUP(INDIRECT(ADDRESS(2,COLUMN())),OFFSET($CL$2,0,0,ROW()-1,84),ROW()-1,FALSE))</f>
        <v>3.1150000000000002</v>
      </c>
      <c r="S55">
        <f ca="1">IF(AND(ISNUMBER($S$299),$B$252=1),$S$299,HLOOKUP(INDIRECT(ADDRESS(2,COLUMN())),OFFSET($CL$2,0,0,ROW()-1,84),ROW()-1,FALSE))</f>
        <v>3.13</v>
      </c>
      <c r="T55">
        <f ca="1">IF(AND(ISNUMBER($T$299),$B$252=1),$T$299,HLOOKUP(INDIRECT(ADDRESS(2,COLUMN())),OFFSET($CL$2,0,0,ROW()-1,84),ROW()-1,FALSE))</f>
        <v>3.1779999999999999</v>
      </c>
      <c r="U55">
        <f ca="1">IF(AND(ISNUMBER($U$299),$B$252=1),$U$299,HLOOKUP(INDIRECT(ADDRESS(2,COLUMN())),OFFSET($CL$2,0,0,ROW()-1,84),ROW()-1,FALSE))</f>
        <v>3.1669999999999998</v>
      </c>
      <c r="V55">
        <f ca="1">IF(AND(ISNUMBER($V$299),$B$252=1),$V$299,HLOOKUP(INDIRECT(ADDRESS(2,COLUMN())),OFFSET($CL$2,0,0,ROW()-1,84),ROW()-1,FALSE))</f>
        <v>3.17</v>
      </c>
      <c r="W55">
        <f ca="1">IF(AND(ISNUMBER($W$299),$B$252=1),$W$299,HLOOKUP(INDIRECT(ADDRESS(2,COLUMN())),OFFSET($CL$2,0,0,ROW()-1,84),ROW()-1,FALSE))</f>
        <v>3.1739999999999999</v>
      </c>
      <c r="X55">
        <f ca="1">IF(AND(ISNUMBER($X$299),$B$252=1),$X$299,HLOOKUP(INDIRECT(ADDRESS(2,COLUMN())),OFFSET($CL$2,0,0,ROW()-1,84),ROW()-1,FALSE))</f>
        <v>3.1739999999999999</v>
      </c>
      <c r="Y55">
        <f ca="1">IF(AND(ISNUMBER($Y$299),$B$252=1),$Y$299,HLOOKUP(INDIRECT(ADDRESS(2,COLUMN())),OFFSET($CL$2,0,0,ROW()-1,84),ROW()-1,FALSE))</f>
        <v>3.1749999999999998</v>
      </c>
      <c r="Z55">
        <f ca="1">IF(AND(ISNUMBER($Z$299),$B$252=1),$Z$299,HLOOKUP(INDIRECT(ADDRESS(2,COLUMN())),OFFSET($CL$2,0,0,ROW()-1,84),ROW()-1,FALSE))</f>
        <v>3.2080000000000002</v>
      </c>
      <c r="AA55">
        <f ca="1">IF(AND(ISNUMBER($AA$299),$B$252=1),$AA$299,HLOOKUP(INDIRECT(ADDRESS(2,COLUMN())),OFFSET($CL$2,0,0,ROW()-1,84),ROW()-1,FALSE))</f>
        <v>3.2410000000000001</v>
      </c>
      <c r="AB55">
        <f ca="1">IF(AND(ISNUMBER($AB$299),$B$252=1),$AB$299,HLOOKUP(INDIRECT(ADDRESS(2,COLUMN())),OFFSET($CL$2,0,0,ROW()-1,84),ROW()-1,FALSE))</f>
        <v>3.2749999999999999</v>
      </c>
      <c r="AC55">
        <f ca="1">IF(AND(ISNUMBER($AC$299),$B$252=1),$AC$299,HLOOKUP(INDIRECT(ADDRESS(2,COLUMN())),OFFSET($CL$2,0,0,ROW()-1,84),ROW()-1,FALSE))</f>
        <v>3.2890000000000001</v>
      </c>
      <c r="AD55">
        <f ca="1">IF(AND(ISNUMBER($AD$299),$B$252=1),$AD$299,HLOOKUP(INDIRECT(ADDRESS(2,COLUMN())),OFFSET($CL$2,0,0,ROW()-1,84),ROW()-1,FALSE))</f>
        <v>3.3109999999999999</v>
      </c>
      <c r="AE55">
        <f ca="1">IF(AND(ISNUMBER($AE$299),$B$252=1),$AE$299,HLOOKUP(INDIRECT(ADDRESS(2,COLUMN())),OFFSET($CL$2,0,0,ROW()-1,84),ROW()-1,FALSE))</f>
        <v>3.3250000000000002</v>
      </c>
      <c r="AF55">
        <f ca="1">IF(AND(ISNUMBER($AF$299),$B$252=1),$AF$299,HLOOKUP(INDIRECT(ADDRESS(2,COLUMN())),OFFSET($CL$2,0,0,ROW()-1,84),ROW()-1,FALSE))</f>
        <v>3.508</v>
      </c>
      <c r="AG55">
        <f ca="1">IF(AND(ISNUMBER($AG$299),$B$252=1),$AG$299,HLOOKUP(INDIRECT(ADDRESS(2,COLUMN())),OFFSET($CL$2,0,0,ROW()-1,84),ROW()-1,FALSE))</f>
        <v>3.4929999999999999</v>
      </c>
      <c r="AH55">
        <f ca="1">IF(AND(ISNUMBER($AH$299),$B$252=1),$AH$299,HLOOKUP(INDIRECT(ADDRESS(2,COLUMN())),OFFSET($CL$2,0,0,ROW()-1,84),ROW()-1,FALSE))</f>
        <v>3.6040000000000001</v>
      </c>
      <c r="AI55">
        <f ca="1">IF(AND(ISNUMBER($AI$299),$B$252=1),$AI$299,HLOOKUP(INDIRECT(ADDRESS(2,COLUMN())),OFFSET($CL$2,0,0,ROW()-1,84),ROW()-1,FALSE))</f>
        <v>3.8090000000000002</v>
      </c>
      <c r="AJ55">
        <f ca="1">IF(AND(ISNUMBER($AJ$299),$B$252=1),$AJ$299,HLOOKUP(INDIRECT(ADDRESS(2,COLUMN())),OFFSET($CL$2,0,0,ROW()-1,84),ROW()-1,FALSE))</f>
        <v>4.01</v>
      </c>
      <c r="AK55">
        <f ca="1">IF(AND(ISNUMBER($AK$299),$B$252=1),$AK$299,HLOOKUP(INDIRECT(ADDRESS(2,COLUMN())),OFFSET($CL$2,0,0,ROW()-1,84),ROW()-1,FALSE))</f>
        <v>4.0119999999999996</v>
      </c>
      <c r="AL55">
        <f ca="1">IF(AND(ISNUMBER($AL$299),$B$252=1),$AL$299,HLOOKUP(INDIRECT(ADDRESS(2,COLUMN())),OFFSET($CL$2,0,0,ROW()-1,84),ROW()-1,FALSE))</f>
        <v>3.9940000000000002</v>
      </c>
      <c r="AM55">
        <f ca="1">IF(AND(ISNUMBER($AM$299),$B$252=1),$AM$299,HLOOKUP(INDIRECT(ADDRESS(2,COLUMN())),OFFSET($CL$2,0,0,ROW()-1,84),ROW()-1,FALSE))</f>
        <v>3.9550000000000001</v>
      </c>
      <c r="AN55">
        <f ca="1">IF(AND(ISNUMBER($AN$299),$B$252=1),$AN$299,HLOOKUP(INDIRECT(ADDRESS(2,COLUMN())),OFFSET($CL$2,0,0,ROW()-1,84),ROW()-1,FALSE))</f>
        <v>3.9609999999999999</v>
      </c>
      <c r="AO55">
        <f ca="1">IF(AND(ISNUMBER($AO$299),$B$252=1),$AO$299,HLOOKUP(INDIRECT(ADDRESS(2,COLUMN())),OFFSET($CL$2,0,0,ROW()-1,84),ROW()-1,FALSE))</f>
        <v>3.9340000000000002</v>
      </c>
      <c r="AP55">
        <f ca="1">IF(AND(ISNUMBER($AP$299),$B$252=1),$AP$299,HLOOKUP(INDIRECT(ADDRESS(2,COLUMN())),OFFSET($CL$2,0,0,ROW()-1,84),ROW()-1,FALSE))</f>
        <v>3.9430000000000001</v>
      </c>
      <c r="AQ55">
        <f ca="1">IF(AND(ISNUMBER($AQ$299),$B$252=1),$AQ$299,HLOOKUP(INDIRECT(ADDRESS(2,COLUMN())),OFFSET($CL$2,0,0,ROW()-1,84),ROW()-1,FALSE))</f>
        <v>3.9329999999999998</v>
      </c>
      <c r="AR55" t="str">
        <f ca="1">IF(AND(ISNUMBER($AR$299),$B$252=1),$AR$299,HLOOKUP(INDIRECT(ADDRESS(2,COLUMN())),OFFSET($CL$2,0,0,ROW()-1,84),ROW()-1,FALSE))</f>
        <v/>
      </c>
      <c r="AS55" t="str">
        <f ca="1">IF(AND(ISNUMBER($AS$299),$B$252=1),$AS$299,HLOOKUP(INDIRECT(ADDRESS(2,COLUMN())),OFFSET($CL$2,0,0,ROW()-1,84),ROW()-1,FALSE))</f>
        <v/>
      </c>
      <c r="AT55" t="str">
        <f ca="1">IF(AND(ISNUMBER($AT$299),$B$252=1),$AT$299,HLOOKUP(INDIRECT(ADDRESS(2,COLUMN())),OFFSET($CL$2,0,0,ROW()-1,84),ROW()-1,FALSE))</f>
        <v/>
      </c>
      <c r="AU55" t="str">
        <f ca="1">IF(AND(ISNUMBER($AU$299),$B$252=1),$AU$299,HLOOKUP(INDIRECT(ADDRESS(2,COLUMN())),OFFSET($CL$2,0,0,ROW()-1,84),ROW()-1,FALSE))</f>
        <v/>
      </c>
      <c r="AV55" t="str">
        <f ca="1">IF(AND(ISNUMBER($AV$299),$B$252=1),$AV$299,HLOOKUP(INDIRECT(ADDRESS(2,COLUMN())),OFFSET($CL$2,0,0,ROW()-1,84),ROW()-1,FALSE))</f>
        <v/>
      </c>
      <c r="AW55" t="str">
        <f ca="1">IF(AND(ISNUMBER($AW$299),$B$252=1),$AW$299,HLOOKUP(INDIRECT(ADDRESS(2,COLUMN())),OFFSET($CL$2,0,0,ROW()-1,84),ROW()-1,FALSE))</f>
        <v/>
      </c>
      <c r="AX55" t="str">
        <f ca="1">IF(AND(ISNUMBER($AX$299),$B$252=1),$AX$299,HLOOKUP(INDIRECT(ADDRESS(2,COLUMN())),OFFSET($CL$2,0,0,ROW()-1,84),ROW()-1,FALSE))</f>
        <v/>
      </c>
      <c r="AY55" t="str">
        <f ca="1">IF(AND(ISNUMBER($AY$299),$B$252=1),$AY$299,HLOOKUP(INDIRECT(ADDRESS(2,COLUMN())),OFFSET($CL$2,0,0,ROW()-1,84),ROW()-1,FALSE))</f>
        <v/>
      </c>
      <c r="AZ55" t="str">
        <f ca="1">IF(AND(ISNUMBER($AZ$299),$B$252=1),$AZ$299,HLOOKUP(INDIRECT(ADDRESS(2,COLUMN())),OFFSET($CL$2,0,0,ROW()-1,84),ROW()-1,FALSE))</f>
        <v/>
      </c>
      <c r="BA55" t="str">
        <f ca="1">IF(AND(ISNUMBER($BA$299),$B$252=1),$BA$299,HLOOKUP(INDIRECT(ADDRESS(2,COLUMN())),OFFSET($CL$2,0,0,ROW()-1,84),ROW()-1,FALSE))</f>
        <v/>
      </c>
      <c r="BB55" t="str">
        <f ca="1">IF(AND(ISNUMBER($BB$299),$B$252=1),$BB$299,HLOOKUP(INDIRECT(ADDRESS(2,COLUMN())),OFFSET($CL$2,0,0,ROW()-1,84),ROW()-1,FALSE))</f>
        <v/>
      </c>
      <c r="BC55" t="str">
        <f ca="1">IF(AND(ISNUMBER($BC$299),$B$252=1),$BC$299,HLOOKUP(INDIRECT(ADDRESS(2,COLUMN())),OFFSET($CL$2,0,0,ROW()-1,84),ROW()-1,FALSE))</f>
        <v/>
      </c>
      <c r="BD55" t="str">
        <f ca="1">IF(AND(ISNUMBER($BD$299),$B$252=1),$BD$299,HLOOKUP(INDIRECT(ADDRESS(2,COLUMN())),OFFSET($CL$2,0,0,ROW()-1,84),ROW()-1,FALSE))</f>
        <v/>
      </c>
      <c r="BE55" t="str">
        <f ca="1">IF(AND(ISNUMBER($BE$299),$B$252=1),$BE$299,HLOOKUP(INDIRECT(ADDRESS(2,COLUMN())),OFFSET($CL$2,0,0,ROW()-1,84),ROW()-1,FALSE))</f>
        <v/>
      </c>
      <c r="BF55" t="str">
        <f ca="1">IF(AND(ISNUMBER($BF$299),$B$252=1),$BF$299,HLOOKUP(INDIRECT(ADDRESS(2,COLUMN())),OFFSET($CL$2,0,0,ROW()-1,84),ROW()-1,FALSE))</f>
        <v/>
      </c>
      <c r="BG55" t="str">
        <f ca="1">IF(AND(ISNUMBER($BG$299),$B$252=1),$BG$299,HLOOKUP(INDIRECT(ADDRESS(2,COLUMN())),OFFSET($CL$2,0,0,ROW()-1,84),ROW()-1,FALSE))</f>
        <v/>
      </c>
      <c r="BH55" t="str">
        <f ca="1">IF(AND(ISNUMBER($BH$299),$B$252=1),$BH$299,HLOOKUP(INDIRECT(ADDRESS(2,COLUMN())),OFFSET($CL$2,0,0,ROW()-1,84),ROW()-1,FALSE))</f>
        <v/>
      </c>
      <c r="BI55" t="str">
        <f ca="1">IF(AND(ISNUMBER($BI$299),$B$252=1),$BI$299,HLOOKUP(INDIRECT(ADDRESS(2,COLUMN())),OFFSET($CL$2,0,0,ROW()-1,84),ROW()-1,FALSE))</f>
        <v/>
      </c>
      <c r="BJ55" t="str">
        <f ca="1">IF(AND(ISNUMBER($BJ$299),$B$252=1),$BJ$299,HLOOKUP(INDIRECT(ADDRESS(2,COLUMN())),OFFSET($CL$2,0,0,ROW()-1,84),ROW()-1,FALSE))</f>
        <v/>
      </c>
      <c r="BK55" t="str">
        <f ca="1">IF(AND(ISNUMBER($BK$299),$B$252=1),$BK$299,HLOOKUP(INDIRECT(ADDRESS(2,COLUMN())),OFFSET($CL$2,0,0,ROW()-1,84),ROW()-1,FALSE))</f>
        <v/>
      </c>
      <c r="BL55" t="str">
        <f ca="1">IF(AND(ISNUMBER($BL$299),$B$252=1),$BL$299,HLOOKUP(INDIRECT(ADDRESS(2,COLUMN())),OFFSET($CL$2,0,0,ROW()-1,84),ROW()-1,FALSE))</f>
        <v/>
      </c>
      <c r="BM55" t="str">
        <f ca="1">IF(AND(ISNUMBER($BM$299),$B$252=1),$BM$299,HLOOKUP(INDIRECT(ADDRESS(2,COLUMN())),OFFSET($CL$2,0,0,ROW()-1,84),ROW()-1,FALSE))</f>
        <v/>
      </c>
      <c r="BN55" t="str">
        <f ca="1">IF(AND(ISNUMBER($BN$299),$B$252=1),$BN$299,HLOOKUP(INDIRECT(ADDRESS(2,COLUMN())),OFFSET($CL$2,0,0,ROW()-1,84),ROW()-1,FALSE))</f>
        <v/>
      </c>
      <c r="BO55" t="str">
        <f ca="1">IF(AND(ISNUMBER($BO$299),$B$252=1),$BO$299,HLOOKUP(INDIRECT(ADDRESS(2,COLUMN())),OFFSET($CL$2,0,0,ROW()-1,84),ROW()-1,FALSE))</f>
        <v/>
      </c>
      <c r="BP55" t="str">
        <f ca="1">IF(AND(ISNUMBER($BP$299),$B$252=1),$BP$299,HLOOKUP(INDIRECT(ADDRESS(2,COLUMN())),OFFSET($CL$2,0,0,ROW()-1,84),ROW()-1,FALSE))</f>
        <v/>
      </c>
      <c r="BQ55" t="str">
        <f ca="1">IF(AND(ISNUMBER($BQ$299),$B$252=1),$BQ$299,HLOOKUP(INDIRECT(ADDRESS(2,COLUMN())),OFFSET($CL$2,0,0,ROW()-1,84),ROW()-1,FALSE))</f>
        <v/>
      </c>
      <c r="BR55" t="str">
        <f ca="1">IF(AND(ISNUMBER($BR$299),$B$252=1),$BR$299,HLOOKUP(INDIRECT(ADDRESS(2,COLUMN())),OFFSET($CL$2,0,0,ROW()-1,84),ROW()-1,FALSE))</f>
        <v/>
      </c>
      <c r="BS55" t="str">
        <f ca="1">IF(AND(ISNUMBER($BS$299),$B$252=1),$BS$299,HLOOKUP(INDIRECT(ADDRESS(2,COLUMN())),OFFSET($CL$2,0,0,ROW()-1,84),ROW()-1,FALSE))</f>
        <v/>
      </c>
      <c r="BT55" t="str">
        <f ca="1">IF(AND(ISNUMBER($BT$299),$B$252=1),$BT$299,HLOOKUP(INDIRECT(ADDRESS(2,COLUMN())),OFFSET($CL$2,0,0,ROW()-1,84),ROW()-1,FALSE))</f>
        <v/>
      </c>
      <c r="BU55" t="str">
        <f ca="1">IF(AND(ISNUMBER($BU$299),$B$252=1),$BU$299,HLOOKUP(INDIRECT(ADDRESS(2,COLUMN())),OFFSET($CL$2,0,0,ROW()-1,84),ROW()-1,FALSE))</f>
        <v/>
      </c>
      <c r="BV55" t="str">
        <f ca="1">IF(AND(ISNUMBER($BV$299),$B$252=1),$BV$299,HLOOKUP(INDIRECT(ADDRESS(2,COLUMN())),OFFSET($CL$2,0,0,ROW()-1,84),ROW()-1,FALSE))</f>
        <v/>
      </c>
      <c r="BW55" t="str">
        <f ca="1">IF(AND(ISNUMBER($BW$299),$B$252=1),$BW$299,HLOOKUP(INDIRECT(ADDRESS(2,COLUMN())),OFFSET($CL$2,0,0,ROW()-1,84),ROW()-1,FALSE))</f>
        <v/>
      </c>
      <c r="BX55" t="str">
        <f ca="1">IF(AND(ISNUMBER($BX$299),$B$252=1),$BX$299,HLOOKUP(INDIRECT(ADDRESS(2,COLUMN())),OFFSET($CL$2,0,0,ROW()-1,84),ROW()-1,FALSE))</f>
        <v/>
      </c>
      <c r="BY55" t="str">
        <f ca="1">IF(AND(ISNUMBER($BY$299),$B$252=1),$BY$299,HLOOKUP(INDIRECT(ADDRESS(2,COLUMN())),OFFSET($CL$2,0,0,ROW()-1,84),ROW()-1,FALSE))</f>
        <v/>
      </c>
      <c r="BZ55" t="str">
        <f ca="1">IF(AND(ISNUMBER($BZ$299),$B$252=1),$BZ$299,HLOOKUP(INDIRECT(ADDRESS(2,COLUMN())),OFFSET($CL$2,0,0,ROW()-1,84),ROW()-1,FALSE))</f>
        <v/>
      </c>
      <c r="CA55" t="str">
        <f ca="1">IF(AND(ISNUMBER($CA$299),$B$252=1),$CA$299,HLOOKUP(INDIRECT(ADDRESS(2,COLUMN())),OFFSET($CL$2,0,0,ROW()-1,84),ROW()-1,FALSE))</f>
        <v/>
      </c>
      <c r="CB55" t="str">
        <f ca="1">IF(AND(ISNUMBER($CB$299),$B$252=1),$CB$299,HLOOKUP(INDIRECT(ADDRESS(2,COLUMN())),OFFSET($CL$2,0,0,ROW()-1,84),ROW()-1,FALSE))</f>
        <v/>
      </c>
      <c r="CC55" t="str">
        <f ca="1">IF(AND(ISNUMBER($CC$299),$B$252=1),$CC$299,HLOOKUP(INDIRECT(ADDRESS(2,COLUMN())),OFFSET($CL$2,0,0,ROW()-1,84),ROW()-1,FALSE))</f>
        <v/>
      </c>
      <c r="CD55" t="str">
        <f ca="1">IF(AND(ISNUMBER($CD$299),$B$252=1),$CD$299,HLOOKUP(INDIRECT(ADDRESS(2,COLUMN())),OFFSET($CL$2,0,0,ROW()-1,84),ROW()-1,FALSE))</f>
        <v/>
      </c>
      <c r="CE55" t="str">
        <f ca="1">IF(AND(ISNUMBER($CE$299),$B$252=1),$CE$299,HLOOKUP(INDIRECT(ADDRESS(2,COLUMN())),OFFSET($CL$2,0,0,ROW()-1,84),ROW()-1,FALSE))</f>
        <v/>
      </c>
      <c r="CF55" t="str">
        <f ca="1">IF(AND(ISNUMBER($CF$299),$B$252=1),$CF$299,HLOOKUP(INDIRECT(ADDRESS(2,COLUMN())),OFFSET($CL$2,0,0,ROW()-1,84),ROW()-1,FALSE))</f>
        <v/>
      </c>
      <c r="CG55" t="str">
        <f ca="1">IF(AND(ISNUMBER($CG$299),$B$252=1),$CG$299,HLOOKUP(INDIRECT(ADDRESS(2,COLUMN())),OFFSET($CL$2,0,0,ROW()-1,84),ROW()-1,FALSE))</f>
        <v/>
      </c>
      <c r="CH55" t="str">
        <f ca="1">IF(AND(ISNUMBER($CH$299),$B$252=1),$CH$299,HLOOKUP(INDIRECT(ADDRESS(2,COLUMN())),OFFSET($CL$2,0,0,ROW()-1,84),ROW()-1,FALSE))</f>
        <v/>
      </c>
      <c r="CI55" t="str">
        <f ca="1">IF(AND(ISNUMBER($CI$299),$B$252=1),$CI$299,HLOOKUP(INDIRECT(ADDRESS(2,COLUMN())),OFFSET($CL$2,0,0,ROW()-1,84),ROW()-1,FALSE))</f>
        <v/>
      </c>
      <c r="CJ55" t="str">
        <f ca="1">IF(AND(ISNUMBER($CJ$299),$B$252=1),$CJ$299,HLOOKUP(INDIRECT(ADDRESS(2,COLUMN())),OFFSET($CL$2,0,0,ROW()-1,84),ROW()-1,FALSE))</f>
        <v/>
      </c>
      <c r="CK55" t="str">
        <f ca="1">IF(AND(ISNUMBER($CK$299),$B$252=1),$CK$299,HLOOKUP(INDIRECT(ADDRESS(2,COLUMN())),OFFSET($CL$2,0,0,ROW()-1,84),ROW()-1,FALSE))</f>
        <v/>
      </c>
      <c r="CL55" t="str">
        <f>""</f>
        <v/>
      </c>
      <c r="CM55" t="str">
        <f>""</f>
        <v/>
      </c>
      <c r="CN55">
        <f>3.126</f>
        <v>3.1259999999999999</v>
      </c>
      <c r="CO55">
        <f>3.125</f>
        <v>3.125</v>
      </c>
      <c r="CP55">
        <f>3.123</f>
        <v>3.1230000000000002</v>
      </c>
      <c r="CQ55">
        <f>3.123</f>
        <v>3.1230000000000002</v>
      </c>
      <c r="CR55">
        <f>3.116</f>
        <v>3.1160000000000001</v>
      </c>
      <c r="CS55">
        <f>3.117</f>
        <v>3.117</v>
      </c>
      <c r="CT55">
        <f>3.111</f>
        <v>3.1110000000000002</v>
      </c>
      <c r="CU55">
        <f>3.105</f>
        <v>3.105</v>
      </c>
      <c r="CV55">
        <f>3.101</f>
        <v>3.101</v>
      </c>
      <c r="CW55">
        <f>3.094</f>
        <v>3.0939999999999999</v>
      </c>
      <c r="CX55">
        <f>3.115</f>
        <v>3.1150000000000002</v>
      </c>
      <c r="CY55">
        <f>3.13</f>
        <v>3.13</v>
      </c>
      <c r="CZ55">
        <f>3.178</f>
        <v>3.1779999999999999</v>
      </c>
      <c r="DA55">
        <f>3.167</f>
        <v>3.1669999999999998</v>
      </c>
      <c r="DB55">
        <f>3.17</f>
        <v>3.17</v>
      </c>
      <c r="DC55">
        <f>3.174</f>
        <v>3.1739999999999999</v>
      </c>
      <c r="DD55">
        <f>3.174</f>
        <v>3.1739999999999999</v>
      </c>
      <c r="DE55">
        <f>3.175</f>
        <v>3.1749999999999998</v>
      </c>
      <c r="DF55">
        <f>3.208</f>
        <v>3.2080000000000002</v>
      </c>
      <c r="DG55">
        <f>3.241</f>
        <v>3.2410000000000001</v>
      </c>
      <c r="DH55">
        <f>3.275</f>
        <v>3.2749999999999999</v>
      </c>
      <c r="DI55">
        <f>3.289</f>
        <v>3.2890000000000001</v>
      </c>
      <c r="DJ55">
        <f>3.311</f>
        <v>3.3109999999999999</v>
      </c>
      <c r="DK55">
        <f>3.325</f>
        <v>3.3250000000000002</v>
      </c>
      <c r="DL55">
        <f>3.508</f>
        <v>3.508</v>
      </c>
      <c r="DM55">
        <f>3.493</f>
        <v>3.4929999999999999</v>
      </c>
      <c r="DN55">
        <f>3.604</f>
        <v>3.6040000000000001</v>
      </c>
      <c r="DO55">
        <f>3.809</f>
        <v>3.8090000000000002</v>
      </c>
      <c r="DP55">
        <f>4.01</f>
        <v>4.01</v>
      </c>
      <c r="DQ55">
        <f>4.012</f>
        <v>4.0119999999999996</v>
      </c>
      <c r="DR55">
        <f>3.994</f>
        <v>3.9940000000000002</v>
      </c>
      <c r="DS55">
        <f>3.955</f>
        <v>3.9550000000000001</v>
      </c>
      <c r="DT55">
        <f>3.961</f>
        <v>3.9609999999999999</v>
      </c>
      <c r="DU55">
        <f>3.934</f>
        <v>3.9340000000000002</v>
      </c>
      <c r="DV55">
        <f>3.943</f>
        <v>3.9430000000000001</v>
      </c>
      <c r="DW55">
        <f>3.933</f>
        <v>3.9329999999999998</v>
      </c>
      <c r="DX55" t="str">
        <f>""</f>
        <v/>
      </c>
      <c r="DY55" t="str">
        <f>""</f>
        <v/>
      </c>
      <c r="DZ55" t="str">
        <f>""</f>
        <v/>
      </c>
      <c r="EA55" t="str">
        <f>""</f>
        <v/>
      </c>
      <c r="EB55" t="str">
        <f>""</f>
        <v/>
      </c>
      <c r="EC55" t="str">
        <f>""</f>
        <v/>
      </c>
      <c r="ED55" t="str">
        <f>""</f>
        <v/>
      </c>
      <c r="EE55" t="str">
        <f>""</f>
        <v/>
      </c>
      <c r="EF55" t="str">
        <f>""</f>
        <v/>
      </c>
      <c r="EG55" t="str">
        <f>""</f>
        <v/>
      </c>
      <c r="EH55" t="str">
        <f>""</f>
        <v/>
      </c>
      <c r="EI55" t="str">
        <f>""</f>
        <v/>
      </c>
      <c r="EJ55" t="str">
        <f>""</f>
        <v/>
      </c>
      <c r="EK55" t="str">
        <f>""</f>
        <v/>
      </c>
      <c r="EL55" t="str">
        <f>""</f>
        <v/>
      </c>
      <c r="EM55" t="str">
        <f>""</f>
        <v/>
      </c>
      <c r="EN55" t="str">
        <f>""</f>
        <v/>
      </c>
      <c r="EO55" t="str">
        <f>""</f>
        <v/>
      </c>
      <c r="EP55" t="str">
        <f>""</f>
        <v/>
      </c>
      <c r="EQ55" t="str">
        <f>""</f>
        <v/>
      </c>
      <c r="ER55" t="str">
        <f>""</f>
        <v/>
      </c>
      <c r="ES55" t="str">
        <f>""</f>
        <v/>
      </c>
      <c r="ET55" t="str">
        <f>""</f>
        <v/>
      </c>
      <c r="EU55" t="str">
        <f>""</f>
        <v/>
      </c>
      <c r="EV55" t="str">
        <f>""</f>
        <v/>
      </c>
      <c r="EW55" t="str">
        <f>""</f>
        <v/>
      </c>
      <c r="EX55" t="str">
        <f>""</f>
        <v/>
      </c>
      <c r="EY55" t="str">
        <f>""</f>
        <v/>
      </c>
      <c r="EZ55" t="str">
        <f>""</f>
        <v/>
      </c>
      <c r="FA55" t="str">
        <f>""</f>
        <v/>
      </c>
      <c r="FB55" t="str">
        <f>""</f>
        <v/>
      </c>
      <c r="FC55" t="str">
        <f>""</f>
        <v/>
      </c>
      <c r="FD55" t="str">
        <f>""</f>
        <v/>
      </c>
      <c r="FE55" t="str">
        <f>""</f>
        <v/>
      </c>
      <c r="FF55" t="str">
        <f>""</f>
        <v/>
      </c>
      <c r="FG55" t="str">
        <f>""</f>
        <v/>
      </c>
      <c r="FH55" t="str">
        <f>""</f>
        <v/>
      </c>
      <c r="FI55" t="str">
        <f>""</f>
        <v/>
      </c>
      <c r="FJ55" t="str">
        <f>""</f>
        <v/>
      </c>
      <c r="FK55" t="str">
        <f>""</f>
        <v/>
      </c>
      <c r="FL55" t="str">
        <f>""</f>
        <v/>
      </c>
      <c r="FM55" t="str">
        <f>""</f>
        <v/>
      </c>
      <c r="FN55" t="str">
        <f>""</f>
        <v/>
      </c>
      <c r="FO55" t="str">
        <f>""</f>
        <v/>
      </c>
      <c r="FP55" t="str">
        <f>""</f>
        <v/>
      </c>
      <c r="FQ55" t="str">
        <f>""</f>
        <v/>
      </c>
    </row>
    <row r="56" spans="1:173">
      <c r="A56" t="str">
        <f>"    埃塞克斯房地产信托公司"</f>
        <v xml:space="preserve">    埃塞克斯房地产信托公司</v>
      </c>
      <c r="B56" t="str">
        <f>"ESS US Equity"</f>
        <v>ESS US Equity</v>
      </c>
      <c r="C56" t="str">
        <f t="shared" si="18"/>
        <v>BE038</v>
      </c>
      <c r="D56" t="str">
        <f t="shared" si="19"/>
        <v>BEST_FFOPS</v>
      </c>
      <c r="E56" t="str">
        <f t="shared" si="20"/>
        <v>动态</v>
      </c>
      <c r="F56" t="str">
        <f ca="1">IF(AND(ISNUMBER($F$300),$B$252=1),$F$300,HLOOKUP(INDIRECT(ADDRESS(2,COLUMN())),OFFSET($CL$2,0,0,ROW()-1,84),ROW()-1,FALSE))</f>
        <v/>
      </c>
      <c r="G56">
        <f ca="1">IF(AND(ISNUMBER($G$300),$B$252=1),$G$300,HLOOKUP(INDIRECT(ADDRESS(2,COLUMN())),OFFSET($CL$2,0,0,ROW()-1,84),ROW()-1,FALSE))</f>
        <v>11.891999999999999</v>
      </c>
      <c r="H56">
        <f ca="1">IF(AND(ISNUMBER($H$300),$B$252=1),$H$300,HLOOKUP(INDIRECT(ADDRESS(2,COLUMN())),OFFSET($CL$2,0,0,ROW()-1,84),ROW()-1,FALSE))</f>
        <v>11.891999999999999</v>
      </c>
      <c r="I56">
        <f ca="1">IF(AND(ISNUMBER($I$300),$B$252=1),$I$300,HLOOKUP(INDIRECT(ADDRESS(2,COLUMN())),OFFSET($CL$2,0,0,ROW()-1,84),ROW()-1,FALSE))</f>
        <v>11.891999999999999</v>
      </c>
      <c r="J56">
        <f ca="1">IF(AND(ISNUMBER($J$300),$B$252=1),$J$300,HLOOKUP(INDIRECT(ADDRESS(2,COLUMN())),OFFSET($CL$2,0,0,ROW()-1,84),ROW()-1,FALSE))</f>
        <v>11.884</v>
      </c>
      <c r="K56">
        <f ca="1">IF(AND(ISNUMBER($K$300),$B$252=1),$K$300,HLOOKUP(INDIRECT(ADDRESS(2,COLUMN())),OFFSET($CL$2,0,0,ROW()-1,84),ROW()-1,FALSE))</f>
        <v>11.875</v>
      </c>
      <c r="L56">
        <f ca="1">IF(AND(ISNUMBER($L$300),$B$252=1),$L$300,HLOOKUP(INDIRECT(ADDRESS(2,COLUMN())),OFFSET($CL$2,0,0,ROW()-1,84),ROW()-1,FALSE))</f>
        <v>11.879</v>
      </c>
      <c r="M56">
        <f ca="1">IF(AND(ISNUMBER($M$300),$B$252=1),$M$300,HLOOKUP(INDIRECT(ADDRESS(2,COLUMN())),OFFSET($CL$2,0,0,ROW()-1,84),ROW()-1,FALSE))</f>
        <v>11.864000000000001</v>
      </c>
      <c r="N56">
        <f ca="1">IF(AND(ISNUMBER($N$300),$B$252=1),$N$300,HLOOKUP(INDIRECT(ADDRESS(2,COLUMN())),OFFSET($CL$2,0,0,ROW()-1,84),ROW()-1,FALSE))</f>
        <v>11.836</v>
      </c>
      <c r="O56">
        <f ca="1">IF(AND(ISNUMBER($O$300),$B$252=1),$O$300,HLOOKUP(INDIRECT(ADDRESS(2,COLUMN())),OFFSET($CL$2,0,0,ROW()-1,84),ROW()-1,FALSE))</f>
        <v>11.807</v>
      </c>
      <c r="P56">
        <f ca="1">IF(AND(ISNUMBER($P$300),$B$252=1),$P$300,HLOOKUP(INDIRECT(ADDRESS(2,COLUMN())),OFFSET($CL$2,0,0,ROW()-1,84),ROW()-1,FALSE))</f>
        <v>11.792999999999999</v>
      </c>
      <c r="Q56">
        <f ca="1">IF(AND(ISNUMBER($Q$300),$B$252=1),$Q$300,HLOOKUP(INDIRECT(ADDRESS(2,COLUMN())),OFFSET($CL$2,0,0,ROW()-1,84),ROW()-1,FALSE))</f>
        <v>11.711</v>
      </c>
      <c r="R56">
        <f ca="1">IF(AND(ISNUMBER($R$300),$B$252=1),$R$300,HLOOKUP(INDIRECT(ADDRESS(2,COLUMN())),OFFSET($CL$2,0,0,ROW()-1,84),ROW()-1,FALSE))</f>
        <v>11.724</v>
      </c>
      <c r="S56">
        <f ca="1">IF(AND(ISNUMBER($S$300),$B$252=1),$S$300,HLOOKUP(INDIRECT(ADDRESS(2,COLUMN())),OFFSET($CL$2,0,0,ROW()-1,84),ROW()-1,FALSE))</f>
        <v>11.72</v>
      </c>
      <c r="T56">
        <f ca="1">IF(AND(ISNUMBER($T$300),$B$252=1),$T$300,HLOOKUP(INDIRECT(ADDRESS(2,COLUMN())),OFFSET($CL$2,0,0,ROW()-1,84),ROW()-1,FALSE))</f>
        <v>11.763</v>
      </c>
      <c r="U56">
        <f ca="1">IF(AND(ISNUMBER($U$300),$B$252=1),$U$300,HLOOKUP(INDIRECT(ADDRESS(2,COLUMN())),OFFSET($CL$2,0,0,ROW()-1,84),ROW()-1,FALSE))</f>
        <v>11.771000000000001</v>
      </c>
      <c r="V56">
        <f ca="1">IF(AND(ISNUMBER($V$300),$B$252=1),$V$300,HLOOKUP(INDIRECT(ADDRESS(2,COLUMN())),OFFSET($CL$2,0,0,ROW()-1,84),ROW()-1,FALSE))</f>
        <v>11.807</v>
      </c>
      <c r="W56">
        <f ca="1">IF(AND(ISNUMBER($W$300),$B$252=1),$W$300,HLOOKUP(INDIRECT(ADDRESS(2,COLUMN())),OFFSET($CL$2,0,0,ROW()-1,84),ROW()-1,FALSE))</f>
        <v>11.786</v>
      </c>
      <c r="X56">
        <f ca="1">IF(AND(ISNUMBER($X$300),$B$252=1),$X$300,HLOOKUP(INDIRECT(ADDRESS(2,COLUMN())),OFFSET($CL$2,0,0,ROW()-1,84),ROW()-1,FALSE))</f>
        <v>11.815</v>
      </c>
      <c r="Y56">
        <f ca="1">IF(AND(ISNUMBER($Y$300),$B$252=1),$Y$300,HLOOKUP(INDIRECT(ADDRESS(2,COLUMN())),OFFSET($CL$2,0,0,ROW()-1,84),ROW()-1,FALSE))</f>
        <v>11.817</v>
      </c>
      <c r="Z56">
        <f ca="1">IF(AND(ISNUMBER($Z$300),$B$252=1),$Z$300,HLOOKUP(INDIRECT(ADDRESS(2,COLUMN())),OFFSET($CL$2,0,0,ROW()-1,84),ROW()-1,FALSE))</f>
        <v>11.814</v>
      </c>
      <c r="AA56">
        <f ca="1">IF(AND(ISNUMBER($AA$300),$B$252=1),$AA$300,HLOOKUP(INDIRECT(ADDRESS(2,COLUMN())),OFFSET($CL$2,0,0,ROW()-1,84),ROW()-1,FALSE))</f>
        <v>11.833</v>
      </c>
      <c r="AB56">
        <f ca="1">IF(AND(ISNUMBER($AB$300),$B$252=1),$AB$300,HLOOKUP(INDIRECT(ADDRESS(2,COLUMN())),OFFSET($CL$2,0,0,ROW()-1,84),ROW()-1,FALSE))</f>
        <v>11.862</v>
      </c>
      <c r="AC56">
        <f ca="1">IF(AND(ISNUMBER($AC$300),$B$252=1),$AC$300,HLOOKUP(INDIRECT(ADDRESS(2,COLUMN())),OFFSET($CL$2,0,0,ROW()-1,84),ROW()-1,FALSE))</f>
        <v>11.919</v>
      </c>
      <c r="AD56">
        <f ca="1">IF(AND(ISNUMBER($AD$300),$B$252=1),$AD$300,HLOOKUP(INDIRECT(ADDRESS(2,COLUMN())),OFFSET($CL$2,0,0,ROW()-1,84),ROW()-1,FALSE))</f>
        <v>11.928000000000001</v>
      </c>
      <c r="AE56">
        <f ca="1">IF(AND(ISNUMBER($AE$300),$B$252=1),$AE$300,HLOOKUP(INDIRECT(ADDRESS(2,COLUMN())),OFFSET($CL$2,0,0,ROW()-1,84),ROW()-1,FALSE))</f>
        <v>11.881</v>
      </c>
      <c r="AF56">
        <f ca="1">IF(AND(ISNUMBER($AF$300),$B$252=1),$AF$300,HLOOKUP(INDIRECT(ADDRESS(2,COLUMN())),OFFSET($CL$2,0,0,ROW()-1,84),ROW()-1,FALSE))</f>
        <v>11.837999999999999</v>
      </c>
      <c r="AG56">
        <f ca="1">IF(AND(ISNUMBER($AG$300),$B$252=1),$AG$300,HLOOKUP(INDIRECT(ADDRESS(2,COLUMN())),OFFSET($CL$2,0,0,ROW()-1,84),ROW()-1,FALSE))</f>
        <v>11.904</v>
      </c>
      <c r="AH56">
        <f ca="1">IF(AND(ISNUMBER($AH$300),$B$252=1),$AH$300,HLOOKUP(INDIRECT(ADDRESS(2,COLUMN())),OFFSET($CL$2,0,0,ROW()-1,84),ROW()-1,FALSE))</f>
        <v>11.882</v>
      </c>
      <c r="AI56">
        <f ca="1">IF(AND(ISNUMBER($AI$300),$B$252=1),$AI$300,HLOOKUP(INDIRECT(ADDRESS(2,COLUMN())),OFFSET($CL$2,0,0,ROW()-1,84),ROW()-1,FALSE))</f>
        <v>11.766999999999999</v>
      </c>
      <c r="AJ56">
        <f ca="1">IF(AND(ISNUMBER($AJ$300),$B$252=1),$AJ$300,HLOOKUP(INDIRECT(ADDRESS(2,COLUMN())),OFFSET($CL$2,0,0,ROW()-1,84),ROW()-1,FALSE))</f>
        <v>11.69</v>
      </c>
      <c r="AK56">
        <f ca="1">IF(AND(ISNUMBER($AK$300),$B$252=1),$AK$300,HLOOKUP(INDIRECT(ADDRESS(2,COLUMN())),OFFSET($CL$2,0,0,ROW()-1,84),ROW()-1,FALSE))</f>
        <v>11.69</v>
      </c>
      <c r="AL56">
        <f ca="1">IF(AND(ISNUMBER($AL$300),$B$252=1),$AL$300,HLOOKUP(INDIRECT(ADDRESS(2,COLUMN())),OFFSET($CL$2,0,0,ROW()-1,84),ROW()-1,FALSE))</f>
        <v>11.462</v>
      </c>
      <c r="AM56">
        <f ca="1">IF(AND(ISNUMBER($AM$300),$B$252=1),$AM$300,HLOOKUP(INDIRECT(ADDRESS(2,COLUMN())),OFFSET($CL$2,0,0,ROW()-1,84),ROW()-1,FALSE))</f>
        <v>11.4</v>
      </c>
      <c r="AN56">
        <f ca="1">IF(AND(ISNUMBER($AN$300),$B$252=1),$AN$300,HLOOKUP(INDIRECT(ADDRESS(2,COLUMN())),OFFSET($CL$2,0,0,ROW()-1,84),ROW()-1,FALSE))</f>
        <v>11.321999999999999</v>
      </c>
      <c r="AO56">
        <f ca="1">IF(AND(ISNUMBER($AO$300),$B$252=1),$AO$300,HLOOKUP(INDIRECT(ADDRESS(2,COLUMN())),OFFSET($CL$2,0,0,ROW()-1,84),ROW()-1,FALSE))</f>
        <v>11.167999999999999</v>
      </c>
      <c r="AP56">
        <f ca="1">IF(AND(ISNUMBER($AP$300),$B$252=1),$AP$300,HLOOKUP(INDIRECT(ADDRESS(2,COLUMN())),OFFSET($CL$2,0,0,ROW()-1,84),ROW()-1,FALSE))</f>
        <v>11.177</v>
      </c>
      <c r="AQ56">
        <f ca="1">IF(AND(ISNUMBER($AQ$300),$B$252=1),$AQ$300,HLOOKUP(INDIRECT(ADDRESS(2,COLUMN())),OFFSET($CL$2,0,0,ROW()-1,84),ROW()-1,FALSE))</f>
        <v>10.95</v>
      </c>
      <c r="AR56" t="str">
        <f ca="1">IF(AND(ISNUMBER($AR$300),$B$252=1),$AR$300,HLOOKUP(INDIRECT(ADDRESS(2,COLUMN())),OFFSET($CL$2,0,0,ROW()-1,84),ROW()-1,FALSE))</f>
        <v/>
      </c>
      <c r="AS56" t="str">
        <f ca="1">IF(AND(ISNUMBER($AS$300),$B$252=1),$AS$300,HLOOKUP(INDIRECT(ADDRESS(2,COLUMN())),OFFSET($CL$2,0,0,ROW()-1,84),ROW()-1,FALSE))</f>
        <v/>
      </c>
      <c r="AT56" t="str">
        <f ca="1">IF(AND(ISNUMBER($AT$300),$B$252=1),$AT$300,HLOOKUP(INDIRECT(ADDRESS(2,COLUMN())),OFFSET($CL$2,0,0,ROW()-1,84),ROW()-1,FALSE))</f>
        <v/>
      </c>
      <c r="AU56" t="str">
        <f ca="1">IF(AND(ISNUMBER($AU$300),$B$252=1),$AU$300,HLOOKUP(INDIRECT(ADDRESS(2,COLUMN())),OFFSET($CL$2,0,0,ROW()-1,84),ROW()-1,FALSE))</f>
        <v/>
      </c>
      <c r="AV56" t="str">
        <f ca="1">IF(AND(ISNUMBER($AV$300),$B$252=1),$AV$300,HLOOKUP(INDIRECT(ADDRESS(2,COLUMN())),OFFSET($CL$2,0,0,ROW()-1,84),ROW()-1,FALSE))</f>
        <v/>
      </c>
      <c r="AW56" t="str">
        <f ca="1">IF(AND(ISNUMBER($AW$300),$B$252=1),$AW$300,HLOOKUP(INDIRECT(ADDRESS(2,COLUMN())),OFFSET($CL$2,0,0,ROW()-1,84),ROW()-1,FALSE))</f>
        <v/>
      </c>
      <c r="AX56" t="str">
        <f ca="1">IF(AND(ISNUMBER($AX$300),$B$252=1),$AX$300,HLOOKUP(INDIRECT(ADDRESS(2,COLUMN())),OFFSET($CL$2,0,0,ROW()-1,84),ROW()-1,FALSE))</f>
        <v/>
      </c>
      <c r="AY56" t="str">
        <f ca="1">IF(AND(ISNUMBER($AY$300),$B$252=1),$AY$300,HLOOKUP(INDIRECT(ADDRESS(2,COLUMN())),OFFSET($CL$2,0,0,ROW()-1,84),ROW()-1,FALSE))</f>
        <v/>
      </c>
      <c r="AZ56" t="str">
        <f ca="1">IF(AND(ISNUMBER($AZ$300),$B$252=1),$AZ$300,HLOOKUP(INDIRECT(ADDRESS(2,COLUMN())),OFFSET($CL$2,0,0,ROW()-1,84),ROW()-1,FALSE))</f>
        <v/>
      </c>
      <c r="BA56" t="str">
        <f ca="1">IF(AND(ISNUMBER($BA$300),$B$252=1),$BA$300,HLOOKUP(INDIRECT(ADDRESS(2,COLUMN())),OFFSET($CL$2,0,0,ROW()-1,84),ROW()-1,FALSE))</f>
        <v/>
      </c>
      <c r="BB56" t="str">
        <f ca="1">IF(AND(ISNUMBER($BB$300),$B$252=1),$BB$300,HLOOKUP(INDIRECT(ADDRESS(2,COLUMN())),OFFSET($CL$2,0,0,ROW()-1,84),ROW()-1,FALSE))</f>
        <v/>
      </c>
      <c r="BC56" t="str">
        <f ca="1">IF(AND(ISNUMBER($BC$300),$B$252=1),$BC$300,HLOOKUP(INDIRECT(ADDRESS(2,COLUMN())),OFFSET($CL$2,0,0,ROW()-1,84),ROW()-1,FALSE))</f>
        <v/>
      </c>
      <c r="BD56" t="str">
        <f ca="1">IF(AND(ISNUMBER($BD$300),$B$252=1),$BD$300,HLOOKUP(INDIRECT(ADDRESS(2,COLUMN())),OFFSET($CL$2,0,0,ROW()-1,84),ROW()-1,FALSE))</f>
        <v/>
      </c>
      <c r="BE56" t="str">
        <f ca="1">IF(AND(ISNUMBER($BE$300),$B$252=1),$BE$300,HLOOKUP(INDIRECT(ADDRESS(2,COLUMN())),OFFSET($CL$2,0,0,ROW()-1,84),ROW()-1,FALSE))</f>
        <v/>
      </c>
      <c r="BF56" t="str">
        <f ca="1">IF(AND(ISNUMBER($BF$300),$B$252=1),$BF$300,HLOOKUP(INDIRECT(ADDRESS(2,COLUMN())),OFFSET($CL$2,0,0,ROW()-1,84),ROW()-1,FALSE))</f>
        <v/>
      </c>
      <c r="BG56" t="str">
        <f ca="1">IF(AND(ISNUMBER($BG$300),$B$252=1),$BG$300,HLOOKUP(INDIRECT(ADDRESS(2,COLUMN())),OFFSET($CL$2,0,0,ROW()-1,84),ROW()-1,FALSE))</f>
        <v/>
      </c>
      <c r="BH56" t="str">
        <f ca="1">IF(AND(ISNUMBER($BH$300),$B$252=1),$BH$300,HLOOKUP(INDIRECT(ADDRESS(2,COLUMN())),OFFSET($CL$2,0,0,ROW()-1,84),ROW()-1,FALSE))</f>
        <v/>
      </c>
      <c r="BI56" t="str">
        <f ca="1">IF(AND(ISNUMBER($BI$300),$B$252=1),$BI$300,HLOOKUP(INDIRECT(ADDRESS(2,COLUMN())),OFFSET($CL$2,0,0,ROW()-1,84),ROW()-1,FALSE))</f>
        <v/>
      </c>
      <c r="BJ56" t="str">
        <f ca="1">IF(AND(ISNUMBER($BJ$300),$B$252=1),$BJ$300,HLOOKUP(INDIRECT(ADDRESS(2,COLUMN())),OFFSET($CL$2,0,0,ROW()-1,84),ROW()-1,FALSE))</f>
        <v/>
      </c>
      <c r="BK56" t="str">
        <f ca="1">IF(AND(ISNUMBER($BK$300),$B$252=1),$BK$300,HLOOKUP(INDIRECT(ADDRESS(2,COLUMN())),OFFSET($CL$2,0,0,ROW()-1,84),ROW()-1,FALSE))</f>
        <v/>
      </c>
      <c r="BL56" t="str">
        <f ca="1">IF(AND(ISNUMBER($BL$300),$B$252=1),$BL$300,HLOOKUP(INDIRECT(ADDRESS(2,COLUMN())),OFFSET($CL$2,0,0,ROW()-1,84),ROW()-1,FALSE))</f>
        <v/>
      </c>
      <c r="BM56" t="str">
        <f ca="1">IF(AND(ISNUMBER($BM$300),$B$252=1),$BM$300,HLOOKUP(INDIRECT(ADDRESS(2,COLUMN())),OFFSET($CL$2,0,0,ROW()-1,84),ROW()-1,FALSE))</f>
        <v/>
      </c>
      <c r="BN56" t="str">
        <f ca="1">IF(AND(ISNUMBER($BN$300),$B$252=1),$BN$300,HLOOKUP(INDIRECT(ADDRESS(2,COLUMN())),OFFSET($CL$2,0,0,ROW()-1,84),ROW()-1,FALSE))</f>
        <v/>
      </c>
      <c r="BO56" t="str">
        <f ca="1">IF(AND(ISNUMBER($BO$300),$B$252=1),$BO$300,HLOOKUP(INDIRECT(ADDRESS(2,COLUMN())),OFFSET($CL$2,0,0,ROW()-1,84),ROW()-1,FALSE))</f>
        <v/>
      </c>
      <c r="BP56" t="str">
        <f ca="1">IF(AND(ISNUMBER($BP$300),$B$252=1),$BP$300,HLOOKUP(INDIRECT(ADDRESS(2,COLUMN())),OFFSET($CL$2,0,0,ROW()-1,84),ROW()-1,FALSE))</f>
        <v/>
      </c>
      <c r="BQ56" t="str">
        <f ca="1">IF(AND(ISNUMBER($BQ$300),$B$252=1),$BQ$300,HLOOKUP(INDIRECT(ADDRESS(2,COLUMN())),OFFSET($CL$2,0,0,ROW()-1,84),ROW()-1,FALSE))</f>
        <v/>
      </c>
      <c r="BR56" t="str">
        <f ca="1">IF(AND(ISNUMBER($BR$300),$B$252=1),$BR$300,HLOOKUP(INDIRECT(ADDRESS(2,COLUMN())),OFFSET($CL$2,0,0,ROW()-1,84),ROW()-1,FALSE))</f>
        <v/>
      </c>
      <c r="BS56" t="str">
        <f ca="1">IF(AND(ISNUMBER($BS$300),$B$252=1),$BS$300,HLOOKUP(INDIRECT(ADDRESS(2,COLUMN())),OFFSET($CL$2,0,0,ROW()-1,84),ROW()-1,FALSE))</f>
        <v/>
      </c>
      <c r="BT56" t="str">
        <f ca="1">IF(AND(ISNUMBER($BT$300),$B$252=1),$BT$300,HLOOKUP(INDIRECT(ADDRESS(2,COLUMN())),OFFSET($CL$2,0,0,ROW()-1,84),ROW()-1,FALSE))</f>
        <v/>
      </c>
      <c r="BU56" t="str">
        <f ca="1">IF(AND(ISNUMBER($BU$300),$B$252=1),$BU$300,HLOOKUP(INDIRECT(ADDRESS(2,COLUMN())),OFFSET($CL$2,0,0,ROW()-1,84),ROW()-1,FALSE))</f>
        <v/>
      </c>
      <c r="BV56" t="str">
        <f ca="1">IF(AND(ISNUMBER($BV$300),$B$252=1),$BV$300,HLOOKUP(INDIRECT(ADDRESS(2,COLUMN())),OFFSET($CL$2,0,0,ROW()-1,84),ROW()-1,FALSE))</f>
        <v/>
      </c>
      <c r="BW56" t="str">
        <f ca="1">IF(AND(ISNUMBER($BW$300),$B$252=1),$BW$300,HLOOKUP(INDIRECT(ADDRESS(2,COLUMN())),OFFSET($CL$2,0,0,ROW()-1,84),ROW()-1,FALSE))</f>
        <v/>
      </c>
      <c r="BX56" t="str">
        <f ca="1">IF(AND(ISNUMBER($BX$300),$B$252=1),$BX$300,HLOOKUP(INDIRECT(ADDRESS(2,COLUMN())),OFFSET($CL$2,0,0,ROW()-1,84),ROW()-1,FALSE))</f>
        <v/>
      </c>
      <c r="BY56" t="str">
        <f ca="1">IF(AND(ISNUMBER($BY$300),$B$252=1),$BY$300,HLOOKUP(INDIRECT(ADDRESS(2,COLUMN())),OFFSET($CL$2,0,0,ROW()-1,84),ROW()-1,FALSE))</f>
        <v/>
      </c>
      <c r="BZ56" t="str">
        <f ca="1">IF(AND(ISNUMBER($BZ$300),$B$252=1),$BZ$300,HLOOKUP(INDIRECT(ADDRESS(2,COLUMN())),OFFSET($CL$2,0,0,ROW()-1,84),ROW()-1,FALSE))</f>
        <v/>
      </c>
      <c r="CA56" t="str">
        <f ca="1">IF(AND(ISNUMBER($CA$300),$B$252=1),$CA$300,HLOOKUP(INDIRECT(ADDRESS(2,COLUMN())),OFFSET($CL$2,0,0,ROW()-1,84),ROW()-1,FALSE))</f>
        <v/>
      </c>
      <c r="CB56" t="str">
        <f ca="1">IF(AND(ISNUMBER($CB$300),$B$252=1),$CB$300,HLOOKUP(INDIRECT(ADDRESS(2,COLUMN())),OFFSET($CL$2,0,0,ROW()-1,84),ROW()-1,FALSE))</f>
        <v/>
      </c>
      <c r="CC56" t="str">
        <f ca="1">IF(AND(ISNUMBER($CC$300),$B$252=1),$CC$300,HLOOKUP(INDIRECT(ADDRESS(2,COLUMN())),OFFSET($CL$2,0,0,ROW()-1,84),ROW()-1,FALSE))</f>
        <v/>
      </c>
      <c r="CD56" t="str">
        <f ca="1">IF(AND(ISNUMBER($CD$300),$B$252=1),$CD$300,HLOOKUP(INDIRECT(ADDRESS(2,COLUMN())),OFFSET($CL$2,0,0,ROW()-1,84),ROW()-1,FALSE))</f>
        <v/>
      </c>
      <c r="CE56" t="str">
        <f ca="1">IF(AND(ISNUMBER($CE$300),$B$252=1),$CE$300,HLOOKUP(INDIRECT(ADDRESS(2,COLUMN())),OFFSET($CL$2,0,0,ROW()-1,84),ROW()-1,FALSE))</f>
        <v/>
      </c>
      <c r="CF56" t="str">
        <f ca="1">IF(AND(ISNUMBER($CF$300),$B$252=1),$CF$300,HLOOKUP(INDIRECT(ADDRESS(2,COLUMN())),OFFSET($CL$2,0,0,ROW()-1,84),ROW()-1,FALSE))</f>
        <v/>
      </c>
      <c r="CG56" t="str">
        <f ca="1">IF(AND(ISNUMBER($CG$300),$B$252=1),$CG$300,HLOOKUP(INDIRECT(ADDRESS(2,COLUMN())),OFFSET($CL$2,0,0,ROW()-1,84),ROW()-1,FALSE))</f>
        <v/>
      </c>
      <c r="CH56" t="str">
        <f ca="1">IF(AND(ISNUMBER($CH$300),$B$252=1),$CH$300,HLOOKUP(INDIRECT(ADDRESS(2,COLUMN())),OFFSET($CL$2,0,0,ROW()-1,84),ROW()-1,FALSE))</f>
        <v/>
      </c>
      <c r="CI56" t="str">
        <f ca="1">IF(AND(ISNUMBER($CI$300),$B$252=1),$CI$300,HLOOKUP(INDIRECT(ADDRESS(2,COLUMN())),OFFSET($CL$2,0,0,ROW()-1,84),ROW()-1,FALSE))</f>
        <v/>
      </c>
      <c r="CJ56" t="str">
        <f ca="1">IF(AND(ISNUMBER($CJ$300),$B$252=1),$CJ$300,HLOOKUP(INDIRECT(ADDRESS(2,COLUMN())),OFFSET($CL$2,0,0,ROW()-1,84),ROW()-1,FALSE))</f>
        <v/>
      </c>
      <c r="CK56" t="str">
        <f ca="1">IF(AND(ISNUMBER($CK$300),$B$252=1),$CK$300,HLOOKUP(INDIRECT(ADDRESS(2,COLUMN())),OFFSET($CL$2,0,0,ROW()-1,84),ROW()-1,FALSE))</f>
        <v/>
      </c>
      <c r="CL56" t="str">
        <f>""</f>
        <v/>
      </c>
      <c r="CM56">
        <f>11.892</f>
        <v>11.891999999999999</v>
      </c>
      <c r="CN56">
        <f>11.892</f>
        <v>11.891999999999999</v>
      </c>
      <c r="CO56">
        <f>11.892</f>
        <v>11.891999999999999</v>
      </c>
      <c r="CP56">
        <f>11.884</f>
        <v>11.884</v>
      </c>
      <c r="CQ56">
        <f>11.875</f>
        <v>11.875</v>
      </c>
      <c r="CR56">
        <f>11.879</f>
        <v>11.879</v>
      </c>
      <c r="CS56">
        <f>11.864</f>
        <v>11.864000000000001</v>
      </c>
      <c r="CT56">
        <f>11.836</f>
        <v>11.836</v>
      </c>
      <c r="CU56">
        <f>11.807</f>
        <v>11.807</v>
      </c>
      <c r="CV56">
        <f>11.793</f>
        <v>11.792999999999999</v>
      </c>
      <c r="CW56">
        <f>11.711</f>
        <v>11.711</v>
      </c>
      <c r="CX56">
        <f>11.724</f>
        <v>11.724</v>
      </c>
      <c r="CY56">
        <f>11.72</f>
        <v>11.72</v>
      </c>
      <c r="CZ56">
        <f>11.763</f>
        <v>11.763</v>
      </c>
      <c r="DA56">
        <f>11.771</f>
        <v>11.771000000000001</v>
      </c>
      <c r="DB56">
        <f>11.807</f>
        <v>11.807</v>
      </c>
      <c r="DC56">
        <f>11.786</f>
        <v>11.786</v>
      </c>
      <c r="DD56">
        <f>11.815</f>
        <v>11.815</v>
      </c>
      <c r="DE56">
        <f>11.817</f>
        <v>11.817</v>
      </c>
      <c r="DF56">
        <f>11.814</f>
        <v>11.814</v>
      </c>
      <c r="DG56">
        <f>11.833</f>
        <v>11.833</v>
      </c>
      <c r="DH56">
        <f>11.862</f>
        <v>11.862</v>
      </c>
      <c r="DI56">
        <f>11.919</f>
        <v>11.919</v>
      </c>
      <c r="DJ56">
        <f>11.928</f>
        <v>11.928000000000001</v>
      </c>
      <c r="DK56">
        <f>11.881</f>
        <v>11.881</v>
      </c>
      <c r="DL56">
        <f>11.838</f>
        <v>11.837999999999999</v>
      </c>
      <c r="DM56">
        <f>11.904</f>
        <v>11.904</v>
      </c>
      <c r="DN56">
        <f>11.882</f>
        <v>11.882</v>
      </c>
      <c r="DO56">
        <f>11.767</f>
        <v>11.766999999999999</v>
      </c>
      <c r="DP56">
        <f>11.69</f>
        <v>11.69</v>
      </c>
      <c r="DQ56">
        <f>11.69</f>
        <v>11.69</v>
      </c>
      <c r="DR56">
        <f>11.462</f>
        <v>11.462</v>
      </c>
      <c r="DS56">
        <f>11.4</f>
        <v>11.4</v>
      </c>
      <c r="DT56">
        <f>11.322</f>
        <v>11.321999999999999</v>
      </c>
      <c r="DU56">
        <f>11.168</f>
        <v>11.167999999999999</v>
      </c>
      <c r="DV56">
        <f>11.177</f>
        <v>11.177</v>
      </c>
      <c r="DW56">
        <f>10.95</f>
        <v>10.95</v>
      </c>
      <c r="DX56" t="str">
        <f>""</f>
        <v/>
      </c>
      <c r="DY56" t="str">
        <f>""</f>
        <v/>
      </c>
      <c r="DZ56" t="str">
        <f>""</f>
        <v/>
      </c>
      <c r="EA56" t="str">
        <f>""</f>
        <v/>
      </c>
      <c r="EB56" t="str">
        <f>""</f>
        <v/>
      </c>
      <c r="EC56" t="str">
        <f>""</f>
        <v/>
      </c>
      <c r="ED56" t="str">
        <f>""</f>
        <v/>
      </c>
      <c r="EE56" t="str">
        <f>""</f>
        <v/>
      </c>
      <c r="EF56" t="str">
        <f>""</f>
        <v/>
      </c>
      <c r="EG56" t="str">
        <f>""</f>
        <v/>
      </c>
      <c r="EH56" t="str">
        <f>""</f>
        <v/>
      </c>
      <c r="EI56" t="str">
        <f>""</f>
        <v/>
      </c>
      <c r="EJ56" t="str">
        <f>""</f>
        <v/>
      </c>
      <c r="EK56" t="str">
        <f>""</f>
        <v/>
      </c>
      <c r="EL56" t="str">
        <f>""</f>
        <v/>
      </c>
      <c r="EM56" t="str">
        <f>""</f>
        <v/>
      </c>
      <c r="EN56" t="str">
        <f>""</f>
        <v/>
      </c>
      <c r="EO56" t="str">
        <f>""</f>
        <v/>
      </c>
      <c r="EP56" t="str">
        <f>""</f>
        <v/>
      </c>
      <c r="EQ56" t="str">
        <f>""</f>
        <v/>
      </c>
      <c r="ER56" t="str">
        <f>""</f>
        <v/>
      </c>
      <c r="ES56" t="str">
        <f>""</f>
        <v/>
      </c>
      <c r="ET56" t="str">
        <f>""</f>
        <v/>
      </c>
      <c r="EU56" t="str">
        <f>""</f>
        <v/>
      </c>
      <c r="EV56" t="str">
        <f>""</f>
        <v/>
      </c>
      <c r="EW56" t="str">
        <f>""</f>
        <v/>
      </c>
      <c r="EX56" t="str">
        <f>""</f>
        <v/>
      </c>
      <c r="EY56" t="str">
        <f>""</f>
        <v/>
      </c>
      <c r="EZ56" t="str">
        <f>""</f>
        <v/>
      </c>
      <c r="FA56" t="str">
        <f>""</f>
        <v/>
      </c>
      <c r="FB56" t="str">
        <f>""</f>
        <v/>
      </c>
      <c r="FC56" t="str">
        <f>""</f>
        <v/>
      </c>
      <c r="FD56" t="str">
        <f>""</f>
        <v/>
      </c>
      <c r="FE56" t="str">
        <f>""</f>
        <v/>
      </c>
      <c r="FF56" t="str">
        <f>""</f>
        <v/>
      </c>
      <c r="FG56" t="str">
        <f>""</f>
        <v/>
      </c>
      <c r="FH56" t="str">
        <f>""</f>
        <v/>
      </c>
      <c r="FI56" t="str">
        <f>""</f>
        <v/>
      </c>
      <c r="FJ56" t="str">
        <f>""</f>
        <v/>
      </c>
      <c r="FK56" t="str">
        <f>""</f>
        <v/>
      </c>
      <c r="FL56" t="str">
        <f>""</f>
        <v/>
      </c>
      <c r="FM56" t="str">
        <f>""</f>
        <v/>
      </c>
      <c r="FN56" t="str">
        <f>""</f>
        <v/>
      </c>
      <c r="FO56" t="str">
        <f>""</f>
        <v/>
      </c>
      <c r="FP56" t="str">
        <f>""</f>
        <v/>
      </c>
      <c r="FQ56" t="str">
        <f>""</f>
        <v/>
      </c>
    </row>
    <row r="57" spans="1:173">
      <c r="A57" t="str">
        <f>"    Mid-America Apartment Communities股份有限公司"</f>
        <v xml:space="preserve">    Mid-America Apartment Communities股份有限公司</v>
      </c>
      <c r="B57" t="str">
        <f>"MAA US Equity"</f>
        <v>MAA US Equity</v>
      </c>
      <c r="C57" t="str">
        <f t="shared" si="18"/>
        <v>BE038</v>
      </c>
      <c r="D57" t="str">
        <f t="shared" si="19"/>
        <v>BEST_FFOPS</v>
      </c>
      <c r="E57" t="str">
        <f t="shared" si="20"/>
        <v>动态</v>
      </c>
      <c r="F57" t="str">
        <f ca="1">IF(AND(ISNUMBER($F$301),$B$252=1),$F$301,HLOOKUP(INDIRECT(ADDRESS(2,COLUMN())),OFFSET($CL$2,0,0,ROW()-1,84),ROW()-1,FALSE))</f>
        <v/>
      </c>
      <c r="G57" t="str">
        <f ca="1">IF(AND(ISNUMBER($G$301),$B$252=1),$G$301,HLOOKUP(INDIRECT(ADDRESS(2,COLUMN())),OFFSET($CL$2,0,0,ROW()-1,84),ROW()-1,FALSE))</f>
        <v/>
      </c>
      <c r="H57">
        <f ca="1">IF(AND(ISNUMBER($H$301),$B$252=1),$H$301,HLOOKUP(INDIRECT(ADDRESS(2,COLUMN())),OFFSET($CL$2,0,0,ROW()-1,84),ROW()-1,FALSE))</f>
        <v>5.9059999999999997</v>
      </c>
      <c r="I57">
        <f ca="1">IF(AND(ISNUMBER($I$301),$B$252=1),$I$301,HLOOKUP(INDIRECT(ADDRESS(2,COLUMN())),OFFSET($CL$2,0,0,ROW()-1,84),ROW()-1,FALSE))</f>
        <v>5.9160000000000004</v>
      </c>
      <c r="J57">
        <f ca="1">IF(AND(ISNUMBER($J$301),$B$252=1),$J$301,HLOOKUP(INDIRECT(ADDRESS(2,COLUMN())),OFFSET($CL$2,0,0,ROW()-1,84),ROW()-1,FALSE))</f>
        <v>5.92</v>
      </c>
      <c r="K57">
        <f ca="1">IF(AND(ISNUMBER($K$301),$B$252=1),$K$301,HLOOKUP(INDIRECT(ADDRESS(2,COLUMN())),OFFSET($CL$2,0,0,ROW()-1,84),ROW()-1,FALSE))</f>
        <v>5.9189999999999996</v>
      </c>
      <c r="L57">
        <f ca="1">IF(AND(ISNUMBER($L$301),$B$252=1),$L$301,HLOOKUP(INDIRECT(ADDRESS(2,COLUMN())),OFFSET($CL$2,0,0,ROW()-1,84),ROW()-1,FALSE))</f>
        <v>5.9249999999999998</v>
      </c>
      <c r="M57">
        <f ca="1">IF(AND(ISNUMBER($M$301),$B$252=1),$M$301,HLOOKUP(INDIRECT(ADDRESS(2,COLUMN())),OFFSET($CL$2,0,0,ROW()-1,84),ROW()-1,FALSE))</f>
        <v>5.9119999999999999</v>
      </c>
      <c r="N57">
        <f ca="1">IF(AND(ISNUMBER($N$301),$B$252=1),$N$301,HLOOKUP(INDIRECT(ADDRESS(2,COLUMN())),OFFSET($CL$2,0,0,ROW()-1,84),ROW()-1,FALSE))</f>
        <v>5.8929999999999998</v>
      </c>
      <c r="O57">
        <f ca="1">IF(AND(ISNUMBER($O$301),$B$252=1),$O$301,HLOOKUP(INDIRECT(ADDRESS(2,COLUMN())),OFFSET($CL$2,0,0,ROW()-1,84),ROW()-1,FALSE))</f>
        <v>5.9130000000000003</v>
      </c>
      <c r="P57">
        <f ca="1">IF(AND(ISNUMBER($P$301),$B$252=1),$P$301,HLOOKUP(INDIRECT(ADDRESS(2,COLUMN())),OFFSET($CL$2,0,0,ROW()-1,84),ROW()-1,FALSE))</f>
        <v>5.9119999999999999</v>
      </c>
      <c r="Q57">
        <f ca="1">IF(AND(ISNUMBER($Q$301),$B$252=1),$Q$301,HLOOKUP(INDIRECT(ADDRESS(2,COLUMN())),OFFSET($CL$2,0,0,ROW()-1,84),ROW()-1,FALSE))</f>
        <v>5.8869999999999996</v>
      </c>
      <c r="R57">
        <f ca="1">IF(AND(ISNUMBER($R$301),$B$252=1),$R$301,HLOOKUP(INDIRECT(ADDRESS(2,COLUMN())),OFFSET($CL$2,0,0,ROW()-1,84),ROW()-1,FALSE))</f>
        <v>5.8730000000000002</v>
      </c>
      <c r="S57">
        <f ca="1">IF(AND(ISNUMBER($S$301),$B$252=1),$S$301,HLOOKUP(INDIRECT(ADDRESS(2,COLUMN())),OFFSET($CL$2,0,0,ROW()-1,84),ROW()-1,FALSE))</f>
        <v>5.8789999999999996</v>
      </c>
      <c r="T57">
        <f ca="1">IF(AND(ISNUMBER($T$301),$B$252=1),$T$301,HLOOKUP(INDIRECT(ADDRESS(2,COLUMN())),OFFSET($CL$2,0,0,ROW()-1,84),ROW()-1,FALSE))</f>
        <v>5.9409999999999998</v>
      </c>
      <c r="U57">
        <f ca="1">IF(AND(ISNUMBER($U$301),$B$252=1),$U$301,HLOOKUP(INDIRECT(ADDRESS(2,COLUMN())),OFFSET($CL$2,0,0,ROW()-1,84),ROW()-1,FALSE))</f>
        <v>5.9580000000000002</v>
      </c>
      <c r="V57">
        <f ca="1">IF(AND(ISNUMBER($V$301),$B$252=1),$V$301,HLOOKUP(INDIRECT(ADDRESS(2,COLUMN())),OFFSET($CL$2,0,0,ROW()-1,84),ROW()-1,FALSE))</f>
        <v>6.1639999999999997</v>
      </c>
      <c r="W57">
        <f ca="1">IF(AND(ISNUMBER($W$301),$B$252=1),$W$301,HLOOKUP(INDIRECT(ADDRESS(2,COLUMN())),OFFSET($CL$2,0,0,ROW()-1,84),ROW()-1,FALSE))</f>
        <v>6.15</v>
      </c>
      <c r="X57">
        <f ca="1">IF(AND(ISNUMBER($X$301),$B$252=1),$X$301,HLOOKUP(INDIRECT(ADDRESS(2,COLUMN())),OFFSET($CL$2,0,0,ROW()-1,84),ROW()-1,FALSE))</f>
        <v>6.1829999999999998</v>
      </c>
      <c r="Y57">
        <f ca="1">IF(AND(ISNUMBER($Y$301),$B$252=1),$Y$301,HLOOKUP(INDIRECT(ADDRESS(2,COLUMN())),OFFSET($CL$2,0,0,ROW()-1,84),ROW()-1,FALSE))</f>
        <v>6.1520000000000001</v>
      </c>
      <c r="Z57">
        <f ca="1">IF(AND(ISNUMBER($Z$301),$B$252=1),$Z$301,HLOOKUP(INDIRECT(ADDRESS(2,COLUMN())),OFFSET($CL$2,0,0,ROW()-1,84),ROW()-1,FALSE))</f>
        <v>6.2859999999999996</v>
      </c>
      <c r="AA57">
        <f ca="1">IF(AND(ISNUMBER($AA$301),$B$252=1),$AA$301,HLOOKUP(INDIRECT(ADDRESS(2,COLUMN())),OFFSET($CL$2,0,0,ROW()-1,84),ROW()-1,FALSE))</f>
        <v>6.2809999999999997</v>
      </c>
      <c r="AB57">
        <f ca="1">IF(AND(ISNUMBER($AB$301),$B$252=1),$AB$301,HLOOKUP(INDIRECT(ADDRESS(2,COLUMN())),OFFSET($CL$2,0,0,ROW()-1,84),ROW()-1,FALSE))</f>
        <v>6.274</v>
      </c>
      <c r="AC57">
        <f ca="1">IF(AND(ISNUMBER($AC$301),$B$252=1),$AC$301,HLOOKUP(INDIRECT(ADDRESS(2,COLUMN())),OFFSET($CL$2,0,0,ROW()-1,84),ROW()-1,FALSE))</f>
        <v>6.2619999999999996</v>
      </c>
      <c r="AD57">
        <f ca="1">IF(AND(ISNUMBER($AD$301),$B$252=1),$AD$301,HLOOKUP(INDIRECT(ADDRESS(2,COLUMN())),OFFSET($CL$2,0,0,ROW()-1,84),ROW()-1,FALSE))</f>
        <v>6.2960000000000003</v>
      </c>
      <c r="AE57">
        <f ca="1">IF(AND(ISNUMBER($AE$301),$B$252=1),$AE$301,HLOOKUP(INDIRECT(ADDRESS(2,COLUMN())),OFFSET($CL$2,0,0,ROW()-1,84),ROW()-1,FALSE))</f>
        <v>6.2919999999999998</v>
      </c>
      <c r="AF57">
        <f ca="1">IF(AND(ISNUMBER($AF$301),$B$252=1),$AF$301,HLOOKUP(INDIRECT(ADDRESS(2,COLUMN())),OFFSET($CL$2,0,0,ROW()-1,84),ROW()-1,FALSE))</f>
        <v>6.2030000000000003</v>
      </c>
      <c r="AG57">
        <f ca="1">IF(AND(ISNUMBER($AG$301),$B$252=1),$AG$301,HLOOKUP(INDIRECT(ADDRESS(2,COLUMN())),OFFSET($CL$2,0,0,ROW()-1,84),ROW()-1,FALSE))</f>
        <v>6.2619999999999996</v>
      </c>
      <c r="AH57">
        <f ca="1">IF(AND(ISNUMBER($AH$301),$B$252=1),$AH$301,HLOOKUP(INDIRECT(ADDRESS(2,COLUMN())),OFFSET($CL$2,0,0,ROW()-1,84),ROW()-1,FALSE))</f>
        <v>6.2789999999999999</v>
      </c>
      <c r="AI57">
        <f ca="1">IF(AND(ISNUMBER($AI$301),$B$252=1),$AI$301,HLOOKUP(INDIRECT(ADDRESS(2,COLUMN())),OFFSET($CL$2,0,0,ROW()-1,84),ROW()-1,FALSE))</f>
        <v>6.2640000000000002</v>
      </c>
      <c r="AJ57">
        <f ca="1">IF(AND(ISNUMBER($AJ$301),$B$252=1),$AJ$301,HLOOKUP(INDIRECT(ADDRESS(2,COLUMN())),OFFSET($CL$2,0,0,ROW()-1,84),ROW()-1,FALSE))</f>
        <v>6.093</v>
      </c>
      <c r="AK57">
        <f ca="1">IF(AND(ISNUMBER($AK$301),$B$252=1),$AK$301,HLOOKUP(INDIRECT(ADDRESS(2,COLUMN())),OFFSET($CL$2,0,0,ROW()-1,84),ROW()-1,FALSE))</f>
        <v>6.093</v>
      </c>
      <c r="AL57">
        <f ca="1">IF(AND(ISNUMBER($AL$301),$B$252=1),$AL$301,HLOOKUP(INDIRECT(ADDRESS(2,COLUMN())),OFFSET($CL$2,0,0,ROW()-1,84),ROW()-1,FALSE))</f>
        <v>6.1550000000000002</v>
      </c>
      <c r="AM57">
        <f ca="1">IF(AND(ISNUMBER($AM$301),$B$252=1),$AM$301,HLOOKUP(INDIRECT(ADDRESS(2,COLUMN())),OFFSET($CL$2,0,0,ROW()-1,84),ROW()-1,FALSE))</f>
        <v>6.18</v>
      </c>
      <c r="AN57">
        <f ca="1">IF(AND(ISNUMBER($AN$301),$B$252=1),$AN$301,HLOOKUP(INDIRECT(ADDRESS(2,COLUMN())),OFFSET($CL$2,0,0,ROW()-1,84),ROW()-1,FALSE))</f>
        <v>6.0750000000000002</v>
      </c>
      <c r="AO57">
        <f ca="1">IF(AND(ISNUMBER($AO$301),$B$252=1),$AO$301,HLOOKUP(INDIRECT(ADDRESS(2,COLUMN())),OFFSET($CL$2,0,0,ROW()-1,84),ROW()-1,FALSE))</f>
        <v>5.73</v>
      </c>
      <c r="AP57" t="str">
        <f ca="1">IF(AND(ISNUMBER($AP$301),$B$252=1),$AP$301,HLOOKUP(INDIRECT(ADDRESS(2,COLUMN())),OFFSET($CL$2,0,0,ROW()-1,84),ROW()-1,FALSE))</f>
        <v/>
      </c>
      <c r="AQ57" t="str">
        <f ca="1">IF(AND(ISNUMBER($AQ$301),$B$252=1),$AQ$301,HLOOKUP(INDIRECT(ADDRESS(2,COLUMN())),OFFSET($CL$2,0,0,ROW()-1,84),ROW()-1,FALSE))</f>
        <v/>
      </c>
      <c r="AR57" t="str">
        <f ca="1">IF(AND(ISNUMBER($AR$301),$B$252=1),$AR$301,HLOOKUP(INDIRECT(ADDRESS(2,COLUMN())),OFFSET($CL$2,0,0,ROW()-1,84),ROW()-1,FALSE))</f>
        <v/>
      </c>
      <c r="AS57" t="str">
        <f ca="1">IF(AND(ISNUMBER($AS$301),$B$252=1),$AS$301,HLOOKUP(INDIRECT(ADDRESS(2,COLUMN())),OFFSET($CL$2,0,0,ROW()-1,84),ROW()-1,FALSE))</f>
        <v/>
      </c>
      <c r="AT57" t="str">
        <f ca="1">IF(AND(ISNUMBER($AT$301),$B$252=1),$AT$301,HLOOKUP(INDIRECT(ADDRESS(2,COLUMN())),OFFSET($CL$2,0,0,ROW()-1,84),ROW()-1,FALSE))</f>
        <v/>
      </c>
      <c r="AU57" t="str">
        <f ca="1">IF(AND(ISNUMBER($AU$301),$B$252=1),$AU$301,HLOOKUP(INDIRECT(ADDRESS(2,COLUMN())),OFFSET($CL$2,0,0,ROW()-1,84),ROW()-1,FALSE))</f>
        <v/>
      </c>
      <c r="AV57" t="str">
        <f ca="1">IF(AND(ISNUMBER($AV$301),$B$252=1),$AV$301,HLOOKUP(INDIRECT(ADDRESS(2,COLUMN())),OFFSET($CL$2,0,0,ROW()-1,84),ROW()-1,FALSE))</f>
        <v/>
      </c>
      <c r="AW57" t="str">
        <f ca="1">IF(AND(ISNUMBER($AW$301),$B$252=1),$AW$301,HLOOKUP(INDIRECT(ADDRESS(2,COLUMN())),OFFSET($CL$2,0,0,ROW()-1,84),ROW()-1,FALSE))</f>
        <v/>
      </c>
      <c r="AX57" t="str">
        <f ca="1">IF(AND(ISNUMBER($AX$301),$B$252=1),$AX$301,HLOOKUP(INDIRECT(ADDRESS(2,COLUMN())),OFFSET($CL$2,0,0,ROW()-1,84),ROW()-1,FALSE))</f>
        <v/>
      </c>
      <c r="AY57" t="str">
        <f ca="1">IF(AND(ISNUMBER($AY$301),$B$252=1),$AY$301,HLOOKUP(INDIRECT(ADDRESS(2,COLUMN())),OFFSET($CL$2,0,0,ROW()-1,84),ROW()-1,FALSE))</f>
        <v/>
      </c>
      <c r="AZ57" t="str">
        <f ca="1">IF(AND(ISNUMBER($AZ$301),$B$252=1),$AZ$301,HLOOKUP(INDIRECT(ADDRESS(2,COLUMN())),OFFSET($CL$2,0,0,ROW()-1,84),ROW()-1,FALSE))</f>
        <v/>
      </c>
      <c r="BA57" t="str">
        <f ca="1">IF(AND(ISNUMBER($BA$301),$B$252=1),$BA$301,HLOOKUP(INDIRECT(ADDRESS(2,COLUMN())),OFFSET($CL$2,0,0,ROW()-1,84),ROW()-1,FALSE))</f>
        <v/>
      </c>
      <c r="BB57" t="str">
        <f ca="1">IF(AND(ISNUMBER($BB$301),$B$252=1),$BB$301,HLOOKUP(INDIRECT(ADDRESS(2,COLUMN())),OFFSET($CL$2,0,0,ROW()-1,84),ROW()-1,FALSE))</f>
        <v/>
      </c>
      <c r="BC57" t="str">
        <f ca="1">IF(AND(ISNUMBER($BC$301),$B$252=1),$BC$301,HLOOKUP(INDIRECT(ADDRESS(2,COLUMN())),OFFSET($CL$2,0,0,ROW()-1,84),ROW()-1,FALSE))</f>
        <v/>
      </c>
      <c r="BD57" t="str">
        <f ca="1">IF(AND(ISNUMBER($BD$301),$B$252=1),$BD$301,HLOOKUP(INDIRECT(ADDRESS(2,COLUMN())),OFFSET($CL$2,0,0,ROW()-1,84),ROW()-1,FALSE))</f>
        <v/>
      </c>
      <c r="BE57" t="str">
        <f ca="1">IF(AND(ISNUMBER($BE$301),$B$252=1),$BE$301,HLOOKUP(INDIRECT(ADDRESS(2,COLUMN())),OFFSET($CL$2,0,0,ROW()-1,84),ROW()-1,FALSE))</f>
        <v/>
      </c>
      <c r="BF57" t="str">
        <f ca="1">IF(AND(ISNUMBER($BF$301),$B$252=1),$BF$301,HLOOKUP(INDIRECT(ADDRESS(2,COLUMN())),OFFSET($CL$2,0,0,ROW()-1,84),ROW()-1,FALSE))</f>
        <v/>
      </c>
      <c r="BG57" t="str">
        <f ca="1">IF(AND(ISNUMBER($BG$301),$B$252=1),$BG$301,HLOOKUP(INDIRECT(ADDRESS(2,COLUMN())),OFFSET($CL$2,0,0,ROW()-1,84),ROW()-1,FALSE))</f>
        <v/>
      </c>
      <c r="BH57" t="str">
        <f ca="1">IF(AND(ISNUMBER($BH$301),$B$252=1),$BH$301,HLOOKUP(INDIRECT(ADDRESS(2,COLUMN())),OFFSET($CL$2,0,0,ROW()-1,84),ROW()-1,FALSE))</f>
        <v/>
      </c>
      <c r="BI57" t="str">
        <f ca="1">IF(AND(ISNUMBER($BI$301),$B$252=1),$BI$301,HLOOKUP(INDIRECT(ADDRESS(2,COLUMN())),OFFSET($CL$2,0,0,ROW()-1,84),ROW()-1,FALSE))</f>
        <v/>
      </c>
      <c r="BJ57" t="str">
        <f ca="1">IF(AND(ISNUMBER($BJ$301),$B$252=1),$BJ$301,HLOOKUP(INDIRECT(ADDRESS(2,COLUMN())),OFFSET($CL$2,0,0,ROW()-1,84),ROW()-1,FALSE))</f>
        <v/>
      </c>
      <c r="BK57" t="str">
        <f ca="1">IF(AND(ISNUMBER($BK$301),$B$252=1),$BK$301,HLOOKUP(INDIRECT(ADDRESS(2,COLUMN())),OFFSET($CL$2,0,0,ROW()-1,84),ROW()-1,FALSE))</f>
        <v/>
      </c>
      <c r="BL57" t="str">
        <f ca="1">IF(AND(ISNUMBER($BL$301),$B$252=1),$BL$301,HLOOKUP(INDIRECT(ADDRESS(2,COLUMN())),OFFSET($CL$2,0,0,ROW()-1,84),ROW()-1,FALSE))</f>
        <v/>
      </c>
      <c r="BM57" t="str">
        <f ca="1">IF(AND(ISNUMBER($BM$301),$B$252=1),$BM$301,HLOOKUP(INDIRECT(ADDRESS(2,COLUMN())),OFFSET($CL$2,0,0,ROW()-1,84),ROW()-1,FALSE))</f>
        <v/>
      </c>
      <c r="BN57" t="str">
        <f ca="1">IF(AND(ISNUMBER($BN$301),$B$252=1),$BN$301,HLOOKUP(INDIRECT(ADDRESS(2,COLUMN())),OFFSET($CL$2,0,0,ROW()-1,84),ROW()-1,FALSE))</f>
        <v/>
      </c>
      <c r="BO57" t="str">
        <f ca="1">IF(AND(ISNUMBER($BO$301),$B$252=1),$BO$301,HLOOKUP(INDIRECT(ADDRESS(2,COLUMN())),OFFSET($CL$2,0,0,ROW()-1,84),ROW()-1,FALSE))</f>
        <v/>
      </c>
      <c r="BP57" t="str">
        <f ca="1">IF(AND(ISNUMBER($BP$301),$B$252=1),$BP$301,HLOOKUP(INDIRECT(ADDRESS(2,COLUMN())),OFFSET($CL$2,0,0,ROW()-1,84),ROW()-1,FALSE))</f>
        <v/>
      </c>
      <c r="BQ57" t="str">
        <f ca="1">IF(AND(ISNUMBER($BQ$301),$B$252=1),$BQ$301,HLOOKUP(INDIRECT(ADDRESS(2,COLUMN())),OFFSET($CL$2,0,0,ROW()-1,84),ROW()-1,FALSE))</f>
        <v/>
      </c>
      <c r="BR57" t="str">
        <f ca="1">IF(AND(ISNUMBER($BR$301),$B$252=1),$BR$301,HLOOKUP(INDIRECT(ADDRESS(2,COLUMN())),OFFSET($CL$2,0,0,ROW()-1,84),ROW()-1,FALSE))</f>
        <v/>
      </c>
      <c r="BS57" t="str">
        <f ca="1">IF(AND(ISNUMBER($BS$301),$B$252=1),$BS$301,HLOOKUP(INDIRECT(ADDRESS(2,COLUMN())),OFFSET($CL$2,0,0,ROW()-1,84),ROW()-1,FALSE))</f>
        <v/>
      </c>
      <c r="BT57" t="str">
        <f ca="1">IF(AND(ISNUMBER($BT$301),$B$252=1),$BT$301,HLOOKUP(INDIRECT(ADDRESS(2,COLUMN())),OFFSET($CL$2,0,0,ROW()-1,84),ROW()-1,FALSE))</f>
        <v/>
      </c>
      <c r="BU57" t="str">
        <f ca="1">IF(AND(ISNUMBER($BU$301),$B$252=1),$BU$301,HLOOKUP(INDIRECT(ADDRESS(2,COLUMN())),OFFSET($CL$2,0,0,ROW()-1,84),ROW()-1,FALSE))</f>
        <v/>
      </c>
      <c r="BV57" t="str">
        <f ca="1">IF(AND(ISNUMBER($BV$301),$B$252=1),$BV$301,HLOOKUP(INDIRECT(ADDRESS(2,COLUMN())),OFFSET($CL$2,0,0,ROW()-1,84),ROW()-1,FALSE))</f>
        <v/>
      </c>
      <c r="BW57" t="str">
        <f ca="1">IF(AND(ISNUMBER($BW$301),$B$252=1),$BW$301,HLOOKUP(INDIRECT(ADDRESS(2,COLUMN())),OFFSET($CL$2,0,0,ROW()-1,84),ROW()-1,FALSE))</f>
        <v/>
      </c>
      <c r="BX57" t="str">
        <f ca="1">IF(AND(ISNUMBER($BX$301),$B$252=1),$BX$301,HLOOKUP(INDIRECT(ADDRESS(2,COLUMN())),OFFSET($CL$2,0,0,ROW()-1,84),ROW()-1,FALSE))</f>
        <v/>
      </c>
      <c r="BY57" t="str">
        <f ca="1">IF(AND(ISNUMBER($BY$301),$B$252=1),$BY$301,HLOOKUP(INDIRECT(ADDRESS(2,COLUMN())),OFFSET($CL$2,0,0,ROW()-1,84),ROW()-1,FALSE))</f>
        <v/>
      </c>
      <c r="BZ57" t="str">
        <f ca="1">IF(AND(ISNUMBER($BZ$301),$B$252=1),$BZ$301,HLOOKUP(INDIRECT(ADDRESS(2,COLUMN())),OFFSET($CL$2,0,0,ROW()-1,84),ROW()-1,FALSE))</f>
        <v/>
      </c>
      <c r="CA57" t="str">
        <f ca="1">IF(AND(ISNUMBER($CA$301),$B$252=1),$CA$301,HLOOKUP(INDIRECT(ADDRESS(2,COLUMN())),OFFSET($CL$2,0,0,ROW()-1,84),ROW()-1,FALSE))</f>
        <v/>
      </c>
      <c r="CB57" t="str">
        <f ca="1">IF(AND(ISNUMBER($CB$301),$B$252=1),$CB$301,HLOOKUP(INDIRECT(ADDRESS(2,COLUMN())),OFFSET($CL$2,0,0,ROW()-1,84),ROW()-1,FALSE))</f>
        <v/>
      </c>
      <c r="CC57" t="str">
        <f ca="1">IF(AND(ISNUMBER($CC$301),$B$252=1),$CC$301,HLOOKUP(INDIRECT(ADDRESS(2,COLUMN())),OFFSET($CL$2,0,0,ROW()-1,84),ROW()-1,FALSE))</f>
        <v/>
      </c>
      <c r="CD57" t="str">
        <f ca="1">IF(AND(ISNUMBER($CD$301),$B$252=1),$CD$301,HLOOKUP(INDIRECT(ADDRESS(2,COLUMN())),OFFSET($CL$2,0,0,ROW()-1,84),ROW()-1,FALSE))</f>
        <v/>
      </c>
      <c r="CE57" t="str">
        <f ca="1">IF(AND(ISNUMBER($CE$301),$B$252=1),$CE$301,HLOOKUP(INDIRECT(ADDRESS(2,COLUMN())),OFFSET($CL$2,0,0,ROW()-1,84),ROW()-1,FALSE))</f>
        <v/>
      </c>
      <c r="CF57" t="str">
        <f ca="1">IF(AND(ISNUMBER($CF$301),$B$252=1),$CF$301,HLOOKUP(INDIRECT(ADDRESS(2,COLUMN())),OFFSET($CL$2,0,0,ROW()-1,84),ROW()-1,FALSE))</f>
        <v/>
      </c>
      <c r="CG57" t="str">
        <f ca="1">IF(AND(ISNUMBER($CG$301),$B$252=1),$CG$301,HLOOKUP(INDIRECT(ADDRESS(2,COLUMN())),OFFSET($CL$2,0,0,ROW()-1,84),ROW()-1,FALSE))</f>
        <v/>
      </c>
      <c r="CH57" t="str">
        <f ca="1">IF(AND(ISNUMBER($CH$301),$B$252=1),$CH$301,HLOOKUP(INDIRECT(ADDRESS(2,COLUMN())),OFFSET($CL$2,0,0,ROW()-1,84),ROW()-1,FALSE))</f>
        <v/>
      </c>
      <c r="CI57" t="str">
        <f ca="1">IF(AND(ISNUMBER($CI$301),$B$252=1),$CI$301,HLOOKUP(INDIRECT(ADDRESS(2,COLUMN())),OFFSET($CL$2,0,0,ROW()-1,84),ROW()-1,FALSE))</f>
        <v/>
      </c>
      <c r="CJ57" t="str">
        <f ca="1">IF(AND(ISNUMBER($CJ$301),$B$252=1),$CJ$301,HLOOKUP(INDIRECT(ADDRESS(2,COLUMN())),OFFSET($CL$2,0,0,ROW()-1,84),ROW()-1,FALSE))</f>
        <v/>
      </c>
      <c r="CK57" t="str">
        <f ca="1">IF(AND(ISNUMBER($CK$301),$B$252=1),$CK$301,HLOOKUP(INDIRECT(ADDRESS(2,COLUMN())),OFFSET($CL$2,0,0,ROW()-1,84),ROW()-1,FALSE))</f>
        <v/>
      </c>
      <c r="CL57" t="str">
        <f>""</f>
        <v/>
      </c>
      <c r="CM57" t="str">
        <f>""</f>
        <v/>
      </c>
      <c r="CN57">
        <f>5.906</f>
        <v>5.9059999999999997</v>
      </c>
      <c r="CO57">
        <f>5.916</f>
        <v>5.9160000000000004</v>
      </c>
      <c r="CP57">
        <f>5.92</f>
        <v>5.92</v>
      </c>
      <c r="CQ57">
        <f>5.919</f>
        <v>5.9189999999999996</v>
      </c>
      <c r="CR57">
        <f>5.925</f>
        <v>5.9249999999999998</v>
      </c>
      <c r="CS57">
        <f>5.912</f>
        <v>5.9119999999999999</v>
      </c>
      <c r="CT57">
        <f>5.893</f>
        <v>5.8929999999999998</v>
      </c>
      <c r="CU57">
        <f>5.913</f>
        <v>5.9130000000000003</v>
      </c>
      <c r="CV57">
        <f>5.912</f>
        <v>5.9119999999999999</v>
      </c>
      <c r="CW57">
        <f>5.887</f>
        <v>5.8869999999999996</v>
      </c>
      <c r="CX57">
        <f>5.873</f>
        <v>5.8730000000000002</v>
      </c>
      <c r="CY57">
        <f>5.879</f>
        <v>5.8789999999999996</v>
      </c>
      <c r="CZ57">
        <f>5.941</f>
        <v>5.9409999999999998</v>
      </c>
      <c r="DA57">
        <f>5.958</f>
        <v>5.9580000000000002</v>
      </c>
      <c r="DB57">
        <f>6.164</f>
        <v>6.1639999999999997</v>
      </c>
      <c r="DC57">
        <f>6.15</f>
        <v>6.15</v>
      </c>
      <c r="DD57">
        <f>6.183</f>
        <v>6.1829999999999998</v>
      </c>
      <c r="DE57">
        <f>6.152</f>
        <v>6.1520000000000001</v>
      </c>
      <c r="DF57">
        <f>6.286</f>
        <v>6.2859999999999996</v>
      </c>
      <c r="DG57">
        <f>6.281</f>
        <v>6.2809999999999997</v>
      </c>
      <c r="DH57">
        <f>6.274</f>
        <v>6.274</v>
      </c>
      <c r="DI57">
        <f>6.262</f>
        <v>6.2619999999999996</v>
      </c>
      <c r="DJ57">
        <f>6.296</f>
        <v>6.2960000000000003</v>
      </c>
      <c r="DK57">
        <f>6.292</f>
        <v>6.2919999999999998</v>
      </c>
      <c r="DL57">
        <f>6.203</f>
        <v>6.2030000000000003</v>
      </c>
      <c r="DM57">
        <f>6.262</f>
        <v>6.2619999999999996</v>
      </c>
      <c r="DN57">
        <f>6.279</f>
        <v>6.2789999999999999</v>
      </c>
      <c r="DO57">
        <f>6.264</f>
        <v>6.2640000000000002</v>
      </c>
      <c r="DP57">
        <f>6.093</f>
        <v>6.093</v>
      </c>
      <c r="DQ57">
        <f>6.093</f>
        <v>6.093</v>
      </c>
      <c r="DR57">
        <f>6.155</f>
        <v>6.1550000000000002</v>
      </c>
      <c r="DS57">
        <f>6.18</f>
        <v>6.18</v>
      </c>
      <c r="DT57">
        <f>6.075</f>
        <v>6.0750000000000002</v>
      </c>
      <c r="DU57">
        <f>5.73</f>
        <v>5.73</v>
      </c>
      <c r="DV57" t="str">
        <f>""</f>
        <v/>
      </c>
      <c r="DW57" t="str">
        <f>""</f>
        <v/>
      </c>
      <c r="DX57" t="str">
        <f>""</f>
        <v/>
      </c>
      <c r="DY57" t="str">
        <f>""</f>
        <v/>
      </c>
      <c r="DZ57" t="str">
        <f>""</f>
        <v/>
      </c>
      <c r="EA57" t="str">
        <f>""</f>
        <v/>
      </c>
      <c r="EB57" t="str">
        <f>""</f>
        <v/>
      </c>
      <c r="EC57" t="str">
        <f>""</f>
        <v/>
      </c>
      <c r="ED57" t="str">
        <f>""</f>
        <v/>
      </c>
      <c r="EE57" t="str">
        <f>""</f>
        <v/>
      </c>
      <c r="EF57" t="str">
        <f>""</f>
        <v/>
      </c>
      <c r="EG57" t="str">
        <f>""</f>
        <v/>
      </c>
      <c r="EH57" t="str">
        <f>""</f>
        <v/>
      </c>
      <c r="EI57" t="str">
        <f>""</f>
        <v/>
      </c>
      <c r="EJ57" t="str">
        <f>""</f>
        <v/>
      </c>
      <c r="EK57" t="str">
        <f>""</f>
        <v/>
      </c>
      <c r="EL57" t="str">
        <f>""</f>
        <v/>
      </c>
      <c r="EM57" t="str">
        <f>""</f>
        <v/>
      </c>
      <c r="EN57" t="str">
        <f>""</f>
        <v/>
      </c>
      <c r="EO57" t="str">
        <f>""</f>
        <v/>
      </c>
      <c r="EP57" t="str">
        <f>""</f>
        <v/>
      </c>
      <c r="EQ57" t="str">
        <f>""</f>
        <v/>
      </c>
      <c r="ER57" t="str">
        <f>""</f>
        <v/>
      </c>
      <c r="ES57" t="str">
        <f>""</f>
        <v/>
      </c>
      <c r="ET57" t="str">
        <f>""</f>
        <v/>
      </c>
      <c r="EU57" t="str">
        <f>""</f>
        <v/>
      </c>
      <c r="EV57" t="str">
        <f>""</f>
        <v/>
      </c>
      <c r="EW57" t="str">
        <f>""</f>
        <v/>
      </c>
      <c r="EX57" t="str">
        <f>""</f>
        <v/>
      </c>
      <c r="EY57" t="str">
        <f>""</f>
        <v/>
      </c>
      <c r="EZ57" t="str">
        <f>""</f>
        <v/>
      </c>
      <c r="FA57" t="str">
        <f>""</f>
        <v/>
      </c>
      <c r="FB57" t="str">
        <f>""</f>
        <v/>
      </c>
      <c r="FC57" t="str">
        <f>""</f>
        <v/>
      </c>
      <c r="FD57" t="str">
        <f>""</f>
        <v/>
      </c>
      <c r="FE57" t="str">
        <f>""</f>
        <v/>
      </c>
      <c r="FF57" t="str">
        <f>""</f>
        <v/>
      </c>
      <c r="FG57" t="str">
        <f>""</f>
        <v/>
      </c>
      <c r="FH57" t="str">
        <f>""</f>
        <v/>
      </c>
      <c r="FI57" t="str">
        <f>""</f>
        <v/>
      </c>
      <c r="FJ57" t="str">
        <f>""</f>
        <v/>
      </c>
      <c r="FK57" t="str">
        <f>""</f>
        <v/>
      </c>
      <c r="FL57" t="str">
        <f>""</f>
        <v/>
      </c>
      <c r="FM57" t="str">
        <f>""</f>
        <v/>
      </c>
      <c r="FN57" t="str">
        <f>""</f>
        <v/>
      </c>
      <c r="FO57" t="str">
        <f>""</f>
        <v/>
      </c>
      <c r="FP57" t="str">
        <f>""</f>
        <v/>
      </c>
      <c r="FQ57" t="str">
        <f>""</f>
        <v/>
      </c>
    </row>
    <row r="58" spans="1:173">
      <c r="A58" t="str">
        <f>"    UDR 公司"</f>
        <v xml:space="preserve">    UDR 公司</v>
      </c>
      <c r="B58" t="str">
        <f>"UDR US Equity"</f>
        <v>UDR US Equity</v>
      </c>
      <c r="C58" t="str">
        <f t="shared" si="18"/>
        <v>BE038</v>
      </c>
      <c r="D58" t="str">
        <f t="shared" si="19"/>
        <v>BEST_FFOPS</v>
      </c>
      <c r="E58" t="str">
        <f t="shared" si="20"/>
        <v>动态</v>
      </c>
      <c r="F58" t="str">
        <f ca="1">IF(AND(ISNUMBER($F$302),$B$252=1),$F$302,HLOOKUP(INDIRECT(ADDRESS(2,COLUMN())),OFFSET($CL$2,0,0,ROW()-1,84),ROW()-1,FALSE))</f>
        <v/>
      </c>
      <c r="G58" t="str">
        <f ca="1">IF(AND(ISNUMBER($G$302),$B$252=1),$G$302,HLOOKUP(INDIRECT(ADDRESS(2,COLUMN())),OFFSET($CL$2,0,0,ROW()-1,84),ROW()-1,FALSE))</f>
        <v/>
      </c>
      <c r="H58">
        <f ca="1">IF(AND(ISNUMBER($H$302),$B$252=1),$H$302,HLOOKUP(INDIRECT(ADDRESS(2,COLUMN())),OFFSET($CL$2,0,0,ROW()-1,84),ROW()-1,FALSE))</f>
        <v>1.8640000000000001</v>
      </c>
      <c r="I58">
        <f ca="1">IF(AND(ISNUMBER($I$302),$B$252=1),$I$302,HLOOKUP(INDIRECT(ADDRESS(2,COLUMN())),OFFSET($CL$2,0,0,ROW()-1,84),ROW()-1,FALSE))</f>
        <v>1.8660000000000001</v>
      </c>
      <c r="J58">
        <f ca="1">IF(AND(ISNUMBER($J$302),$B$252=1),$J$302,HLOOKUP(INDIRECT(ADDRESS(2,COLUMN())),OFFSET($CL$2,0,0,ROW()-1,84),ROW()-1,FALSE))</f>
        <v>1.865</v>
      </c>
      <c r="K58">
        <f ca="1">IF(AND(ISNUMBER($K$302),$B$252=1),$K$302,HLOOKUP(INDIRECT(ADDRESS(2,COLUMN())),OFFSET($CL$2,0,0,ROW()-1,84),ROW()-1,FALSE))</f>
        <v>1.8580000000000001</v>
      </c>
      <c r="L58">
        <f ca="1">IF(AND(ISNUMBER($L$302),$B$252=1),$L$302,HLOOKUP(INDIRECT(ADDRESS(2,COLUMN())),OFFSET($CL$2,0,0,ROW()-1,84),ROW()-1,FALSE))</f>
        <v>1.863</v>
      </c>
      <c r="M58">
        <f ca="1">IF(AND(ISNUMBER($M$302),$B$252=1),$M$302,HLOOKUP(INDIRECT(ADDRESS(2,COLUMN())),OFFSET($CL$2,0,0,ROW()-1,84),ROW()-1,FALSE))</f>
        <v>1.861</v>
      </c>
      <c r="N58">
        <f ca="1">IF(AND(ISNUMBER($N$302),$B$252=1),$N$302,HLOOKUP(INDIRECT(ADDRESS(2,COLUMN())),OFFSET($CL$2,0,0,ROW()-1,84),ROW()-1,FALSE))</f>
        <v>1.86</v>
      </c>
      <c r="O58">
        <f ca="1">IF(AND(ISNUMBER($O$302),$B$252=1),$O$302,HLOOKUP(INDIRECT(ADDRESS(2,COLUMN())),OFFSET($CL$2,0,0,ROW()-1,84),ROW()-1,FALSE))</f>
        <v>1.8580000000000001</v>
      </c>
      <c r="P58">
        <f ca="1">IF(AND(ISNUMBER($P$302),$B$252=1),$P$302,HLOOKUP(INDIRECT(ADDRESS(2,COLUMN())),OFFSET($CL$2,0,0,ROW()-1,84),ROW()-1,FALSE))</f>
        <v>1.8580000000000001</v>
      </c>
      <c r="Q58">
        <f ca="1">IF(AND(ISNUMBER($Q$302),$B$252=1),$Q$302,HLOOKUP(INDIRECT(ADDRESS(2,COLUMN())),OFFSET($CL$2,0,0,ROW()-1,84),ROW()-1,FALSE))</f>
        <v>1.855</v>
      </c>
      <c r="R58">
        <f ca="1">IF(AND(ISNUMBER($R$302),$B$252=1),$R$302,HLOOKUP(INDIRECT(ADDRESS(2,COLUMN())),OFFSET($CL$2,0,0,ROW()-1,84),ROW()-1,FALSE))</f>
        <v>1.8540000000000001</v>
      </c>
      <c r="S58">
        <f ca="1">IF(AND(ISNUMBER($S$302),$B$252=1),$S$302,HLOOKUP(INDIRECT(ADDRESS(2,COLUMN())),OFFSET($CL$2,0,0,ROW()-1,84),ROW()-1,FALSE))</f>
        <v>1.8540000000000001</v>
      </c>
      <c r="T58">
        <f ca="1">IF(AND(ISNUMBER($T$302),$B$252=1),$T$302,HLOOKUP(INDIRECT(ADDRESS(2,COLUMN())),OFFSET($CL$2,0,0,ROW()-1,84),ROW()-1,FALSE))</f>
        <v>1.8640000000000001</v>
      </c>
      <c r="U58">
        <f ca="1">IF(AND(ISNUMBER($U$302),$B$252=1),$U$302,HLOOKUP(INDIRECT(ADDRESS(2,COLUMN())),OFFSET($CL$2,0,0,ROW()-1,84),ROW()-1,FALSE))</f>
        <v>1.865</v>
      </c>
      <c r="V58">
        <f ca="1">IF(AND(ISNUMBER($V$302),$B$252=1),$V$302,HLOOKUP(INDIRECT(ADDRESS(2,COLUMN())),OFFSET($CL$2,0,0,ROW()-1,84),ROW()-1,FALSE))</f>
        <v>1.87</v>
      </c>
      <c r="W58">
        <f ca="1">IF(AND(ISNUMBER($W$302),$B$252=1),$W$302,HLOOKUP(INDIRECT(ADDRESS(2,COLUMN())),OFFSET($CL$2,0,0,ROW()-1,84),ROW()-1,FALSE))</f>
        <v>1.87</v>
      </c>
      <c r="X58">
        <f ca="1">IF(AND(ISNUMBER($X$302),$B$252=1),$X$302,HLOOKUP(INDIRECT(ADDRESS(2,COLUMN())),OFFSET($CL$2,0,0,ROW()-1,84),ROW()-1,FALSE))</f>
        <v>1.8819999999999999</v>
      </c>
      <c r="Y58">
        <f ca="1">IF(AND(ISNUMBER($Y$302),$B$252=1),$Y$302,HLOOKUP(INDIRECT(ADDRESS(2,COLUMN())),OFFSET($CL$2,0,0,ROW()-1,84),ROW()-1,FALSE))</f>
        <v>1.887</v>
      </c>
      <c r="Z58">
        <f ca="1">IF(AND(ISNUMBER($Z$302),$B$252=1),$Z$302,HLOOKUP(INDIRECT(ADDRESS(2,COLUMN())),OFFSET($CL$2,0,0,ROW()-1,84),ROW()-1,FALSE))</f>
        <v>1.89</v>
      </c>
      <c r="AA58">
        <f ca="1">IF(AND(ISNUMBER($AA$302),$B$252=1),$AA$302,HLOOKUP(INDIRECT(ADDRESS(2,COLUMN())),OFFSET($CL$2,0,0,ROW()-1,84),ROW()-1,FALSE))</f>
        <v>1.89</v>
      </c>
      <c r="AB58">
        <f ca="1">IF(AND(ISNUMBER($AB$302),$B$252=1),$AB$302,HLOOKUP(INDIRECT(ADDRESS(2,COLUMN())),OFFSET($CL$2,0,0,ROW()-1,84),ROW()-1,FALSE))</f>
        <v>1.899</v>
      </c>
      <c r="AC58">
        <f ca="1">IF(AND(ISNUMBER($AC$302),$B$252=1),$AC$302,HLOOKUP(INDIRECT(ADDRESS(2,COLUMN())),OFFSET($CL$2,0,0,ROW()-1,84),ROW()-1,FALSE))</f>
        <v>1.8979999999999999</v>
      </c>
      <c r="AD58">
        <f ca="1">IF(AND(ISNUMBER($AD$302),$B$252=1),$AD$302,HLOOKUP(INDIRECT(ADDRESS(2,COLUMN())),OFFSET($CL$2,0,0,ROW()-1,84),ROW()-1,FALSE))</f>
        <v>1.9039999999999999</v>
      </c>
      <c r="AE58">
        <f ca="1">IF(AND(ISNUMBER($AE$302),$B$252=1),$AE$302,HLOOKUP(INDIRECT(ADDRESS(2,COLUMN())),OFFSET($CL$2,0,0,ROW()-1,84),ROW()-1,FALSE))</f>
        <v>1.905</v>
      </c>
      <c r="AF58">
        <f ca="1">IF(AND(ISNUMBER($AF$302),$B$252=1),$AF$302,HLOOKUP(INDIRECT(ADDRESS(2,COLUMN())),OFFSET($CL$2,0,0,ROW()-1,84),ROW()-1,FALSE))</f>
        <v>1.9179999999999999</v>
      </c>
      <c r="AG58">
        <f ca="1">IF(AND(ISNUMBER($AG$302),$B$252=1),$AG$302,HLOOKUP(INDIRECT(ADDRESS(2,COLUMN())),OFFSET($CL$2,0,0,ROW()-1,84),ROW()-1,FALSE))</f>
        <v>1.9239999999999999</v>
      </c>
      <c r="AH58">
        <f ca="1">IF(AND(ISNUMBER($AH$302),$B$252=1),$AH$302,HLOOKUP(INDIRECT(ADDRESS(2,COLUMN())),OFFSET($CL$2,0,0,ROW()-1,84),ROW()-1,FALSE))</f>
        <v>1.9219999999999999</v>
      </c>
      <c r="AI58">
        <f ca="1">IF(AND(ISNUMBER($AI$302),$B$252=1),$AI$302,HLOOKUP(INDIRECT(ADDRESS(2,COLUMN())),OFFSET($CL$2,0,0,ROW()-1,84),ROW()-1,FALSE))</f>
        <v>1.909</v>
      </c>
      <c r="AJ58">
        <f ca="1">IF(AND(ISNUMBER($AJ$302),$B$252=1),$AJ$302,HLOOKUP(INDIRECT(ADDRESS(2,COLUMN())),OFFSET($CL$2,0,0,ROW()-1,84),ROW()-1,FALSE))</f>
        <v>1.88</v>
      </c>
      <c r="AK58">
        <f ca="1">IF(AND(ISNUMBER($AK$302),$B$252=1),$AK$302,HLOOKUP(INDIRECT(ADDRESS(2,COLUMN())),OFFSET($CL$2,0,0,ROW()-1,84),ROW()-1,FALSE))</f>
        <v>1.8759999999999999</v>
      </c>
      <c r="AL58">
        <f ca="1">IF(AND(ISNUMBER($AL$302),$B$252=1),$AL$302,HLOOKUP(INDIRECT(ADDRESS(2,COLUMN())),OFFSET($CL$2,0,0,ROW()-1,84),ROW()-1,FALSE))</f>
        <v>1.861</v>
      </c>
      <c r="AM58">
        <f ca="1">IF(AND(ISNUMBER($AM$302),$B$252=1),$AM$302,HLOOKUP(INDIRECT(ADDRESS(2,COLUMN())),OFFSET($CL$2,0,0,ROW()-1,84),ROW()-1,FALSE))</f>
        <v>1.8480000000000001</v>
      </c>
      <c r="AN58">
        <f ca="1">IF(AND(ISNUMBER($AN$302),$B$252=1),$AN$302,HLOOKUP(INDIRECT(ADDRESS(2,COLUMN())),OFFSET($CL$2,0,0,ROW()-1,84),ROW()-1,FALSE))</f>
        <v>1.83</v>
      </c>
      <c r="AO58">
        <f ca="1">IF(AND(ISNUMBER($AO$302),$B$252=1),$AO$302,HLOOKUP(INDIRECT(ADDRESS(2,COLUMN())),OFFSET($CL$2,0,0,ROW()-1,84),ROW()-1,FALSE))</f>
        <v>1.827</v>
      </c>
      <c r="AP58">
        <f ca="1">IF(AND(ISNUMBER($AP$302),$B$252=1),$AP$302,HLOOKUP(INDIRECT(ADDRESS(2,COLUMN())),OFFSET($CL$2,0,0,ROW()-1,84),ROW()-1,FALSE))</f>
        <v>1.825</v>
      </c>
      <c r="AQ58">
        <f ca="1">IF(AND(ISNUMBER($AQ$302),$B$252=1),$AQ$302,HLOOKUP(INDIRECT(ADDRESS(2,COLUMN())),OFFSET($CL$2,0,0,ROW()-1,84),ROW()-1,FALSE))</f>
        <v>1.823</v>
      </c>
      <c r="AR58" t="str">
        <f ca="1">IF(AND(ISNUMBER($AR$302),$B$252=1),$AR$302,HLOOKUP(INDIRECT(ADDRESS(2,COLUMN())),OFFSET($CL$2,0,0,ROW()-1,84),ROW()-1,FALSE))</f>
        <v/>
      </c>
      <c r="AS58" t="str">
        <f ca="1">IF(AND(ISNUMBER($AS$302),$B$252=1),$AS$302,HLOOKUP(INDIRECT(ADDRESS(2,COLUMN())),OFFSET($CL$2,0,0,ROW()-1,84),ROW()-1,FALSE))</f>
        <v/>
      </c>
      <c r="AT58" t="str">
        <f ca="1">IF(AND(ISNUMBER($AT$302),$B$252=1),$AT$302,HLOOKUP(INDIRECT(ADDRESS(2,COLUMN())),OFFSET($CL$2,0,0,ROW()-1,84),ROW()-1,FALSE))</f>
        <v/>
      </c>
      <c r="AU58" t="str">
        <f ca="1">IF(AND(ISNUMBER($AU$302),$B$252=1),$AU$302,HLOOKUP(INDIRECT(ADDRESS(2,COLUMN())),OFFSET($CL$2,0,0,ROW()-1,84),ROW()-1,FALSE))</f>
        <v/>
      </c>
      <c r="AV58" t="str">
        <f ca="1">IF(AND(ISNUMBER($AV$302),$B$252=1),$AV$302,HLOOKUP(INDIRECT(ADDRESS(2,COLUMN())),OFFSET($CL$2,0,0,ROW()-1,84),ROW()-1,FALSE))</f>
        <v/>
      </c>
      <c r="AW58" t="str">
        <f ca="1">IF(AND(ISNUMBER($AW$302),$B$252=1),$AW$302,HLOOKUP(INDIRECT(ADDRESS(2,COLUMN())),OFFSET($CL$2,0,0,ROW()-1,84),ROW()-1,FALSE))</f>
        <v/>
      </c>
      <c r="AX58" t="str">
        <f ca="1">IF(AND(ISNUMBER($AX$302),$B$252=1),$AX$302,HLOOKUP(INDIRECT(ADDRESS(2,COLUMN())),OFFSET($CL$2,0,0,ROW()-1,84),ROW()-1,FALSE))</f>
        <v/>
      </c>
      <c r="AY58" t="str">
        <f ca="1">IF(AND(ISNUMBER($AY$302),$B$252=1),$AY$302,HLOOKUP(INDIRECT(ADDRESS(2,COLUMN())),OFFSET($CL$2,0,0,ROW()-1,84),ROW()-1,FALSE))</f>
        <v/>
      </c>
      <c r="AZ58" t="str">
        <f ca="1">IF(AND(ISNUMBER($AZ$302),$B$252=1),$AZ$302,HLOOKUP(INDIRECT(ADDRESS(2,COLUMN())),OFFSET($CL$2,0,0,ROW()-1,84),ROW()-1,FALSE))</f>
        <v/>
      </c>
      <c r="BA58" t="str">
        <f ca="1">IF(AND(ISNUMBER($BA$302),$B$252=1),$BA$302,HLOOKUP(INDIRECT(ADDRESS(2,COLUMN())),OFFSET($CL$2,0,0,ROW()-1,84),ROW()-1,FALSE))</f>
        <v/>
      </c>
      <c r="BB58" t="str">
        <f ca="1">IF(AND(ISNUMBER($BB$302),$B$252=1),$BB$302,HLOOKUP(INDIRECT(ADDRESS(2,COLUMN())),OFFSET($CL$2,0,0,ROW()-1,84),ROW()-1,FALSE))</f>
        <v/>
      </c>
      <c r="BC58" t="str">
        <f ca="1">IF(AND(ISNUMBER($BC$302),$B$252=1),$BC$302,HLOOKUP(INDIRECT(ADDRESS(2,COLUMN())),OFFSET($CL$2,0,0,ROW()-1,84),ROW()-1,FALSE))</f>
        <v/>
      </c>
      <c r="BD58" t="str">
        <f ca="1">IF(AND(ISNUMBER($BD$302),$B$252=1),$BD$302,HLOOKUP(INDIRECT(ADDRESS(2,COLUMN())),OFFSET($CL$2,0,0,ROW()-1,84),ROW()-1,FALSE))</f>
        <v/>
      </c>
      <c r="BE58" t="str">
        <f ca="1">IF(AND(ISNUMBER($BE$302),$B$252=1),$BE$302,HLOOKUP(INDIRECT(ADDRESS(2,COLUMN())),OFFSET($CL$2,0,0,ROW()-1,84),ROW()-1,FALSE))</f>
        <v/>
      </c>
      <c r="BF58" t="str">
        <f ca="1">IF(AND(ISNUMBER($BF$302),$B$252=1),$BF$302,HLOOKUP(INDIRECT(ADDRESS(2,COLUMN())),OFFSET($CL$2,0,0,ROW()-1,84),ROW()-1,FALSE))</f>
        <v/>
      </c>
      <c r="BG58" t="str">
        <f ca="1">IF(AND(ISNUMBER($BG$302),$B$252=1),$BG$302,HLOOKUP(INDIRECT(ADDRESS(2,COLUMN())),OFFSET($CL$2,0,0,ROW()-1,84),ROW()-1,FALSE))</f>
        <v/>
      </c>
      <c r="BH58" t="str">
        <f ca="1">IF(AND(ISNUMBER($BH$302),$B$252=1),$BH$302,HLOOKUP(INDIRECT(ADDRESS(2,COLUMN())),OFFSET($CL$2,0,0,ROW()-1,84),ROW()-1,FALSE))</f>
        <v/>
      </c>
      <c r="BI58" t="str">
        <f ca="1">IF(AND(ISNUMBER($BI$302),$B$252=1),$BI$302,HLOOKUP(INDIRECT(ADDRESS(2,COLUMN())),OFFSET($CL$2,0,0,ROW()-1,84),ROW()-1,FALSE))</f>
        <v/>
      </c>
      <c r="BJ58" t="str">
        <f ca="1">IF(AND(ISNUMBER($BJ$302),$B$252=1),$BJ$302,HLOOKUP(INDIRECT(ADDRESS(2,COLUMN())),OFFSET($CL$2,0,0,ROW()-1,84),ROW()-1,FALSE))</f>
        <v/>
      </c>
      <c r="BK58" t="str">
        <f ca="1">IF(AND(ISNUMBER($BK$302),$B$252=1),$BK$302,HLOOKUP(INDIRECT(ADDRESS(2,COLUMN())),OFFSET($CL$2,0,0,ROW()-1,84),ROW()-1,FALSE))</f>
        <v/>
      </c>
      <c r="BL58" t="str">
        <f ca="1">IF(AND(ISNUMBER($BL$302),$B$252=1),$BL$302,HLOOKUP(INDIRECT(ADDRESS(2,COLUMN())),OFFSET($CL$2,0,0,ROW()-1,84),ROW()-1,FALSE))</f>
        <v/>
      </c>
      <c r="BM58" t="str">
        <f ca="1">IF(AND(ISNUMBER($BM$302),$B$252=1),$BM$302,HLOOKUP(INDIRECT(ADDRESS(2,COLUMN())),OFFSET($CL$2,0,0,ROW()-1,84),ROW()-1,FALSE))</f>
        <v/>
      </c>
      <c r="BN58" t="str">
        <f ca="1">IF(AND(ISNUMBER($BN$302),$B$252=1),$BN$302,HLOOKUP(INDIRECT(ADDRESS(2,COLUMN())),OFFSET($CL$2,0,0,ROW()-1,84),ROW()-1,FALSE))</f>
        <v/>
      </c>
      <c r="BO58" t="str">
        <f ca="1">IF(AND(ISNUMBER($BO$302),$B$252=1),$BO$302,HLOOKUP(INDIRECT(ADDRESS(2,COLUMN())),OFFSET($CL$2,0,0,ROW()-1,84),ROW()-1,FALSE))</f>
        <v/>
      </c>
      <c r="BP58" t="str">
        <f ca="1">IF(AND(ISNUMBER($BP$302),$B$252=1),$BP$302,HLOOKUP(INDIRECT(ADDRESS(2,COLUMN())),OFFSET($CL$2,0,0,ROW()-1,84),ROW()-1,FALSE))</f>
        <v/>
      </c>
      <c r="BQ58" t="str">
        <f ca="1">IF(AND(ISNUMBER($BQ$302),$B$252=1),$BQ$302,HLOOKUP(INDIRECT(ADDRESS(2,COLUMN())),OFFSET($CL$2,0,0,ROW()-1,84),ROW()-1,FALSE))</f>
        <v/>
      </c>
      <c r="BR58" t="str">
        <f ca="1">IF(AND(ISNUMBER($BR$302),$B$252=1),$BR$302,HLOOKUP(INDIRECT(ADDRESS(2,COLUMN())),OFFSET($CL$2,0,0,ROW()-1,84),ROW()-1,FALSE))</f>
        <v/>
      </c>
      <c r="BS58" t="str">
        <f ca="1">IF(AND(ISNUMBER($BS$302),$B$252=1),$BS$302,HLOOKUP(INDIRECT(ADDRESS(2,COLUMN())),OFFSET($CL$2,0,0,ROW()-1,84),ROW()-1,FALSE))</f>
        <v/>
      </c>
      <c r="BT58" t="str">
        <f ca="1">IF(AND(ISNUMBER($BT$302),$B$252=1),$BT$302,HLOOKUP(INDIRECT(ADDRESS(2,COLUMN())),OFFSET($CL$2,0,0,ROW()-1,84),ROW()-1,FALSE))</f>
        <v/>
      </c>
      <c r="BU58" t="str">
        <f ca="1">IF(AND(ISNUMBER($BU$302),$B$252=1),$BU$302,HLOOKUP(INDIRECT(ADDRESS(2,COLUMN())),OFFSET($CL$2,0,0,ROW()-1,84),ROW()-1,FALSE))</f>
        <v/>
      </c>
      <c r="BV58" t="str">
        <f ca="1">IF(AND(ISNUMBER($BV$302),$B$252=1),$BV$302,HLOOKUP(INDIRECT(ADDRESS(2,COLUMN())),OFFSET($CL$2,0,0,ROW()-1,84),ROW()-1,FALSE))</f>
        <v/>
      </c>
      <c r="BW58" t="str">
        <f ca="1">IF(AND(ISNUMBER($BW$302),$B$252=1),$BW$302,HLOOKUP(INDIRECT(ADDRESS(2,COLUMN())),OFFSET($CL$2,0,0,ROW()-1,84),ROW()-1,FALSE))</f>
        <v/>
      </c>
      <c r="BX58" t="str">
        <f ca="1">IF(AND(ISNUMBER($BX$302),$B$252=1),$BX$302,HLOOKUP(INDIRECT(ADDRESS(2,COLUMN())),OFFSET($CL$2,0,0,ROW()-1,84),ROW()-1,FALSE))</f>
        <v/>
      </c>
      <c r="BY58" t="str">
        <f ca="1">IF(AND(ISNUMBER($BY$302),$B$252=1),$BY$302,HLOOKUP(INDIRECT(ADDRESS(2,COLUMN())),OFFSET($CL$2,0,0,ROW()-1,84),ROW()-1,FALSE))</f>
        <v/>
      </c>
      <c r="BZ58" t="str">
        <f ca="1">IF(AND(ISNUMBER($BZ$302),$B$252=1),$BZ$302,HLOOKUP(INDIRECT(ADDRESS(2,COLUMN())),OFFSET($CL$2,0,0,ROW()-1,84),ROW()-1,FALSE))</f>
        <v/>
      </c>
      <c r="CA58" t="str">
        <f ca="1">IF(AND(ISNUMBER($CA$302),$B$252=1),$CA$302,HLOOKUP(INDIRECT(ADDRESS(2,COLUMN())),OFFSET($CL$2,0,0,ROW()-1,84),ROW()-1,FALSE))</f>
        <v/>
      </c>
      <c r="CB58" t="str">
        <f ca="1">IF(AND(ISNUMBER($CB$302),$B$252=1),$CB$302,HLOOKUP(INDIRECT(ADDRESS(2,COLUMN())),OFFSET($CL$2,0,0,ROW()-1,84),ROW()-1,FALSE))</f>
        <v/>
      </c>
      <c r="CC58" t="str">
        <f ca="1">IF(AND(ISNUMBER($CC$302),$B$252=1),$CC$302,HLOOKUP(INDIRECT(ADDRESS(2,COLUMN())),OFFSET($CL$2,0,0,ROW()-1,84),ROW()-1,FALSE))</f>
        <v/>
      </c>
      <c r="CD58" t="str">
        <f ca="1">IF(AND(ISNUMBER($CD$302),$B$252=1),$CD$302,HLOOKUP(INDIRECT(ADDRESS(2,COLUMN())),OFFSET($CL$2,0,0,ROW()-1,84),ROW()-1,FALSE))</f>
        <v/>
      </c>
      <c r="CE58" t="str">
        <f ca="1">IF(AND(ISNUMBER($CE$302),$B$252=1),$CE$302,HLOOKUP(INDIRECT(ADDRESS(2,COLUMN())),OFFSET($CL$2,0,0,ROW()-1,84),ROW()-1,FALSE))</f>
        <v/>
      </c>
      <c r="CF58" t="str">
        <f ca="1">IF(AND(ISNUMBER($CF$302),$B$252=1),$CF$302,HLOOKUP(INDIRECT(ADDRESS(2,COLUMN())),OFFSET($CL$2,0,0,ROW()-1,84),ROW()-1,FALSE))</f>
        <v/>
      </c>
      <c r="CG58" t="str">
        <f ca="1">IF(AND(ISNUMBER($CG$302),$B$252=1),$CG$302,HLOOKUP(INDIRECT(ADDRESS(2,COLUMN())),OFFSET($CL$2,0,0,ROW()-1,84),ROW()-1,FALSE))</f>
        <v/>
      </c>
      <c r="CH58" t="str">
        <f ca="1">IF(AND(ISNUMBER($CH$302),$B$252=1),$CH$302,HLOOKUP(INDIRECT(ADDRESS(2,COLUMN())),OFFSET($CL$2,0,0,ROW()-1,84),ROW()-1,FALSE))</f>
        <v/>
      </c>
      <c r="CI58" t="str">
        <f ca="1">IF(AND(ISNUMBER($CI$302),$B$252=1),$CI$302,HLOOKUP(INDIRECT(ADDRESS(2,COLUMN())),OFFSET($CL$2,0,0,ROW()-1,84),ROW()-1,FALSE))</f>
        <v/>
      </c>
      <c r="CJ58" t="str">
        <f ca="1">IF(AND(ISNUMBER($CJ$302),$B$252=1),$CJ$302,HLOOKUP(INDIRECT(ADDRESS(2,COLUMN())),OFFSET($CL$2,0,0,ROW()-1,84),ROW()-1,FALSE))</f>
        <v/>
      </c>
      <c r="CK58" t="str">
        <f ca="1">IF(AND(ISNUMBER($CK$302),$B$252=1),$CK$302,HLOOKUP(INDIRECT(ADDRESS(2,COLUMN())),OFFSET($CL$2,0,0,ROW()-1,84),ROW()-1,FALSE))</f>
        <v/>
      </c>
      <c r="CL58" t="str">
        <f>""</f>
        <v/>
      </c>
      <c r="CM58" t="str">
        <f>""</f>
        <v/>
      </c>
      <c r="CN58">
        <f>1.864</f>
        <v>1.8640000000000001</v>
      </c>
      <c r="CO58">
        <f>1.866</f>
        <v>1.8660000000000001</v>
      </c>
      <c r="CP58">
        <f>1.865</f>
        <v>1.865</v>
      </c>
      <c r="CQ58">
        <f>1.858</f>
        <v>1.8580000000000001</v>
      </c>
      <c r="CR58">
        <f>1.863</f>
        <v>1.863</v>
      </c>
      <c r="CS58">
        <f>1.861</f>
        <v>1.861</v>
      </c>
      <c r="CT58">
        <f>1.86</f>
        <v>1.86</v>
      </c>
      <c r="CU58">
        <f>1.858</f>
        <v>1.8580000000000001</v>
      </c>
      <c r="CV58">
        <f>1.858</f>
        <v>1.8580000000000001</v>
      </c>
      <c r="CW58">
        <f>1.855</f>
        <v>1.855</v>
      </c>
      <c r="CX58">
        <f>1.854</f>
        <v>1.8540000000000001</v>
      </c>
      <c r="CY58">
        <f>1.854</f>
        <v>1.8540000000000001</v>
      </c>
      <c r="CZ58">
        <f>1.864</f>
        <v>1.8640000000000001</v>
      </c>
      <c r="DA58">
        <f>1.865</f>
        <v>1.865</v>
      </c>
      <c r="DB58">
        <f>1.87</f>
        <v>1.87</v>
      </c>
      <c r="DC58">
        <f>1.87</f>
        <v>1.87</v>
      </c>
      <c r="DD58">
        <f>1.882</f>
        <v>1.8819999999999999</v>
      </c>
      <c r="DE58">
        <f>1.887</f>
        <v>1.887</v>
      </c>
      <c r="DF58">
        <f>1.89</f>
        <v>1.89</v>
      </c>
      <c r="DG58">
        <f>1.89</f>
        <v>1.89</v>
      </c>
      <c r="DH58">
        <f>1.899</f>
        <v>1.899</v>
      </c>
      <c r="DI58">
        <f>1.898</f>
        <v>1.8979999999999999</v>
      </c>
      <c r="DJ58">
        <f>1.904</f>
        <v>1.9039999999999999</v>
      </c>
      <c r="DK58">
        <f>1.905</f>
        <v>1.905</v>
      </c>
      <c r="DL58">
        <f>1.918</f>
        <v>1.9179999999999999</v>
      </c>
      <c r="DM58">
        <f>1.924</f>
        <v>1.9239999999999999</v>
      </c>
      <c r="DN58">
        <f>1.922</f>
        <v>1.9219999999999999</v>
      </c>
      <c r="DO58">
        <f>1.909</f>
        <v>1.909</v>
      </c>
      <c r="DP58">
        <f>1.88</f>
        <v>1.88</v>
      </c>
      <c r="DQ58">
        <f>1.876</f>
        <v>1.8759999999999999</v>
      </c>
      <c r="DR58">
        <f>1.861</f>
        <v>1.861</v>
      </c>
      <c r="DS58">
        <f>1.848</f>
        <v>1.8480000000000001</v>
      </c>
      <c r="DT58">
        <f>1.83</f>
        <v>1.83</v>
      </c>
      <c r="DU58">
        <f>1.827</f>
        <v>1.827</v>
      </c>
      <c r="DV58">
        <f>1.825</f>
        <v>1.825</v>
      </c>
      <c r="DW58">
        <f>1.823</f>
        <v>1.823</v>
      </c>
      <c r="DX58" t="str">
        <f>""</f>
        <v/>
      </c>
      <c r="DY58" t="str">
        <f>""</f>
        <v/>
      </c>
      <c r="DZ58" t="str">
        <f>""</f>
        <v/>
      </c>
      <c r="EA58" t="str">
        <f>""</f>
        <v/>
      </c>
      <c r="EB58" t="str">
        <f>""</f>
        <v/>
      </c>
      <c r="EC58" t="str">
        <f>""</f>
        <v/>
      </c>
      <c r="ED58" t="str">
        <f>""</f>
        <v/>
      </c>
      <c r="EE58" t="str">
        <f>""</f>
        <v/>
      </c>
      <c r="EF58" t="str">
        <f>""</f>
        <v/>
      </c>
      <c r="EG58" t="str">
        <f>""</f>
        <v/>
      </c>
      <c r="EH58" t="str">
        <f>""</f>
        <v/>
      </c>
      <c r="EI58" t="str">
        <f>""</f>
        <v/>
      </c>
      <c r="EJ58" t="str">
        <f>""</f>
        <v/>
      </c>
      <c r="EK58" t="str">
        <f>""</f>
        <v/>
      </c>
      <c r="EL58" t="str">
        <f>""</f>
        <v/>
      </c>
      <c r="EM58" t="str">
        <f>""</f>
        <v/>
      </c>
      <c r="EN58" t="str">
        <f>""</f>
        <v/>
      </c>
      <c r="EO58" t="str">
        <f>""</f>
        <v/>
      </c>
      <c r="EP58" t="str">
        <f>""</f>
        <v/>
      </c>
      <c r="EQ58" t="str">
        <f>""</f>
        <v/>
      </c>
      <c r="ER58" t="str">
        <f>""</f>
        <v/>
      </c>
      <c r="ES58" t="str">
        <f>""</f>
        <v/>
      </c>
      <c r="ET58" t="str">
        <f>""</f>
        <v/>
      </c>
      <c r="EU58" t="str">
        <f>""</f>
        <v/>
      </c>
      <c r="EV58" t="str">
        <f>""</f>
        <v/>
      </c>
      <c r="EW58" t="str">
        <f>""</f>
        <v/>
      </c>
      <c r="EX58" t="str">
        <f>""</f>
        <v/>
      </c>
      <c r="EY58" t="str">
        <f>""</f>
        <v/>
      </c>
      <c r="EZ58" t="str">
        <f>""</f>
        <v/>
      </c>
      <c r="FA58" t="str">
        <f>""</f>
        <v/>
      </c>
      <c r="FB58" t="str">
        <f>""</f>
        <v/>
      </c>
      <c r="FC58" t="str">
        <f>""</f>
        <v/>
      </c>
      <c r="FD58" t="str">
        <f>""</f>
        <v/>
      </c>
      <c r="FE58" t="str">
        <f>""</f>
        <v/>
      </c>
      <c r="FF58" t="str">
        <f>""</f>
        <v/>
      </c>
      <c r="FG58" t="str">
        <f>""</f>
        <v/>
      </c>
      <c r="FH58" t="str">
        <f>""</f>
        <v/>
      </c>
      <c r="FI58" t="str">
        <f>""</f>
        <v/>
      </c>
      <c r="FJ58" t="str">
        <f>""</f>
        <v/>
      </c>
      <c r="FK58" t="str">
        <f>""</f>
        <v/>
      </c>
      <c r="FL58" t="str">
        <f>""</f>
        <v/>
      </c>
      <c r="FM58" t="str">
        <f>""</f>
        <v/>
      </c>
      <c r="FN58" t="str">
        <f>""</f>
        <v/>
      </c>
      <c r="FO58" t="str">
        <f>""</f>
        <v/>
      </c>
      <c r="FP58" t="str">
        <f>""</f>
        <v/>
      </c>
      <c r="FQ58" t="str">
        <f>""</f>
        <v/>
      </c>
    </row>
    <row r="59" spans="1:173">
      <c r="A59" t="str">
        <f>"2018年预测每股FFO"</f>
        <v>2018年预测每股FFO</v>
      </c>
      <c r="B59" t="str">
        <f>"BRFREITV Index"</f>
        <v>BRFREITV Index</v>
      </c>
      <c r="E59" t="str">
        <f>"Sum"</f>
        <v>Sum</v>
      </c>
      <c r="F59">
        <f ca="1">IF(ISERROR(IF(SUM($F$60:$F$66) = 0, "", SUM($F$60:$F$66))), "", (IF(SUM($F$60:$F$66) = 0, "", SUM($F$60:$F$66))))</f>
        <v>39.85</v>
      </c>
      <c r="G59">
        <f ca="1">IF(ISERROR(IF(SUM($G$60:$G$66) = 0, "", SUM($G$60:$G$66))), "", (IF(SUM($G$60:$G$66) = 0, "", SUM($G$60:$G$66))))</f>
        <v>39.910999999999994</v>
      </c>
      <c r="H59">
        <f ca="1">IF(ISERROR(IF(SUM($H$60:$H$66) = 0, "", SUM($H$60:$H$66))), "", (IF(SUM($H$60:$H$66) = 0, "", SUM($H$60:$H$66))))</f>
        <v>40.206999999999994</v>
      </c>
      <c r="I59">
        <f ca="1">IF(ISERROR(IF(SUM($I$60:$I$66) = 0, "", SUM($I$60:$I$66))), "", (IF(SUM($I$60:$I$66) = 0, "", SUM($I$60:$I$66))))</f>
        <v>40.31</v>
      </c>
      <c r="J59">
        <f ca="1">IF(ISERROR(IF(SUM($J$60:$J$66) = 0, "", SUM($J$60:$J$66))), "", (IF(SUM($J$60:$J$66) = 0, "", SUM($J$60:$J$66))))</f>
        <v>40.366</v>
      </c>
      <c r="K59">
        <f ca="1">IF(ISERROR(IF(SUM($K$60:$K$66) = 0, "", SUM($K$60:$K$66))), "", (IF(SUM($K$60:$K$66) = 0, "", SUM($K$60:$K$66))))</f>
        <v>40.408000000000008</v>
      </c>
      <c r="L59">
        <f ca="1">IF(ISERROR(IF(SUM($L$60:$L$66) = 0, "", SUM($L$60:$L$66))), "", (IF(SUM($L$60:$L$66) = 0, "", SUM($L$60:$L$66))))</f>
        <v>40.498000000000005</v>
      </c>
      <c r="M59">
        <f ca="1">IF(ISERROR(IF(SUM($M$60:$M$66) = 0, "", SUM($M$60:$M$66))), "", (IF(SUM($M$60:$M$66) = 0, "", SUM($M$60:$M$66))))</f>
        <v>40.481999999999999</v>
      </c>
      <c r="N59">
        <f ca="1">IF(ISERROR(IF(SUM($N$60:$N$66) = 0, "", SUM($N$60:$N$66))), "", (IF(SUM($N$60:$N$66) = 0, "", SUM($N$60:$N$66))))</f>
        <v>40.583999999999996</v>
      </c>
      <c r="O59">
        <f ca="1">IF(ISERROR(IF(SUM($O$60:$O$66) = 0, "", SUM($O$60:$O$66))), "", (IF(SUM($O$60:$O$66) = 0, "", SUM($O$60:$O$66))))</f>
        <v>40.542000000000002</v>
      </c>
      <c r="P59">
        <f ca="1">IF(ISERROR(IF(SUM($P$60:$P$66) = 0, "", SUM($P$60:$P$66))), "", (IF(SUM($P$60:$P$66) = 0, "", SUM($P$60:$P$66))))</f>
        <v>40.474000000000004</v>
      </c>
      <c r="Q59">
        <f ca="1">IF(ISERROR(IF(SUM($Q$60:$Q$66) = 0, "", SUM($Q$60:$Q$66))), "", (IF(SUM($Q$60:$Q$66) = 0, "", SUM($Q$60:$Q$66))))</f>
        <v>40.373000000000005</v>
      </c>
      <c r="R59">
        <f ca="1">IF(ISERROR(IF(SUM($R$60:$R$66) = 0, "", SUM($R$60:$R$66))), "", (IF(SUM($R$60:$R$66) = 0, "", SUM($R$60:$R$66))))</f>
        <v>40.366000000000007</v>
      </c>
      <c r="S59">
        <f ca="1">IF(ISERROR(IF(SUM($S$60:$S$66) = 0, "", SUM($S$60:$S$66))), "", (IF(SUM($S$60:$S$66) = 0, "", SUM($S$60:$S$66))))</f>
        <v>40.387999999999991</v>
      </c>
      <c r="T59">
        <f ca="1">IF(ISERROR(IF(SUM($T$60:$T$66) = 0, "", SUM($T$60:$T$66))), "", (IF(SUM($T$60:$T$66) = 0, "", SUM($T$60:$T$66))))</f>
        <v>40.787999999999997</v>
      </c>
      <c r="U59">
        <f ca="1">IF(ISERROR(IF(SUM($U$60:$U$66) = 0, "", SUM($U$60:$U$66))), "", (IF(SUM($U$60:$U$66) = 0, "", SUM($U$60:$U$66))))</f>
        <v>40.698000000000008</v>
      </c>
      <c r="V59">
        <f ca="1">IF(ISERROR(IF(SUM($V$60:$V$66) = 0, "", SUM($V$60:$V$66))), "", (IF(SUM($V$60:$V$66) = 0, "", SUM($V$60:$V$66))))</f>
        <v>41.058</v>
      </c>
      <c r="W59">
        <f ca="1">IF(ISERROR(IF(SUM($W$60:$W$66) = 0, "", SUM($W$60:$W$66))), "", (IF(SUM($W$60:$W$66) = 0, "", SUM($W$60:$W$66))))</f>
        <v>41.036999999999999</v>
      </c>
      <c r="X59">
        <f ca="1">IF(ISERROR(IF(SUM($X$60:$X$66) = 0, "", SUM($X$60:$X$66))), "", (IF(SUM($X$60:$X$66) = 0, "", SUM($X$60:$X$66))))</f>
        <v>38.700000000000003</v>
      </c>
      <c r="Y59">
        <f ca="1">IF(ISERROR(IF(SUM($Y$60:$Y$66) = 0, "", SUM($Y$60:$Y$66))), "", (IF(SUM($Y$60:$Y$66) = 0, "", SUM($Y$60:$Y$66))))</f>
        <v>41.446000000000005</v>
      </c>
      <c r="Z59">
        <f ca="1">IF(ISERROR(IF(SUM($Z$60:$Z$66) = 0, "", SUM($Z$60:$Z$66))), "", (IF(SUM($Z$60:$Z$66) = 0, "", SUM($Z$60:$Z$66))))</f>
        <v>41.706000000000003</v>
      </c>
      <c r="AA59">
        <f ca="1">IF(ISERROR(IF(SUM($AA$60:$AA$66) = 0, "", SUM($AA$60:$AA$66))), "", (IF(SUM($AA$60:$AA$66) = 0, "", SUM($AA$60:$AA$66))))</f>
        <v>41.977000000000004</v>
      </c>
      <c r="AB59">
        <f ca="1">IF(ISERROR(IF(SUM($AB$60:$AB$66) = 0, "", SUM($AB$60:$AB$66))), "", (IF(SUM($AB$60:$AB$66) = 0, "", SUM($AB$60:$AB$66))))</f>
        <v>42.030999999999999</v>
      </c>
      <c r="AC59">
        <f ca="1">IF(ISERROR(IF(SUM($AC$60:$AC$66) = 0, "", SUM($AC$60:$AC$66))), "", (IF(SUM($AC$60:$AC$66) = 0, "", SUM($AC$60:$AC$66))))</f>
        <v>39.945999999999998</v>
      </c>
      <c r="AD59">
        <f ca="1">IF(ISERROR(IF(SUM($AD$60:$AD$66) = 0, "", SUM($AD$60:$AD$66))), "", (IF(SUM($AD$60:$AD$66) = 0, "", SUM($AD$60:$AD$66))))</f>
        <v>36.190999999999995</v>
      </c>
      <c r="AE59">
        <f ca="1">IF(ISERROR(IF(SUM($AE$60:$AE$66) = 0, "", SUM($AE$60:$AE$66))), "", (IF(SUM($AE$60:$AE$66) = 0, "", SUM($AE$60:$AE$66))))</f>
        <v>42.689</v>
      </c>
      <c r="AF59">
        <f ca="1">IF(ISERROR(IF(SUM($AF$60:$AF$66) = 0, "", SUM($AF$60:$AF$66))), "", (IF(SUM($AF$60:$AF$66) = 0, "", SUM($AF$60:$AF$66))))</f>
        <v>5.42</v>
      </c>
      <c r="AG59">
        <f ca="1">IF(ISERROR(IF(SUM($AG$60:$AG$66) = 0, "", SUM($AG$60:$AG$66))), "", (IF(SUM($AG$60:$AG$66) = 0, "", SUM($AG$60:$AG$66))))</f>
        <v>12.39</v>
      </c>
      <c r="AH59">
        <f ca="1">IF(ISERROR(IF(SUM($AH$60:$AH$66) = 0, "", SUM($AH$60:$AH$66))), "", (IF(SUM($AH$60:$AH$66) = 0, "", SUM($AH$60:$AH$66))))</f>
        <v>14.02</v>
      </c>
      <c r="AI59" t="str">
        <f ca="1">IF(ISERROR(IF(SUM($AI$60:$AI$66) = 0, "", SUM($AI$60:$AI$66))), "", (IF(SUM($AI$60:$AI$66) = 0, "", SUM($AI$60:$AI$66))))</f>
        <v/>
      </c>
      <c r="AJ59">
        <f ca="1">IF(ISERROR(IF(SUM($AJ$60:$AJ$66) = 0, "", SUM($AJ$60:$AJ$66))), "", (IF(SUM($AJ$60:$AJ$66) = 0, "", SUM($AJ$60:$AJ$66))))</f>
        <v>2.14</v>
      </c>
      <c r="AK59">
        <f ca="1">IF(ISERROR(IF(SUM($AK$60:$AK$66) = 0, "", SUM($AK$60:$AK$66))), "", (IF(SUM($AK$60:$AK$66) = 0, "", SUM($AK$60:$AK$66))))</f>
        <v>14.94</v>
      </c>
      <c r="AL59">
        <f ca="1">IF(ISERROR(IF(SUM($AL$60:$AL$66) = 0, "", SUM($AL$60:$AL$66))), "", (IF(SUM($AL$60:$AL$66) = 0, "", SUM($AL$60:$AL$66))))</f>
        <v>38.159999999999997</v>
      </c>
      <c r="AM59" t="str">
        <f ca="1">IF(ISERROR(IF(SUM($AM$60:$AM$66) = 0, "", SUM($AM$60:$AM$66))), "", (IF(SUM($AM$60:$AM$66) = 0, "", SUM($AM$60:$AM$66))))</f>
        <v/>
      </c>
      <c r="AN59" t="str">
        <f ca="1">IF(ISERROR(IF(SUM($AN$60:$AN$66) = 0, "", SUM($AN$60:$AN$66))), "", (IF(SUM($AN$60:$AN$66) = 0, "", SUM($AN$60:$AN$66))))</f>
        <v/>
      </c>
      <c r="AO59" t="str">
        <f ca="1">IF(ISERROR(IF(SUM($AO$60:$AO$66) = 0, "", SUM($AO$60:$AO$66))), "", (IF(SUM($AO$60:$AO$66) = 0, "", SUM($AO$60:$AO$66))))</f>
        <v/>
      </c>
      <c r="AP59" t="str">
        <f ca="1">IF(ISERROR(IF(SUM($AP$60:$AP$66) = 0, "", SUM($AP$60:$AP$66))), "", (IF(SUM($AP$60:$AP$66) = 0, "", SUM($AP$60:$AP$66))))</f>
        <v/>
      </c>
      <c r="AQ59" t="str">
        <f ca="1">IF(ISERROR(IF(SUM($AQ$60:$AQ$66) = 0, "", SUM($AQ$60:$AQ$66))), "", (IF(SUM($AQ$60:$AQ$66) = 0, "", SUM($AQ$60:$AQ$66))))</f>
        <v/>
      </c>
      <c r="AR59" t="str">
        <f ca="1">IF(ISERROR(IF(SUM($AR$60:$AR$66) = 0, "", SUM($AR$60:$AR$66))), "", (IF(SUM($AR$60:$AR$66) = 0, "", SUM($AR$60:$AR$66))))</f>
        <v/>
      </c>
      <c r="AS59" t="str">
        <f ca="1">IF(ISERROR(IF(SUM($AS$60:$AS$66) = 0, "", SUM($AS$60:$AS$66))), "", (IF(SUM($AS$60:$AS$66) = 0, "", SUM($AS$60:$AS$66))))</f>
        <v/>
      </c>
      <c r="AT59" t="str">
        <f ca="1">IF(ISERROR(IF(SUM($AT$60:$AT$66) = 0, "", SUM($AT$60:$AT$66))), "", (IF(SUM($AT$60:$AT$66) = 0, "", SUM($AT$60:$AT$66))))</f>
        <v/>
      </c>
      <c r="AU59" t="str">
        <f ca="1">IF(ISERROR(IF(SUM($AU$60:$AU$66) = 0, "", SUM($AU$60:$AU$66))), "", (IF(SUM($AU$60:$AU$66) = 0, "", SUM($AU$60:$AU$66))))</f>
        <v/>
      </c>
      <c r="AV59" t="str">
        <f ca="1">IF(ISERROR(IF(SUM($AV$60:$AV$66) = 0, "", SUM($AV$60:$AV$66))), "", (IF(SUM($AV$60:$AV$66) = 0, "", SUM($AV$60:$AV$66))))</f>
        <v/>
      </c>
      <c r="AW59" t="str">
        <f ca="1">IF(ISERROR(IF(SUM($AW$60:$AW$66) = 0, "", SUM($AW$60:$AW$66))), "", (IF(SUM($AW$60:$AW$66) = 0, "", SUM($AW$60:$AW$66))))</f>
        <v/>
      </c>
      <c r="AX59" t="str">
        <f ca="1">IF(ISERROR(IF(SUM($AX$60:$AX$66) = 0, "", SUM($AX$60:$AX$66))), "", (IF(SUM($AX$60:$AX$66) = 0, "", SUM($AX$60:$AX$66))))</f>
        <v/>
      </c>
      <c r="AY59" t="str">
        <f ca="1">IF(ISERROR(IF(SUM($AY$60:$AY$66) = 0, "", SUM($AY$60:$AY$66))), "", (IF(SUM($AY$60:$AY$66) = 0, "", SUM($AY$60:$AY$66))))</f>
        <v/>
      </c>
      <c r="AZ59" t="str">
        <f ca="1">IF(ISERROR(IF(SUM($AZ$60:$AZ$66) = 0, "", SUM($AZ$60:$AZ$66))), "", (IF(SUM($AZ$60:$AZ$66) = 0, "", SUM($AZ$60:$AZ$66))))</f>
        <v/>
      </c>
      <c r="BA59" t="str">
        <f ca="1">IF(ISERROR(IF(SUM($BA$60:$BA$66) = 0, "", SUM($BA$60:$BA$66))), "", (IF(SUM($BA$60:$BA$66) = 0, "", SUM($BA$60:$BA$66))))</f>
        <v/>
      </c>
      <c r="BB59" t="str">
        <f ca="1">IF(ISERROR(IF(SUM($BB$60:$BB$66) = 0, "", SUM($BB$60:$BB$66))), "", (IF(SUM($BB$60:$BB$66) = 0, "", SUM($BB$60:$BB$66))))</f>
        <v/>
      </c>
      <c r="BC59" t="str">
        <f ca="1">IF(ISERROR(IF(SUM($BC$60:$BC$66) = 0, "", SUM($BC$60:$BC$66))), "", (IF(SUM($BC$60:$BC$66) = 0, "", SUM($BC$60:$BC$66))))</f>
        <v/>
      </c>
      <c r="BD59" t="str">
        <f ca="1">IF(ISERROR(IF(SUM($BD$60:$BD$66) = 0, "", SUM($BD$60:$BD$66))), "", (IF(SUM($BD$60:$BD$66) = 0, "", SUM($BD$60:$BD$66))))</f>
        <v/>
      </c>
      <c r="BE59" t="str">
        <f ca="1">IF(ISERROR(IF(SUM($BE$60:$BE$66) = 0, "", SUM($BE$60:$BE$66))), "", (IF(SUM($BE$60:$BE$66) = 0, "", SUM($BE$60:$BE$66))))</f>
        <v/>
      </c>
      <c r="BF59" t="str">
        <f ca="1">IF(ISERROR(IF(SUM($BF$60:$BF$66) = 0, "", SUM($BF$60:$BF$66))), "", (IF(SUM($BF$60:$BF$66) = 0, "", SUM($BF$60:$BF$66))))</f>
        <v/>
      </c>
      <c r="BG59" t="str">
        <f ca="1">IF(ISERROR(IF(SUM($BG$60:$BG$66) = 0, "", SUM($BG$60:$BG$66))), "", (IF(SUM($BG$60:$BG$66) = 0, "", SUM($BG$60:$BG$66))))</f>
        <v/>
      </c>
      <c r="BH59" t="str">
        <f ca="1">IF(ISERROR(IF(SUM($BH$60:$BH$66) = 0, "", SUM($BH$60:$BH$66))), "", (IF(SUM($BH$60:$BH$66) = 0, "", SUM($BH$60:$BH$66))))</f>
        <v/>
      </c>
      <c r="BI59" t="str">
        <f ca="1">IF(ISERROR(IF(SUM($BI$60:$BI$66) = 0, "", SUM($BI$60:$BI$66))), "", (IF(SUM($BI$60:$BI$66) = 0, "", SUM($BI$60:$BI$66))))</f>
        <v/>
      </c>
      <c r="BJ59" t="str">
        <f ca="1">IF(ISERROR(IF(SUM($BJ$60:$BJ$66) = 0, "", SUM($BJ$60:$BJ$66))), "", (IF(SUM($BJ$60:$BJ$66) = 0, "", SUM($BJ$60:$BJ$66))))</f>
        <v/>
      </c>
      <c r="BK59" t="str">
        <f ca="1">IF(ISERROR(IF(SUM($BK$60:$BK$66) = 0, "", SUM($BK$60:$BK$66))), "", (IF(SUM($BK$60:$BK$66) = 0, "", SUM($BK$60:$BK$66))))</f>
        <v/>
      </c>
      <c r="BL59" t="str">
        <f ca="1">IF(ISERROR(IF(SUM($BL$60:$BL$66) = 0, "", SUM($BL$60:$BL$66))), "", (IF(SUM($BL$60:$BL$66) = 0, "", SUM($BL$60:$BL$66))))</f>
        <v/>
      </c>
      <c r="BM59" t="str">
        <f ca="1">IF(ISERROR(IF(SUM($BM$60:$BM$66) = 0, "", SUM($BM$60:$BM$66))), "", (IF(SUM($BM$60:$BM$66) = 0, "", SUM($BM$60:$BM$66))))</f>
        <v/>
      </c>
      <c r="BN59" t="str">
        <f ca="1">IF(ISERROR(IF(SUM($BN$60:$BN$66) = 0, "", SUM($BN$60:$BN$66))), "", (IF(SUM($BN$60:$BN$66) = 0, "", SUM($BN$60:$BN$66))))</f>
        <v/>
      </c>
      <c r="BO59" t="str">
        <f ca="1">IF(ISERROR(IF(SUM($BO$60:$BO$66) = 0, "", SUM($BO$60:$BO$66))), "", (IF(SUM($BO$60:$BO$66) = 0, "", SUM($BO$60:$BO$66))))</f>
        <v/>
      </c>
      <c r="BP59" t="str">
        <f ca="1">IF(ISERROR(IF(SUM($BP$60:$BP$66) = 0, "", SUM($BP$60:$BP$66))), "", (IF(SUM($BP$60:$BP$66) = 0, "", SUM($BP$60:$BP$66))))</f>
        <v/>
      </c>
      <c r="BQ59" t="str">
        <f ca="1">IF(ISERROR(IF(SUM($BQ$60:$BQ$66) = 0, "", SUM($BQ$60:$BQ$66))), "", (IF(SUM($BQ$60:$BQ$66) = 0, "", SUM($BQ$60:$BQ$66))))</f>
        <v/>
      </c>
      <c r="BR59" t="str">
        <f ca="1">IF(ISERROR(IF(SUM($BR$60:$BR$66) = 0, "", SUM($BR$60:$BR$66))), "", (IF(SUM($BR$60:$BR$66) = 0, "", SUM($BR$60:$BR$66))))</f>
        <v/>
      </c>
      <c r="BS59" t="str">
        <f ca="1">IF(ISERROR(IF(SUM($BS$60:$BS$66) = 0, "", SUM($BS$60:$BS$66))), "", (IF(SUM($BS$60:$BS$66) = 0, "", SUM($BS$60:$BS$66))))</f>
        <v/>
      </c>
      <c r="BT59" t="str">
        <f ca="1">IF(ISERROR(IF(SUM($BT$60:$BT$66) = 0, "", SUM($BT$60:$BT$66))), "", (IF(SUM($BT$60:$BT$66) = 0, "", SUM($BT$60:$BT$66))))</f>
        <v/>
      </c>
      <c r="BU59" t="str">
        <f ca="1">IF(ISERROR(IF(SUM($BU$60:$BU$66) = 0, "", SUM($BU$60:$BU$66))), "", (IF(SUM($BU$60:$BU$66) = 0, "", SUM($BU$60:$BU$66))))</f>
        <v/>
      </c>
      <c r="BV59" t="str">
        <f ca="1">IF(ISERROR(IF(SUM($BV$60:$BV$66) = 0, "", SUM($BV$60:$BV$66))), "", (IF(SUM($BV$60:$BV$66) = 0, "", SUM($BV$60:$BV$66))))</f>
        <v/>
      </c>
      <c r="BW59" t="str">
        <f ca="1">IF(ISERROR(IF(SUM($BW$60:$BW$66) = 0, "", SUM($BW$60:$BW$66))), "", (IF(SUM($BW$60:$BW$66) = 0, "", SUM($BW$60:$BW$66))))</f>
        <v/>
      </c>
      <c r="BX59" t="str">
        <f ca="1">IF(ISERROR(IF(SUM($BX$60:$BX$66) = 0, "", SUM($BX$60:$BX$66))), "", (IF(SUM($BX$60:$BX$66) = 0, "", SUM($BX$60:$BX$66))))</f>
        <v/>
      </c>
      <c r="BY59" t="str">
        <f ca="1">IF(ISERROR(IF(SUM($BY$60:$BY$66) = 0, "", SUM($BY$60:$BY$66))), "", (IF(SUM($BY$60:$BY$66) = 0, "", SUM($BY$60:$BY$66))))</f>
        <v/>
      </c>
      <c r="BZ59" t="str">
        <f ca="1">IF(ISERROR(IF(SUM($BZ$60:$BZ$66) = 0, "", SUM($BZ$60:$BZ$66))), "", (IF(SUM($BZ$60:$BZ$66) = 0, "", SUM($BZ$60:$BZ$66))))</f>
        <v/>
      </c>
      <c r="CA59" t="str">
        <f ca="1">IF(ISERROR(IF(SUM($CA$60:$CA$66) = 0, "", SUM($CA$60:$CA$66))), "", (IF(SUM($CA$60:$CA$66) = 0, "", SUM($CA$60:$CA$66))))</f>
        <v/>
      </c>
      <c r="CB59" t="str">
        <f ca="1">IF(ISERROR(IF(SUM($CB$60:$CB$66) = 0, "", SUM($CB$60:$CB$66))), "", (IF(SUM($CB$60:$CB$66) = 0, "", SUM($CB$60:$CB$66))))</f>
        <v/>
      </c>
      <c r="CC59" t="str">
        <f ca="1">IF(ISERROR(IF(SUM($CC$60:$CC$66) = 0, "", SUM($CC$60:$CC$66))), "", (IF(SUM($CC$60:$CC$66) = 0, "", SUM($CC$60:$CC$66))))</f>
        <v/>
      </c>
      <c r="CD59" t="str">
        <f ca="1">IF(ISERROR(IF(SUM($CD$60:$CD$66) = 0, "", SUM($CD$60:$CD$66))), "", (IF(SUM($CD$60:$CD$66) = 0, "", SUM($CD$60:$CD$66))))</f>
        <v/>
      </c>
      <c r="CE59" t="str">
        <f ca="1">IF(ISERROR(IF(SUM($CE$60:$CE$66) = 0, "", SUM($CE$60:$CE$66))), "", (IF(SUM($CE$60:$CE$66) = 0, "", SUM($CE$60:$CE$66))))</f>
        <v/>
      </c>
      <c r="CF59" t="str">
        <f ca="1">IF(ISERROR(IF(SUM($CF$60:$CF$66) = 0, "", SUM($CF$60:$CF$66))), "", (IF(SUM($CF$60:$CF$66) = 0, "", SUM($CF$60:$CF$66))))</f>
        <v/>
      </c>
      <c r="CG59" t="str">
        <f ca="1">IF(ISERROR(IF(SUM($CG$60:$CG$66) = 0, "", SUM($CG$60:$CG$66))), "", (IF(SUM($CG$60:$CG$66) = 0, "", SUM($CG$60:$CG$66))))</f>
        <v/>
      </c>
      <c r="CH59" t="str">
        <f ca="1">IF(ISERROR(IF(SUM($CH$60:$CH$66) = 0, "", SUM($CH$60:$CH$66))), "", (IF(SUM($CH$60:$CH$66) = 0, "", SUM($CH$60:$CH$66))))</f>
        <v/>
      </c>
      <c r="CI59" t="str">
        <f ca="1">IF(ISERROR(IF(SUM($CI$60:$CI$66) = 0, "", SUM($CI$60:$CI$66))), "", (IF(SUM($CI$60:$CI$66) = 0, "", SUM($CI$60:$CI$66))))</f>
        <v/>
      </c>
      <c r="CJ59" t="str">
        <f ca="1">IF(ISERROR(IF(SUM($CJ$60:$CJ$66) = 0, "", SUM($CJ$60:$CJ$66))), "", (IF(SUM($CJ$60:$CJ$66) = 0, "", SUM($CJ$60:$CJ$66))))</f>
        <v/>
      </c>
      <c r="CK59" t="str">
        <f ca="1">IF(ISERROR(IF(SUM($CK$60:$CK$66) = 0, "", SUM($CK$60:$CK$66))), "", (IF(SUM($CK$60:$CK$66) = 0, "", SUM($CK$60:$CK$66))))</f>
        <v/>
      </c>
      <c r="CL59">
        <f>39.85</f>
        <v>39.85</v>
      </c>
      <c r="CM59">
        <f>39.911</f>
        <v>39.911000000000001</v>
      </c>
      <c r="CN59">
        <f>40.207</f>
        <v>40.207000000000001</v>
      </c>
      <c r="CO59">
        <f>40.31</f>
        <v>40.31</v>
      </c>
      <c r="CP59">
        <f>40.366</f>
        <v>40.366</v>
      </c>
      <c r="CQ59">
        <f>40.408</f>
        <v>40.408000000000001</v>
      </c>
      <c r="CR59">
        <f>40.498</f>
        <v>40.497999999999998</v>
      </c>
      <c r="CS59">
        <f>40.482</f>
        <v>40.481999999999999</v>
      </c>
      <c r="CT59">
        <f>40.584</f>
        <v>40.584000000000003</v>
      </c>
      <c r="CU59">
        <f>40.542</f>
        <v>40.542000000000002</v>
      </c>
      <c r="CV59">
        <f>40.474</f>
        <v>40.473999999999997</v>
      </c>
      <c r="CW59">
        <f>40.373</f>
        <v>40.372999999999998</v>
      </c>
      <c r="CX59">
        <f>40.366</f>
        <v>40.366</v>
      </c>
      <c r="CY59">
        <f>40.388</f>
        <v>40.387999999999998</v>
      </c>
      <c r="CZ59">
        <f>40.788</f>
        <v>40.787999999999997</v>
      </c>
      <c r="DA59">
        <f>40.698</f>
        <v>40.698</v>
      </c>
      <c r="DB59">
        <f>41.058</f>
        <v>41.058</v>
      </c>
      <c r="DC59">
        <f>41.037</f>
        <v>41.036999999999999</v>
      </c>
      <c r="DD59">
        <f>38.7</f>
        <v>38.700000000000003</v>
      </c>
      <c r="DE59">
        <f>41.446</f>
        <v>41.445999999999998</v>
      </c>
      <c r="DF59">
        <f>41.706</f>
        <v>41.706000000000003</v>
      </c>
      <c r="DG59">
        <f>41.977</f>
        <v>41.976999999999997</v>
      </c>
      <c r="DH59">
        <f>42.031</f>
        <v>42.030999999999999</v>
      </c>
      <c r="DI59">
        <f>39.946</f>
        <v>39.945999999999998</v>
      </c>
      <c r="DJ59">
        <f>36.191</f>
        <v>36.191000000000003</v>
      </c>
      <c r="DK59">
        <f>42.689</f>
        <v>42.689</v>
      </c>
      <c r="DL59">
        <f>5.42</f>
        <v>5.42</v>
      </c>
      <c r="DM59">
        <f>12.39</f>
        <v>12.39</v>
      </c>
      <c r="DN59">
        <f>14.02</f>
        <v>14.02</v>
      </c>
      <c r="DO59" t="str">
        <f>""</f>
        <v/>
      </c>
      <c r="DP59">
        <f>2.14</f>
        <v>2.14</v>
      </c>
      <c r="DQ59">
        <f>14.94</f>
        <v>14.94</v>
      </c>
      <c r="DR59">
        <f>38.16</f>
        <v>38.159999999999997</v>
      </c>
      <c r="DS59" t="str">
        <f>""</f>
        <v/>
      </c>
      <c r="DT59" t="str">
        <f>""</f>
        <v/>
      </c>
      <c r="DU59" t="str">
        <f>""</f>
        <v/>
      </c>
      <c r="DV59" t="str">
        <f>""</f>
        <v/>
      </c>
      <c r="DW59" t="str">
        <f>""</f>
        <v/>
      </c>
      <c r="DX59" t="str">
        <f>""</f>
        <v/>
      </c>
      <c r="DY59" t="str">
        <f>""</f>
        <v/>
      </c>
      <c r="DZ59" t="str">
        <f>""</f>
        <v/>
      </c>
      <c r="EA59" t="str">
        <f>""</f>
        <v/>
      </c>
      <c r="EB59" t="str">
        <f>""</f>
        <v/>
      </c>
      <c r="EC59" t="str">
        <f>""</f>
        <v/>
      </c>
      <c r="ED59" t="str">
        <f>""</f>
        <v/>
      </c>
      <c r="EE59" t="str">
        <f>""</f>
        <v/>
      </c>
      <c r="EF59" t="str">
        <f>""</f>
        <v/>
      </c>
      <c r="EG59" t="str">
        <f>""</f>
        <v/>
      </c>
      <c r="EH59" t="str">
        <f>""</f>
        <v/>
      </c>
      <c r="EI59" t="str">
        <f>""</f>
        <v/>
      </c>
      <c r="EJ59" t="str">
        <f>""</f>
        <v/>
      </c>
      <c r="EK59" t="str">
        <f>""</f>
        <v/>
      </c>
      <c r="EL59" t="str">
        <f>""</f>
        <v/>
      </c>
      <c r="EM59" t="str">
        <f>""</f>
        <v/>
      </c>
      <c r="EN59" t="str">
        <f>""</f>
        <v/>
      </c>
      <c r="EO59" t="str">
        <f>""</f>
        <v/>
      </c>
      <c r="EP59" t="str">
        <f>""</f>
        <v/>
      </c>
      <c r="EQ59" t="str">
        <f>""</f>
        <v/>
      </c>
      <c r="ER59" t="str">
        <f>""</f>
        <v/>
      </c>
      <c r="ES59" t="str">
        <f>""</f>
        <v/>
      </c>
      <c r="ET59" t="str">
        <f>""</f>
        <v/>
      </c>
      <c r="EU59" t="str">
        <f>""</f>
        <v/>
      </c>
      <c r="EV59" t="str">
        <f>""</f>
        <v/>
      </c>
      <c r="EW59" t="str">
        <f>""</f>
        <v/>
      </c>
      <c r="EX59" t="str">
        <f>""</f>
        <v/>
      </c>
      <c r="EY59" t="str">
        <f>""</f>
        <v/>
      </c>
      <c r="EZ59" t="str">
        <f>""</f>
        <v/>
      </c>
      <c r="FA59" t="str">
        <f>""</f>
        <v/>
      </c>
      <c r="FB59" t="str">
        <f>""</f>
        <v/>
      </c>
      <c r="FC59" t="str">
        <f>""</f>
        <v/>
      </c>
      <c r="FD59" t="str">
        <f>""</f>
        <v/>
      </c>
      <c r="FE59" t="str">
        <f>""</f>
        <v/>
      </c>
      <c r="FF59" t="str">
        <f>""</f>
        <v/>
      </c>
      <c r="FG59" t="str">
        <f>""</f>
        <v/>
      </c>
      <c r="FH59" t="str">
        <f>""</f>
        <v/>
      </c>
      <c r="FI59" t="str">
        <f>""</f>
        <v/>
      </c>
      <c r="FJ59" t="str">
        <f>""</f>
        <v/>
      </c>
      <c r="FK59" t="str">
        <f>""</f>
        <v/>
      </c>
      <c r="FL59" t="str">
        <f>""</f>
        <v/>
      </c>
      <c r="FM59" t="str">
        <f>""</f>
        <v/>
      </c>
      <c r="FN59" t="str">
        <f>""</f>
        <v/>
      </c>
      <c r="FO59" t="str">
        <f>""</f>
        <v/>
      </c>
      <c r="FP59" t="str">
        <f>""</f>
        <v/>
      </c>
      <c r="FQ59" t="str">
        <f>""</f>
        <v/>
      </c>
    </row>
    <row r="60" spans="1:173">
      <c r="A60" t="str">
        <f>"    公寓投资与管理"</f>
        <v xml:space="preserve">    公寓投资与管理</v>
      </c>
      <c r="B60" t="str">
        <f>"AIV US Equity"</f>
        <v>AIV US Equity</v>
      </c>
      <c r="C60" t="str">
        <f t="shared" ref="C60:C66" si="21">"BE038"</f>
        <v>BE038</v>
      </c>
      <c r="D60" t="str">
        <f t="shared" ref="D60:D66" si="22">"BEST_FFOPS"</f>
        <v>BEST_FFOPS</v>
      </c>
      <c r="E60" t="str">
        <f t="shared" ref="E60:E66" si="23">"动态"</f>
        <v>动态</v>
      </c>
      <c r="F60">
        <f ca="1">IF(AND(ISNUMBER($F$303),$B$252=1),$F$303,HLOOKUP(INDIRECT(ADDRESS(2,COLUMN())),OFFSET($CL$2,0,0,ROW()-1,84),ROW()-1,FALSE))</f>
        <v>2.4940000000000002</v>
      </c>
      <c r="G60">
        <f ca="1">IF(AND(ISNUMBER($G$303),$B$252=1),$G$303,HLOOKUP(INDIRECT(ADDRESS(2,COLUMN())),OFFSET($CL$2,0,0,ROW()-1,84),ROW()-1,FALSE))</f>
        <v>2.5059999999999998</v>
      </c>
      <c r="H60">
        <f ca="1">IF(AND(ISNUMBER($H$303),$B$252=1),$H$303,HLOOKUP(INDIRECT(ADDRESS(2,COLUMN())),OFFSET($CL$2,0,0,ROW()-1,84),ROW()-1,FALSE))</f>
        <v>2.54</v>
      </c>
      <c r="I60">
        <f ca="1">IF(AND(ISNUMBER($I$303),$B$252=1),$I$303,HLOOKUP(INDIRECT(ADDRESS(2,COLUMN())),OFFSET($CL$2,0,0,ROW()-1,84),ROW()-1,FALSE))</f>
        <v>2.5419999999999998</v>
      </c>
      <c r="J60">
        <f ca="1">IF(AND(ISNUMBER($J$303),$B$252=1),$J$303,HLOOKUP(INDIRECT(ADDRESS(2,COLUMN())),OFFSET($CL$2,0,0,ROW()-1,84),ROW()-1,FALSE))</f>
        <v>2.5459999999999998</v>
      </c>
      <c r="K60">
        <f ca="1">IF(AND(ISNUMBER($K$303),$B$252=1),$K$303,HLOOKUP(INDIRECT(ADDRESS(2,COLUMN())),OFFSET($CL$2,0,0,ROW()-1,84),ROW()-1,FALSE))</f>
        <v>2.5510000000000002</v>
      </c>
      <c r="L60">
        <f ca="1">IF(AND(ISNUMBER($L$303),$B$252=1),$L$303,HLOOKUP(INDIRECT(ADDRESS(2,COLUMN())),OFFSET($CL$2,0,0,ROW()-1,84),ROW()-1,FALSE))</f>
        <v>2.548</v>
      </c>
      <c r="M60">
        <f ca="1">IF(AND(ISNUMBER($M$303),$B$252=1),$M$303,HLOOKUP(INDIRECT(ADDRESS(2,COLUMN())),OFFSET($CL$2,0,0,ROW()-1,84),ROW()-1,FALSE))</f>
        <v>2.5510000000000002</v>
      </c>
      <c r="N60">
        <f ca="1">IF(AND(ISNUMBER($N$303),$B$252=1),$N$303,HLOOKUP(INDIRECT(ADDRESS(2,COLUMN())),OFFSET($CL$2,0,0,ROW()-1,84),ROW()-1,FALSE))</f>
        <v>2.548</v>
      </c>
      <c r="O60">
        <f ca="1">IF(AND(ISNUMBER($O$303),$B$252=1),$O$303,HLOOKUP(INDIRECT(ADDRESS(2,COLUMN())),OFFSET($CL$2,0,0,ROW()-1,84),ROW()-1,FALSE))</f>
        <v>2.5529999999999999</v>
      </c>
      <c r="P60">
        <f ca="1">IF(AND(ISNUMBER($P$303),$B$252=1),$P$303,HLOOKUP(INDIRECT(ADDRESS(2,COLUMN())),OFFSET($CL$2,0,0,ROW()-1,84),ROW()-1,FALSE))</f>
        <v>2.5579999999999998</v>
      </c>
      <c r="Q60">
        <f ca="1">IF(AND(ISNUMBER($Q$303),$B$252=1),$Q$303,HLOOKUP(INDIRECT(ADDRESS(2,COLUMN())),OFFSET($CL$2,0,0,ROW()-1,84),ROW()-1,FALSE))</f>
        <v>2.5739999999999998</v>
      </c>
      <c r="R60">
        <f ca="1">IF(AND(ISNUMBER($R$303),$B$252=1),$R$303,HLOOKUP(INDIRECT(ADDRESS(2,COLUMN())),OFFSET($CL$2,0,0,ROW()-1,84),ROW()-1,FALSE))</f>
        <v>2.5739999999999998</v>
      </c>
      <c r="S60">
        <f ca="1">IF(AND(ISNUMBER($S$303),$B$252=1),$S$303,HLOOKUP(INDIRECT(ADDRESS(2,COLUMN())),OFFSET($CL$2,0,0,ROW()-1,84),ROW()-1,FALSE))</f>
        <v>2.5739999999999998</v>
      </c>
      <c r="T60">
        <f ca="1">IF(AND(ISNUMBER($T$303),$B$252=1),$T$303,HLOOKUP(INDIRECT(ADDRESS(2,COLUMN())),OFFSET($CL$2,0,0,ROW()-1,84),ROW()-1,FALSE))</f>
        <v>2.585</v>
      </c>
      <c r="U60">
        <f ca="1">IF(AND(ISNUMBER($U$303),$B$252=1),$U$303,HLOOKUP(INDIRECT(ADDRESS(2,COLUMN())),OFFSET($CL$2,0,0,ROW()-1,84),ROW()-1,FALSE))</f>
        <v>2.577</v>
      </c>
      <c r="V60">
        <f ca="1">IF(AND(ISNUMBER($V$303),$B$252=1),$V$303,HLOOKUP(INDIRECT(ADDRESS(2,COLUMN())),OFFSET($CL$2,0,0,ROW()-1,84),ROW()-1,FALSE))</f>
        <v>2.5960000000000001</v>
      </c>
      <c r="W60">
        <f ca="1">IF(AND(ISNUMBER($W$303),$B$252=1),$W$303,HLOOKUP(INDIRECT(ADDRESS(2,COLUMN())),OFFSET($CL$2,0,0,ROW()-1,84),ROW()-1,FALSE))</f>
        <v>2.6259999999999999</v>
      </c>
      <c r="X60" t="str">
        <f ca="1">IF(AND(ISNUMBER($X$303),$B$252=1),$X$303,HLOOKUP(INDIRECT(ADDRESS(2,COLUMN())),OFFSET($CL$2,0,0,ROW()-1,84),ROW()-1,FALSE))</f>
        <v/>
      </c>
      <c r="Y60">
        <f ca="1">IF(AND(ISNUMBER($Y$303),$B$252=1),$Y$303,HLOOKUP(INDIRECT(ADDRESS(2,COLUMN())),OFFSET($CL$2,0,0,ROW()-1,84),ROW()-1,FALSE))</f>
        <v>2.6659999999999999</v>
      </c>
      <c r="Z60">
        <f ca="1">IF(AND(ISNUMBER($Z$303),$B$252=1),$Z$303,HLOOKUP(INDIRECT(ADDRESS(2,COLUMN())),OFFSET($CL$2,0,0,ROW()-1,84),ROW()-1,FALSE))</f>
        <v>2.625</v>
      </c>
      <c r="AA60">
        <f ca="1">IF(AND(ISNUMBER($AA$303),$B$252=1),$AA$303,HLOOKUP(INDIRECT(ADDRESS(2,COLUMN())),OFFSET($CL$2,0,0,ROW()-1,84),ROW()-1,FALSE))</f>
        <v>2.6230000000000002</v>
      </c>
      <c r="AB60">
        <f ca="1">IF(AND(ISNUMBER($AB$303),$B$252=1),$AB$303,HLOOKUP(INDIRECT(ADDRESS(2,COLUMN())),OFFSET($CL$2,0,0,ROW()-1,84),ROW()-1,FALSE))</f>
        <v>2.6230000000000002</v>
      </c>
      <c r="AC60" t="str">
        <f ca="1">IF(AND(ISNUMBER($AC$303),$B$252=1),$AC$303,HLOOKUP(INDIRECT(ADDRESS(2,COLUMN())),OFFSET($CL$2,0,0,ROW()-1,84),ROW()-1,FALSE))</f>
        <v/>
      </c>
      <c r="AD60">
        <f ca="1">IF(AND(ISNUMBER($AD$303),$B$252=1),$AD$303,HLOOKUP(INDIRECT(ADDRESS(2,COLUMN())),OFFSET($CL$2,0,0,ROW()-1,84),ROW()-1,FALSE))</f>
        <v>2.5870000000000002</v>
      </c>
      <c r="AE60">
        <f ca="1">IF(AND(ISNUMBER($AE$303),$B$252=1),$AE$303,HLOOKUP(INDIRECT(ADDRESS(2,COLUMN())),OFFSET($CL$2,0,0,ROW()-1,84),ROW()-1,FALSE))</f>
        <v>2.5630000000000002</v>
      </c>
      <c r="AF60" t="str">
        <f ca="1">IF(AND(ISNUMBER($AF$303),$B$252=1),$AF$303,HLOOKUP(INDIRECT(ADDRESS(2,COLUMN())),OFFSET($CL$2,0,0,ROW()-1,84),ROW()-1,FALSE))</f>
        <v/>
      </c>
      <c r="AG60" t="str">
        <f ca="1">IF(AND(ISNUMBER($AG$303),$B$252=1),$AG$303,HLOOKUP(INDIRECT(ADDRESS(2,COLUMN())),OFFSET($CL$2,0,0,ROW()-1,84),ROW()-1,FALSE))</f>
        <v/>
      </c>
      <c r="AH60" t="str">
        <f ca="1">IF(AND(ISNUMBER($AH$303),$B$252=1),$AH$303,HLOOKUP(INDIRECT(ADDRESS(2,COLUMN())),OFFSET($CL$2,0,0,ROW()-1,84),ROW()-1,FALSE))</f>
        <v/>
      </c>
      <c r="AI60" t="str">
        <f ca="1">IF(AND(ISNUMBER($AI$303),$B$252=1),$AI$303,HLOOKUP(INDIRECT(ADDRESS(2,COLUMN())),OFFSET($CL$2,0,0,ROW()-1,84),ROW()-1,FALSE))</f>
        <v/>
      </c>
      <c r="AJ60" t="str">
        <f ca="1">IF(AND(ISNUMBER($AJ$303),$B$252=1),$AJ$303,HLOOKUP(INDIRECT(ADDRESS(2,COLUMN())),OFFSET($CL$2,0,0,ROW()-1,84),ROW()-1,FALSE))</f>
        <v/>
      </c>
      <c r="AK60">
        <f ca="1">IF(AND(ISNUMBER($AK$303),$B$252=1),$AK$303,HLOOKUP(INDIRECT(ADDRESS(2,COLUMN())),OFFSET($CL$2,0,0,ROW()-1,84),ROW()-1,FALSE))</f>
        <v>2.77</v>
      </c>
      <c r="AL60">
        <f ca="1">IF(AND(ISNUMBER($AL$303),$B$252=1),$AL$303,HLOOKUP(INDIRECT(ADDRESS(2,COLUMN())),OFFSET($CL$2,0,0,ROW()-1,84),ROW()-1,FALSE))</f>
        <v>2.71</v>
      </c>
      <c r="AM60" t="str">
        <f ca="1">IF(AND(ISNUMBER($AM$303),$B$252=1),$AM$303,HLOOKUP(INDIRECT(ADDRESS(2,COLUMN())),OFFSET($CL$2,0,0,ROW()-1,84),ROW()-1,FALSE))</f>
        <v/>
      </c>
      <c r="AN60" t="str">
        <f ca="1">IF(AND(ISNUMBER($AN$303),$B$252=1),$AN$303,HLOOKUP(INDIRECT(ADDRESS(2,COLUMN())),OFFSET($CL$2,0,0,ROW()-1,84),ROW()-1,FALSE))</f>
        <v/>
      </c>
      <c r="AO60" t="str">
        <f ca="1">IF(AND(ISNUMBER($AO$303),$B$252=1),$AO$303,HLOOKUP(INDIRECT(ADDRESS(2,COLUMN())),OFFSET($CL$2,0,0,ROW()-1,84),ROW()-1,FALSE))</f>
        <v/>
      </c>
      <c r="AP60" t="str">
        <f ca="1">IF(AND(ISNUMBER($AP$303),$B$252=1),$AP$303,HLOOKUP(INDIRECT(ADDRESS(2,COLUMN())),OFFSET($CL$2,0,0,ROW()-1,84),ROW()-1,FALSE))</f>
        <v/>
      </c>
      <c r="AQ60" t="str">
        <f ca="1">IF(AND(ISNUMBER($AQ$303),$B$252=1),$AQ$303,HLOOKUP(INDIRECT(ADDRESS(2,COLUMN())),OFFSET($CL$2,0,0,ROW()-1,84),ROW()-1,FALSE))</f>
        <v/>
      </c>
      <c r="AR60" t="str">
        <f ca="1">IF(AND(ISNUMBER($AR$303),$B$252=1),$AR$303,HLOOKUP(INDIRECT(ADDRESS(2,COLUMN())),OFFSET($CL$2,0,0,ROW()-1,84),ROW()-1,FALSE))</f>
        <v/>
      </c>
      <c r="AS60" t="str">
        <f ca="1">IF(AND(ISNUMBER($AS$303),$B$252=1),$AS$303,HLOOKUP(INDIRECT(ADDRESS(2,COLUMN())),OFFSET($CL$2,0,0,ROW()-1,84),ROW()-1,FALSE))</f>
        <v/>
      </c>
      <c r="AT60" t="str">
        <f ca="1">IF(AND(ISNUMBER($AT$303),$B$252=1),$AT$303,HLOOKUP(INDIRECT(ADDRESS(2,COLUMN())),OFFSET($CL$2,0,0,ROW()-1,84),ROW()-1,FALSE))</f>
        <v/>
      </c>
      <c r="AU60" t="str">
        <f ca="1">IF(AND(ISNUMBER($AU$303),$B$252=1),$AU$303,HLOOKUP(INDIRECT(ADDRESS(2,COLUMN())),OFFSET($CL$2,0,0,ROW()-1,84),ROW()-1,FALSE))</f>
        <v/>
      </c>
      <c r="AV60" t="str">
        <f ca="1">IF(AND(ISNUMBER($AV$303),$B$252=1),$AV$303,HLOOKUP(INDIRECT(ADDRESS(2,COLUMN())),OFFSET($CL$2,0,0,ROW()-1,84),ROW()-1,FALSE))</f>
        <v/>
      </c>
      <c r="AW60" t="str">
        <f ca="1">IF(AND(ISNUMBER($AW$303),$B$252=1),$AW$303,HLOOKUP(INDIRECT(ADDRESS(2,COLUMN())),OFFSET($CL$2,0,0,ROW()-1,84),ROW()-1,FALSE))</f>
        <v/>
      </c>
      <c r="AX60" t="str">
        <f ca="1">IF(AND(ISNUMBER($AX$303),$B$252=1),$AX$303,HLOOKUP(INDIRECT(ADDRESS(2,COLUMN())),OFFSET($CL$2,0,0,ROW()-1,84),ROW()-1,FALSE))</f>
        <v/>
      </c>
      <c r="AY60" t="str">
        <f ca="1">IF(AND(ISNUMBER($AY$303),$B$252=1),$AY$303,HLOOKUP(INDIRECT(ADDRESS(2,COLUMN())),OFFSET($CL$2,0,0,ROW()-1,84),ROW()-1,FALSE))</f>
        <v/>
      </c>
      <c r="AZ60" t="str">
        <f ca="1">IF(AND(ISNUMBER($AZ$303),$B$252=1),$AZ$303,HLOOKUP(INDIRECT(ADDRESS(2,COLUMN())),OFFSET($CL$2,0,0,ROW()-1,84),ROW()-1,FALSE))</f>
        <v/>
      </c>
      <c r="BA60" t="str">
        <f ca="1">IF(AND(ISNUMBER($BA$303),$B$252=1),$BA$303,HLOOKUP(INDIRECT(ADDRESS(2,COLUMN())),OFFSET($CL$2,0,0,ROW()-1,84),ROW()-1,FALSE))</f>
        <v/>
      </c>
      <c r="BB60" t="str">
        <f ca="1">IF(AND(ISNUMBER($BB$303),$B$252=1),$BB$303,HLOOKUP(INDIRECT(ADDRESS(2,COLUMN())),OFFSET($CL$2,0,0,ROW()-1,84),ROW()-1,FALSE))</f>
        <v/>
      </c>
      <c r="BC60" t="str">
        <f ca="1">IF(AND(ISNUMBER($BC$303),$B$252=1),$BC$303,HLOOKUP(INDIRECT(ADDRESS(2,COLUMN())),OFFSET($CL$2,0,0,ROW()-1,84),ROW()-1,FALSE))</f>
        <v/>
      </c>
      <c r="BD60" t="str">
        <f ca="1">IF(AND(ISNUMBER($BD$303),$B$252=1),$BD$303,HLOOKUP(INDIRECT(ADDRESS(2,COLUMN())),OFFSET($CL$2,0,0,ROW()-1,84),ROW()-1,FALSE))</f>
        <v/>
      </c>
      <c r="BE60" t="str">
        <f ca="1">IF(AND(ISNUMBER($BE$303),$B$252=1),$BE$303,HLOOKUP(INDIRECT(ADDRESS(2,COLUMN())),OFFSET($CL$2,0,0,ROW()-1,84),ROW()-1,FALSE))</f>
        <v/>
      </c>
      <c r="BF60" t="str">
        <f ca="1">IF(AND(ISNUMBER($BF$303),$B$252=1),$BF$303,HLOOKUP(INDIRECT(ADDRESS(2,COLUMN())),OFFSET($CL$2,0,0,ROW()-1,84),ROW()-1,FALSE))</f>
        <v/>
      </c>
      <c r="BG60" t="str">
        <f ca="1">IF(AND(ISNUMBER($BG$303),$B$252=1),$BG$303,HLOOKUP(INDIRECT(ADDRESS(2,COLUMN())),OFFSET($CL$2,0,0,ROW()-1,84),ROW()-1,FALSE))</f>
        <v/>
      </c>
      <c r="BH60" t="str">
        <f ca="1">IF(AND(ISNUMBER($BH$303),$B$252=1),$BH$303,HLOOKUP(INDIRECT(ADDRESS(2,COLUMN())),OFFSET($CL$2,0,0,ROW()-1,84),ROW()-1,FALSE))</f>
        <v/>
      </c>
      <c r="BI60" t="str">
        <f ca="1">IF(AND(ISNUMBER($BI$303),$B$252=1),$BI$303,HLOOKUP(INDIRECT(ADDRESS(2,COLUMN())),OFFSET($CL$2,0,0,ROW()-1,84),ROW()-1,FALSE))</f>
        <v/>
      </c>
      <c r="BJ60" t="str">
        <f ca="1">IF(AND(ISNUMBER($BJ$303),$B$252=1),$BJ$303,HLOOKUP(INDIRECT(ADDRESS(2,COLUMN())),OFFSET($CL$2,0,0,ROW()-1,84),ROW()-1,FALSE))</f>
        <v/>
      </c>
      <c r="BK60" t="str">
        <f ca="1">IF(AND(ISNUMBER($BK$303),$B$252=1),$BK$303,HLOOKUP(INDIRECT(ADDRESS(2,COLUMN())),OFFSET($CL$2,0,0,ROW()-1,84),ROW()-1,FALSE))</f>
        <v/>
      </c>
      <c r="BL60" t="str">
        <f ca="1">IF(AND(ISNUMBER($BL$303),$B$252=1),$BL$303,HLOOKUP(INDIRECT(ADDRESS(2,COLUMN())),OFFSET($CL$2,0,0,ROW()-1,84),ROW()-1,FALSE))</f>
        <v/>
      </c>
      <c r="BM60" t="str">
        <f ca="1">IF(AND(ISNUMBER($BM$303),$B$252=1),$BM$303,HLOOKUP(INDIRECT(ADDRESS(2,COLUMN())),OFFSET($CL$2,0,0,ROW()-1,84),ROW()-1,FALSE))</f>
        <v/>
      </c>
      <c r="BN60" t="str">
        <f ca="1">IF(AND(ISNUMBER($BN$303),$B$252=1),$BN$303,HLOOKUP(INDIRECT(ADDRESS(2,COLUMN())),OFFSET($CL$2,0,0,ROW()-1,84),ROW()-1,FALSE))</f>
        <v/>
      </c>
      <c r="BO60" t="str">
        <f ca="1">IF(AND(ISNUMBER($BO$303),$B$252=1),$BO$303,HLOOKUP(INDIRECT(ADDRESS(2,COLUMN())),OFFSET($CL$2,0,0,ROW()-1,84),ROW()-1,FALSE))</f>
        <v/>
      </c>
      <c r="BP60" t="str">
        <f ca="1">IF(AND(ISNUMBER($BP$303),$B$252=1),$BP$303,HLOOKUP(INDIRECT(ADDRESS(2,COLUMN())),OFFSET($CL$2,0,0,ROW()-1,84),ROW()-1,FALSE))</f>
        <v/>
      </c>
      <c r="BQ60" t="str">
        <f ca="1">IF(AND(ISNUMBER($BQ$303),$B$252=1),$BQ$303,HLOOKUP(INDIRECT(ADDRESS(2,COLUMN())),OFFSET($CL$2,0,0,ROW()-1,84),ROW()-1,FALSE))</f>
        <v/>
      </c>
      <c r="BR60" t="str">
        <f ca="1">IF(AND(ISNUMBER($BR$303),$B$252=1),$BR$303,HLOOKUP(INDIRECT(ADDRESS(2,COLUMN())),OFFSET($CL$2,0,0,ROW()-1,84),ROW()-1,FALSE))</f>
        <v/>
      </c>
      <c r="BS60" t="str">
        <f ca="1">IF(AND(ISNUMBER($BS$303),$B$252=1),$BS$303,HLOOKUP(INDIRECT(ADDRESS(2,COLUMN())),OFFSET($CL$2,0,0,ROW()-1,84),ROW()-1,FALSE))</f>
        <v/>
      </c>
      <c r="BT60" t="str">
        <f ca="1">IF(AND(ISNUMBER($BT$303),$B$252=1),$BT$303,HLOOKUP(INDIRECT(ADDRESS(2,COLUMN())),OFFSET($CL$2,0,0,ROW()-1,84),ROW()-1,FALSE))</f>
        <v/>
      </c>
      <c r="BU60" t="str">
        <f ca="1">IF(AND(ISNUMBER($BU$303),$B$252=1),$BU$303,HLOOKUP(INDIRECT(ADDRESS(2,COLUMN())),OFFSET($CL$2,0,0,ROW()-1,84),ROW()-1,FALSE))</f>
        <v/>
      </c>
      <c r="BV60" t="str">
        <f ca="1">IF(AND(ISNUMBER($BV$303),$B$252=1),$BV$303,HLOOKUP(INDIRECT(ADDRESS(2,COLUMN())),OFFSET($CL$2,0,0,ROW()-1,84),ROW()-1,FALSE))</f>
        <v/>
      </c>
      <c r="BW60" t="str">
        <f ca="1">IF(AND(ISNUMBER($BW$303),$B$252=1),$BW$303,HLOOKUP(INDIRECT(ADDRESS(2,COLUMN())),OFFSET($CL$2,0,0,ROW()-1,84),ROW()-1,FALSE))</f>
        <v/>
      </c>
      <c r="BX60" t="str">
        <f ca="1">IF(AND(ISNUMBER($BX$303),$B$252=1),$BX$303,HLOOKUP(INDIRECT(ADDRESS(2,COLUMN())),OFFSET($CL$2,0,0,ROW()-1,84),ROW()-1,FALSE))</f>
        <v/>
      </c>
      <c r="BY60" t="str">
        <f ca="1">IF(AND(ISNUMBER($BY$303),$B$252=1),$BY$303,HLOOKUP(INDIRECT(ADDRESS(2,COLUMN())),OFFSET($CL$2,0,0,ROW()-1,84),ROW()-1,FALSE))</f>
        <v/>
      </c>
      <c r="BZ60" t="str">
        <f ca="1">IF(AND(ISNUMBER($BZ$303),$B$252=1),$BZ$303,HLOOKUP(INDIRECT(ADDRESS(2,COLUMN())),OFFSET($CL$2,0,0,ROW()-1,84),ROW()-1,FALSE))</f>
        <v/>
      </c>
      <c r="CA60" t="str">
        <f ca="1">IF(AND(ISNUMBER($CA$303),$B$252=1),$CA$303,HLOOKUP(INDIRECT(ADDRESS(2,COLUMN())),OFFSET($CL$2,0,0,ROW()-1,84),ROW()-1,FALSE))</f>
        <v/>
      </c>
      <c r="CB60" t="str">
        <f ca="1">IF(AND(ISNUMBER($CB$303),$B$252=1),$CB$303,HLOOKUP(INDIRECT(ADDRESS(2,COLUMN())),OFFSET($CL$2,0,0,ROW()-1,84),ROW()-1,FALSE))</f>
        <v/>
      </c>
      <c r="CC60" t="str">
        <f ca="1">IF(AND(ISNUMBER($CC$303),$B$252=1),$CC$303,HLOOKUP(INDIRECT(ADDRESS(2,COLUMN())),OFFSET($CL$2,0,0,ROW()-1,84),ROW()-1,FALSE))</f>
        <v/>
      </c>
      <c r="CD60" t="str">
        <f ca="1">IF(AND(ISNUMBER($CD$303),$B$252=1),$CD$303,HLOOKUP(INDIRECT(ADDRESS(2,COLUMN())),OFFSET($CL$2,0,0,ROW()-1,84),ROW()-1,FALSE))</f>
        <v/>
      </c>
      <c r="CE60" t="str">
        <f ca="1">IF(AND(ISNUMBER($CE$303),$B$252=1),$CE$303,HLOOKUP(INDIRECT(ADDRESS(2,COLUMN())),OFFSET($CL$2,0,0,ROW()-1,84),ROW()-1,FALSE))</f>
        <v/>
      </c>
      <c r="CF60" t="str">
        <f ca="1">IF(AND(ISNUMBER($CF$303),$B$252=1),$CF$303,HLOOKUP(INDIRECT(ADDRESS(2,COLUMN())),OFFSET($CL$2,0,0,ROW()-1,84),ROW()-1,FALSE))</f>
        <v/>
      </c>
      <c r="CG60" t="str">
        <f ca="1">IF(AND(ISNUMBER($CG$303),$B$252=1),$CG$303,HLOOKUP(INDIRECT(ADDRESS(2,COLUMN())),OFFSET($CL$2,0,0,ROW()-1,84),ROW()-1,FALSE))</f>
        <v/>
      </c>
      <c r="CH60" t="str">
        <f ca="1">IF(AND(ISNUMBER($CH$303),$B$252=1),$CH$303,HLOOKUP(INDIRECT(ADDRESS(2,COLUMN())),OFFSET($CL$2,0,0,ROW()-1,84),ROW()-1,FALSE))</f>
        <v/>
      </c>
      <c r="CI60" t="str">
        <f ca="1">IF(AND(ISNUMBER($CI$303),$B$252=1),$CI$303,HLOOKUP(INDIRECT(ADDRESS(2,COLUMN())),OFFSET($CL$2,0,0,ROW()-1,84),ROW()-1,FALSE))</f>
        <v/>
      </c>
      <c r="CJ60" t="str">
        <f ca="1">IF(AND(ISNUMBER($CJ$303),$B$252=1),$CJ$303,HLOOKUP(INDIRECT(ADDRESS(2,COLUMN())),OFFSET($CL$2,0,0,ROW()-1,84),ROW()-1,FALSE))</f>
        <v/>
      </c>
      <c r="CK60" t="str">
        <f ca="1">IF(AND(ISNUMBER($CK$303),$B$252=1),$CK$303,HLOOKUP(INDIRECT(ADDRESS(2,COLUMN())),OFFSET($CL$2,0,0,ROW()-1,84),ROW()-1,FALSE))</f>
        <v/>
      </c>
      <c r="CL60">
        <f>2.494</f>
        <v>2.4940000000000002</v>
      </c>
      <c r="CM60">
        <f>2.506</f>
        <v>2.5059999999999998</v>
      </c>
      <c r="CN60">
        <f>2.54</f>
        <v>2.54</v>
      </c>
      <c r="CO60">
        <f>2.542</f>
        <v>2.5419999999999998</v>
      </c>
      <c r="CP60">
        <f>2.546</f>
        <v>2.5459999999999998</v>
      </c>
      <c r="CQ60">
        <f>2.551</f>
        <v>2.5510000000000002</v>
      </c>
      <c r="CR60">
        <f>2.548</f>
        <v>2.548</v>
      </c>
      <c r="CS60">
        <f>2.551</f>
        <v>2.5510000000000002</v>
      </c>
      <c r="CT60">
        <f>2.548</f>
        <v>2.548</v>
      </c>
      <c r="CU60">
        <f>2.553</f>
        <v>2.5529999999999999</v>
      </c>
      <c r="CV60">
        <f>2.558</f>
        <v>2.5579999999999998</v>
      </c>
      <c r="CW60">
        <f>2.574</f>
        <v>2.5739999999999998</v>
      </c>
      <c r="CX60">
        <f>2.574</f>
        <v>2.5739999999999998</v>
      </c>
      <c r="CY60">
        <f>2.574</f>
        <v>2.5739999999999998</v>
      </c>
      <c r="CZ60">
        <f>2.585</f>
        <v>2.585</v>
      </c>
      <c r="DA60">
        <f>2.577</f>
        <v>2.577</v>
      </c>
      <c r="DB60">
        <f>2.596</f>
        <v>2.5960000000000001</v>
      </c>
      <c r="DC60">
        <f>2.626</f>
        <v>2.6259999999999999</v>
      </c>
      <c r="DD60" t="str">
        <f>""</f>
        <v/>
      </c>
      <c r="DE60">
        <f>2.666</f>
        <v>2.6659999999999999</v>
      </c>
      <c r="DF60">
        <f>2.625</f>
        <v>2.625</v>
      </c>
      <c r="DG60">
        <f>2.623</f>
        <v>2.6230000000000002</v>
      </c>
      <c r="DH60">
        <f>2.623</f>
        <v>2.6230000000000002</v>
      </c>
      <c r="DI60" t="str">
        <f>""</f>
        <v/>
      </c>
      <c r="DJ60">
        <f>2.587</f>
        <v>2.5870000000000002</v>
      </c>
      <c r="DK60">
        <f>2.563</f>
        <v>2.5630000000000002</v>
      </c>
      <c r="DL60" t="str">
        <f>""</f>
        <v/>
      </c>
      <c r="DM60" t="str">
        <f>""</f>
        <v/>
      </c>
      <c r="DN60" t="str">
        <f>""</f>
        <v/>
      </c>
      <c r="DO60" t="str">
        <f>""</f>
        <v/>
      </c>
      <c r="DP60" t="str">
        <f>""</f>
        <v/>
      </c>
      <c r="DQ60">
        <f>2.77</f>
        <v>2.77</v>
      </c>
      <c r="DR60">
        <f>2.71</f>
        <v>2.71</v>
      </c>
      <c r="DS60" t="str">
        <f>""</f>
        <v/>
      </c>
      <c r="DT60" t="str">
        <f>""</f>
        <v/>
      </c>
      <c r="DU60" t="str">
        <f>""</f>
        <v/>
      </c>
      <c r="DV60" t="str">
        <f>""</f>
        <v/>
      </c>
      <c r="DW60" t="str">
        <f>""</f>
        <v/>
      </c>
      <c r="DX60" t="str">
        <f>""</f>
        <v/>
      </c>
      <c r="DY60" t="str">
        <f>""</f>
        <v/>
      </c>
      <c r="DZ60" t="str">
        <f>""</f>
        <v/>
      </c>
      <c r="EA60" t="str">
        <f>""</f>
        <v/>
      </c>
      <c r="EB60" t="str">
        <f>""</f>
        <v/>
      </c>
      <c r="EC60" t="str">
        <f>""</f>
        <v/>
      </c>
      <c r="ED60" t="str">
        <f>""</f>
        <v/>
      </c>
      <c r="EE60" t="str">
        <f>""</f>
        <v/>
      </c>
      <c r="EF60" t="str">
        <f>""</f>
        <v/>
      </c>
      <c r="EG60" t="str">
        <f>""</f>
        <v/>
      </c>
      <c r="EH60" t="str">
        <f>""</f>
        <v/>
      </c>
      <c r="EI60" t="str">
        <f>""</f>
        <v/>
      </c>
      <c r="EJ60" t="str">
        <f>""</f>
        <v/>
      </c>
      <c r="EK60" t="str">
        <f>""</f>
        <v/>
      </c>
      <c r="EL60" t="str">
        <f>""</f>
        <v/>
      </c>
      <c r="EM60" t="str">
        <f>""</f>
        <v/>
      </c>
      <c r="EN60" t="str">
        <f>""</f>
        <v/>
      </c>
      <c r="EO60" t="str">
        <f>""</f>
        <v/>
      </c>
      <c r="EP60" t="str">
        <f>""</f>
        <v/>
      </c>
      <c r="EQ60" t="str">
        <f>""</f>
        <v/>
      </c>
      <c r="ER60" t="str">
        <f>""</f>
        <v/>
      </c>
      <c r="ES60" t="str">
        <f>""</f>
        <v/>
      </c>
      <c r="ET60" t="str">
        <f>""</f>
        <v/>
      </c>
      <c r="EU60" t="str">
        <f>""</f>
        <v/>
      </c>
      <c r="EV60" t="str">
        <f>""</f>
        <v/>
      </c>
      <c r="EW60" t="str">
        <f>""</f>
        <v/>
      </c>
      <c r="EX60" t="str">
        <f>""</f>
        <v/>
      </c>
      <c r="EY60" t="str">
        <f>""</f>
        <v/>
      </c>
      <c r="EZ60" t="str">
        <f>""</f>
        <v/>
      </c>
      <c r="FA60" t="str">
        <f>""</f>
        <v/>
      </c>
      <c r="FB60" t="str">
        <f>""</f>
        <v/>
      </c>
      <c r="FC60" t="str">
        <f>""</f>
        <v/>
      </c>
      <c r="FD60" t="str">
        <f>""</f>
        <v/>
      </c>
      <c r="FE60" t="str">
        <f>""</f>
        <v/>
      </c>
      <c r="FF60" t="str">
        <f>""</f>
        <v/>
      </c>
      <c r="FG60" t="str">
        <f>""</f>
        <v/>
      </c>
      <c r="FH60" t="str">
        <f>""</f>
        <v/>
      </c>
      <c r="FI60" t="str">
        <f>""</f>
        <v/>
      </c>
      <c r="FJ60" t="str">
        <f>""</f>
        <v/>
      </c>
      <c r="FK60" t="str">
        <f>""</f>
        <v/>
      </c>
      <c r="FL60" t="str">
        <f>""</f>
        <v/>
      </c>
      <c r="FM60" t="str">
        <f>""</f>
        <v/>
      </c>
      <c r="FN60" t="str">
        <f>""</f>
        <v/>
      </c>
      <c r="FO60" t="str">
        <f>""</f>
        <v/>
      </c>
      <c r="FP60" t="str">
        <f>""</f>
        <v/>
      </c>
      <c r="FQ60" t="str">
        <f>""</f>
        <v/>
      </c>
    </row>
    <row r="61" spans="1:173">
      <c r="A61" t="str">
        <f>"    AvalonBay社区股份有限公司"</f>
        <v xml:space="preserve">    AvalonBay社区股份有限公司</v>
      </c>
      <c r="B61" t="str">
        <f>"AVB US Equity"</f>
        <v>AVB US Equity</v>
      </c>
      <c r="C61" t="str">
        <f t="shared" si="21"/>
        <v>BE038</v>
      </c>
      <c r="D61" t="str">
        <f t="shared" si="22"/>
        <v>BEST_FFOPS</v>
      </c>
      <c r="E61" t="str">
        <f t="shared" si="23"/>
        <v>动态</v>
      </c>
      <c r="F61">
        <f ca="1">IF(AND(ISNUMBER($F$304),$B$252=1),$F$304,HLOOKUP(INDIRECT(ADDRESS(2,COLUMN())),OFFSET($CL$2,0,0,ROW()-1,84),ROW()-1,FALSE))</f>
        <v>8.94</v>
      </c>
      <c r="G61">
        <f ca="1">IF(AND(ISNUMBER($G$304),$B$252=1),$G$304,HLOOKUP(INDIRECT(ADDRESS(2,COLUMN())),OFFSET($CL$2,0,0,ROW()-1,84),ROW()-1,FALSE))</f>
        <v>8.9480000000000004</v>
      </c>
      <c r="H61">
        <f ca="1">IF(AND(ISNUMBER($H$304),$B$252=1),$H$304,HLOOKUP(INDIRECT(ADDRESS(2,COLUMN())),OFFSET($CL$2,0,0,ROW()-1,84),ROW()-1,FALSE))</f>
        <v>9.0719999999999992</v>
      </c>
      <c r="I61">
        <f ca="1">IF(AND(ISNUMBER($I$304),$B$252=1),$I$304,HLOOKUP(INDIRECT(ADDRESS(2,COLUMN())),OFFSET($CL$2,0,0,ROW()-1,84),ROW()-1,FALSE))</f>
        <v>9.1029999999999998</v>
      </c>
      <c r="J61">
        <f ca="1">IF(AND(ISNUMBER($J$304),$B$252=1),$J$304,HLOOKUP(INDIRECT(ADDRESS(2,COLUMN())),OFFSET($CL$2,0,0,ROW()-1,84),ROW()-1,FALSE))</f>
        <v>9.09</v>
      </c>
      <c r="K61">
        <f ca="1">IF(AND(ISNUMBER($K$304),$B$252=1),$K$304,HLOOKUP(INDIRECT(ADDRESS(2,COLUMN())),OFFSET($CL$2,0,0,ROW()-1,84),ROW()-1,FALSE))</f>
        <v>9.08</v>
      </c>
      <c r="L61">
        <f ca="1">IF(AND(ISNUMBER($L$304),$B$252=1),$L$304,HLOOKUP(INDIRECT(ADDRESS(2,COLUMN())),OFFSET($CL$2,0,0,ROW()-1,84),ROW()-1,FALSE))</f>
        <v>9.0969999999999995</v>
      </c>
      <c r="M61">
        <f ca="1">IF(AND(ISNUMBER($M$304),$B$252=1),$M$304,HLOOKUP(INDIRECT(ADDRESS(2,COLUMN())),OFFSET($CL$2,0,0,ROW()-1,84),ROW()-1,FALSE))</f>
        <v>9.1</v>
      </c>
      <c r="N61">
        <f ca="1">IF(AND(ISNUMBER($N$304),$B$252=1),$N$304,HLOOKUP(INDIRECT(ADDRESS(2,COLUMN())),OFFSET($CL$2,0,0,ROW()-1,84),ROW()-1,FALSE))</f>
        <v>9.1969999999999992</v>
      </c>
      <c r="O61">
        <f ca="1">IF(AND(ISNUMBER($O$304),$B$252=1),$O$304,HLOOKUP(INDIRECT(ADDRESS(2,COLUMN())),OFFSET($CL$2,0,0,ROW()-1,84),ROW()-1,FALSE))</f>
        <v>9.1920000000000002</v>
      </c>
      <c r="P61">
        <f ca="1">IF(AND(ISNUMBER($P$304),$B$252=1),$P$304,HLOOKUP(INDIRECT(ADDRESS(2,COLUMN())),OFFSET($CL$2,0,0,ROW()-1,84),ROW()-1,FALSE))</f>
        <v>9.1820000000000004</v>
      </c>
      <c r="Q61">
        <f ca="1">IF(AND(ISNUMBER($Q$304),$B$252=1),$Q$304,HLOOKUP(INDIRECT(ADDRESS(2,COLUMN())),OFFSET($CL$2,0,0,ROW()-1,84),ROW()-1,FALSE))</f>
        <v>9.1940000000000008</v>
      </c>
      <c r="R61">
        <f ca="1">IF(AND(ISNUMBER($R$304),$B$252=1),$R$304,HLOOKUP(INDIRECT(ADDRESS(2,COLUMN())),OFFSET($CL$2,0,0,ROW()-1,84),ROW()-1,FALSE))</f>
        <v>9.1880000000000006</v>
      </c>
      <c r="S61">
        <f ca="1">IF(AND(ISNUMBER($S$304),$B$252=1),$S$304,HLOOKUP(INDIRECT(ADDRESS(2,COLUMN())),OFFSET($CL$2,0,0,ROW()-1,84),ROW()-1,FALSE))</f>
        <v>9.1859999999999999</v>
      </c>
      <c r="T61">
        <f ca="1">IF(AND(ISNUMBER($T$304),$B$252=1),$T$304,HLOOKUP(INDIRECT(ADDRESS(2,COLUMN())),OFFSET($CL$2,0,0,ROW()-1,84),ROW()-1,FALSE))</f>
        <v>9.2230000000000008</v>
      </c>
      <c r="U61">
        <f ca="1">IF(AND(ISNUMBER($U$304),$B$252=1),$U$304,HLOOKUP(INDIRECT(ADDRESS(2,COLUMN())),OFFSET($CL$2,0,0,ROW()-1,84),ROW()-1,FALSE))</f>
        <v>9.1940000000000008</v>
      </c>
      <c r="V61">
        <f ca="1">IF(AND(ISNUMBER($V$304),$B$252=1),$V$304,HLOOKUP(INDIRECT(ADDRESS(2,COLUMN())),OFFSET($CL$2,0,0,ROW()-1,84),ROW()-1,FALSE))</f>
        <v>9.2669999999999995</v>
      </c>
      <c r="W61">
        <f ca="1">IF(AND(ISNUMBER($W$304),$B$252=1),$W$304,HLOOKUP(INDIRECT(ADDRESS(2,COLUMN())),OFFSET($CL$2,0,0,ROW()-1,84),ROW()-1,FALSE))</f>
        <v>9.2590000000000003</v>
      </c>
      <c r="X61">
        <f ca="1">IF(AND(ISNUMBER($X$304),$B$252=1),$X$304,HLOOKUP(INDIRECT(ADDRESS(2,COLUMN())),OFFSET($CL$2,0,0,ROW()-1,84),ROW()-1,FALSE))</f>
        <v>9.4670000000000005</v>
      </c>
      <c r="Y61">
        <f ca="1">IF(AND(ISNUMBER($Y$304),$B$252=1),$Y$304,HLOOKUP(INDIRECT(ADDRESS(2,COLUMN())),OFFSET($CL$2,0,0,ROW()-1,84),ROW()-1,FALSE))</f>
        <v>9.4629999999999992</v>
      </c>
      <c r="Z61">
        <f ca="1">IF(AND(ISNUMBER($Z$304),$B$252=1),$Z$304,HLOOKUP(INDIRECT(ADDRESS(2,COLUMN())),OFFSET($CL$2,0,0,ROW()-1,84),ROW()-1,FALSE))</f>
        <v>9.5830000000000002</v>
      </c>
      <c r="AA61">
        <f ca="1">IF(AND(ISNUMBER($AA$304),$B$252=1),$AA$304,HLOOKUP(INDIRECT(ADDRESS(2,COLUMN())),OFFSET($CL$2,0,0,ROW()-1,84),ROW()-1,FALSE))</f>
        <v>9.625</v>
      </c>
      <c r="AB61">
        <f ca="1">IF(AND(ISNUMBER($AB$304),$B$252=1),$AB$304,HLOOKUP(INDIRECT(ADDRESS(2,COLUMN())),OFFSET($CL$2,0,0,ROW()-1,84),ROW()-1,FALSE))</f>
        <v>9.64</v>
      </c>
      <c r="AC61">
        <f ca="1">IF(AND(ISNUMBER($AC$304),$B$252=1),$AC$304,HLOOKUP(INDIRECT(ADDRESS(2,COLUMN())),OFFSET($CL$2,0,0,ROW()-1,84),ROW()-1,FALSE))</f>
        <v>9.67</v>
      </c>
      <c r="AD61">
        <f ca="1">IF(AND(ISNUMBER($AD$304),$B$252=1),$AD$304,HLOOKUP(INDIRECT(ADDRESS(2,COLUMN())),OFFSET($CL$2,0,0,ROW()-1,84),ROW()-1,FALSE))</f>
        <v>9.7129999999999992</v>
      </c>
      <c r="AE61">
        <f ca="1">IF(AND(ISNUMBER($AE$304),$B$252=1),$AE$304,HLOOKUP(INDIRECT(ADDRESS(2,COLUMN())),OFFSET($CL$2,0,0,ROW()-1,84),ROW()-1,FALSE))</f>
        <v>9.6999999999999993</v>
      </c>
      <c r="AF61" t="str">
        <f ca="1">IF(AND(ISNUMBER($AF$304),$B$252=1),$AF$304,HLOOKUP(INDIRECT(ADDRESS(2,COLUMN())),OFFSET($CL$2,0,0,ROW()-1,84),ROW()-1,FALSE))</f>
        <v/>
      </c>
      <c r="AG61" t="str">
        <f ca="1">IF(AND(ISNUMBER($AG$304),$B$252=1),$AG$304,HLOOKUP(INDIRECT(ADDRESS(2,COLUMN())),OFFSET($CL$2,0,0,ROW()-1,84),ROW()-1,FALSE))</f>
        <v/>
      </c>
      <c r="AH61">
        <f ca="1">IF(AND(ISNUMBER($AH$304),$B$252=1),$AH$304,HLOOKUP(INDIRECT(ADDRESS(2,COLUMN())),OFFSET($CL$2,0,0,ROW()-1,84),ROW()-1,FALSE))</f>
        <v>9.9700000000000006</v>
      </c>
      <c r="AI61" t="str">
        <f ca="1">IF(AND(ISNUMBER($AI$304),$B$252=1),$AI$304,HLOOKUP(INDIRECT(ADDRESS(2,COLUMN())),OFFSET($CL$2,0,0,ROW()-1,84),ROW()-1,FALSE))</f>
        <v/>
      </c>
      <c r="AJ61" t="str">
        <f ca="1">IF(AND(ISNUMBER($AJ$304),$B$252=1),$AJ$304,HLOOKUP(INDIRECT(ADDRESS(2,COLUMN())),OFFSET($CL$2,0,0,ROW()-1,84),ROW()-1,FALSE))</f>
        <v/>
      </c>
      <c r="AK61">
        <f ca="1">IF(AND(ISNUMBER($AK$304),$B$252=1),$AK$304,HLOOKUP(INDIRECT(ADDRESS(2,COLUMN())),OFFSET($CL$2,0,0,ROW()-1,84),ROW()-1,FALSE))</f>
        <v>10.08</v>
      </c>
      <c r="AL61">
        <f ca="1">IF(AND(ISNUMBER($AL$304),$B$252=1),$AL$304,HLOOKUP(INDIRECT(ADDRESS(2,COLUMN())),OFFSET($CL$2,0,0,ROW()-1,84),ROW()-1,FALSE))</f>
        <v>9.68</v>
      </c>
      <c r="AM61" t="str">
        <f ca="1">IF(AND(ISNUMBER($AM$304),$B$252=1),$AM$304,HLOOKUP(INDIRECT(ADDRESS(2,COLUMN())),OFFSET($CL$2,0,0,ROW()-1,84),ROW()-1,FALSE))</f>
        <v/>
      </c>
      <c r="AN61" t="str">
        <f ca="1">IF(AND(ISNUMBER($AN$304),$B$252=1),$AN$304,HLOOKUP(INDIRECT(ADDRESS(2,COLUMN())),OFFSET($CL$2,0,0,ROW()-1,84),ROW()-1,FALSE))</f>
        <v/>
      </c>
      <c r="AO61" t="str">
        <f ca="1">IF(AND(ISNUMBER($AO$304),$B$252=1),$AO$304,HLOOKUP(INDIRECT(ADDRESS(2,COLUMN())),OFFSET($CL$2,0,0,ROW()-1,84),ROW()-1,FALSE))</f>
        <v/>
      </c>
      <c r="AP61" t="str">
        <f ca="1">IF(AND(ISNUMBER($AP$304),$B$252=1),$AP$304,HLOOKUP(INDIRECT(ADDRESS(2,COLUMN())),OFFSET($CL$2,0,0,ROW()-1,84),ROW()-1,FALSE))</f>
        <v/>
      </c>
      <c r="AQ61" t="str">
        <f ca="1">IF(AND(ISNUMBER($AQ$304),$B$252=1),$AQ$304,HLOOKUP(INDIRECT(ADDRESS(2,COLUMN())),OFFSET($CL$2,0,0,ROW()-1,84),ROW()-1,FALSE))</f>
        <v/>
      </c>
      <c r="AR61" t="str">
        <f ca="1">IF(AND(ISNUMBER($AR$304),$B$252=1),$AR$304,HLOOKUP(INDIRECT(ADDRESS(2,COLUMN())),OFFSET($CL$2,0,0,ROW()-1,84),ROW()-1,FALSE))</f>
        <v/>
      </c>
      <c r="AS61" t="str">
        <f ca="1">IF(AND(ISNUMBER($AS$304),$B$252=1),$AS$304,HLOOKUP(INDIRECT(ADDRESS(2,COLUMN())),OFFSET($CL$2,0,0,ROW()-1,84),ROW()-1,FALSE))</f>
        <v/>
      </c>
      <c r="AT61" t="str">
        <f ca="1">IF(AND(ISNUMBER($AT$304),$B$252=1),$AT$304,HLOOKUP(INDIRECT(ADDRESS(2,COLUMN())),OFFSET($CL$2,0,0,ROW()-1,84),ROW()-1,FALSE))</f>
        <v/>
      </c>
      <c r="AU61" t="str">
        <f ca="1">IF(AND(ISNUMBER($AU$304),$B$252=1),$AU$304,HLOOKUP(INDIRECT(ADDRESS(2,COLUMN())),OFFSET($CL$2,0,0,ROW()-1,84),ROW()-1,FALSE))</f>
        <v/>
      </c>
      <c r="AV61" t="str">
        <f ca="1">IF(AND(ISNUMBER($AV$304),$B$252=1),$AV$304,HLOOKUP(INDIRECT(ADDRESS(2,COLUMN())),OFFSET($CL$2,0,0,ROW()-1,84),ROW()-1,FALSE))</f>
        <v/>
      </c>
      <c r="AW61" t="str">
        <f ca="1">IF(AND(ISNUMBER($AW$304),$B$252=1),$AW$304,HLOOKUP(INDIRECT(ADDRESS(2,COLUMN())),OFFSET($CL$2,0,0,ROW()-1,84),ROW()-1,FALSE))</f>
        <v/>
      </c>
      <c r="AX61" t="str">
        <f ca="1">IF(AND(ISNUMBER($AX$304),$B$252=1),$AX$304,HLOOKUP(INDIRECT(ADDRESS(2,COLUMN())),OFFSET($CL$2,0,0,ROW()-1,84),ROW()-1,FALSE))</f>
        <v/>
      </c>
      <c r="AY61" t="str">
        <f ca="1">IF(AND(ISNUMBER($AY$304),$B$252=1),$AY$304,HLOOKUP(INDIRECT(ADDRESS(2,COLUMN())),OFFSET($CL$2,0,0,ROW()-1,84),ROW()-1,FALSE))</f>
        <v/>
      </c>
      <c r="AZ61" t="str">
        <f ca="1">IF(AND(ISNUMBER($AZ$304),$B$252=1),$AZ$304,HLOOKUP(INDIRECT(ADDRESS(2,COLUMN())),OFFSET($CL$2,0,0,ROW()-1,84),ROW()-1,FALSE))</f>
        <v/>
      </c>
      <c r="BA61" t="str">
        <f ca="1">IF(AND(ISNUMBER($BA$304),$B$252=1),$BA$304,HLOOKUP(INDIRECT(ADDRESS(2,COLUMN())),OFFSET($CL$2,0,0,ROW()-1,84),ROW()-1,FALSE))</f>
        <v/>
      </c>
      <c r="BB61" t="str">
        <f ca="1">IF(AND(ISNUMBER($BB$304),$B$252=1),$BB$304,HLOOKUP(INDIRECT(ADDRESS(2,COLUMN())),OFFSET($CL$2,0,0,ROW()-1,84),ROW()-1,FALSE))</f>
        <v/>
      </c>
      <c r="BC61" t="str">
        <f ca="1">IF(AND(ISNUMBER($BC$304),$B$252=1),$BC$304,HLOOKUP(INDIRECT(ADDRESS(2,COLUMN())),OFFSET($CL$2,0,0,ROW()-1,84),ROW()-1,FALSE))</f>
        <v/>
      </c>
      <c r="BD61" t="str">
        <f ca="1">IF(AND(ISNUMBER($BD$304),$B$252=1),$BD$304,HLOOKUP(INDIRECT(ADDRESS(2,COLUMN())),OFFSET($CL$2,0,0,ROW()-1,84),ROW()-1,FALSE))</f>
        <v/>
      </c>
      <c r="BE61" t="str">
        <f ca="1">IF(AND(ISNUMBER($BE$304),$B$252=1),$BE$304,HLOOKUP(INDIRECT(ADDRESS(2,COLUMN())),OFFSET($CL$2,0,0,ROW()-1,84),ROW()-1,FALSE))</f>
        <v/>
      </c>
      <c r="BF61" t="str">
        <f ca="1">IF(AND(ISNUMBER($BF$304),$B$252=1),$BF$304,HLOOKUP(INDIRECT(ADDRESS(2,COLUMN())),OFFSET($CL$2,0,0,ROW()-1,84),ROW()-1,FALSE))</f>
        <v/>
      </c>
      <c r="BG61" t="str">
        <f ca="1">IF(AND(ISNUMBER($BG$304),$B$252=1),$BG$304,HLOOKUP(INDIRECT(ADDRESS(2,COLUMN())),OFFSET($CL$2,0,0,ROW()-1,84),ROW()-1,FALSE))</f>
        <v/>
      </c>
      <c r="BH61" t="str">
        <f ca="1">IF(AND(ISNUMBER($BH$304),$B$252=1),$BH$304,HLOOKUP(INDIRECT(ADDRESS(2,COLUMN())),OFFSET($CL$2,0,0,ROW()-1,84),ROW()-1,FALSE))</f>
        <v/>
      </c>
      <c r="BI61" t="str">
        <f ca="1">IF(AND(ISNUMBER($BI$304),$B$252=1),$BI$304,HLOOKUP(INDIRECT(ADDRESS(2,COLUMN())),OFFSET($CL$2,0,0,ROW()-1,84),ROW()-1,FALSE))</f>
        <v/>
      </c>
      <c r="BJ61" t="str">
        <f ca="1">IF(AND(ISNUMBER($BJ$304),$B$252=1),$BJ$304,HLOOKUP(INDIRECT(ADDRESS(2,COLUMN())),OFFSET($CL$2,0,0,ROW()-1,84),ROW()-1,FALSE))</f>
        <v/>
      </c>
      <c r="BK61" t="str">
        <f ca="1">IF(AND(ISNUMBER($BK$304),$B$252=1),$BK$304,HLOOKUP(INDIRECT(ADDRESS(2,COLUMN())),OFFSET($CL$2,0,0,ROW()-1,84),ROW()-1,FALSE))</f>
        <v/>
      </c>
      <c r="BL61" t="str">
        <f ca="1">IF(AND(ISNUMBER($BL$304),$B$252=1),$BL$304,HLOOKUP(INDIRECT(ADDRESS(2,COLUMN())),OFFSET($CL$2,0,0,ROW()-1,84),ROW()-1,FALSE))</f>
        <v/>
      </c>
      <c r="BM61" t="str">
        <f ca="1">IF(AND(ISNUMBER($BM$304),$B$252=1),$BM$304,HLOOKUP(INDIRECT(ADDRESS(2,COLUMN())),OFFSET($CL$2,0,0,ROW()-1,84),ROW()-1,FALSE))</f>
        <v/>
      </c>
      <c r="BN61" t="str">
        <f ca="1">IF(AND(ISNUMBER($BN$304),$B$252=1),$BN$304,HLOOKUP(INDIRECT(ADDRESS(2,COLUMN())),OFFSET($CL$2,0,0,ROW()-1,84),ROW()-1,FALSE))</f>
        <v/>
      </c>
      <c r="BO61" t="str">
        <f ca="1">IF(AND(ISNUMBER($BO$304),$B$252=1),$BO$304,HLOOKUP(INDIRECT(ADDRESS(2,COLUMN())),OFFSET($CL$2,0,0,ROW()-1,84),ROW()-1,FALSE))</f>
        <v/>
      </c>
      <c r="BP61" t="str">
        <f ca="1">IF(AND(ISNUMBER($BP$304),$B$252=1),$BP$304,HLOOKUP(INDIRECT(ADDRESS(2,COLUMN())),OFFSET($CL$2,0,0,ROW()-1,84),ROW()-1,FALSE))</f>
        <v/>
      </c>
      <c r="BQ61" t="str">
        <f ca="1">IF(AND(ISNUMBER($BQ$304),$B$252=1),$BQ$304,HLOOKUP(INDIRECT(ADDRESS(2,COLUMN())),OFFSET($CL$2,0,0,ROW()-1,84),ROW()-1,FALSE))</f>
        <v/>
      </c>
      <c r="BR61" t="str">
        <f ca="1">IF(AND(ISNUMBER($BR$304),$B$252=1),$BR$304,HLOOKUP(INDIRECT(ADDRESS(2,COLUMN())),OFFSET($CL$2,0,0,ROW()-1,84),ROW()-1,FALSE))</f>
        <v/>
      </c>
      <c r="BS61" t="str">
        <f ca="1">IF(AND(ISNUMBER($BS$304),$B$252=1),$BS$304,HLOOKUP(INDIRECT(ADDRESS(2,COLUMN())),OFFSET($CL$2,0,0,ROW()-1,84),ROW()-1,FALSE))</f>
        <v/>
      </c>
      <c r="BT61" t="str">
        <f ca="1">IF(AND(ISNUMBER($BT$304),$B$252=1),$BT$304,HLOOKUP(INDIRECT(ADDRESS(2,COLUMN())),OFFSET($CL$2,0,0,ROW()-1,84),ROW()-1,FALSE))</f>
        <v/>
      </c>
      <c r="BU61" t="str">
        <f ca="1">IF(AND(ISNUMBER($BU$304),$B$252=1),$BU$304,HLOOKUP(INDIRECT(ADDRESS(2,COLUMN())),OFFSET($CL$2,0,0,ROW()-1,84),ROW()-1,FALSE))</f>
        <v/>
      </c>
      <c r="BV61" t="str">
        <f ca="1">IF(AND(ISNUMBER($BV$304),$B$252=1),$BV$304,HLOOKUP(INDIRECT(ADDRESS(2,COLUMN())),OFFSET($CL$2,0,0,ROW()-1,84),ROW()-1,FALSE))</f>
        <v/>
      </c>
      <c r="BW61" t="str">
        <f ca="1">IF(AND(ISNUMBER($BW$304),$B$252=1),$BW$304,HLOOKUP(INDIRECT(ADDRESS(2,COLUMN())),OFFSET($CL$2,0,0,ROW()-1,84),ROW()-1,FALSE))</f>
        <v/>
      </c>
      <c r="BX61" t="str">
        <f ca="1">IF(AND(ISNUMBER($BX$304),$B$252=1),$BX$304,HLOOKUP(INDIRECT(ADDRESS(2,COLUMN())),OFFSET($CL$2,0,0,ROW()-1,84),ROW()-1,FALSE))</f>
        <v/>
      </c>
      <c r="BY61" t="str">
        <f ca="1">IF(AND(ISNUMBER($BY$304),$B$252=1),$BY$304,HLOOKUP(INDIRECT(ADDRESS(2,COLUMN())),OFFSET($CL$2,0,0,ROW()-1,84),ROW()-1,FALSE))</f>
        <v/>
      </c>
      <c r="BZ61" t="str">
        <f ca="1">IF(AND(ISNUMBER($BZ$304),$B$252=1),$BZ$304,HLOOKUP(INDIRECT(ADDRESS(2,COLUMN())),OFFSET($CL$2,0,0,ROW()-1,84),ROW()-1,FALSE))</f>
        <v/>
      </c>
      <c r="CA61" t="str">
        <f ca="1">IF(AND(ISNUMBER($CA$304),$B$252=1),$CA$304,HLOOKUP(INDIRECT(ADDRESS(2,COLUMN())),OFFSET($CL$2,0,0,ROW()-1,84),ROW()-1,FALSE))</f>
        <v/>
      </c>
      <c r="CB61" t="str">
        <f ca="1">IF(AND(ISNUMBER($CB$304),$B$252=1),$CB$304,HLOOKUP(INDIRECT(ADDRESS(2,COLUMN())),OFFSET($CL$2,0,0,ROW()-1,84),ROW()-1,FALSE))</f>
        <v/>
      </c>
      <c r="CC61" t="str">
        <f ca="1">IF(AND(ISNUMBER($CC$304),$B$252=1),$CC$304,HLOOKUP(INDIRECT(ADDRESS(2,COLUMN())),OFFSET($CL$2,0,0,ROW()-1,84),ROW()-1,FALSE))</f>
        <v/>
      </c>
      <c r="CD61" t="str">
        <f ca="1">IF(AND(ISNUMBER($CD$304),$B$252=1),$CD$304,HLOOKUP(INDIRECT(ADDRESS(2,COLUMN())),OFFSET($CL$2,0,0,ROW()-1,84),ROW()-1,FALSE))</f>
        <v/>
      </c>
      <c r="CE61" t="str">
        <f ca="1">IF(AND(ISNUMBER($CE$304),$B$252=1),$CE$304,HLOOKUP(INDIRECT(ADDRESS(2,COLUMN())),OFFSET($CL$2,0,0,ROW()-1,84),ROW()-1,FALSE))</f>
        <v/>
      </c>
      <c r="CF61" t="str">
        <f ca="1">IF(AND(ISNUMBER($CF$304),$B$252=1),$CF$304,HLOOKUP(INDIRECT(ADDRESS(2,COLUMN())),OFFSET($CL$2,0,0,ROW()-1,84),ROW()-1,FALSE))</f>
        <v/>
      </c>
      <c r="CG61" t="str">
        <f ca="1">IF(AND(ISNUMBER($CG$304),$B$252=1),$CG$304,HLOOKUP(INDIRECT(ADDRESS(2,COLUMN())),OFFSET($CL$2,0,0,ROW()-1,84),ROW()-1,FALSE))</f>
        <v/>
      </c>
      <c r="CH61" t="str">
        <f ca="1">IF(AND(ISNUMBER($CH$304),$B$252=1),$CH$304,HLOOKUP(INDIRECT(ADDRESS(2,COLUMN())),OFFSET($CL$2,0,0,ROW()-1,84),ROW()-1,FALSE))</f>
        <v/>
      </c>
      <c r="CI61" t="str">
        <f ca="1">IF(AND(ISNUMBER($CI$304),$B$252=1),$CI$304,HLOOKUP(INDIRECT(ADDRESS(2,COLUMN())),OFFSET($CL$2,0,0,ROW()-1,84),ROW()-1,FALSE))</f>
        <v/>
      </c>
      <c r="CJ61" t="str">
        <f ca="1">IF(AND(ISNUMBER($CJ$304),$B$252=1),$CJ$304,HLOOKUP(INDIRECT(ADDRESS(2,COLUMN())),OFFSET($CL$2,0,0,ROW()-1,84),ROW()-1,FALSE))</f>
        <v/>
      </c>
      <c r="CK61" t="str">
        <f ca="1">IF(AND(ISNUMBER($CK$304),$B$252=1),$CK$304,HLOOKUP(INDIRECT(ADDRESS(2,COLUMN())),OFFSET($CL$2,0,0,ROW()-1,84),ROW()-1,FALSE))</f>
        <v/>
      </c>
      <c r="CL61">
        <f>8.94</f>
        <v>8.94</v>
      </c>
      <c r="CM61">
        <f>8.948</f>
        <v>8.9480000000000004</v>
      </c>
      <c r="CN61">
        <f>9.072</f>
        <v>9.0719999999999992</v>
      </c>
      <c r="CO61">
        <f>9.103</f>
        <v>9.1029999999999998</v>
      </c>
      <c r="CP61">
        <f>9.09</f>
        <v>9.09</v>
      </c>
      <c r="CQ61">
        <f>9.08</f>
        <v>9.08</v>
      </c>
      <c r="CR61">
        <f>9.097</f>
        <v>9.0969999999999995</v>
      </c>
      <c r="CS61">
        <f>9.1</f>
        <v>9.1</v>
      </c>
      <c r="CT61">
        <f>9.197</f>
        <v>9.1969999999999992</v>
      </c>
      <c r="CU61">
        <f>9.192</f>
        <v>9.1920000000000002</v>
      </c>
      <c r="CV61">
        <f>9.182</f>
        <v>9.1820000000000004</v>
      </c>
      <c r="CW61">
        <f>9.194</f>
        <v>9.1940000000000008</v>
      </c>
      <c r="CX61">
        <f>9.188</f>
        <v>9.1880000000000006</v>
      </c>
      <c r="CY61">
        <f>9.186</f>
        <v>9.1859999999999999</v>
      </c>
      <c r="CZ61">
        <f>9.223</f>
        <v>9.2230000000000008</v>
      </c>
      <c r="DA61">
        <f>9.194</f>
        <v>9.1940000000000008</v>
      </c>
      <c r="DB61">
        <f>9.267</f>
        <v>9.2669999999999995</v>
      </c>
      <c r="DC61">
        <f>9.259</f>
        <v>9.2590000000000003</v>
      </c>
      <c r="DD61">
        <f>9.467</f>
        <v>9.4670000000000005</v>
      </c>
      <c r="DE61">
        <f>9.463</f>
        <v>9.4629999999999992</v>
      </c>
      <c r="DF61">
        <f>9.583</f>
        <v>9.5830000000000002</v>
      </c>
      <c r="DG61">
        <f>9.625</f>
        <v>9.625</v>
      </c>
      <c r="DH61">
        <f>9.64</f>
        <v>9.64</v>
      </c>
      <c r="DI61">
        <f>9.67</f>
        <v>9.67</v>
      </c>
      <c r="DJ61">
        <f>9.713</f>
        <v>9.7129999999999992</v>
      </c>
      <c r="DK61">
        <f>9.7</f>
        <v>9.6999999999999993</v>
      </c>
      <c r="DL61" t="str">
        <f>""</f>
        <v/>
      </c>
      <c r="DM61" t="str">
        <f>""</f>
        <v/>
      </c>
      <c r="DN61">
        <f>9.97</f>
        <v>9.9700000000000006</v>
      </c>
      <c r="DO61" t="str">
        <f>""</f>
        <v/>
      </c>
      <c r="DP61" t="str">
        <f>""</f>
        <v/>
      </c>
      <c r="DQ61">
        <f>10.08</f>
        <v>10.08</v>
      </c>
      <c r="DR61">
        <f>9.68</f>
        <v>9.68</v>
      </c>
      <c r="DS61" t="str">
        <f>""</f>
        <v/>
      </c>
      <c r="DT61" t="str">
        <f>""</f>
        <v/>
      </c>
      <c r="DU61" t="str">
        <f>""</f>
        <v/>
      </c>
      <c r="DV61" t="str">
        <f>""</f>
        <v/>
      </c>
      <c r="DW61" t="str">
        <f>""</f>
        <v/>
      </c>
      <c r="DX61" t="str">
        <f>""</f>
        <v/>
      </c>
      <c r="DY61" t="str">
        <f>""</f>
        <v/>
      </c>
      <c r="DZ61" t="str">
        <f>""</f>
        <v/>
      </c>
      <c r="EA61" t="str">
        <f>""</f>
        <v/>
      </c>
      <c r="EB61" t="str">
        <f>""</f>
        <v/>
      </c>
      <c r="EC61" t="str">
        <f>""</f>
        <v/>
      </c>
      <c r="ED61" t="str">
        <f>""</f>
        <v/>
      </c>
      <c r="EE61" t="str">
        <f>""</f>
        <v/>
      </c>
      <c r="EF61" t="str">
        <f>""</f>
        <v/>
      </c>
      <c r="EG61" t="str">
        <f>""</f>
        <v/>
      </c>
      <c r="EH61" t="str">
        <f>""</f>
        <v/>
      </c>
      <c r="EI61" t="str">
        <f>""</f>
        <v/>
      </c>
      <c r="EJ61" t="str">
        <f>""</f>
        <v/>
      </c>
      <c r="EK61" t="str">
        <f>""</f>
        <v/>
      </c>
      <c r="EL61" t="str">
        <f>""</f>
        <v/>
      </c>
      <c r="EM61" t="str">
        <f>""</f>
        <v/>
      </c>
      <c r="EN61" t="str">
        <f>""</f>
        <v/>
      </c>
      <c r="EO61" t="str">
        <f>""</f>
        <v/>
      </c>
      <c r="EP61" t="str">
        <f>""</f>
        <v/>
      </c>
      <c r="EQ61" t="str">
        <f>""</f>
        <v/>
      </c>
      <c r="ER61" t="str">
        <f>""</f>
        <v/>
      </c>
      <c r="ES61" t="str">
        <f>""</f>
        <v/>
      </c>
      <c r="ET61" t="str">
        <f>""</f>
        <v/>
      </c>
      <c r="EU61" t="str">
        <f>""</f>
        <v/>
      </c>
      <c r="EV61" t="str">
        <f>""</f>
        <v/>
      </c>
      <c r="EW61" t="str">
        <f>""</f>
        <v/>
      </c>
      <c r="EX61" t="str">
        <f>""</f>
        <v/>
      </c>
      <c r="EY61" t="str">
        <f>""</f>
        <v/>
      </c>
      <c r="EZ61" t="str">
        <f>""</f>
        <v/>
      </c>
      <c r="FA61" t="str">
        <f>""</f>
        <v/>
      </c>
      <c r="FB61" t="str">
        <f>""</f>
        <v/>
      </c>
      <c r="FC61" t="str">
        <f>""</f>
        <v/>
      </c>
      <c r="FD61" t="str">
        <f>""</f>
        <v/>
      </c>
      <c r="FE61" t="str">
        <f>""</f>
        <v/>
      </c>
      <c r="FF61" t="str">
        <f>""</f>
        <v/>
      </c>
      <c r="FG61" t="str">
        <f>""</f>
        <v/>
      </c>
      <c r="FH61" t="str">
        <f>""</f>
        <v/>
      </c>
      <c r="FI61" t="str">
        <f>""</f>
        <v/>
      </c>
      <c r="FJ61" t="str">
        <f>""</f>
        <v/>
      </c>
      <c r="FK61" t="str">
        <f>""</f>
        <v/>
      </c>
      <c r="FL61" t="str">
        <f>""</f>
        <v/>
      </c>
      <c r="FM61" t="str">
        <f>""</f>
        <v/>
      </c>
      <c r="FN61" t="str">
        <f>""</f>
        <v/>
      </c>
      <c r="FO61" t="str">
        <f>""</f>
        <v/>
      </c>
      <c r="FP61" t="str">
        <f>""</f>
        <v/>
      </c>
      <c r="FQ61" t="str">
        <f>""</f>
        <v/>
      </c>
    </row>
    <row r="62" spans="1:173">
      <c r="A62" t="str">
        <f>"    Camden 房地产信托公司"</f>
        <v xml:space="preserve">    Camden 房地产信托公司</v>
      </c>
      <c r="B62" t="str">
        <f>"CPT US Equity"</f>
        <v>CPT US Equity</v>
      </c>
      <c r="C62" t="str">
        <f t="shared" si="21"/>
        <v>BE038</v>
      </c>
      <c r="D62" t="str">
        <f t="shared" si="22"/>
        <v>BEST_FFOPS</v>
      </c>
      <c r="E62" t="str">
        <f t="shared" si="23"/>
        <v>动态</v>
      </c>
      <c r="F62">
        <f ca="1">IF(AND(ISNUMBER($F$305),$B$252=1),$F$305,HLOOKUP(INDIRECT(ADDRESS(2,COLUMN())),OFFSET($CL$2,0,0,ROW()-1,84),ROW()-1,FALSE))</f>
        <v>4.7530000000000001</v>
      </c>
      <c r="G62">
        <f ca="1">IF(AND(ISNUMBER($G$305),$B$252=1),$G$305,HLOOKUP(INDIRECT(ADDRESS(2,COLUMN())),OFFSET($CL$2,0,0,ROW()-1,84),ROW()-1,FALSE))</f>
        <v>4.7569999999999997</v>
      </c>
      <c r="H62">
        <f ca="1">IF(AND(ISNUMBER($H$305),$B$252=1),$H$305,HLOOKUP(INDIRECT(ADDRESS(2,COLUMN())),OFFSET($CL$2,0,0,ROW()-1,84),ROW()-1,FALSE))</f>
        <v>4.7919999999999998</v>
      </c>
      <c r="I62">
        <f ca="1">IF(AND(ISNUMBER($I$305),$B$252=1),$I$305,HLOOKUP(INDIRECT(ADDRESS(2,COLUMN())),OFFSET($CL$2,0,0,ROW()-1,84),ROW()-1,FALSE))</f>
        <v>4.7969999999999997</v>
      </c>
      <c r="J62">
        <f ca="1">IF(AND(ISNUMBER($J$305),$B$252=1),$J$305,HLOOKUP(INDIRECT(ADDRESS(2,COLUMN())),OFFSET($CL$2,0,0,ROW()-1,84),ROW()-1,FALSE))</f>
        <v>4.8</v>
      </c>
      <c r="K62">
        <f ca="1">IF(AND(ISNUMBER($K$305),$B$252=1),$K$305,HLOOKUP(INDIRECT(ADDRESS(2,COLUMN())),OFFSET($CL$2,0,0,ROW()-1,84),ROW()-1,FALSE))</f>
        <v>4.7850000000000001</v>
      </c>
      <c r="L62">
        <f ca="1">IF(AND(ISNUMBER($L$305),$B$252=1),$L$305,HLOOKUP(INDIRECT(ADDRESS(2,COLUMN())),OFFSET($CL$2,0,0,ROW()-1,84),ROW()-1,FALSE))</f>
        <v>4.7990000000000004</v>
      </c>
      <c r="M62">
        <f ca="1">IF(AND(ISNUMBER($M$305),$B$252=1),$M$305,HLOOKUP(INDIRECT(ADDRESS(2,COLUMN())),OFFSET($CL$2,0,0,ROW()-1,84),ROW()-1,FALSE))</f>
        <v>4.806</v>
      </c>
      <c r="N62">
        <f ca="1">IF(AND(ISNUMBER($N$305),$B$252=1),$N$305,HLOOKUP(INDIRECT(ADDRESS(2,COLUMN())),OFFSET($CL$2,0,0,ROW()-1,84),ROW()-1,FALSE))</f>
        <v>4.8010000000000002</v>
      </c>
      <c r="O62">
        <f ca="1">IF(AND(ISNUMBER($O$305),$B$252=1),$O$305,HLOOKUP(INDIRECT(ADDRESS(2,COLUMN())),OFFSET($CL$2,0,0,ROW()-1,84),ROW()-1,FALSE))</f>
        <v>4.7850000000000001</v>
      </c>
      <c r="P62">
        <f ca="1">IF(AND(ISNUMBER($P$305),$B$252=1),$P$305,HLOOKUP(INDIRECT(ADDRESS(2,COLUMN())),OFFSET($CL$2,0,0,ROW()-1,84),ROW()-1,FALSE))</f>
        <v>4.7779999999999996</v>
      </c>
      <c r="Q62">
        <f ca="1">IF(AND(ISNUMBER($Q$305),$B$252=1),$Q$305,HLOOKUP(INDIRECT(ADDRESS(2,COLUMN())),OFFSET($CL$2,0,0,ROW()-1,84),ROW()-1,FALSE))</f>
        <v>4.7610000000000001</v>
      </c>
      <c r="R62">
        <f ca="1">IF(AND(ISNUMBER($R$305),$B$252=1),$R$305,HLOOKUP(INDIRECT(ADDRESS(2,COLUMN())),OFFSET($CL$2,0,0,ROW()-1,84),ROW()-1,FALSE))</f>
        <v>4.7530000000000001</v>
      </c>
      <c r="S62">
        <f ca="1">IF(AND(ISNUMBER($S$305),$B$252=1),$S$305,HLOOKUP(INDIRECT(ADDRESS(2,COLUMN())),OFFSET($CL$2,0,0,ROW()-1,84),ROW()-1,FALSE))</f>
        <v>4.7560000000000002</v>
      </c>
      <c r="T62">
        <f ca="1">IF(AND(ISNUMBER($T$305),$B$252=1),$T$305,HLOOKUP(INDIRECT(ADDRESS(2,COLUMN())),OFFSET($CL$2,0,0,ROW()-1,84),ROW()-1,FALSE))</f>
        <v>4.7919999999999998</v>
      </c>
      <c r="U62">
        <f ca="1">IF(AND(ISNUMBER($U$305),$B$252=1),$U$305,HLOOKUP(INDIRECT(ADDRESS(2,COLUMN())),OFFSET($CL$2,0,0,ROW()-1,84),ROW()-1,FALSE))</f>
        <v>4.7930000000000001</v>
      </c>
      <c r="V62">
        <f ca="1">IF(AND(ISNUMBER($V$305),$B$252=1),$V$305,HLOOKUP(INDIRECT(ADDRESS(2,COLUMN())),OFFSET($CL$2,0,0,ROW()-1,84),ROW()-1,FALSE))</f>
        <v>4.7889999999999997</v>
      </c>
      <c r="W62">
        <f ca="1">IF(AND(ISNUMBER($W$305),$B$252=1),$W$305,HLOOKUP(INDIRECT(ADDRESS(2,COLUMN())),OFFSET($CL$2,0,0,ROW()-1,84),ROW()-1,FALSE))</f>
        <v>4.7640000000000002</v>
      </c>
      <c r="X62">
        <f ca="1">IF(AND(ISNUMBER($X$305),$B$252=1),$X$305,HLOOKUP(INDIRECT(ADDRESS(2,COLUMN())),OFFSET($CL$2,0,0,ROW()-1,84),ROW()-1,FALSE))</f>
        <v>4.7859999999999996</v>
      </c>
      <c r="Y62">
        <f ca="1">IF(AND(ISNUMBER($Y$305),$B$252=1),$Y$305,HLOOKUP(INDIRECT(ADDRESS(2,COLUMN())),OFFSET($CL$2,0,0,ROW()-1,84),ROW()-1,FALSE))</f>
        <v>4.8159999999999998</v>
      </c>
      <c r="Z62">
        <f ca="1">IF(AND(ISNUMBER($Z$305),$B$252=1),$Z$305,HLOOKUP(INDIRECT(ADDRESS(2,COLUMN())),OFFSET($CL$2,0,0,ROW()-1,84),ROW()-1,FALSE))</f>
        <v>4.7380000000000004</v>
      </c>
      <c r="AA62">
        <f ca="1">IF(AND(ISNUMBER($AA$305),$B$252=1),$AA$305,HLOOKUP(INDIRECT(ADDRESS(2,COLUMN())),OFFSET($CL$2,0,0,ROW()-1,84),ROW()-1,FALSE))</f>
        <v>4.8209999999999997</v>
      </c>
      <c r="AB62">
        <f ca="1">IF(AND(ISNUMBER($AB$305),$B$252=1),$AB$305,HLOOKUP(INDIRECT(ADDRESS(2,COLUMN())),OFFSET($CL$2,0,0,ROW()-1,84),ROW()-1,FALSE))</f>
        <v>4.8339999999999996</v>
      </c>
      <c r="AC62">
        <f ca="1">IF(AND(ISNUMBER($AC$305),$B$252=1),$AC$305,HLOOKUP(INDIRECT(ADDRESS(2,COLUMN())),OFFSET($CL$2,0,0,ROW()-1,84),ROW()-1,FALSE))</f>
        <v>5.2629999999999999</v>
      </c>
      <c r="AD62">
        <f ca="1">IF(AND(ISNUMBER($AD$305),$B$252=1),$AD$305,HLOOKUP(INDIRECT(ADDRESS(2,COLUMN())),OFFSET($CL$2,0,0,ROW()-1,84),ROW()-1,FALSE))</f>
        <v>5.3140000000000001</v>
      </c>
      <c r="AE62">
        <f ca="1">IF(AND(ISNUMBER($AE$305),$B$252=1),$AE$305,HLOOKUP(INDIRECT(ADDRESS(2,COLUMN())),OFFSET($CL$2,0,0,ROW()-1,84),ROW()-1,FALSE))</f>
        <v>5.32</v>
      </c>
      <c r="AF62">
        <f ca="1">IF(AND(ISNUMBER($AF$305),$B$252=1),$AF$305,HLOOKUP(INDIRECT(ADDRESS(2,COLUMN())),OFFSET($CL$2,0,0,ROW()-1,84),ROW()-1,FALSE))</f>
        <v>5.42</v>
      </c>
      <c r="AG62">
        <f ca="1">IF(AND(ISNUMBER($AG$305),$B$252=1),$AG$305,HLOOKUP(INDIRECT(ADDRESS(2,COLUMN())),OFFSET($CL$2,0,0,ROW()-1,84),ROW()-1,FALSE))</f>
        <v>5.64</v>
      </c>
      <c r="AH62" t="str">
        <f ca="1">IF(AND(ISNUMBER($AH$305),$B$252=1),$AH$305,HLOOKUP(INDIRECT(ADDRESS(2,COLUMN())),OFFSET($CL$2,0,0,ROW()-1,84),ROW()-1,FALSE))</f>
        <v/>
      </c>
      <c r="AI62" t="str">
        <f ca="1">IF(AND(ISNUMBER($AI$305),$B$252=1),$AI$305,HLOOKUP(INDIRECT(ADDRESS(2,COLUMN())),OFFSET($CL$2,0,0,ROW()-1,84),ROW()-1,FALSE))</f>
        <v/>
      </c>
      <c r="AJ62" t="str">
        <f ca="1">IF(AND(ISNUMBER($AJ$305),$B$252=1),$AJ$305,HLOOKUP(INDIRECT(ADDRESS(2,COLUMN())),OFFSET($CL$2,0,0,ROW()-1,84),ROW()-1,FALSE))</f>
        <v/>
      </c>
      <c r="AK62" t="str">
        <f ca="1">IF(AND(ISNUMBER($AK$305),$B$252=1),$AK$305,HLOOKUP(INDIRECT(ADDRESS(2,COLUMN())),OFFSET($CL$2,0,0,ROW()-1,84),ROW()-1,FALSE))</f>
        <v/>
      </c>
      <c r="AL62" t="str">
        <f ca="1">IF(AND(ISNUMBER($AL$305),$B$252=1),$AL$305,HLOOKUP(INDIRECT(ADDRESS(2,COLUMN())),OFFSET($CL$2,0,0,ROW()-1,84),ROW()-1,FALSE))</f>
        <v/>
      </c>
      <c r="AM62" t="str">
        <f ca="1">IF(AND(ISNUMBER($AM$305),$B$252=1),$AM$305,HLOOKUP(INDIRECT(ADDRESS(2,COLUMN())),OFFSET($CL$2,0,0,ROW()-1,84),ROW()-1,FALSE))</f>
        <v/>
      </c>
      <c r="AN62" t="str">
        <f ca="1">IF(AND(ISNUMBER($AN$305),$B$252=1),$AN$305,HLOOKUP(INDIRECT(ADDRESS(2,COLUMN())),OFFSET($CL$2,0,0,ROW()-1,84),ROW()-1,FALSE))</f>
        <v/>
      </c>
      <c r="AO62" t="str">
        <f ca="1">IF(AND(ISNUMBER($AO$305),$B$252=1),$AO$305,HLOOKUP(INDIRECT(ADDRESS(2,COLUMN())),OFFSET($CL$2,0,0,ROW()-1,84),ROW()-1,FALSE))</f>
        <v/>
      </c>
      <c r="AP62" t="str">
        <f ca="1">IF(AND(ISNUMBER($AP$305),$B$252=1),$AP$305,HLOOKUP(INDIRECT(ADDRESS(2,COLUMN())),OFFSET($CL$2,0,0,ROW()-1,84),ROW()-1,FALSE))</f>
        <v/>
      </c>
      <c r="AQ62" t="str">
        <f ca="1">IF(AND(ISNUMBER($AQ$305),$B$252=1),$AQ$305,HLOOKUP(INDIRECT(ADDRESS(2,COLUMN())),OFFSET($CL$2,0,0,ROW()-1,84),ROW()-1,FALSE))</f>
        <v/>
      </c>
      <c r="AR62" t="str">
        <f ca="1">IF(AND(ISNUMBER($AR$305),$B$252=1),$AR$305,HLOOKUP(INDIRECT(ADDRESS(2,COLUMN())),OFFSET($CL$2,0,0,ROW()-1,84),ROW()-1,FALSE))</f>
        <v/>
      </c>
      <c r="AS62" t="str">
        <f ca="1">IF(AND(ISNUMBER($AS$305),$B$252=1),$AS$305,HLOOKUP(INDIRECT(ADDRESS(2,COLUMN())),OFFSET($CL$2,0,0,ROW()-1,84),ROW()-1,FALSE))</f>
        <v/>
      </c>
      <c r="AT62" t="str">
        <f ca="1">IF(AND(ISNUMBER($AT$305),$B$252=1),$AT$305,HLOOKUP(INDIRECT(ADDRESS(2,COLUMN())),OFFSET($CL$2,0,0,ROW()-1,84),ROW()-1,FALSE))</f>
        <v/>
      </c>
      <c r="AU62" t="str">
        <f ca="1">IF(AND(ISNUMBER($AU$305),$B$252=1),$AU$305,HLOOKUP(INDIRECT(ADDRESS(2,COLUMN())),OFFSET($CL$2,0,0,ROW()-1,84),ROW()-1,FALSE))</f>
        <v/>
      </c>
      <c r="AV62" t="str">
        <f ca="1">IF(AND(ISNUMBER($AV$305),$B$252=1),$AV$305,HLOOKUP(INDIRECT(ADDRESS(2,COLUMN())),OFFSET($CL$2,0,0,ROW()-1,84),ROW()-1,FALSE))</f>
        <v/>
      </c>
      <c r="AW62" t="str">
        <f ca="1">IF(AND(ISNUMBER($AW$305),$B$252=1),$AW$305,HLOOKUP(INDIRECT(ADDRESS(2,COLUMN())),OFFSET($CL$2,0,0,ROW()-1,84),ROW()-1,FALSE))</f>
        <v/>
      </c>
      <c r="AX62" t="str">
        <f ca="1">IF(AND(ISNUMBER($AX$305),$B$252=1),$AX$305,HLOOKUP(INDIRECT(ADDRESS(2,COLUMN())),OFFSET($CL$2,0,0,ROW()-1,84),ROW()-1,FALSE))</f>
        <v/>
      </c>
      <c r="AY62" t="str">
        <f ca="1">IF(AND(ISNUMBER($AY$305),$B$252=1),$AY$305,HLOOKUP(INDIRECT(ADDRESS(2,COLUMN())),OFFSET($CL$2,0,0,ROW()-1,84),ROW()-1,FALSE))</f>
        <v/>
      </c>
      <c r="AZ62" t="str">
        <f ca="1">IF(AND(ISNUMBER($AZ$305),$B$252=1),$AZ$305,HLOOKUP(INDIRECT(ADDRESS(2,COLUMN())),OFFSET($CL$2,0,0,ROW()-1,84),ROW()-1,FALSE))</f>
        <v/>
      </c>
      <c r="BA62" t="str">
        <f ca="1">IF(AND(ISNUMBER($BA$305),$B$252=1),$BA$305,HLOOKUP(INDIRECT(ADDRESS(2,COLUMN())),OFFSET($CL$2,0,0,ROW()-1,84),ROW()-1,FALSE))</f>
        <v/>
      </c>
      <c r="BB62" t="str">
        <f ca="1">IF(AND(ISNUMBER($BB$305),$B$252=1),$BB$305,HLOOKUP(INDIRECT(ADDRESS(2,COLUMN())),OFFSET($CL$2,0,0,ROW()-1,84),ROW()-1,FALSE))</f>
        <v/>
      </c>
      <c r="BC62" t="str">
        <f ca="1">IF(AND(ISNUMBER($BC$305),$B$252=1),$BC$305,HLOOKUP(INDIRECT(ADDRESS(2,COLUMN())),OFFSET($CL$2,0,0,ROW()-1,84),ROW()-1,FALSE))</f>
        <v/>
      </c>
      <c r="BD62" t="str">
        <f ca="1">IF(AND(ISNUMBER($BD$305),$B$252=1),$BD$305,HLOOKUP(INDIRECT(ADDRESS(2,COLUMN())),OFFSET($CL$2,0,0,ROW()-1,84),ROW()-1,FALSE))</f>
        <v/>
      </c>
      <c r="BE62" t="str">
        <f ca="1">IF(AND(ISNUMBER($BE$305),$B$252=1),$BE$305,HLOOKUP(INDIRECT(ADDRESS(2,COLUMN())),OFFSET($CL$2,0,0,ROW()-1,84),ROW()-1,FALSE))</f>
        <v/>
      </c>
      <c r="BF62" t="str">
        <f ca="1">IF(AND(ISNUMBER($BF$305),$B$252=1),$BF$305,HLOOKUP(INDIRECT(ADDRESS(2,COLUMN())),OFFSET($CL$2,0,0,ROW()-1,84),ROW()-1,FALSE))</f>
        <v/>
      </c>
      <c r="BG62" t="str">
        <f ca="1">IF(AND(ISNUMBER($BG$305),$B$252=1),$BG$305,HLOOKUP(INDIRECT(ADDRESS(2,COLUMN())),OFFSET($CL$2,0,0,ROW()-1,84),ROW()-1,FALSE))</f>
        <v/>
      </c>
      <c r="BH62" t="str">
        <f ca="1">IF(AND(ISNUMBER($BH$305),$B$252=1),$BH$305,HLOOKUP(INDIRECT(ADDRESS(2,COLUMN())),OFFSET($CL$2,0,0,ROW()-1,84),ROW()-1,FALSE))</f>
        <v/>
      </c>
      <c r="BI62" t="str">
        <f ca="1">IF(AND(ISNUMBER($BI$305),$B$252=1),$BI$305,HLOOKUP(INDIRECT(ADDRESS(2,COLUMN())),OFFSET($CL$2,0,0,ROW()-1,84),ROW()-1,FALSE))</f>
        <v/>
      </c>
      <c r="BJ62" t="str">
        <f ca="1">IF(AND(ISNUMBER($BJ$305),$B$252=1),$BJ$305,HLOOKUP(INDIRECT(ADDRESS(2,COLUMN())),OFFSET($CL$2,0,0,ROW()-1,84),ROW()-1,FALSE))</f>
        <v/>
      </c>
      <c r="BK62" t="str">
        <f ca="1">IF(AND(ISNUMBER($BK$305),$B$252=1),$BK$305,HLOOKUP(INDIRECT(ADDRESS(2,COLUMN())),OFFSET($CL$2,0,0,ROW()-1,84),ROW()-1,FALSE))</f>
        <v/>
      </c>
      <c r="BL62" t="str">
        <f ca="1">IF(AND(ISNUMBER($BL$305),$B$252=1),$BL$305,HLOOKUP(INDIRECT(ADDRESS(2,COLUMN())),OFFSET($CL$2,0,0,ROW()-1,84),ROW()-1,FALSE))</f>
        <v/>
      </c>
      <c r="BM62" t="str">
        <f ca="1">IF(AND(ISNUMBER($BM$305),$B$252=1),$BM$305,HLOOKUP(INDIRECT(ADDRESS(2,COLUMN())),OFFSET($CL$2,0,0,ROW()-1,84),ROW()-1,FALSE))</f>
        <v/>
      </c>
      <c r="BN62" t="str">
        <f ca="1">IF(AND(ISNUMBER($BN$305),$B$252=1),$BN$305,HLOOKUP(INDIRECT(ADDRESS(2,COLUMN())),OFFSET($CL$2,0,0,ROW()-1,84),ROW()-1,FALSE))</f>
        <v/>
      </c>
      <c r="BO62" t="str">
        <f ca="1">IF(AND(ISNUMBER($BO$305),$B$252=1),$BO$305,HLOOKUP(INDIRECT(ADDRESS(2,COLUMN())),OFFSET($CL$2,0,0,ROW()-1,84),ROW()-1,FALSE))</f>
        <v/>
      </c>
      <c r="BP62" t="str">
        <f ca="1">IF(AND(ISNUMBER($BP$305),$B$252=1),$BP$305,HLOOKUP(INDIRECT(ADDRESS(2,COLUMN())),OFFSET($CL$2,0,0,ROW()-1,84),ROW()-1,FALSE))</f>
        <v/>
      </c>
      <c r="BQ62" t="str">
        <f ca="1">IF(AND(ISNUMBER($BQ$305),$B$252=1),$BQ$305,HLOOKUP(INDIRECT(ADDRESS(2,COLUMN())),OFFSET($CL$2,0,0,ROW()-1,84),ROW()-1,FALSE))</f>
        <v/>
      </c>
      <c r="BR62" t="str">
        <f ca="1">IF(AND(ISNUMBER($BR$305),$B$252=1),$BR$305,HLOOKUP(INDIRECT(ADDRESS(2,COLUMN())),OFFSET($CL$2,0,0,ROW()-1,84),ROW()-1,FALSE))</f>
        <v/>
      </c>
      <c r="BS62" t="str">
        <f ca="1">IF(AND(ISNUMBER($BS$305),$B$252=1),$BS$305,HLOOKUP(INDIRECT(ADDRESS(2,COLUMN())),OFFSET($CL$2,0,0,ROW()-1,84),ROW()-1,FALSE))</f>
        <v/>
      </c>
      <c r="BT62" t="str">
        <f ca="1">IF(AND(ISNUMBER($BT$305),$B$252=1),$BT$305,HLOOKUP(INDIRECT(ADDRESS(2,COLUMN())),OFFSET($CL$2,0,0,ROW()-1,84),ROW()-1,FALSE))</f>
        <v/>
      </c>
      <c r="BU62" t="str">
        <f ca="1">IF(AND(ISNUMBER($BU$305),$B$252=1),$BU$305,HLOOKUP(INDIRECT(ADDRESS(2,COLUMN())),OFFSET($CL$2,0,0,ROW()-1,84),ROW()-1,FALSE))</f>
        <v/>
      </c>
      <c r="BV62" t="str">
        <f ca="1">IF(AND(ISNUMBER($BV$305),$B$252=1),$BV$305,HLOOKUP(INDIRECT(ADDRESS(2,COLUMN())),OFFSET($CL$2,0,0,ROW()-1,84),ROW()-1,FALSE))</f>
        <v/>
      </c>
      <c r="BW62" t="str">
        <f ca="1">IF(AND(ISNUMBER($BW$305),$B$252=1),$BW$305,HLOOKUP(INDIRECT(ADDRESS(2,COLUMN())),OFFSET($CL$2,0,0,ROW()-1,84),ROW()-1,FALSE))</f>
        <v/>
      </c>
      <c r="BX62" t="str">
        <f ca="1">IF(AND(ISNUMBER($BX$305),$B$252=1),$BX$305,HLOOKUP(INDIRECT(ADDRESS(2,COLUMN())),OFFSET($CL$2,0,0,ROW()-1,84),ROW()-1,FALSE))</f>
        <v/>
      </c>
      <c r="BY62" t="str">
        <f ca="1">IF(AND(ISNUMBER($BY$305),$B$252=1),$BY$305,HLOOKUP(INDIRECT(ADDRESS(2,COLUMN())),OFFSET($CL$2,0,0,ROW()-1,84),ROW()-1,FALSE))</f>
        <v/>
      </c>
      <c r="BZ62" t="str">
        <f ca="1">IF(AND(ISNUMBER($BZ$305),$B$252=1),$BZ$305,HLOOKUP(INDIRECT(ADDRESS(2,COLUMN())),OFFSET($CL$2,0,0,ROW()-1,84),ROW()-1,FALSE))</f>
        <v/>
      </c>
      <c r="CA62" t="str">
        <f ca="1">IF(AND(ISNUMBER($CA$305),$B$252=1),$CA$305,HLOOKUP(INDIRECT(ADDRESS(2,COLUMN())),OFFSET($CL$2,0,0,ROW()-1,84),ROW()-1,FALSE))</f>
        <v/>
      </c>
      <c r="CB62" t="str">
        <f ca="1">IF(AND(ISNUMBER($CB$305),$B$252=1),$CB$305,HLOOKUP(INDIRECT(ADDRESS(2,COLUMN())),OFFSET($CL$2,0,0,ROW()-1,84),ROW()-1,FALSE))</f>
        <v/>
      </c>
      <c r="CC62" t="str">
        <f ca="1">IF(AND(ISNUMBER($CC$305),$B$252=1),$CC$305,HLOOKUP(INDIRECT(ADDRESS(2,COLUMN())),OFFSET($CL$2,0,0,ROW()-1,84),ROW()-1,FALSE))</f>
        <v/>
      </c>
      <c r="CD62" t="str">
        <f ca="1">IF(AND(ISNUMBER($CD$305),$B$252=1),$CD$305,HLOOKUP(INDIRECT(ADDRESS(2,COLUMN())),OFFSET($CL$2,0,0,ROW()-1,84),ROW()-1,FALSE))</f>
        <v/>
      </c>
      <c r="CE62" t="str">
        <f ca="1">IF(AND(ISNUMBER($CE$305),$B$252=1),$CE$305,HLOOKUP(INDIRECT(ADDRESS(2,COLUMN())),OFFSET($CL$2,0,0,ROW()-1,84),ROW()-1,FALSE))</f>
        <v/>
      </c>
      <c r="CF62" t="str">
        <f ca="1">IF(AND(ISNUMBER($CF$305),$B$252=1),$CF$305,HLOOKUP(INDIRECT(ADDRESS(2,COLUMN())),OFFSET($CL$2,0,0,ROW()-1,84),ROW()-1,FALSE))</f>
        <v/>
      </c>
      <c r="CG62" t="str">
        <f ca="1">IF(AND(ISNUMBER($CG$305),$B$252=1),$CG$305,HLOOKUP(INDIRECT(ADDRESS(2,COLUMN())),OFFSET($CL$2,0,0,ROW()-1,84),ROW()-1,FALSE))</f>
        <v/>
      </c>
      <c r="CH62" t="str">
        <f ca="1">IF(AND(ISNUMBER($CH$305),$B$252=1),$CH$305,HLOOKUP(INDIRECT(ADDRESS(2,COLUMN())),OFFSET($CL$2,0,0,ROW()-1,84),ROW()-1,FALSE))</f>
        <v/>
      </c>
      <c r="CI62" t="str">
        <f ca="1">IF(AND(ISNUMBER($CI$305),$B$252=1),$CI$305,HLOOKUP(INDIRECT(ADDRESS(2,COLUMN())),OFFSET($CL$2,0,0,ROW()-1,84),ROW()-1,FALSE))</f>
        <v/>
      </c>
      <c r="CJ62" t="str">
        <f ca="1">IF(AND(ISNUMBER($CJ$305),$B$252=1),$CJ$305,HLOOKUP(INDIRECT(ADDRESS(2,COLUMN())),OFFSET($CL$2,0,0,ROW()-1,84),ROW()-1,FALSE))</f>
        <v/>
      </c>
      <c r="CK62" t="str">
        <f ca="1">IF(AND(ISNUMBER($CK$305),$B$252=1),$CK$305,HLOOKUP(INDIRECT(ADDRESS(2,COLUMN())),OFFSET($CL$2,0,0,ROW()-1,84),ROW()-1,FALSE))</f>
        <v/>
      </c>
      <c r="CL62">
        <f>4.753</f>
        <v>4.7530000000000001</v>
      </c>
      <c r="CM62">
        <f>4.757</f>
        <v>4.7569999999999997</v>
      </c>
      <c r="CN62">
        <f>4.792</f>
        <v>4.7919999999999998</v>
      </c>
      <c r="CO62">
        <f>4.797</f>
        <v>4.7969999999999997</v>
      </c>
      <c r="CP62">
        <f>4.8</f>
        <v>4.8</v>
      </c>
      <c r="CQ62">
        <f>4.785</f>
        <v>4.7850000000000001</v>
      </c>
      <c r="CR62">
        <f>4.799</f>
        <v>4.7990000000000004</v>
      </c>
      <c r="CS62">
        <f>4.806</f>
        <v>4.806</v>
      </c>
      <c r="CT62">
        <f>4.801</f>
        <v>4.8010000000000002</v>
      </c>
      <c r="CU62">
        <f>4.785</f>
        <v>4.7850000000000001</v>
      </c>
      <c r="CV62">
        <f>4.778</f>
        <v>4.7779999999999996</v>
      </c>
      <c r="CW62">
        <f>4.761</f>
        <v>4.7610000000000001</v>
      </c>
      <c r="CX62">
        <f>4.753</f>
        <v>4.7530000000000001</v>
      </c>
      <c r="CY62">
        <f>4.756</f>
        <v>4.7560000000000002</v>
      </c>
      <c r="CZ62">
        <f>4.792</f>
        <v>4.7919999999999998</v>
      </c>
      <c r="DA62">
        <f>4.793</f>
        <v>4.7930000000000001</v>
      </c>
      <c r="DB62">
        <f>4.789</f>
        <v>4.7889999999999997</v>
      </c>
      <c r="DC62">
        <f>4.764</f>
        <v>4.7640000000000002</v>
      </c>
      <c r="DD62">
        <f>4.786</f>
        <v>4.7859999999999996</v>
      </c>
      <c r="DE62">
        <f>4.816</f>
        <v>4.8159999999999998</v>
      </c>
      <c r="DF62">
        <f>4.738</f>
        <v>4.7380000000000004</v>
      </c>
      <c r="DG62">
        <f>4.821</f>
        <v>4.8209999999999997</v>
      </c>
      <c r="DH62">
        <f>4.834</f>
        <v>4.8339999999999996</v>
      </c>
      <c r="DI62">
        <f>5.263</f>
        <v>5.2629999999999999</v>
      </c>
      <c r="DJ62">
        <f>5.314</f>
        <v>5.3140000000000001</v>
      </c>
      <c r="DK62">
        <f>5.32</f>
        <v>5.32</v>
      </c>
      <c r="DL62">
        <f>5.42</f>
        <v>5.42</v>
      </c>
      <c r="DM62">
        <f>5.64</f>
        <v>5.64</v>
      </c>
      <c r="DN62" t="str">
        <f>""</f>
        <v/>
      </c>
      <c r="DO62" t="str">
        <f>""</f>
        <v/>
      </c>
      <c r="DP62" t="str">
        <f>""</f>
        <v/>
      </c>
      <c r="DQ62" t="str">
        <f>""</f>
        <v/>
      </c>
      <c r="DR62" t="str">
        <f>""</f>
        <v/>
      </c>
      <c r="DS62" t="str">
        <f>""</f>
        <v/>
      </c>
      <c r="DT62" t="str">
        <f>""</f>
        <v/>
      </c>
      <c r="DU62" t="str">
        <f>""</f>
        <v/>
      </c>
      <c r="DV62" t="str">
        <f>""</f>
        <v/>
      </c>
      <c r="DW62" t="str">
        <f>""</f>
        <v/>
      </c>
      <c r="DX62" t="str">
        <f>""</f>
        <v/>
      </c>
      <c r="DY62" t="str">
        <f>""</f>
        <v/>
      </c>
      <c r="DZ62" t="str">
        <f>""</f>
        <v/>
      </c>
      <c r="EA62" t="str">
        <f>""</f>
        <v/>
      </c>
      <c r="EB62" t="str">
        <f>""</f>
        <v/>
      </c>
      <c r="EC62" t="str">
        <f>""</f>
        <v/>
      </c>
      <c r="ED62" t="str">
        <f>""</f>
        <v/>
      </c>
      <c r="EE62" t="str">
        <f>""</f>
        <v/>
      </c>
      <c r="EF62" t="str">
        <f>""</f>
        <v/>
      </c>
      <c r="EG62" t="str">
        <f>""</f>
        <v/>
      </c>
      <c r="EH62" t="str">
        <f>""</f>
        <v/>
      </c>
      <c r="EI62" t="str">
        <f>""</f>
        <v/>
      </c>
      <c r="EJ62" t="str">
        <f>""</f>
        <v/>
      </c>
      <c r="EK62" t="str">
        <f>""</f>
        <v/>
      </c>
      <c r="EL62" t="str">
        <f>""</f>
        <v/>
      </c>
      <c r="EM62" t="str">
        <f>""</f>
        <v/>
      </c>
      <c r="EN62" t="str">
        <f>""</f>
        <v/>
      </c>
      <c r="EO62" t="str">
        <f>""</f>
        <v/>
      </c>
      <c r="EP62" t="str">
        <f>""</f>
        <v/>
      </c>
      <c r="EQ62" t="str">
        <f>""</f>
        <v/>
      </c>
      <c r="ER62" t="str">
        <f>""</f>
        <v/>
      </c>
      <c r="ES62" t="str">
        <f>""</f>
        <v/>
      </c>
      <c r="ET62" t="str">
        <f>""</f>
        <v/>
      </c>
      <c r="EU62" t="str">
        <f>""</f>
        <v/>
      </c>
      <c r="EV62" t="str">
        <f>""</f>
        <v/>
      </c>
      <c r="EW62" t="str">
        <f>""</f>
        <v/>
      </c>
      <c r="EX62" t="str">
        <f>""</f>
        <v/>
      </c>
      <c r="EY62" t="str">
        <f>""</f>
        <v/>
      </c>
      <c r="EZ62" t="str">
        <f>""</f>
        <v/>
      </c>
      <c r="FA62" t="str">
        <f>""</f>
        <v/>
      </c>
      <c r="FB62" t="str">
        <f>""</f>
        <v/>
      </c>
      <c r="FC62" t="str">
        <f>""</f>
        <v/>
      </c>
      <c r="FD62" t="str">
        <f>""</f>
        <v/>
      </c>
      <c r="FE62" t="str">
        <f>""</f>
        <v/>
      </c>
      <c r="FF62" t="str">
        <f>""</f>
        <v/>
      </c>
      <c r="FG62" t="str">
        <f>""</f>
        <v/>
      </c>
      <c r="FH62" t="str">
        <f>""</f>
        <v/>
      </c>
      <c r="FI62" t="str">
        <f>""</f>
        <v/>
      </c>
      <c r="FJ62" t="str">
        <f>""</f>
        <v/>
      </c>
      <c r="FK62" t="str">
        <f>""</f>
        <v/>
      </c>
      <c r="FL62" t="str">
        <f>""</f>
        <v/>
      </c>
      <c r="FM62" t="str">
        <f>""</f>
        <v/>
      </c>
      <c r="FN62" t="str">
        <f>""</f>
        <v/>
      </c>
      <c r="FO62" t="str">
        <f>""</f>
        <v/>
      </c>
      <c r="FP62" t="str">
        <f>""</f>
        <v/>
      </c>
      <c r="FQ62" t="str">
        <f>""</f>
        <v/>
      </c>
    </row>
    <row r="63" spans="1:173">
      <c r="A63" t="str">
        <f>"    公寓物业权益信托"</f>
        <v xml:space="preserve">    公寓物业权益信托</v>
      </c>
      <c r="B63" t="str">
        <f>"EQR US Equity"</f>
        <v>EQR US Equity</v>
      </c>
      <c r="C63" t="str">
        <f t="shared" si="21"/>
        <v>BE038</v>
      </c>
      <c r="D63" t="str">
        <f t="shared" si="22"/>
        <v>BEST_FFOPS</v>
      </c>
      <c r="E63" t="str">
        <f t="shared" si="23"/>
        <v>动态</v>
      </c>
      <c r="F63">
        <f ca="1">IF(AND(ISNUMBER($F$306),$B$252=1),$F$306,HLOOKUP(INDIRECT(ADDRESS(2,COLUMN())),OFFSET($CL$2,0,0,ROW()-1,84),ROW()-1,FALSE))</f>
        <v>3.24</v>
      </c>
      <c r="G63">
        <f ca="1">IF(AND(ISNUMBER($G$306),$B$252=1),$G$306,HLOOKUP(INDIRECT(ADDRESS(2,COLUMN())),OFFSET($CL$2,0,0,ROW()-1,84),ROW()-1,FALSE))</f>
        <v>3.2410000000000001</v>
      </c>
      <c r="H63">
        <f ca="1">IF(AND(ISNUMBER($H$306),$B$252=1),$H$306,HLOOKUP(INDIRECT(ADDRESS(2,COLUMN())),OFFSET($CL$2,0,0,ROW()-1,84),ROW()-1,FALSE))</f>
        <v>3.258</v>
      </c>
      <c r="I63">
        <f ca="1">IF(AND(ISNUMBER($I$306),$B$252=1),$I$306,HLOOKUP(INDIRECT(ADDRESS(2,COLUMN())),OFFSET($CL$2,0,0,ROW()-1,84),ROW()-1,FALSE))</f>
        <v>3.262</v>
      </c>
      <c r="J63">
        <f ca="1">IF(AND(ISNUMBER($J$306),$B$252=1),$J$306,HLOOKUP(INDIRECT(ADDRESS(2,COLUMN())),OFFSET($CL$2,0,0,ROW()-1,84),ROW()-1,FALSE))</f>
        <v>3.2629999999999999</v>
      </c>
      <c r="K63">
        <f ca="1">IF(AND(ISNUMBER($K$306),$B$252=1),$K$306,HLOOKUP(INDIRECT(ADDRESS(2,COLUMN())),OFFSET($CL$2,0,0,ROW()-1,84),ROW()-1,FALSE))</f>
        <v>3.266</v>
      </c>
      <c r="L63">
        <f ca="1">IF(AND(ISNUMBER($L$306),$B$252=1),$L$306,HLOOKUP(INDIRECT(ADDRESS(2,COLUMN())),OFFSET($CL$2,0,0,ROW()-1,84),ROW()-1,FALSE))</f>
        <v>3.2709999999999999</v>
      </c>
      <c r="M63">
        <f ca="1">IF(AND(ISNUMBER($M$306),$B$252=1),$M$306,HLOOKUP(INDIRECT(ADDRESS(2,COLUMN())),OFFSET($CL$2,0,0,ROW()-1,84),ROW()-1,FALSE))</f>
        <v>3.2730000000000001</v>
      </c>
      <c r="N63">
        <f ca="1">IF(AND(ISNUMBER($N$306),$B$252=1),$N$306,HLOOKUP(INDIRECT(ADDRESS(2,COLUMN())),OFFSET($CL$2,0,0,ROW()-1,84),ROW()-1,FALSE))</f>
        <v>3.2719999999999998</v>
      </c>
      <c r="O63">
        <f ca="1">IF(AND(ISNUMBER($O$306),$B$252=1),$O$306,HLOOKUP(INDIRECT(ADDRESS(2,COLUMN())),OFFSET($CL$2,0,0,ROW()-1,84),ROW()-1,FALSE))</f>
        <v>3.25</v>
      </c>
      <c r="P63">
        <f ca="1">IF(AND(ISNUMBER($P$306),$B$252=1),$P$306,HLOOKUP(INDIRECT(ADDRESS(2,COLUMN())),OFFSET($CL$2,0,0,ROW()-1,84),ROW()-1,FALSE))</f>
        <v>3.2469999999999999</v>
      </c>
      <c r="Q63">
        <f ca="1">IF(AND(ISNUMBER($Q$306),$B$252=1),$Q$306,HLOOKUP(INDIRECT(ADDRESS(2,COLUMN())),OFFSET($CL$2,0,0,ROW()-1,84),ROW()-1,FALSE))</f>
        <v>3.2469999999999999</v>
      </c>
      <c r="R63">
        <f ca="1">IF(AND(ISNUMBER($R$306),$B$252=1),$R$306,HLOOKUP(INDIRECT(ADDRESS(2,COLUMN())),OFFSET($CL$2,0,0,ROW()-1,84),ROW()-1,FALSE))</f>
        <v>3.258</v>
      </c>
      <c r="S63">
        <f ca="1">IF(AND(ISNUMBER($S$306),$B$252=1),$S$306,HLOOKUP(INDIRECT(ADDRESS(2,COLUMN())),OFFSET($CL$2,0,0,ROW()-1,84),ROW()-1,FALSE))</f>
        <v>3.2719999999999998</v>
      </c>
      <c r="T63">
        <f ca="1">IF(AND(ISNUMBER($T$306),$B$252=1),$T$306,HLOOKUP(INDIRECT(ADDRESS(2,COLUMN())),OFFSET($CL$2,0,0,ROW()-1,84),ROW()-1,FALSE))</f>
        <v>3.3239999999999998</v>
      </c>
      <c r="U63">
        <f ca="1">IF(AND(ISNUMBER($U$306),$B$252=1),$U$306,HLOOKUP(INDIRECT(ADDRESS(2,COLUMN())),OFFSET($CL$2,0,0,ROW()-1,84),ROW()-1,FALSE))</f>
        <v>3.3319999999999999</v>
      </c>
      <c r="V63">
        <f ca="1">IF(AND(ISNUMBER($V$306),$B$252=1),$V$306,HLOOKUP(INDIRECT(ADDRESS(2,COLUMN())),OFFSET($CL$2,0,0,ROW()-1,84),ROW()-1,FALSE))</f>
        <v>3.3490000000000002</v>
      </c>
      <c r="W63">
        <f ca="1">IF(AND(ISNUMBER($W$306),$B$252=1),$W$306,HLOOKUP(INDIRECT(ADDRESS(2,COLUMN())),OFFSET($CL$2,0,0,ROW()-1,84),ROW()-1,FALSE))</f>
        <v>3.351</v>
      </c>
      <c r="X63">
        <f ca="1">IF(AND(ISNUMBER($X$306),$B$252=1),$X$306,HLOOKUP(INDIRECT(ADDRESS(2,COLUMN())),OFFSET($CL$2,0,0,ROW()-1,84),ROW()-1,FALSE))</f>
        <v>3.3980000000000001</v>
      </c>
      <c r="Y63">
        <f ca="1">IF(AND(ISNUMBER($Y$306),$B$252=1),$Y$306,HLOOKUP(INDIRECT(ADDRESS(2,COLUMN())),OFFSET($CL$2,0,0,ROW()-1,84),ROW()-1,FALSE))</f>
        <v>3.3959999999999999</v>
      </c>
      <c r="Z63">
        <f ca="1">IF(AND(ISNUMBER($Z$306),$B$252=1),$Z$306,HLOOKUP(INDIRECT(ADDRESS(2,COLUMN())),OFFSET($CL$2,0,0,ROW()-1,84),ROW()-1,FALSE))</f>
        <v>3.4449999999999998</v>
      </c>
      <c r="AA63">
        <f ca="1">IF(AND(ISNUMBER($AA$306),$B$252=1),$AA$306,HLOOKUP(INDIRECT(ADDRESS(2,COLUMN())),OFFSET($CL$2,0,0,ROW()-1,84),ROW()-1,FALSE))</f>
        <v>3.5030000000000001</v>
      </c>
      <c r="AB63">
        <f ca="1">IF(AND(ISNUMBER($AB$306),$B$252=1),$AB$306,HLOOKUP(INDIRECT(ADDRESS(2,COLUMN())),OFFSET($CL$2,0,0,ROW()-1,84),ROW()-1,FALSE))</f>
        <v>3.508</v>
      </c>
      <c r="AC63">
        <f ca="1">IF(AND(ISNUMBER($AC$306),$B$252=1),$AC$306,HLOOKUP(INDIRECT(ADDRESS(2,COLUMN())),OFFSET($CL$2,0,0,ROW()-1,84),ROW()-1,FALSE))</f>
        <v>3.556</v>
      </c>
      <c r="AD63">
        <f ca="1">IF(AND(ISNUMBER($AD$306),$B$252=1),$AD$306,HLOOKUP(INDIRECT(ADDRESS(2,COLUMN())),OFFSET($CL$2,0,0,ROW()-1,84),ROW()-1,FALSE))</f>
        <v>3.5830000000000002</v>
      </c>
      <c r="AE63">
        <f ca="1">IF(AND(ISNUMBER($AE$306),$B$252=1),$AE$306,HLOOKUP(INDIRECT(ADDRESS(2,COLUMN())),OFFSET($CL$2,0,0,ROW()-1,84),ROW()-1,FALSE))</f>
        <v>3.57</v>
      </c>
      <c r="AF63" t="str">
        <f ca="1">IF(AND(ISNUMBER($AF$306),$B$252=1),$AF$306,HLOOKUP(INDIRECT(ADDRESS(2,COLUMN())),OFFSET($CL$2,0,0,ROW()-1,84),ROW()-1,FALSE))</f>
        <v/>
      </c>
      <c r="AG63" t="str">
        <f ca="1">IF(AND(ISNUMBER($AG$306),$B$252=1),$AG$306,HLOOKUP(INDIRECT(ADDRESS(2,COLUMN())),OFFSET($CL$2,0,0,ROW()-1,84),ROW()-1,FALSE))</f>
        <v/>
      </c>
      <c r="AH63">
        <f ca="1">IF(AND(ISNUMBER($AH$306),$B$252=1),$AH$306,HLOOKUP(INDIRECT(ADDRESS(2,COLUMN())),OFFSET($CL$2,0,0,ROW()-1,84),ROW()-1,FALSE))</f>
        <v>4.05</v>
      </c>
      <c r="AI63" t="str">
        <f ca="1">IF(AND(ISNUMBER($AI$306),$B$252=1),$AI$306,HLOOKUP(INDIRECT(ADDRESS(2,COLUMN())),OFFSET($CL$2,0,0,ROW()-1,84),ROW()-1,FALSE))</f>
        <v/>
      </c>
      <c r="AJ63" t="str">
        <f ca="1">IF(AND(ISNUMBER($AJ$306),$B$252=1),$AJ$306,HLOOKUP(INDIRECT(ADDRESS(2,COLUMN())),OFFSET($CL$2,0,0,ROW()-1,84),ROW()-1,FALSE))</f>
        <v/>
      </c>
      <c r="AK63" t="str">
        <f ca="1">IF(AND(ISNUMBER($AK$306),$B$252=1),$AK$306,HLOOKUP(INDIRECT(ADDRESS(2,COLUMN())),OFFSET($CL$2,0,0,ROW()-1,84),ROW()-1,FALSE))</f>
        <v/>
      </c>
      <c r="AL63">
        <f ca="1">IF(AND(ISNUMBER($AL$306),$B$252=1),$AL$306,HLOOKUP(INDIRECT(ADDRESS(2,COLUMN())),OFFSET($CL$2,0,0,ROW()-1,84),ROW()-1,FALSE))</f>
        <v>4.4800000000000004</v>
      </c>
      <c r="AM63" t="str">
        <f ca="1">IF(AND(ISNUMBER($AM$306),$B$252=1),$AM$306,HLOOKUP(INDIRECT(ADDRESS(2,COLUMN())),OFFSET($CL$2,0,0,ROW()-1,84),ROW()-1,FALSE))</f>
        <v/>
      </c>
      <c r="AN63" t="str">
        <f ca="1">IF(AND(ISNUMBER($AN$306),$B$252=1),$AN$306,HLOOKUP(INDIRECT(ADDRESS(2,COLUMN())),OFFSET($CL$2,0,0,ROW()-1,84),ROW()-1,FALSE))</f>
        <v/>
      </c>
      <c r="AO63" t="str">
        <f ca="1">IF(AND(ISNUMBER($AO$306),$B$252=1),$AO$306,HLOOKUP(INDIRECT(ADDRESS(2,COLUMN())),OFFSET($CL$2,0,0,ROW()-1,84),ROW()-1,FALSE))</f>
        <v/>
      </c>
      <c r="AP63" t="str">
        <f ca="1">IF(AND(ISNUMBER($AP$306),$B$252=1),$AP$306,HLOOKUP(INDIRECT(ADDRESS(2,COLUMN())),OFFSET($CL$2,0,0,ROW()-1,84),ROW()-1,FALSE))</f>
        <v/>
      </c>
      <c r="AQ63" t="str">
        <f ca="1">IF(AND(ISNUMBER($AQ$306),$B$252=1),$AQ$306,HLOOKUP(INDIRECT(ADDRESS(2,COLUMN())),OFFSET($CL$2,0,0,ROW()-1,84),ROW()-1,FALSE))</f>
        <v/>
      </c>
      <c r="AR63" t="str">
        <f ca="1">IF(AND(ISNUMBER($AR$306),$B$252=1),$AR$306,HLOOKUP(INDIRECT(ADDRESS(2,COLUMN())),OFFSET($CL$2,0,0,ROW()-1,84),ROW()-1,FALSE))</f>
        <v/>
      </c>
      <c r="AS63" t="str">
        <f ca="1">IF(AND(ISNUMBER($AS$306),$B$252=1),$AS$306,HLOOKUP(INDIRECT(ADDRESS(2,COLUMN())),OFFSET($CL$2,0,0,ROW()-1,84),ROW()-1,FALSE))</f>
        <v/>
      </c>
      <c r="AT63" t="str">
        <f ca="1">IF(AND(ISNUMBER($AT$306),$B$252=1),$AT$306,HLOOKUP(INDIRECT(ADDRESS(2,COLUMN())),OFFSET($CL$2,0,0,ROW()-1,84),ROW()-1,FALSE))</f>
        <v/>
      </c>
      <c r="AU63" t="str">
        <f ca="1">IF(AND(ISNUMBER($AU$306),$B$252=1),$AU$306,HLOOKUP(INDIRECT(ADDRESS(2,COLUMN())),OFFSET($CL$2,0,0,ROW()-1,84),ROW()-1,FALSE))</f>
        <v/>
      </c>
      <c r="AV63" t="str">
        <f ca="1">IF(AND(ISNUMBER($AV$306),$B$252=1),$AV$306,HLOOKUP(INDIRECT(ADDRESS(2,COLUMN())),OFFSET($CL$2,0,0,ROW()-1,84),ROW()-1,FALSE))</f>
        <v/>
      </c>
      <c r="AW63" t="str">
        <f ca="1">IF(AND(ISNUMBER($AW$306),$B$252=1),$AW$306,HLOOKUP(INDIRECT(ADDRESS(2,COLUMN())),OFFSET($CL$2,0,0,ROW()-1,84),ROW()-1,FALSE))</f>
        <v/>
      </c>
      <c r="AX63" t="str">
        <f ca="1">IF(AND(ISNUMBER($AX$306),$B$252=1),$AX$306,HLOOKUP(INDIRECT(ADDRESS(2,COLUMN())),OFFSET($CL$2,0,0,ROW()-1,84),ROW()-1,FALSE))</f>
        <v/>
      </c>
      <c r="AY63" t="str">
        <f ca="1">IF(AND(ISNUMBER($AY$306),$B$252=1),$AY$306,HLOOKUP(INDIRECT(ADDRESS(2,COLUMN())),OFFSET($CL$2,0,0,ROW()-1,84),ROW()-1,FALSE))</f>
        <v/>
      </c>
      <c r="AZ63" t="str">
        <f ca="1">IF(AND(ISNUMBER($AZ$306),$B$252=1),$AZ$306,HLOOKUP(INDIRECT(ADDRESS(2,COLUMN())),OFFSET($CL$2,0,0,ROW()-1,84),ROW()-1,FALSE))</f>
        <v/>
      </c>
      <c r="BA63" t="str">
        <f ca="1">IF(AND(ISNUMBER($BA$306),$B$252=1),$BA$306,HLOOKUP(INDIRECT(ADDRESS(2,COLUMN())),OFFSET($CL$2,0,0,ROW()-1,84),ROW()-1,FALSE))</f>
        <v/>
      </c>
      <c r="BB63" t="str">
        <f ca="1">IF(AND(ISNUMBER($BB$306),$B$252=1),$BB$306,HLOOKUP(INDIRECT(ADDRESS(2,COLUMN())),OFFSET($CL$2,0,0,ROW()-1,84),ROW()-1,FALSE))</f>
        <v/>
      </c>
      <c r="BC63" t="str">
        <f ca="1">IF(AND(ISNUMBER($BC$306),$B$252=1),$BC$306,HLOOKUP(INDIRECT(ADDRESS(2,COLUMN())),OFFSET($CL$2,0,0,ROW()-1,84),ROW()-1,FALSE))</f>
        <v/>
      </c>
      <c r="BD63" t="str">
        <f ca="1">IF(AND(ISNUMBER($BD$306),$B$252=1),$BD$306,HLOOKUP(INDIRECT(ADDRESS(2,COLUMN())),OFFSET($CL$2,0,0,ROW()-1,84),ROW()-1,FALSE))</f>
        <v/>
      </c>
      <c r="BE63" t="str">
        <f ca="1">IF(AND(ISNUMBER($BE$306),$B$252=1),$BE$306,HLOOKUP(INDIRECT(ADDRESS(2,COLUMN())),OFFSET($CL$2,0,0,ROW()-1,84),ROW()-1,FALSE))</f>
        <v/>
      </c>
      <c r="BF63" t="str">
        <f ca="1">IF(AND(ISNUMBER($BF$306),$B$252=1),$BF$306,HLOOKUP(INDIRECT(ADDRESS(2,COLUMN())),OFFSET($CL$2,0,0,ROW()-1,84),ROW()-1,FALSE))</f>
        <v/>
      </c>
      <c r="BG63" t="str">
        <f ca="1">IF(AND(ISNUMBER($BG$306),$B$252=1),$BG$306,HLOOKUP(INDIRECT(ADDRESS(2,COLUMN())),OFFSET($CL$2,0,0,ROW()-1,84),ROW()-1,FALSE))</f>
        <v/>
      </c>
      <c r="BH63" t="str">
        <f ca="1">IF(AND(ISNUMBER($BH$306),$B$252=1),$BH$306,HLOOKUP(INDIRECT(ADDRESS(2,COLUMN())),OFFSET($CL$2,0,0,ROW()-1,84),ROW()-1,FALSE))</f>
        <v/>
      </c>
      <c r="BI63" t="str">
        <f ca="1">IF(AND(ISNUMBER($BI$306),$B$252=1),$BI$306,HLOOKUP(INDIRECT(ADDRESS(2,COLUMN())),OFFSET($CL$2,0,0,ROW()-1,84),ROW()-1,FALSE))</f>
        <v/>
      </c>
      <c r="BJ63" t="str">
        <f ca="1">IF(AND(ISNUMBER($BJ$306),$B$252=1),$BJ$306,HLOOKUP(INDIRECT(ADDRESS(2,COLUMN())),OFFSET($CL$2,0,0,ROW()-1,84),ROW()-1,FALSE))</f>
        <v/>
      </c>
      <c r="BK63" t="str">
        <f ca="1">IF(AND(ISNUMBER($BK$306),$B$252=1),$BK$306,HLOOKUP(INDIRECT(ADDRESS(2,COLUMN())),OFFSET($CL$2,0,0,ROW()-1,84),ROW()-1,FALSE))</f>
        <v/>
      </c>
      <c r="BL63" t="str">
        <f ca="1">IF(AND(ISNUMBER($BL$306),$B$252=1),$BL$306,HLOOKUP(INDIRECT(ADDRESS(2,COLUMN())),OFFSET($CL$2,0,0,ROW()-1,84),ROW()-1,FALSE))</f>
        <v/>
      </c>
      <c r="BM63" t="str">
        <f ca="1">IF(AND(ISNUMBER($BM$306),$B$252=1),$BM$306,HLOOKUP(INDIRECT(ADDRESS(2,COLUMN())),OFFSET($CL$2,0,0,ROW()-1,84),ROW()-1,FALSE))</f>
        <v/>
      </c>
      <c r="BN63" t="str">
        <f ca="1">IF(AND(ISNUMBER($BN$306),$B$252=1),$BN$306,HLOOKUP(INDIRECT(ADDRESS(2,COLUMN())),OFFSET($CL$2,0,0,ROW()-1,84),ROW()-1,FALSE))</f>
        <v/>
      </c>
      <c r="BO63" t="str">
        <f ca="1">IF(AND(ISNUMBER($BO$306),$B$252=1),$BO$306,HLOOKUP(INDIRECT(ADDRESS(2,COLUMN())),OFFSET($CL$2,0,0,ROW()-1,84),ROW()-1,FALSE))</f>
        <v/>
      </c>
      <c r="BP63" t="str">
        <f ca="1">IF(AND(ISNUMBER($BP$306),$B$252=1),$BP$306,HLOOKUP(INDIRECT(ADDRESS(2,COLUMN())),OFFSET($CL$2,0,0,ROW()-1,84),ROW()-1,FALSE))</f>
        <v/>
      </c>
      <c r="BQ63" t="str">
        <f ca="1">IF(AND(ISNUMBER($BQ$306),$B$252=1),$BQ$306,HLOOKUP(INDIRECT(ADDRESS(2,COLUMN())),OFFSET($CL$2,0,0,ROW()-1,84),ROW()-1,FALSE))</f>
        <v/>
      </c>
      <c r="BR63" t="str">
        <f ca="1">IF(AND(ISNUMBER($BR$306),$B$252=1),$BR$306,HLOOKUP(INDIRECT(ADDRESS(2,COLUMN())),OFFSET($CL$2,0,0,ROW()-1,84),ROW()-1,FALSE))</f>
        <v/>
      </c>
      <c r="BS63" t="str">
        <f ca="1">IF(AND(ISNUMBER($BS$306),$B$252=1),$BS$306,HLOOKUP(INDIRECT(ADDRESS(2,COLUMN())),OFFSET($CL$2,0,0,ROW()-1,84),ROW()-1,FALSE))</f>
        <v/>
      </c>
      <c r="BT63" t="str">
        <f ca="1">IF(AND(ISNUMBER($BT$306),$B$252=1),$BT$306,HLOOKUP(INDIRECT(ADDRESS(2,COLUMN())),OFFSET($CL$2,0,0,ROW()-1,84),ROW()-1,FALSE))</f>
        <v/>
      </c>
      <c r="BU63" t="str">
        <f ca="1">IF(AND(ISNUMBER($BU$306),$B$252=1),$BU$306,HLOOKUP(INDIRECT(ADDRESS(2,COLUMN())),OFFSET($CL$2,0,0,ROW()-1,84),ROW()-1,FALSE))</f>
        <v/>
      </c>
      <c r="BV63" t="str">
        <f ca="1">IF(AND(ISNUMBER($BV$306),$B$252=1),$BV$306,HLOOKUP(INDIRECT(ADDRESS(2,COLUMN())),OFFSET($CL$2,0,0,ROW()-1,84),ROW()-1,FALSE))</f>
        <v/>
      </c>
      <c r="BW63" t="str">
        <f ca="1">IF(AND(ISNUMBER($BW$306),$B$252=1),$BW$306,HLOOKUP(INDIRECT(ADDRESS(2,COLUMN())),OFFSET($CL$2,0,0,ROW()-1,84),ROW()-1,FALSE))</f>
        <v/>
      </c>
      <c r="BX63" t="str">
        <f ca="1">IF(AND(ISNUMBER($BX$306),$B$252=1),$BX$306,HLOOKUP(INDIRECT(ADDRESS(2,COLUMN())),OFFSET($CL$2,0,0,ROW()-1,84),ROW()-1,FALSE))</f>
        <v/>
      </c>
      <c r="BY63" t="str">
        <f ca="1">IF(AND(ISNUMBER($BY$306),$B$252=1),$BY$306,HLOOKUP(INDIRECT(ADDRESS(2,COLUMN())),OFFSET($CL$2,0,0,ROW()-1,84),ROW()-1,FALSE))</f>
        <v/>
      </c>
      <c r="BZ63" t="str">
        <f ca="1">IF(AND(ISNUMBER($BZ$306),$B$252=1),$BZ$306,HLOOKUP(INDIRECT(ADDRESS(2,COLUMN())),OFFSET($CL$2,0,0,ROW()-1,84),ROW()-1,FALSE))</f>
        <v/>
      </c>
      <c r="CA63" t="str">
        <f ca="1">IF(AND(ISNUMBER($CA$306),$B$252=1),$CA$306,HLOOKUP(INDIRECT(ADDRESS(2,COLUMN())),OFFSET($CL$2,0,0,ROW()-1,84),ROW()-1,FALSE))</f>
        <v/>
      </c>
      <c r="CB63" t="str">
        <f ca="1">IF(AND(ISNUMBER($CB$306),$B$252=1),$CB$306,HLOOKUP(INDIRECT(ADDRESS(2,COLUMN())),OFFSET($CL$2,0,0,ROW()-1,84),ROW()-1,FALSE))</f>
        <v/>
      </c>
      <c r="CC63" t="str">
        <f ca="1">IF(AND(ISNUMBER($CC$306),$B$252=1),$CC$306,HLOOKUP(INDIRECT(ADDRESS(2,COLUMN())),OFFSET($CL$2,0,0,ROW()-1,84),ROW()-1,FALSE))</f>
        <v/>
      </c>
      <c r="CD63" t="str">
        <f ca="1">IF(AND(ISNUMBER($CD$306),$B$252=1),$CD$306,HLOOKUP(INDIRECT(ADDRESS(2,COLUMN())),OFFSET($CL$2,0,0,ROW()-1,84),ROW()-1,FALSE))</f>
        <v/>
      </c>
      <c r="CE63" t="str">
        <f ca="1">IF(AND(ISNUMBER($CE$306),$B$252=1),$CE$306,HLOOKUP(INDIRECT(ADDRESS(2,COLUMN())),OFFSET($CL$2,0,0,ROW()-1,84),ROW()-1,FALSE))</f>
        <v/>
      </c>
      <c r="CF63" t="str">
        <f ca="1">IF(AND(ISNUMBER($CF$306),$B$252=1),$CF$306,HLOOKUP(INDIRECT(ADDRESS(2,COLUMN())),OFFSET($CL$2,0,0,ROW()-1,84),ROW()-1,FALSE))</f>
        <v/>
      </c>
      <c r="CG63" t="str">
        <f ca="1">IF(AND(ISNUMBER($CG$306),$B$252=1),$CG$306,HLOOKUP(INDIRECT(ADDRESS(2,COLUMN())),OFFSET($CL$2,0,0,ROW()-1,84),ROW()-1,FALSE))</f>
        <v/>
      </c>
      <c r="CH63" t="str">
        <f ca="1">IF(AND(ISNUMBER($CH$306),$B$252=1),$CH$306,HLOOKUP(INDIRECT(ADDRESS(2,COLUMN())),OFFSET($CL$2,0,0,ROW()-1,84),ROW()-1,FALSE))</f>
        <v/>
      </c>
      <c r="CI63" t="str">
        <f ca="1">IF(AND(ISNUMBER($CI$306),$B$252=1),$CI$306,HLOOKUP(INDIRECT(ADDRESS(2,COLUMN())),OFFSET($CL$2,0,0,ROW()-1,84),ROW()-1,FALSE))</f>
        <v/>
      </c>
      <c r="CJ63" t="str">
        <f ca="1">IF(AND(ISNUMBER($CJ$306),$B$252=1),$CJ$306,HLOOKUP(INDIRECT(ADDRESS(2,COLUMN())),OFFSET($CL$2,0,0,ROW()-1,84),ROW()-1,FALSE))</f>
        <v/>
      </c>
      <c r="CK63" t="str">
        <f ca="1">IF(AND(ISNUMBER($CK$306),$B$252=1),$CK$306,HLOOKUP(INDIRECT(ADDRESS(2,COLUMN())),OFFSET($CL$2,0,0,ROW()-1,84),ROW()-1,FALSE))</f>
        <v/>
      </c>
      <c r="CL63">
        <f>3.24</f>
        <v>3.24</v>
      </c>
      <c r="CM63">
        <f>3.241</f>
        <v>3.2410000000000001</v>
      </c>
      <c r="CN63">
        <f>3.258</f>
        <v>3.258</v>
      </c>
      <c r="CO63">
        <f>3.262</f>
        <v>3.262</v>
      </c>
      <c r="CP63">
        <f>3.263</f>
        <v>3.2629999999999999</v>
      </c>
      <c r="CQ63">
        <f>3.266</f>
        <v>3.266</v>
      </c>
      <c r="CR63">
        <f>3.271</f>
        <v>3.2709999999999999</v>
      </c>
      <c r="CS63">
        <f>3.273</f>
        <v>3.2730000000000001</v>
      </c>
      <c r="CT63">
        <f>3.272</f>
        <v>3.2719999999999998</v>
      </c>
      <c r="CU63">
        <f>3.25</f>
        <v>3.25</v>
      </c>
      <c r="CV63">
        <f>3.247</f>
        <v>3.2469999999999999</v>
      </c>
      <c r="CW63">
        <f>3.247</f>
        <v>3.2469999999999999</v>
      </c>
      <c r="CX63">
        <f>3.258</f>
        <v>3.258</v>
      </c>
      <c r="CY63">
        <f>3.272</f>
        <v>3.2719999999999998</v>
      </c>
      <c r="CZ63">
        <f>3.324</f>
        <v>3.3239999999999998</v>
      </c>
      <c r="DA63">
        <f>3.332</f>
        <v>3.3319999999999999</v>
      </c>
      <c r="DB63">
        <f>3.349</f>
        <v>3.3490000000000002</v>
      </c>
      <c r="DC63">
        <f>3.351</f>
        <v>3.351</v>
      </c>
      <c r="DD63">
        <f>3.398</f>
        <v>3.3980000000000001</v>
      </c>
      <c r="DE63">
        <f>3.396</f>
        <v>3.3959999999999999</v>
      </c>
      <c r="DF63">
        <f>3.445</f>
        <v>3.4449999999999998</v>
      </c>
      <c r="DG63">
        <f>3.503</f>
        <v>3.5030000000000001</v>
      </c>
      <c r="DH63">
        <f>3.508</f>
        <v>3.508</v>
      </c>
      <c r="DI63">
        <f>3.556</f>
        <v>3.556</v>
      </c>
      <c r="DJ63">
        <f>3.583</f>
        <v>3.5830000000000002</v>
      </c>
      <c r="DK63">
        <f>3.57</f>
        <v>3.57</v>
      </c>
      <c r="DL63" t="str">
        <f>""</f>
        <v/>
      </c>
      <c r="DM63" t="str">
        <f>""</f>
        <v/>
      </c>
      <c r="DN63">
        <f>4.05</f>
        <v>4.05</v>
      </c>
      <c r="DO63" t="str">
        <f>""</f>
        <v/>
      </c>
      <c r="DP63" t="str">
        <f>""</f>
        <v/>
      </c>
      <c r="DQ63" t="str">
        <f>""</f>
        <v/>
      </c>
      <c r="DR63">
        <f>4.48</f>
        <v>4.4800000000000004</v>
      </c>
      <c r="DS63" t="str">
        <f>""</f>
        <v/>
      </c>
      <c r="DT63" t="str">
        <f>""</f>
        <v/>
      </c>
      <c r="DU63" t="str">
        <f>""</f>
        <v/>
      </c>
      <c r="DV63" t="str">
        <f>""</f>
        <v/>
      </c>
      <c r="DW63" t="str">
        <f>""</f>
        <v/>
      </c>
      <c r="DX63" t="str">
        <f>""</f>
        <v/>
      </c>
      <c r="DY63" t="str">
        <f>""</f>
        <v/>
      </c>
      <c r="DZ63" t="str">
        <f>""</f>
        <v/>
      </c>
      <c r="EA63" t="str">
        <f>""</f>
        <v/>
      </c>
      <c r="EB63" t="str">
        <f>""</f>
        <v/>
      </c>
      <c r="EC63" t="str">
        <f>""</f>
        <v/>
      </c>
      <c r="ED63" t="str">
        <f>""</f>
        <v/>
      </c>
      <c r="EE63" t="str">
        <f>""</f>
        <v/>
      </c>
      <c r="EF63" t="str">
        <f>""</f>
        <v/>
      </c>
      <c r="EG63" t="str">
        <f>""</f>
        <v/>
      </c>
      <c r="EH63" t="str">
        <f>""</f>
        <v/>
      </c>
      <c r="EI63" t="str">
        <f>""</f>
        <v/>
      </c>
      <c r="EJ63" t="str">
        <f>""</f>
        <v/>
      </c>
      <c r="EK63" t="str">
        <f>""</f>
        <v/>
      </c>
      <c r="EL63" t="str">
        <f>""</f>
        <v/>
      </c>
      <c r="EM63" t="str">
        <f>""</f>
        <v/>
      </c>
      <c r="EN63" t="str">
        <f>""</f>
        <v/>
      </c>
      <c r="EO63" t="str">
        <f>""</f>
        <v/>
      </c>
      <c r="EP63" t="str">
        <f>""</f>
        <v/>
      </c>
      <c r="EQ63" t="str">
        <f>""</f>
        <v/>
      </c>
      <c r="ER63" t="str">
        <f>""</f>
        <v/>
      </c>
      <c r="ES63" t="str">
        <f>""</f>
        <v/>
      </c>
      <c r="ET63" t="str">
        <f>""</f>
        <v/>
      </c>
      <c r="EU63" t="str">
        <f>""</f>
        <v/>
      </c>
      <c r="EV63" t="str">
        <f>""</f>
        <v/>
      </c>
      <c r="EW63" t="str">
        <f>""</f>
        <v/>
      </c>
      <c r="EX63" t="str">
        <f>""</f>
        <v/>
      </c>
      <c r="EY63" t="str">
        <f>""</f>
        <v/>
      </c>
      <c r="EZ63" t="str">
        <f>""</f>
        <v/>
      </c>
      <c r="FA63" t="str">
        <f>""</f>
        <v/>
      </c>
      <c r="FB63" t="str">
        <f>""</f>
        <v/>
      </c>
      <c r="FC63" t="str">
        <f>""</f>
        <v/>
      </c>
      <c r="FD63" t="str">
        <f>""</f>
        <v/>
      </c>
      <c r="FE63" t="str">
        <f>""</f>
        <v/>
      </c>
      <c r="FF63" t="str">
        <f>""</f>
        <v/>
      </c>
      <c r="FG63" t="str">
        <f>""</f>
        <v/>
      </c>
      <c r="FH63" t="str">
        <f>""</f>
        <v/>
      </c>
      <c r="FI63" t="str">
        <f>""</f>
        <v/>
      </c>
      <c r="FJ63" t="str">
        <f>""</f>
        <v/>
      </c>
      <c r="FK63" t="str">
        <f>""</f>
        <v/>
      </c>
      <c r="FL63" t="str">
        <f>""</f>
        <v/>
      </c>
      <c r="FM63" t="str">
        <f>""</f>
        <v/>
      </c>
      <c r="FN63" t="str">
        <f>""</f>
        <v/>
      </c>
      <c r="FO63" t="str">
        <f>""</f>
        <v/>
      </c>
      <c r="FP63" t="str">
        <f>""</f>
        <v/>
      </c>
      <c r="FQ63" t="str">
        <f>""</f>
        <v/>
      </c>
    </row>
    <row r="64" spans="1:173">
      <c r="A64" t="str">
        <f>"    埃塞克斯房地产信托公司"</f>
        <v xml:space="preserve">    埃塞克斯房地产信托公司</v>
      </c>
      <c r="B64" t="str">
        <f>"ESS US Equity"</f>
        <v>ESS US Equity</v>
      </c>
      <c r="C64" t="str">
        <f t="shared" si="21"/>
        <v>BE038</v>
      </c>
      <c r="D64" t="str">
        <f t="shared" si="22"/>
        <v>BEST_FFOPS</v>
      </c>
      <c r="E64" t="str">
        <f t="shared" si="23"/>
        <v>动态</v>
      </c>
      <c r="F64">
        <f ca="1">IF(AND(ISNUMBER($F$307),$B$252=1),$F$307,HLOOKUP(INDIRECT(ADDRESS(2,COLUMN())),OFFSET($CL$2,0,0,ROW()-1,84),ROW()-1,FALSE))</f>
        <v>12.448</v>
      </c>
      <c r="G64">
        <f ca="1">IF(AND(ISNUMBER($G$307),$B$252=1),$G$307,HLOOKUP(INDIRECT(ADDRESS(2,COLUMN())),OFFSET($CL$2,0,0,ROW()-1,84),ROW()-1,FALSE))</f>
        <v>12.451000000000001</v>
      </c>
      <c r="H64">
        <f ca="1">IF(AND(ISNUMBER($H$307),$B$252=1),$H$307,HLOOKUP(INDIRECT(ADDRESS(2,COLUMN())),OFFSET($CL$2,0,0,ROW()-1,84),ROW()-1,FALSE))</f>
        <v>12.435</v>
      </c>
      <c r="I64">
        <f ca="1">IF(AND(ISNUMBER($I$307),$B$252=1),$I$307,HLOOKUP(INDIRECT(ADDRESS(2,COLUMN())),OFFSET($CL$2,0,0,ROW()-1,84),ROW()-1,FALSE))</f>
        <v>12.45</v>
      </c>
      <c r="J64">
        <f ca="1">IF(AND(ISNUMBER($J$307),$B$252=1),$J$307,HLOOKUP(INDIRECT(ADDRESS(2,COLUMN())),OFFSET($CL$2,0,0,ROW()-1,84),ROW()-1,FALSE))</f>
        <v>12.454000000000001</v>
      </c>
      <c r="K64">
        <f ca="1">IF(AND(ISNUMBER($K$307),$B$252=1),$K$307,HLOOKUP(INDIRECT(ADDRESS(2,COLUMN())),OFFSET($CL$2,0,0,ROW()-1,84),ROW()-1,FALSE))</f>
        <v>12.468</v>
      </c>
      <c r="L64">
        <f ca="1">IF(AND(ISNUMBER($L$307),$B$252=1),$L$307,HLOOKUP(INDIRECT(ADDRESS(2,COLUMN())),OFFSET($CL$2,0,0,ROW()-1,84),ROW()-1,FALSE))</f>
        <v>12.47</v>
      </c>
      <c r="M64">
        <f ca="1">IF(AND(ISNUMBER($M$307),$B$252=1),$M$307,HLOOKUP(INDIRECT(ADDRESS(2,COLUMN())),OFFSET($CL$2,0,0,ROW()-1,84),ROW()-1,FALSE))</f>
        <v>12.45</v>
      </c>
      <c r="N64">
        <f ca="1">IF(AND(ISNUMBER($N$307),$B$252=1),$N$307,HLOOKUP(INDIRECT(ADDRESS(2,COLUMN())),OFFSET($CL$2,0,0,ROW()-1,84),ROW()-1,FALSE))</f>
        <v>12.457000000000001</v>
      </c>
      <c r="O64">
        <f ca="1">IF(AND(ISNUMBER($O$307),$B$252=1),$O$307,HLOOKUP(INDIRECT(ADDRESS(2,COLUMN())),OFFSET($CL$2,0,0,ROW()-1,84),ROW()-1,FALSE))</f>
        <v>12.438000000000001</v>
      </c>
      <c r="P64">
        <f ca="1">IF(AND(ISNUMBER($P$307),$B$252=1),$P$307,HLOOKUP(INDIRECT(ADDRESS(2,COLUMN())),OFFSET($CL$2,0,0,ROW()-1,84),ROW()-1,FALSE))</f>
        <v>12.396000000000001</v>
      </c>
      <c r="Q64">
        <f ca="1">IF(AND(ISNUMBER($Q$307),$B$252=1),$Q$307,HLOOKUP(INDIRECT(ADDRESS(2,COLUMN())),OFFSET($CL$2,0,0,ROW()-1,84),ROW()-1,FALSE))</f>
        <v>12.324999999999999</v>
      </c>
      <c r="R64">
        <f ca="1">IF(AND(ISNUMBER($R$307),$B$252=1),$R$307,HLOOKUP(INDIRECT(ADDRESS(2,COLUMN())),OFFSET($CL$2,0,0,ROW()-1,84),ROW()-1,FALSE))</f>
        <v>12.321</v>
      </c>
      <c r="S64">
        <f ca="1">IF(AND(ISNUMBER($S$307),$B$252=1),$S$307,HLOOKUP(INDIRECT(ADDRESS(2,COLUMN())),OFFSET($CL$2,0,0,ROW()-1,84),ROW()-1,FALSE))</f>
        <v>12.33</v>
      </c>
      <c r="T64">
        <f ca="1">IF(AND(ISNUMBER($T$307),$B$252=1),$T$307,HLOOKUP(INDIRECT(ADDRESS(2,COLUMN())),OFFSET($CL$2,0,0,ROW()-1,84),ROW()-1,FALSE))</f>
        <v>12.499000000000001</v>
      </c>
      <c r="U64">
        <f ca="1">IF(AND(ISNUMBER($U$307),$B$252=1),$U$307,HLOOKUP(INDIRECT(ADDRESS(2,COLUMN())),OFFSET($CL$2,0,0,ROW()-1,84),ROW()-1,FALSE))</f>
        <v>12.477</v>
      </c>
      <c r="V64">
        <f ca="1">IF(AND(ISNUMBER($V$307),$B$252=1),$V$307,HLOOKUP(INDIRECT(ADDRESS(2,COLUMN())),OFFSET($CL$2,0,0,ROW()-1,84),ROW()-1,FALSE))</f>
        <v>12.526</v>
      </c>
      <c r="W64">
        <f ca="1">IF(AND(ISNUMBER($W$307),$B$252=1),$W$307,HLOOKUP(INDIRECT(ADDRESS(2,COLUMN())),OFFSET($CL$2,0,0,ROW()-1,84),ROW()-1,FALSE))</f>
        <v>12.49</v>
      </c>
      <c r="X64">
        <f ca="1">IF(AND(ISNUMBER($X$307),$B$252=1),$X$307,HLOOKUP(INDIRECT(ADDRESS(2,COLUMN())),OFFSET($CL$2,0,0,ROW()-1,84),ROW()-1,FALSE))</f>
        <v>12.532999999999999</v>
      </c>
      <c r="Y64">
        <f ca="1">IF(AND(ISNUMBER($Y$307),$B$252=1),$Y$307,HLOOKUP(INDIRECT(ADDRESS(2,COLUMN())),OFFSET($CL$2,0,0,ROW()-1,84),ROW()-1,FALSE))</f>
        <v>12.547000000000001</v>
      </c>
      <c r="Z64">
        <f ca="1">IF(AND(ISNUMBER($Z$307),$B$252=1),$Z$307,HLOOKUP(INDIRECT(ADDRESS(2,COLUMN())),OFFSET($CL$2,0,0,ROW()-1,84),ROW()-1,FALSE))</f>
        <v>12.643000000000001</v>
      </c>
      <c r="AA64">
        <f ca="1">IF(AND(ISNUMBER($AA$307),$B$252=1),$AA$307,HLOOKUP(INDIRECT(ADDRESS(2,COLUMN())),OFFSET($CL$2,0,0,ROW()-1,84),ROW()-1,FALSE))</f>
        <v>12.715999999999999</v>
      </c>
      <c r="AB64">
        <f ca="1">IF(AND(ISNUMBER($AB$307),$B$252=1),$AB$307,HLOOKUP(INDIRECT(ADDRESS(2,COLUMN())),OFFSET($CL$2,0,0,ROW()-1,84),ROW()-1,FALSE))</f>
        <v>12.76</v>
      </c>
      <c r="AC64">
        <f ca="1">IF(AND(ISNUMBER($AC$307),$B$252=1),$AC$307,HLOOKUP(INDIRECT(ADDRESS(2,COLUMN())),OFFSET($CL$2,0,0,ROW()-1,84),ROW()-1,FALSE))</f>
        <v>12.872</v>
      </c>
      <c r="AD64">
        <f ca="1">IF(AND(ISNUMBER($AD$307),$B$252=1),$AD$307,HLOOKUP(INDIRECT(ADDRESS(2,COLUMN())),OFFSET($CL$2,0,0,ROW()-1,84),ROW()-1,FALSE))</f>
        <v>12.933999999999999</v>
      </c>
      <c r="AE64">
        <f ca="1">IF(AND(ISNUMBER($AE$307),$B$252=1),$AE$307,HLOOKUP(INDIRECT(ADDRESS(2,COLUMN())),OFFSET($CL$2,0,0,ROW()-1,84),ROW()-1,FALSE))</f>
        <v>12.816000000000001</v>
      </c>
      <c r="AF64" t="str">
        <f ca="1">IF(AND(ISNUMBER($AF$307),$B$252=1),$AF$307,HLOOKUP(INDIRECT(ADDRESS(2,COLUMN())),OFFSET($CL$2,0,0,ROW()-1,84),ROW()-1,FALSE))</f>
        <v/>
      </c>
      <c r="AG64" t="str">
        <f ca="1">IF(AND(ISNUMBER($AG$307),$B$252=1),$AG$307,HLOOKUP(INDIRECT(ADDRESS(2,COLUMN())),OFFSET($CL$2,0,0,ROW()-1,84),ROW()-1,FALSE))</f>
        <v/>
      </c>
      <c r="AH64" t="str">
        <f ca="1">IF(AND(ISNUMBER($AH$307),$B$252=1),$AH$307,HLOOKUP(INDIRECT(ADDRESS(2,COLUMN())),OFFSET($CL$2,0,0,ROW()-1,84),ROW()-1,FALSE))</f>
        <v/>
      </c>
      <c r="AI64" t="str">
        <f ca="1">IF(AND(ISNUMBER($AI$307),$B$252=1),$AI$307,HLOOKUP(INDIRECT(ADDRESS(2,COLUMN())),OFFSET($CL$2,0,0,ROW()-1,84),ROW()-1,FALSE))</f>
        <v/>
      </c>
      <c r="AJ64" t="str">
        <f ca="1">IF(AND(ISNUMBER($AJ$307),$B$252=1),$AJ$307,HLOOKUP(INDIRECT(ADDRESS(2,COLUMN())),OFFSET($CL$2,0,0,ROW()-1,84),ROW()-1,FALSE))</f>
        <v/>
      </c>
      <c r="AK64" t="str">
        <f ca="1">IF(AND(ISNUMBER($AK$307),$B$252=1),$AK$307,HLOOKUP(INDIRECT(ADDRESS(2,COLUMN())),OFFSET($CL$2,0,0,ROW()-1,84),ROW()-1,FALSE))</f>
        <v/>
      </c>
      <c r="AL64">
        <f ca="1">IF(AND(ISNUMBER($AL$307),$B$252=1),$AL$307,HLOOKUP(INDIRECT(ADDRESS(2,COLUMN())),OFFSET($CL$2,0,0,ROW()-1,84),ROW()-1,FALSE))</f>
        <v>12.53</v>
      </c>
      <c r="AM64" t="str">
        <f ca="1">IF(AND(ISNUMBER($AM$307),$B$252=1),$AM$307,HLOOKUP(INDIRECT(ADDRESS(2,COLUMN())),OFFSET($CL$2,0,0,ROW()-1,84),ROW()-1,FALSE))</f>
        <v/>
      </c>
      <c r="AN64" t="str">
        <f ca="1">IF(AND(ISNUMBER($AN$307),$B$252=1),$AN$307,HLOOKUP(INDIRECT(ADDRESS(2,COLUMN())),OFFSET($CL$2,0,0,ROW()-1,84),ROW()-1,FALSE))</f>
        <v/>
      </c>
      <c r="AO64" t="str">
        <f ca="1">IF(AND(ISNUMBER($AO$307),$B$252=1),$AO$307,HLOOKUP(INDIRECT(ADDRESS(2,COLUMN())),OFFSET($CL$2,0,0,ROW()-1,84),ROW()-1,FALSE))</f>
        <v/>
      </c>
      <c r="AP64" t="str">
        <f ca="1">IF(AND(ISNUMBER($AP$307),$B$252=1),$AP$307,HLOOKUP(INDIRECT(ADDRESS(2,COLUMN())),OFFSET($CL$2,0,0,ROW()-1,84),ROW()-1,FALSE))</f>
        <v/>
      </c>
      <c r="AQ64" t="str">
        <f ca="1">IF(AND(ISNUMBER($AQ$307),$B$252=1),$AQ$307,HLOOKUP(INDIRECT(ADDRESS(2,COLUMN())),OFFSET($CL$2,0,0,ROW()-1,84),ROW()-1,FALSE))</f>
        <v/>
      </c>
      <c r="AR64" t="str">
        <f ca="1">IF(AND(ISNUMBER($AR$307),$B$252=1),$AR$307,HLOOKUP(INDIRECT(ADDRESS(2,COLUMN())),OFFSET($CL$2,0,0,ROW()-1,84),ROW()-1,FALSE))</f>
        <v/>
      </c>
      <c r="AS64" t="str">
        <f ca="1">IF(AND(ISNUMBER($AS$307),$B$252=1),$AS$307,HLOOKUP(INDIRECT(ADDRESS(2,COLUMN())),OFFSET($CL$2,0,0,ROW()-1,84),ROW()-1,FALSE))</f>
        <v/>
      </c>
      <c r="AT64" t="str">
        <f ca="1">IF(AND(ISNUMBER($AT$307),$B$252=1),$AT$307,HLOOKUP(INDIRECT(ADDRESS(2,COLUMN())),OFFSET($CL$2,0,0,ROW()-1,84),ROW()-1,FALSE))</f>
        <v/>
      </c>
      <c r="AU64" t="str">
        <f ca="1">IF(AND(ISNUMBER($AU$307),$B$252=1),$AU$307,HLOOKUP(INDIRECT(ADDRESS(2,COLUMN())),OFFSET($CL$2,0,0,ROW()-1,84),ROW()-1,FALSE))</f>
        <v/>
      </c>
      <c r="AV64" t="str">
        <f ca="1">IF(AND(ISNUMBER($AV$307),$B$252=1),$AV$307,HLOOKUP(INDIRECT(ADDRESS(2,COLUMN())),OFFSET($CL$2,0,0,ROW()-1,84),ROW()-1,FALSE))</f>
        <v/>
      </c>
      <c r="AW64" t="str">
        <f ca="1">IF(AND(ISNUMBER($AW$307),$B$252=1),$AW$307,HLOOKUP(INDIRECT(ADDRESS(2,COLUMN())),OFFSET($CL$2,0,0,ROW()-1,84),ROW()-1,FALSE))</f>
        <v/>
      </c>
      <c r="AX64" t="str">
        <f ca="1">IF(AND(ISNUMBER($AX$307),$B$252=1),$AX$307,HLOOKUP(INDIRECT(ADDRESS(2,COLUMN())),OFFSET($CL$2,0,0,ROW()-1,84),ROW()-1,FALSE))</f>
        <v/>
      </c>
      <c r="AY64" t="str">
        <f ca="1">IF(AND(ISNUMBER($AY$307),$B$252=1),$AY$307,HLOOKUP(INDIRECT(ADDRESS(2,COLUMN())),OFFSET($CL$2,0,0,ROW()-1,84),ROW()-1,FALSE))</f>
        <v/>
      </c>
      <c r="AZ64" t="str">
        <f ca="1">IF(AND(ISNUMBER($AZ$307),$B$252=1),$AZ$307,HLOOKUP(INDIRECT(ADDRESS(2,COLUMN())),OFFSET($CL$2,0,0,ROW()-1,84),ROW()-1,FALSE))</f>
        <v/>
      </c>
      <c r="BA64" t="str">
        <f ca="1">IF(AND(ISNUMBER($BA$307),$B$252=1),$BA$307,HLOOKUP(INDIRECT(ADDRESS(2,COLUMN())),OFFSET($CL$2,0,0,ROW()-1,84),ROW()-1,FALSE))</f>
        <v/>
      </c>
      <c r="BB64" t="str">
        <f ca="1">IF(AND(ISNUMBER($BB$307),$B$252=1),$BB$307,HLOOKUP(INDIRECT(ADDRESS(2,COLUMN())),OFFSET($CL$2,0,0,ROW()-1,84),ROW()-1,FALSE))</f>
        <v/>
      </c>
      <c r="BC64" t="str">
        <f ca="1">IF(AND(ISNUMBER($BC$307),$B$252=1),$BC$307,HLOOKUP(INDIRECT(ADDRESS(2,COLUMN())),OFFSET($CL$2,0,0,ROW()-1,84),ROW()-1,FALSE))</f>
        <v/>
      </c>
      <c r="BD64" t="str">
        <f ca="1">IF(AND(ISNUMBER($BD$307),$B$252=1),$BD$307,HLOOKUP(INDIRECT(ADDRESS(2,COLUMN())),OFFSET($CL$2,0,0,ROW()-1,84),ROW()-1,FALSE))</f>
        <v/>
      </c>
      <c r="BE64" t="str">
        <f ca="1">IF(AND(ISNUMBER($BE$307),$B$252=1),$BE$307,HLOOKUP(INDIRECT(ADDRESS(2,COLUMN())),OFFSET($CL$2,0,0,ROW()-1,84),ROW()-1,FALSE))</f>
        <v/>
      </c>
      <c r="BF64" t="str">
        <f ca="1">IF(AND(ISNUMBER($BF$307),$B$252=1),$BF$307,HLOOKUP(INDIRECT(ADDRESS(2,COLUMN())),OFFSET($CL$2,0,0,ROW()-1,84),ROW()-1,FALSE))</f>
        <v/>
      </c>
      <c r="BG64" t="str">
        <f ca="1">IF(AND(ISNUMBER($BG$307),$B$252=1),$BG$307,HLOOKUP(INDIRECT(ADDRESS(2,COLUMN())),OFFSET($CL$2,0,0,ROW()-1,84),ROW()-1,FALSE))</f>
        <v/>
      </c>
      <c r="BH64" t="str">
        <f ca="1">IF(AND(ISNUMBER($BH$307),$B$252=1),$BH$307,HLOOKUP(INDIRECT(ADDRESS(2,COLUMN())),OFFSET($CL$2,0,0,ROW()-1,84),ROW()-1,FALSE))</f>
        <v/>
      </c>
      <c r="BI64" t="str">
        <f ca="1">IF(AND(ISNUMBER($BI$307),$B$252=1),$BI$307,HLOOKUP(INDIRECT(ADDRESS(2,COLUMN())),OFFSET($CL$2,0,0,ROW()-1,84),ROW()-1,FALSE))</f>
        <v/>
      </c>
      <c r="BJ64" t="str">
        <f ca="1">IF(AND(ISNUMBER($BJ$307),$B$252=1),$BJ$307,HLOOKUP(INDIRECT(ADDRESS(2,COLUMN())),OFFSET($CL$2,0,0,ROW()-1,84),ROW()-1,FALSE))</f>
        <v/>
      </c>
      <c r="BK64" t="str">
        <f ca="1">IF(AND(ISNUMBER($BK$307),$B$252=1),$BK$307,HLOOKUP(INDIRECT(ADDRESS(2,COLUMN())),OFFSET($CL$2,0,0,ROW()-1,84),ROW()-1,FALSE))</f>
        <v/>
      </c>
      <c r="BL64" t="str">
        <f ca="1">IF(AND(ISNUMBER($BL$307),$B$252=1),$BL$307,HLOOKUP(INDIRECT(ADDRESS(2,COLUMN())),OFFSET($CL$2,0,0,ROW()-1,84),ROW()-1,FALSE))</f>
        <v/>
      </c>
      <c r="BM64" t="str">
        <f ca="1">IF(AND(ISNUMBER($BM$307),$B$252=1),$BM$307,HLOOKUP(INDIRECT(ADDRESS(2,COLUMN())),OFFSET($CL$2,0,0,ROW()-1,84),ROW()-1,FALSE))</f>
        <v/>
      </c>
      <c r="BN64" t="str">
        <f ca="1">IF(AND(ISNUMBER($BN$307),$B$252=1),$BN$307,HLOOKUP(INDIRECT(ADDRESS(2,COLUMN())),OFFSET($CL$2,0,0,ROW()-1,84),ROW()-1,FALSE))</f>
        <v/>
      </c>
      <c r="BO64" t="str">
        <f ca="1">IF(AND(ISNUMBER($BO$307),$B$252=1),$BO$307,HLOOKUP(INDIRECT(ADDRESS(2,COLUMN())),OFFSET($CL$2,0,0,ROW()-1,84),ROW()-1,FALSE))</f>
        <v/>
      </c>
      <c r="BP64" t="str">
        <f ca="1">IF(AND(ISNUMBER($BP$307),$B$252=1),$BP$307,HLOOKUP(INDIRECT(ADDRESS(2,COLUMN())),OFFSET($CL$2,0,0,ROW()-1,84),ROW()-1,FALSE))</f>
        <v/>
      </c>
      <c r="BQ64" t="str">
        <f ca="1">IF(AND(ISNUMBER($BQ$307),$B$252=1),$BQ$307,HLOOKUP(INDIRECT(ADDRESS(2,COLUMN())),OFFSET($CL$2,0,0,ROW()-1,84),ROW()-1,FALSE))</f>
        <v/>
      </c>
      <c r="BR64" t="str">
        <f ca="1">IF(AND(ISNUMBER($BR$307),$B$252=1),$BR$307,HLOOKUP(INDIRECT(ADDRESS(2,COLUMN())),OFFSET($CL$2,0,0,ROW()-1,84),ROW()-1,FALSE))</f>
        <v/>
      </c>
      <c r="BS64" t="str">
        <f ca="1">IF(AND(ISNUMBER($BS$307),$B$252=1),$BS$307,HLOOKUP(INDIRECT(ADDRESS(2,COLUMN())),OFFSET($CL$2,0,0,ROW()-1,84),ROW()-1,FALSE))</f>
        <v/>
      </c>
      <c r="BT64" t="str">
        <f ca="1">IF(AND(ISNUMBER($BT$307),$B$252=1),$BT$307,HLOOKUP(INDIRECT(ADDRESS(2,COLUMN())),OFFSET($CL$2,0,0,ROW()-1,84),ROW()-1,FALSE))</f>
        <v/>
      </c>
      <c r="BU64" t="str">
        <f ca="1">IF(AND(ISNUMBER($BU$307),$B$252=1),$BU$307,HLOOKUP(INDIRECT(ADDRESS(2,COLUMN())),OFFSET($CL$2,0,0,ROW()-1,84),ROW()-1,FALSE))</f>
        <v/>
      </c>
      <c r="BV64" t="str">
        <f ca="1">IF(AND(ISNUMBER($BV$307),$B$252=1),$BV$307,HLOOKUP(INDIRECT(ADDRESS(2,COLUMN())),OFFSET($CL$2,0,0,ROW()-1,84),ROW()-1,FALSE))</f>
        <v/>
      </c>
      <c r="BW64" t="str">
        <f ca="1">IF(AND(ISNUMBER($BW$307),$B$252=1),$BW$307,HLOOKUP(INDIRECT(ADDRESS(2,COLUMN())),OFFSET($CL$2,0,0,ROW()-1,84),ROW()-1,FALSE))</f>
        <v/>
      </c>
      <c r="BX64" t="str">
        <f ca="1">IF(AND(ISNUMBER($BX$307),$B$252=1),$BX$307,HLOOKUP(INDIRECT(ADDRESS(2,COLUMN())),OFFSET($CL$2,0,0,ROW()-1,84),ROW()-1,FALSE))</f>
        <v/>
      </c>
      <c r="BY64" t="str">
        <f ca="1">IF(AND(ISNUMBER($BY$307),$B$252=1),$BY$307,HLOOKUP(INDIRECT(ADDRESS(2,COLUMN())),OFFSET($CL$2,0,0,ROW()-1,84),ROW()-1,FALSE))</f>
        <v/>
      </c>
      <c r="BZ64" t="str">
        <f ca="1">IF(AND(ISNUMBER($BZ$307),$B$252=1),$BZ$307,HLOOKUP(INDIRECT(ADDRESS(2,COLUMN())),OFFSET($CL$2,0,0,ROW()-1,84),ROW()-1,FALSE))</f>
        <v/>
      </c>
      <c r="CA64" t="str">
        <f ca="1">IF(AND(ISNUMBER($CA$307),$B$252=1),$CA$307,HLOOKUP(INDIRECT(ADDRESS(2,COLUMN())),OFFSET($CL$2,0,0,ROW()-1,84),ROW()-1,FALSE))</f>
        <v/>
      </c>
      <c r="CB64" t="str">
        <f ca="1">IF(AND(ISNUMBER($CB$307),$B$252=1),$CB$307,HLOOKUP(INDIRECT(ADDRESS(2,COLUMN())),OFFSET($CL$2,0,0,ROW()-1,84),ROW()-1,FALSE))</f>
        <v/>
      </c>
      <c r="CC64" t="str">
        <f ca="1">IF(AND(ISNUMBER($CC$307),$B$252=1),$CC$307,HLOOKUP(INDIRECT(ADDRESS(2,COLUMN())),OFFSET($CL$2,0,0,ROW()-1,84),ROW()-1,FALSE))</f>
        <v/>
      </c>
      <c r="CD64" t="str">
        <f ca="1">IF(AND(ISNUMBER($CD$307),$B$252=1),$CD$307,HLOOKUP(INDIRECT(ADDRESS(2,COLUMN())),OFFSET($CL$2,0,0,ROW()-1,84),ROW()-1,FALSE))</f>
        <v/>
      </c>
      <c r="CE64" t="str">
        <f ca="1">IF(AND(ISNUMBER($CE$307),$B$252=1),$CE$307,HLOOKUP(INDIRECT(ADDRESS(2,COLUMN())),OFFSET($CL$2,0,0,ROW()-1,84),ROW()-1,FALSE))</f>
        <v/>
      </c>
      <c r="CF64" t="str">
        <f ca="1">IF(AND(ISNUMBER($CF$307),$B$252=1),$CF$307,HLOOKUP(INDIRECT(ADDRESS(2,COLUMN())),OFFSET($CL$2,0,0,ROW()-1,84),ROW()-1,FALSE))</f>
        <v/>
      </c>
      <c r="CG64" t="str">
        <f ca="1">IF(AND(ISNUMBER($CG$307),$B$252=1),$CG$307,HLOOKUP(INDIRECT(ADDRESS(2,COLUMN())),OFFSET($CL$2,0,0,ROW()-1,84),ROW()-1,FALSE))</f>
        <v/>
      </c>
      <c r="CH64" t="str">
        <f ca="1">IF(AND(ISNUMBER($CH$307),$B$252=1),$CH$307,HLOOKUP(INDIRECT(ADDRESS(2,COLUMN())),OFFSET($CL$2,0,0,ROW()-1,84),ROW()-1,FALSE))</f>
        <v/>
      </c>
      <c r="CI64" t="str">
        <f ca="1">IF(AND(ISNUMBER($CI$307),$B$252=1),$CI$307,HLOOKUP(INDIRECT(ADDRESS(2,COLUMN())),OFFSET($CL$2,0,0,ROW()-1,84),ROW()-1,FALSE))</f>
        <v/>
      </c>
      <c r="CJ64" t="str">
        <f ca="1">IF(AND(ISNUMBER($CJ$307),$B$252=1),$CJ$307,HLOOKUP(INDIRECT(ADDRESS(2,COLUMN())),OFFSET($CL$2,0,0,ROW()-1,84),ROW()-1,FALSE))</f>
        <v/>
      </c>
      <c r="CK64" t="str">
        <f ca="1">IF(AND(ISNUMBER($CK$307),$B$252=1),$CK$307,HLOOKUP(INDIRECT(ADDRESS(2,COLUMN())),OFFSET($CL$2,0,0,ROW()-1,84),ROW()-1,FALSE))</f>
        <v/>
      </c>
      <c r="CL64">
        <f>12.448</f>
        <v>12.448</v>
      </c>
      <c r="CM64">
        <f>12.451</f>
        <v>12.451000000000001</v>
      </c>
      <c r="CN64">
        <f>12.435</f>
        <v>12.435</v>
      </c>
      <c r="CO64">
        <f>12.45</f>
        <v>12.45</v>
      </c>
      <c r="CP64">
        <f>12.454</f>
        <v>12.454000000000001</v>
      </c>
      <c r="CQ64">
        <f>12.468</f>
        <v>12.468</v>
      </c>
      <c r="CR64">
        <f>12.47</f>
        <v>12.47</v>
      </c>
      <c r="CS64">
        <f>12.45</f>
        <v>12.45</v>
      </c>
      <c r="CT64">
        <f>12.457</f>
        <v>12.457000000000001</v>
      </c>
      <c r="CU64">
        <f>12.438</f>
        <v>12.438000000000001</v>
      </c>
      <c r="CV64">
        <f>12.396</f>
        <v>12.396000000000001</v>
      </c>
      <c r="CW64">
        <f>12.325</f>
        <v>12.324999999999999</v>
      </c>
      <c r="CX64">
        <f>12.321</f>
        <v>12.321</v>
      </c>
      <c r="CY64">
        <f>12.33</f>
        <v>12.33</v>
      </c>
      <c r="CZ64">
        <f>12.499</f>
        <v>12.499000000000001</v>
      </c>
      <c r="DA64">
        <f>12.477</f>
        <v>12.477</v>
      </c>
      <c r="DB64">
        <f>12.526</f>
        <v>12.526</v>
      </c>
      <c r="DC64">
        <f>12.49</f>
        <v>12.49</v>
      </c>
      <c r="DD64">
        <f>12.533</f>
        <v>12.532999999999999</v>
      </c>
      <c r="DE64">
        <f>12.547</f>
        <v>12.547000000000001</v>
      </c>
      <c r="DF64">
        <f>12.643</f>
        <v>12.643000000000001</v>
      </c>
      <c r="DG64">
        <f>12.716</f>
        <v>12.715999999999999</v>
      </c>
      <c r="DH64">
        <f>12.76</f>
        <v>12.76</v>
      </c>
      <c r="DI64">
        <f>12.872</f>
        <v>12.872</v>
      </c>
      <c r="DJ64">
        <f>12.934</f>
        <v>12.933999999999999</v>
      </c>
      <c r="DK64">
        <f>12.816</f>
        <v>12.816000000000001</v>
      </c>
      <c r="DL64" t="str">
        <f>""</f>
        <v/>
      </c>
      <c r="DM64" t="str">
        <f>""</f>
        <v/>
      </c>
      <c r="DN64" t="str">
        <f>""</f>
        <v/>
      </c>
      <c r="DO64" t="str">
        <f>""</f>
        <v/>
      </c>
      <c r="DP64" t="str">
        <f>""</f>
        <v/>
      </c>
      <c r="DQ64" t="str">
        <f>""</f>
        <v/>
      </c>
      <c r="DR64">
        <f>12.53</f>
        <v>12.53</v>
      </c>
      <c r="DS64" t="str">
        <f>""</f>
        <v/>
      </c>
      <c r="DT64" t="str">
        <f>""</f>
        <v/>
      </c>
      <c r="DU64" t="str">
        <f>""</f>
        <v/>
      </c>
      <c r="DV64" t="str">
        <f>""</f>
        <v/>
      </c>
      <c r="DW64" t="str">
        <f>""</f>
        <v/>
      </c>
      <c r="DX64" t="str">
        <f>""</f>
        <v/>
      </c>
      <c r="DY64" t="str">
        <f>""</f>
        <v/>
      </c>
      <c r="DZ64" t="str">
        <f>""</f>
        <v/>
      </c>
      <c r="EA64" t="str">
        <f>""</f>
        <v/>
      </c>
      <c r="EB64" t="str">
        <f>""</f>
        <v/>
      </c>
      <c r="EC64" t="str">
        <f>""</f>
        <v/>
      </c>
      <c r="ED64" t="str">
        <f>""</f>
        <v/>
      </c>
      <c r="EE64" t="str">
        <f>""</f>
        <v/>
      </c>
      <c r="EF64" t="str">
        <f>""</f>
        <v/>
      </c>
      <c r="EG64" t="str">
        <f>""</f>
        <v/>
      </c>
      <c r="EH64" t="str">
        <f>""</f>
        <v/>
      </c>
      <c r="EI64" t="str">
        <f>""</f>
        <v/>
      </c>
      <c r="EJ64" t="str">
        <f>""</f>
        <v/>
      </c>
      <c r="EK64" t="str">
        <f>""</f>
        <v/>
      </c>
      <c r="EL64" t="str">
        <f>""</f>
        <v/>
      </c>
      <c r="EM64" t="str">
        <f>""</f>
        <v/>
      </c>
      <c r="EN64" t="str">
        <f>""</f>
        <v/>
      </c>
      <c r="EO64" t="str">
        <f>""</f>
        <v/>
      </c>
      <c r="EP64" t="str">
        <f>""</f>
        <v/>
      </c>
      <c r="EQ64" t="str">
        <f>""</f>
        <v/>
      </c>
      <c r="ER64" t="str">
        <f>""</f>
        <v/>
      </c>
      <c r="ES64" t="str">
        <f>""</f>
        <v/>
      </c>
      <c r="ET64" t="str">
        <f>""</f>
        <v/>
      </c>
      <c r="EU64" t="str">
        <f>""</f>
        <v/>
      </c>
      <c r="EV64" t="str">
        <f>""</f>
        <v/>
      </c>
      <c r="EW64" t="str">
        <f>""</f>
        <v/>
      </c>
      <c r="EX64" t="str">
        <f>""</f>
        <v/>
      </c>
      <c r="EY64" t="str">
        <f>""</f>
        <v/>
      </c>
      <c r="EZ64" t="str">
        <f>""</f>
        <v/>
      </c>
      <c r="FA64" t="str">
        <f>""</f>
        <v/>
      </c>
      <c r="FB64" t="str">
        <f>""</f>
        <v/>
      </c>
      <c r="FC64" t="str">
        <f>""</f>
        <v/>
      </c>
      <c r="FD64" t="str">
        <f>""</f>
        <v/>
      </c>
      <c r="FE64" t="str">
        <f>""</f>
        <v/>
      </c>
      <c r="FF64" t="str">
        <f>""</f>
        <v/>
      </c>
      <c r="FG64" t="str">
        <f>""</f>
        <v/>
      </c>
      <c r="FH64" t="str">
        <f>""</f>
        <v/>
      </c>
      <c r="FI64" t="str">
        <f>""</f>
        <v/>
      </c>
      <c r="FJ64" t="str">
        <f>""</f>
        <v/>
      </c>
      <c r="FK64" t="str">
        <f>""</f>
        <v/>
      </c>
      <c r="FL64" t="str">
        <f>""</f>
        <v/>
      </c>
      <c r="FM64" t="str">
        <f>""</f>
        <v/>
      </c>
      <c r="FN64" t="str">
        <f>""</f>
        <v/>
      </c>
      <c r="FO64" t="str">
        <f>""</f>
        <v/>
      </c>
      <c r="FP64" t="str">
        <f>""</f>
        <v/>
      </c>
      <c r="FQ64" t="str">
        <f>""</f>
        <v/>
      </c>
    </row>
    <row r="65" spans="1:173">
      <c r="A65" t="str">
        <f>"    Mid-America Apartment Communities股份有限公司"</f>
        <v xml:space="preserve">    Mid-America Apartment Communities股份有限公司</v>
      </c>
      <c r="B65" t="str">
        <f>"MAA US Equity"</f>
        <v>MAA US Equity</v>
      </c>
      <c r="C65" t="str">
        <f t="shared" si="21"/>
        <v>BE038</v>
      </c>
      <c r="D65" t="str">
        <f t="shared" si="22"/>
        <v>BEST_FFOPS</v>
      </c>
      <c r="E65" t="str">
        <f t="shared" si="23"/>
        <v>动态</v>
      </c>
      <c r="F65">
        <f ca="1">IF(AND(ISNUMBER($F$308),$B$252=1),$F$308,HLOOKUP(INDIRECT(ADDRESS(2,COLUMN())),OFFSET($CL$2,0,0,ROW()-1,84),ROW()-1,FALSE))</f>
        <v>6.0339999999999998</v>
      </c>
      <c r="G65">
        <f ca="1">IF(AND(ISNUMBER($G$308),$B$252=1),$G$308,HLOOKUP(INDIRECT(ADDRESS(2,COLUMN())),OFFSET($CL$2,0,0,ROW()-1,84),ROW()-1,FALSE))</f>
        <v>6.0650000000000004</v>
      </c>
      <c r="H65">
        <f ca="1">IF(AND(ISNUMBER($H$308),$B$252=1),$H$308,HLOOKUP(INDIRECT(ADDRESS(2,COLUMN())),OFFSET($CL$2,0,0,ROW()-1,84),ROW()-1,FALSE))</f>
        <v>6.14</v>
      </c>
      <c r="I65">
        <f ca="1">IF(AND(ISNUMBER($I$308),$B$252=1),$I$308,HLOOKUP(INDIRECT(ADDRESS(2,COLUMN())),OFFSET($CL$2,0,0,ROW()-1,84),ROW()-1,FALSE))</f>
        <v>6.1879999999999997</v>
      </c>
      <c r="J65">
        <f ca="1">IF(AND(ISNUMBER($J$308),$B$252=1),$J$308,HLOOKUP(INDIRECT(ADDRESS(2,COLUMN())),OFFSET($CL$2,0,0,ROW()-1,84),ROW()-1,FALSE))</f>
        <v>6.2480000000000002</v>
      </c>
      <c r="K65">
        <f ca="1">IF(AND(ISNUMBER($K$308),$B$252=1),$K$308,HLOOKUP(INDIRECT(ADDRESS(2,COLUMN())),OFFSET($CL$2,0,0,ROW()-1,84),ROW()-1,FALSE))</f>
        <v>6.2960000000000003</v>
      </c>
      <c r="L65">
        <f ca="1">IF(AND(ISNUMBER($L$308),$B$252=1),$L$308,HLOOKUP(INDIRECT(ADDRESS(2,COLUMN())),OFFSET($CL$2,0,0,ROW()-1,84),ROW()-1,FALSE))</f>
        <v>6.3540000000000001</v>
      </c>
      <c r="M65">
        <f ca="1">IF(AND(ISNUMBER($M$308),$B$252=1),$M$308,HLOOKUP(INDIRECT(ADDRESS(2,COLUMN())),OFFSET($CL$2,0,0,ROW()-1,84),ROW()-1,FALSE))</f>
        <v>6.3419999999999996</v>
      </c>
      <c r="N65">
        <f ca="1">IF(AND(ISNUMBER($N$308),$B$252=1),$N$308,HLOOKUP(INDIRECT(ADDRESS(2,COLUMN())),OFFSET($CL$2,0,0,ROW()-1,84),ROW()-1,FALSE))</f>
        <v>6.351</v>
      </c>
      <c r="O65">
        <f ca="1">IF(AND(ISNUMBER($O$308),$B$252=1),$O$308,HLOOKUP(INDIRECT(ADDRESS(2,COLUMN())),OFFSET($CL$2,0,0,ROW()-1,84),ROW()-1,FALSE))</f>
        <v>6.3689999999999998</v>
      </c>
      <c r="P65">
        <f ca="1">IF(AND(ISNUMBER($P$308),$B$252=1),$P$308,HLOOKUP(INDIRECT(ADDRESS(2,COLUMN())),OFFSET($CL$2,0,0,ROW()-1,84),ROW()-1,FALSE))</f>
        <v>6.3620000000000001</v>
      </c>
      <c r="Q65">
        <f ca="1">IF(AND(ISNUMBER($Q$308),$B$252=1),$Q$308,HLOOKUP(INDIRECT(ADDRESS(2,COLUMN())),OFFSET($CL$2,0,0,ROW()-1,84),ROW()-1,FALSE))</f>
        <v>6.3310000000000004</v>
      </c>
      <c r="R65">
        <f ca="1">IF(AND(ISNUMBER($R$308),$B$252=1),$R$308,HLOOKUP(INDIRECT(ADDRESS(2,COLUMN())),OFFSET($CL$2,0,0,ROW()-1,84),ROW()-1,FALSE))</f>
        <v>6.3310000000000004</v>
      </c>
      <c r="S65">
        <f ca="1">IF(AND(ISNUMBER($S$308),$B$252=1),$S$308,HLOOKUP(INDIRECT(ADDRESS(2,COLUMN())),OFFSET($CL$2,0,0,ROW()-1,84),ROW()-1,FALSE))</f>
        <v>6.33</v>
      </c>
      <c r="T65">
        <f ca="1">IF(AND(ISNUMBER($T$308),$B$252=1),$T$308,HLOOKUP(INDIRECT(ADDRESS(2,COLUMN())),OFFSET($CL$2,0,0,ROW()-1,84),ROW()-1,FALSE))</f>
        <v>6.3979999999999997</v>
      </c>
      <c r="U65">
        <f ca="1">IF(AND(ISNUMBER($U$308),$B$252=1),$U$308,HLOOKUP(INDIRECT(ADDRESS(2,COLUMN())),OFFSET($CL$2,0,0,ROW()-1,84),ROW()-1,FALSE))</f>
        <v>6.3490000000000002</v>
      </c>
      <c r="V65">
        <f ca="1">IF(AND(ISNUMBER($V$308),$B$252=1),$V$308,HLOOKUP(INDIRECT(ADDRESS(2,COLUMN())),OFFSET($CL$2,0,0,ROW()-1,84),ROW()-1,FALSE))</f>
        <v>6.5579999999999998</v>
      </c>
      <c r="W65">
        <f ca="1">IF(AND(ISNUMBER($W$308),$B$252=1),$W$308,HLOOKUP(INDIRECT(ADDRESS(2,COLUMN())),OFFSET($CL$2,0,0,ROW()-1,84),ROW()-1,FALSE))</f>
        <v>6.577</v>
      </c>
      <c r="X65">
        <f ca="1">IF(AND(ISNUMBER($X$308),$B$252=1),$X$308,HLOOKUP(INDIRECT(ADDRESS(2,COLUMN())),OFFSET($CL$2,0,0,ROW()-1,84),ROW()-1,FALSE))</f>
        <v>6.5140000000000002</v>
      </c>
      <c r="Y65">
        <f ca="1">IF(AND(ISNUMBER($Y$308),$B$252=1),$Y$308,HLOOKUP(INDIRECT(ADDRESS(2,COLUMN())),OFFSET($CL$2,0,0,ROW()-1,84),ROW()-1,FALSE))</f>
        <v>6.548</v>
      </c>
      <c r="Z65">
        <f ca="1">IF(AND(ISNUMBER($Z$308),$B$252=1),$Z$308,HLOOKUP(INDIRECT(ADDRESS(2,COLUMN())),OFFSET($CL$2,0,0,ROW()-1,84),ROW()-1,FALSE))</f>
        <v>6.6630000000000003</v>
      </c>
      <c r="AA65">
        <f ca="1">IF(AND(ISNUMBER($AA$308),$B$252=1),$AA$308,HLOOKUP(INDIRECT(ADDRESS(2,COLUMN())),OFFSET($CL$2,0,0,ROW()-1,84),ROW()-1,FALSE))</f>
        <v>6.6630000000000003</v>
      </c>
      <c r="AB65">
        <f ca="1">IF(AND(ISNUMBER($AB$308),$B$252=1),$AB$308,HLOOKUP(INDIRECT(ADDRESS(2,COLUMN())),OFFSET($CL$2,0,0,ROW()-1,84),ROW()-1,FALSE))</f>
        <v>6.6349999999999998</v>
      </c>
      <c r="AC65">
        <f ca="1">IF(AND(ISNUMBER($AC$308),$B$252=1),$AC$308,HLOOKUP(INDIRECT(ADDRESS(2,COLUMN())),OFFSET($CL$2,0,0,ROW()-1,84),ROW()-1,FALSE))</f>
        <v>6.5549999999999997</v>
      </c>
      <c r="AD65" t="str">
        <f ca="1">IF(AND(ISNUMBER($AD$308),$B$252=1),$AD$308,HLOOKUP(INDIRECT(ADDRESS(2,COLUMN())),OFFSET($CL$2,0,0,ROW()-1,84),ROW()-1,FALSE))</f>
        <v/>
      </c>
      <c r="AE65">
        <f ca="1">IF(AND(ISNUMBER($AE$308),$B$252=1),$AE$308,HLOOKUP(INDIRECT(ADDRESS(2,COLUMN())),OFFSET($CL$2,0,0,ROW()-1,84),ROW()-1,FALSE))</f>
        <v>6.67</v>
      </c>
      <c r="AF65" t="str">
        <f ca="1">IF(AND(ISNUMBER($AF$308),$B$252=1),$AF$308,HLOOKUP(INDIRECT(ADDRESS(2,COLUMN())),OFFSET($CL$2,0,0,ROW()-1,84),ROW()-1,FALSE))</f>
        <v/>
      </c>
      <c r="AG65">
        <f ca="1">IF(AND(ISNUMBER($AG$308),$B$252=1),$AG$308,HLOOKUP(INDIRECT(ADDRESS(2,COLUMN())),OFFSET($CL$2,0,0,ROW()-1,84),ROW()-1,FALSE))</f>
        <v>6.75</v>
      </c>
      <c r="AH65" t="str">
        <f ca="1">IF(AND(ISNUMBER($AH$308),$B$252=1),$AH$308,HLOOKUP(INDIRECT(ADDRESS(2,COLUMN())),OFFSET($CL$2,0,0,ROW()-1,84),ROW()-1,FALSE))</f>
        <v/>
      </c>
      <c r="AI65" t="str">
        <f ca="1">IF(AND(ISNUMBER($AI$308),$B$252=1),$AI$308,HLOOKUP(INDIRECT(ADDRESS(2,COLUMN())),OFFSET($CL$2,0,0,ROW()-1,84),ROW()-1,FALSE))</f>
        <v/>
      </c>
      <c r="AJ65" t="str">
        <f ca="1">IF(AND(ISNUMBER($AJ$308),$B$252=1),$AJ$308,HLOOKUP(INDIRECT(ADDRESS(2,COLUMN())),OFFSET($CL$2,0,0,ROW()-1,84),ROW()-1,FALSE))</f>
        <v/>
      </c>
      <c r="AK65" t="str">
        <f ca="1">IF(AND(ISNUMBER($AK$308),$B$252=1),$AK$308,HLOOKUP(INDIRECT(ADDRESS(2,COLUMN())),OFFSET($CL$2,0,0,ROW()-1,84),ROW()-1,FALSE))</f>
        <v/>
      </c>
      <c r="AL65">
        <f ca="1">IF(AND(ISNUMBER($AL$308),$B$252=1),$AL$308,HLOOKUP(INDIRECT(ADDRESS(2,COLUMN())),OFFSET($CL$2,0,0,ROW()-1,84),ROW()-1,FALSE))</f>
        <v>6.69</v>
      </c>
      <c r="AM65" t="str">
        <f ca="1">IF(AND(ISNUMBER($AM$308),$B$252=1),$AM$308,HLOOKUP(INDIRECT(ADDRESS(2,COLUMN())),OFFSET($CL$2,0,0,ROW()-1,84),ROW()-1,FALSE))</f>
        <v/>
      </c>
      <c r="AN65" t="str">
        <f ca="1">IF(AND(ISNUMBER($AN$308),$B$252=1),$AN$308,HLOOKUP(INDIRECT(ADDRESS(2,COLUMN())),OFFSET($CL$2,0,0,ROW()-1,84),ROW()-1,FALSE))</f>
        <v/>
      </c>
      <c r="AO65" t="str">
        <f ca="1">IF(AND(ISNUMBER($AO$308),$B$252=1),$AO$308,HLOOKUP(INDIRECT(ADDRESS(2,COLUMN())),OFFSET($CL$2,0,0,ROW()-1,84),ROW()-1,FALSE))</f>
        <v/>
      </c>
      <c r="AP65" t="str">
        <f ca="1">IF(AND(ISNUMBER($AP$308),$B$252=1),$AP$308,HLOOKUP(INDIRECT(ADDRESS(2,COLUMN())),OFFSET($CL$2,0,0,ROW()-1,84),ROW()-1,FALSE))</f>
        <v/>
      </c>
      <c r="AQ65" t="str">
        <f ca="1">IF(AND(ISNUMBER($AQ$308),$B$252=1),$AQ$308,HLOOKUP(INDIRECT(ADDRESS(2,COLUMN())),OFFSET($CL$2,0,0,ROW()-1,84),ROW()-1,FALSE))</f>
        <v/>
      </c>
      <c r="AR65" t="str">
        <f ca="1">IF(AND(ISNUMBER($AR$308),$B$252=1),$AR$308,HLOOKUP(INDIRECT(ADDRESS(2,COLUMN())),OFFSET($CL$2,0,0,ROW()-1,84),ROW()-1,FALSE))</f>
        <v/>
      </c>
      <c r="AS65" t="str">
        <f ca="1">IF(AND(ISNUMBER($AS$308),$B$252=1),$AS$308,HLOOKUP(INDIRECT(ADDRESS(2,COLUMN())),OFFSET($CL$2,0,0,ROW()-1,84),ROW()-1,FALSE))</f>
        <v/>
      </c>
      <c r="AT65" t="str">
        <f ca="1">IF(AND(ISNUMBER($AT$308),$B$252=1),$AT$308,HLOOKUP(INDIRECT(ADDRESS(2,COLUMN())),OFFSET($CL$2,0,0,ROW()-1,84),ROW()-1,FALSE))</f>
        <v/>
      </c>
      <c r="AU65" t="str">
        <f ca="1">IF(AND(ISNUMBER($AU$308),$B$252=1),$AU$308,HLOOKUP(INDIRECT(ADDRESS(2,COLUMN())),OFFSET($CL$2,0,0,ROW()-1,84),ROW()-1,FALSE))</f>
        <v/>
      </c>
      <c r="AV65" t="str">
        <f ca="1">IF(AND(ISNUMBER($AV$308),$B$252=1),$AV$308,HLOOKUP(INDIRECT(ADDRESS(2,COLUMN())),OFFSET($CL$2,0,0,ROW()-1,84),ROW()-1,FALSE))</f>
        <v/>
      </c>
      <c r="AW65" t="str">
        <f ca="1">IF(AND(ISNUMBER($AW$308),$B$252=1),$AW$308,HLOOKUP(INDIRECT(ADDRESS(2,COLUMN())),OFFSET($CL$2,0,0,ROW()-1,84),ROW()-1,FALSE))</f>
        <v/>
      </c>
      <c r="AX65" t="str">
        <f ca="1">IF(AND(ISNUMBER($AX$308),$B$252=1),$AX$308,HLOOKUP(INDIRECT(ADDRESS(2,COLUMN())),OFFSET($CL$2,0,0,ROW()-1,84),ROW()-1,FALSE))</f>
        <v/>
      </c>
      <c r="AY65" t="str">
        <f ca="1">IF(AND(ISNUMBER($AY$308),$B$252=1),$AY$308,HLOOKUP(INDIRECT(ADDRESS(2,COLUMN())),OFFSET($CL$2,0,0,ROW()-1,84),ROW()-1,FALSE))</f>
        <v/>
      </c>
      <c r="AZ65" t="str">
        <f ca="1">IF(AND(ISNUMBER($AZ$308),$B$252=1),$AZ$308,HLOOKUP(INDIRECT(ADDRESS(2,COLUMN())),OFFSET($CL$2,0,0,ROW()-1,84),ROW()-1,FALSE))</f>
        <v/>
      </c>
      <c r="BA65" t="str">
        <f ca="1">IF(AND(ISNUMBER($BA$308),$B$252=1),$BA$308,HLOOKUP(INDIRECT(ADDRESS(2,COLUMN())),OFFSET($CL$2,0,0,ROW()-1,84),ROW()-1,FALSE))</f>
        <v/>
      </c>
      <c r="BB65" t="str">
        <f ca="1">IF(AND(ISNUMBER($BB$308),$B$252=1),$BB$308,HLOOKUP(INDIRECT(ADDRESS(2,COLUMN())),OFFSET($CL$2,0,0,ROW()-1,84),ROW()-1,FALSE))</f>
        <v/>
      </c>
      <c r="BC65" t="str">
        <f ca="1">IF(AND(ISNUMBER($BC$308),$B$252=1),$BC$308,HLOOKUP(INDIRECT(ADDRESS(2,COLUMN())),OFFSET($CL$2,0,0,ROW()-1,84),ROW()-1,FALSE))</f>
        <v/>
      </c>
      <c r="BD65" t="str">
        <f ca="1">IF(AND(ISNUMBER($BD$308),$B$252=1),$BD$308,HLOOKUP(INDIRECT(ADDRESS(2,COLUMN())),OFFSET($CL$2,0,0,ROW()-1,84),ROW()-1,FALSE))</f>
        <v/>
      </c>
      <c r="BE65" t="str">
        <f ca="1">IF(AND(ISNUMBER($BE$308),$B$252=1),$BE$308,HLOOKUP(INDIRECT(ADDRESS(2,COLUMN())),OFFSET($CL$2,0,0,ROW()-1,84),ROW()-1,FALSE))</f>
        <v/>
      </c>
      <c r="BF65" t="str">
        <f ca="1">IF(AND(ISNUMBER($BF$308),$B$252=1),$BF$308,HLOOKUP(INDIRECT(ADDRESS(2,COLUMN())),OFFSET($CL$2,0,0,ROW()-1,84),ROW()-1,FALSE))</f>
        <v/>
      </c>
      <c r="BG65" t="str">
        <f ca="1">IF(AND(ISNUMBER($BG$308),$B$252=1),$BG$308,HLOOKUP(INDIRECT(ADDRESS(2,COLUMN())),OFFSET($CL$2,0,0,ROW()-1,84),ROW()-1,FALSE))</f>
        <v/>
      </c>
      <c r="BH65" t="str">
        <f ca="1">IF(AND(ISNUMBER($BH$308),$B$252=1),$BH$308,HLOOKUP(INDIRECT(ADDRESS(2,COLUMN())),OFFSET($CL$2,0,0,ROW()-1,84),ROW()-1,FALSE))</f>
        <v/>
      </c>
      <c r="BI65" t="str">
        <f ca="1">IF(AND(ISNUMBER($BI$308),$B$252=1),$BI$308,HLOOKUP(INDIRECT(ADDRESS(2,COLUMN())),OFFSET($CL$2,0,0,ROW()-1,84),ROW()-1,FALSE))</f>
        <v/>
      </c>
      <c r="BJ65" t="str">
        <f ca="1">IF(AND(ISNUMBER($BJ$308),$B$252=1),$BJ$308,HLOOKUP(INDIRECT(ADDRESS(2,COLUMN())),OFFSET($CL$2,0,0,ROW()-1,84),ROW()-1,FALSE))</f>
        <v/>
      </c>
      <c r="BK65" t="str">
        <f ca="1">IF(AND(ISNUMBER($BK$308),$B$252=1),$BK$308,HLOOKUP(INDIRECT(ADDRESS(2,COLUMN())),OFFSET($CL$2,0,0,ROW()-1,84),ROW()-1,FALSE))</f>
        <v/>
      </c>
      <c r="BL65" t="str">
        <f ca="1">IF(AND(ISNUMBER($BL$308),$B$252=1),$BL$308,HLOOKUP(INDIRECT(ADDRESS(2,COLUMN())),OFFSET($CL$2,0,0,ROW()-1,84),ROW()-1,FALSE))</f>
        <v/>
      </c>
      <c r="BM65" t="str">
        <f ca="1">IF(AND(ISNUMBER($BM$308),$B$252=1),$BM$308,HLOOKUP(INDIRECT(ADDRESS(2,COLUMN())),OFFSET($CL$2,0,0,ROW()-1,84),ROW()-1,FALSE))</f>
        <v/>
      </c>
      <c r="BN65" t="str">
        <f ca="1">IF(AND(ISNUMBER($BN$308),$B$252=1),$BN$308,HLOOKUP(INDIRECT(ADDRESS(2,COLUMN())),OFFSET($CL$2,0,0,ROW()-1,84),ROW()-1,FALSE))</f>
        <v/>
      </c>
      <c r="BO65" t="str">
        <f ca="1">IF(AND(ISNUMBER($BO$308),$B$252=1),$BO$308,HLOOKUP(INDIRECT(ADDRESS(2,COLUMN())),OFFSET($CL$2,0,0,ROW()-1,84),ROW()-1,FALSE))</f>
        <v/>
      </c>
      <c r="BP65" t="str">
        <f ca="1">IF(AND(ISNUMBER($BP$308),$B$252=1),$BP$308,HLOOKUP(INDIRECT(ADDRESS(2,COLUMN())),OFFSET($CL$2,0,0,ROW()-1,84),ROW()-1,FALSE))</f>
        <v/>
      </c>
      <c r="BQ65" t="str">
        <f ca="1">IF(AND(ISNUMBER($BQ$308),$B$252=1),$BQ$308,HLOOKUP(INDIRECT(ADDRESS(2,COLUMN())),OFFSET($CL$2,0,0,ROW()-1,84),ROW()-1,FALSE))</f>
        <v/>
      </c>
      <c r="BR65" t="str">
        <f ca="1">IF(AND(ISNUMBER($BR$308),$B$252=1),$BR$308,HLOOKUP(INDIRECT(ADDRESS(2,COLUMN())),OFFSET($CL$2,0,0,ROW()-1,84),ROW()-1,FALSE))</f>
        <v/>
      </c>
      <c r="BS65" t="str">
        <f ca="1">IF(AND(ISNUMBER($BS$308),$B$252=1),$BS$308,HLOOKUP(INDIRECT(ADDRESS(2,COLUMN())),OFFSET($CL$2,0,0,ROW()-1,84),ROW()-1,FALSE))</f>
        <v/>
      </c>
      <c r="BT65" t="str">
        <f ca="1">IF(AND(ISNUMBER($BT$308),$B$252=1),$BT$308,HLOOKUP(INDIRECT(ADDRESS(2,COLUMN())),OFFSET($CL$2,0,0,ROW()-1,84),ROW()-1,FALSE))</f>
        <v/>
      </c>
      <c r="BU65" t="str">
        <f ca="1">IF(AND(ISNUMBER($BU$308),$B$252=1),$BU$308,HLOOKUP(INDIRECT(ADDRESS(2,COLUMN())),OFFSET($CL$2,0,0,ROW()-1,84),ROW()-1,FALSE))</f>
        <v/>
      </c>
      <c r="BV65" t="str">
        <f ca="1">IF(AND(ISNUMBER($BV$308),$B$252=1),$BV$308,HLOOKUP(INDIRECT(ADDRESS(2,COLUMN())),OFFSET($CL$2,0,0,ROW()-1,84),ROW()-1,FALSE))</f>
        <v/>
      </c>
      <c r="BW65" t="str">
        <f ca="1">IF(AND(ISNUMBER($BW$308),$B$252=1),$BW$308,HLOOKUP(INDIRECT(ADDRESS(2,COLUMN())),OFFSET($CL$2,0,0,ROW()-1,84),ROW()-1,FALSE))</f>
        <v/>
      </c>
      <c r="BX65" t="str">
        <f ca="1">IF(AND(ISNUMBER($BX$308),$B$252=1),$BX$308,HLOOKUP(INDIRECT(ADDRESS(2,COLUMN())),OFFSET($CL$2,0,0,ROW()-1,84),ROW()-1,FALSE))</f>
        <v/>
      </c>
      <c r="BY65" t="str">
        <f ca="1">IF(AND(ISNUMBER($BY$308),$B$252=1),$BY$308,HLOOKUP(INDIRECT(ADDRESS(2,COLUMN())),OFFSET($CL$2,0,0,ROW()-1,84),ROW()-1,FALSE))</f>
        <v/>
      </c>
      <c r="BZ65" t="str">
        <f ca="1">IF(AND(ISNUMBER($BZ$308),$B$252=1),$BZ$308,HLOOKUP(INDIRECT(ADDRESS(2,COLUMN())),OFFSET($CL$2,0,0,ROW()-1,84),ROW()-1,FALSE))</f>
        <v/>
      </c>
      <c r="CA65" t="str">
        <f ca="1">IF(AND(ISNUMBER($CA$308),$B$252=1),$CA$308,HLOOKUP(INDIRECT(ADDRESS(2,COLUMN())),OFFSET($CL$2,0,0,ROW()-1,84),ROW()-1,FALSE))</f>
        <v/>
      </c>
      <c r="CB65" t="str">
        <f ca="1">IF(AND(ISNUMBER($CB$308),$B$252=1),$CB$308,HLOOKUP(INDIRECT(ADDRESS(2,COLUMN())),OFFSET($CL$2,0,0,ROW()-1,84),ROW()-1,FALSE))</f>
        <v/>
      </c>
      <c r="CC65" t="str">
        <f ca="1">IF(AND(ISNUMBER($CC$308),$B$252=1),$CC$308,HLOOKUP(INDIRECT(ADDRESS(2,COLUMN())),OFFSET($CL$2,0,0,ROW()-1,84),ROW()-1,FALSE))</f>
        <v/>
      </c>
      <c r="CD65" t="str">
        <f ca="1">IF(AND(ISNUMBER($CD$308),$B$252=1),$CD$308,HLOOKUP(INDIRECT(ADDRESS(2,COLUMN())),OFFSET($CL$2,0,0,ROW()-1,84),ROW()-1,FALSE))</f>
        <v/>
      </c>
      <c r="CE65" t="str">
        <f ca="1">IF(AND(ISNUMBER($CE$308),$B$252=1),$CE$308,HLOOKUP(INDIRECT(ADDRESS(2,COLUMN())),OFFSET($CL$2,0,0,ROW()-1,84),ROW()-1,FALSE))</f>
        <v/>
      </c>
      <c r="CF65" t="str">
        <f ca="1">IF(AND(ISNUMBER($CF$308),$B$252=1),$CF$308,HLOOKUP(INDIRECT(ADDRESS(2,COLUMN())),OFFSET($CL$2,0,0,ROW()-1,84),ROW()-1,FALSE))</f>
        <v/>
      </c>
      <c r="CG65" t="str">
        <f ca="1">IF(AND(ISNUMBER($CG$308),$B$252=1),$CG$308,HLOOKUP(INDIRECT(ADDRESS(2,COLUMN())),OFFSET($CL$2,0,0,ROW()-1,84),ROW()-1,FALSE))</f>
        <v/>
      </c>
      <c r="CH65" t="str">
        <f ca="1">IF(AND(ISNUMBER($CH$308),$B$252=1),$CH$308,HLOOKUP(INDIRECT(ADDRESS(2,COLUMN())),OFFSET($CL$2,0,0,ROW()-1,84),ROW()-1,FALSE))</f>
        <v/>
      </c>
      <c r="CI65" t="str">
        <f ca="1">IF(AND(ISNUMBER($CI$308),$B$252=1),$CI$308,HLOOKUP(INDIRECT(ADDRESS(2,COLUMN())),OFFSET($CL$2,0,0,ROW()-1,84),ROW()-1,FALSE))</f>
        <v/>
      </c>
      <c r="CJ65" t="str">
        <f ca="1">IF(AND(ISNUMBER($CJ$308),$B$252=1),$CJ$308,HLOOKUP(INDIRECT(ADDRESS(2,COLUMN())),OFFSET($CL$2,0,0,ROW()-1,84),ROW()-1,FALSE))</f>
        <v/>
      </c>
      <c r="CK65" t="str">
        <f ca="1">IF(AND(ISNUMBER($CK$308),$B$252=1),$CK$308,HLOOKUP(INDIRECT(ADDRESS(2,COLUMN())),OFFSET($CL$2,0,0,ROW()-1,84),ROW()-1,FALSE))</f>
        <v/>
      </c>
      <c r="CL65">
        <f>6.034</f>
        <v>6.0339999999999998</v>
      </c>
      <c r="CM65">
        <f>6.065</f>
        <v>6.0650000000000004</v>
      </c>
      <c r="CN65">
        <f>6.14</f>
        <v>6.14</v>
      </c>
      <c r="CO65">
        <f>6.188</f>
        <v>6.1879999999999997</v>
      </c>
      <c r="CP65">
        <f>6.248</f>
        <v>6.2480000000000002</v>
      </c>
      <c r="CQ65">
        <f>6.296</f>
        <v>6.2960000000000003</v>
      </c>
      <c r="CR65">
        <f>6.354</f>
        <v>6.3540000000000001</v>
      </c>
      <c r="CS65">
        <f>6.342</f>
        <v>6.3419999999999996</v>
      </c>
      <c r="CT65">
        <f>6.351</f>
        <v>6.351</v>
      </c>
      <c r="CU65">
        <f>6.369</f>
        <v>6.3689999999999998</v>
      </c>
      <c r="CV65">
        <f>6.362</f>
        <v>6.3620000000000001</v>
      </c>
      <c r="CW65">
        <f>6.331</f>
        <v>6.3310000000000004</v>
      </c>
      <c r="CX65">
        <f>6.331</f>
        <v>6.3310000000000004</v>
      </c>
      <c r="CY65">
        <f>6.33</f>
        <v>6.33</v>
      </c>
      <c r="CZ65">
        <f>6.398</f>
        <v>6.3979999999999997</v>
      </c>
      <c r="DA65">
        <f>6.349</f>
        <v>6.3490000000000002</v>
      </c>
      <c r="DB65">
        <f>6.558</f>
        <v>6.5579999999999998</v>
      </c>
      <c r="DC65">
        <f>6.577</f>
        <v>6.577</v>
      </c>
      <c r="DD65">
        <f>6.514</f>
        <v>6.5140000000000002</v>
      </c>
      <c r="DE65">
        <f>6.548</f>
        <v>6.548</v>
      </c>
      <c r="DF65">
        <f>6.663</f>
        <v>6.6630000000000003</v>
      </c>
      <c r="DG65">
        <f>6.663</f>
        <v>6.6630000000000003</v>
      </c>
      <c r="DH65">
        <f>6.635</f>
        <v>6.6349999999999998</v>
      </c>
      <c r="DI65">
        <f>6.555</f>
        <v>6.5549999999999997</v>
      </c>
      <c r="DJ65" t="str">
        <f>""</f>
        <v/>
      </c>
      <c r="DK65">
        <f>6.67</f>
        <v>6.67</v>
      </c>
      <c r="DL65" t="str">
        <f>""</f>
        <v/>
      </c>
      <c r="DM65">
        <f>6.75</f>
        <v>6.75</v>
      </c>
      <c r="DN65" t="str">
        <f>""</f>
        <v/>
      </c>
      <c r="DO65" t="str">
        <f>""</f>
        <v/>
      </c>
      <c r="DP65" t="str">
        <f>""</f>
        <v/>
      </c>
      <c r="DQ65" t="str">
        <f>""</f>
        <v/>
      </c>
      <c r="DR65">
        <f>6.69</f>
        <v>6.69</v>
      </c>
      <c r="DS65" t="str">
        <f>""</f>
        <v/>
      </c>
      <c r="DT65" t="str">
        <f>""</f>
        <v/>
      </c>
      <c r="DU65" t="str">
        <f>""</f>
        <v/>
      </c>
      <c r="DV65" t="str">
        <f>""</f>
        <v/>
      </c>
      <c r="DW65" t="str">
        <f>""</f>
        <v/>
      </c>
      <c r="DX65" t="str">
        <f>""</f>
        <v/>
      </c>
      <c r="DY65" t="str">
        <f>""</f>
        <v/>
      </c>
      <c r="DZ65" t="str">
        <f>""</f>
        <v/>
      </c>
      <c r="EA65" t="str">
        <f>""</f>
        <v/>
      </c>
      <c r="EB65" t="str">
        <f>""</f>
        <v/>
      </c>
      <c r="EC65" t="str">
        <f>""</f>
        <v/>
      </c>
      <c r="ED65" t="str">
        <f>""</f>
        <v/>
      </c>
      <c r="EE65" t="str">
        <f>""</f>
        <v/>
      </c>
      <c r="EF65" t="str">
        <f>""</f>
        <v/>
      </c>
      <c r="EG65" t="str">
        <f>""</f>
        <v/>
      </c>
      <c r="EH65" t="str">
        <f>""</f>
        <v/>
      </c>
      <c r="EI65" t="str">
        <f>""</f>
        <v/>
      </c>
      <c r="EJ65" t="str">
        <f>""</f>
        <v/>
      </c>
      <c r="EK65" t="str">
        <f>""</f>
        <v/>
      </c>
      <c r="EL65" t="str">
        <f>""</f>
        <v/>
      </c>
      <c r="EM65" t="str">
        <f>""</f>
        <v/>
      </c>
      <c r="EN65" t="str">
        <f>""</f>
        <v/>
      </c>
      <c r="EO65" t="str">
        <f>""</f>
        <v/>
      </c>
      <c r="EP65" t="str">
        <f>""</f>
        <v/>
      </c>
      <c r="EQ65" t="str">
        <f>""</f>
        <v/>
      </c>
      <c r="ER65" t="str">
        <f>""</f>
        <v/>
      </c>
      <c r="ES65" t="str">
        <f>""</f>
        <v/>
      </c>
      <c r="ET65" t="str">
        <f>""</f>
        <v/>
      </c>
      <c r="EU65" t="str">
        <f>""</f>
        <v/>
      </c>
      <c r="EV65" t="str">
        <f>""</f>
        <v/>
      </c>
      <c r="EW65" t="str">
        <f>""</f>
        <v/>
      </c>
      <c r="EX65" t="str">
        <f>""</f>
        <v/>
      </c>
      <c r="EY65" t="str">
        <f>""</f>
        <v/>
      </c>
      <c r="EZ65" t="str">
        <f>""</f>
        <v/>
      </c>
      <c r="FA65" t="str">
        <f>""</f>
        <v/>
      </c>
      <c r="FB65" t="str">
        <f>""</f>
        <v/>
      </c>
      <c r="FC65" t="str">
        <f>""</f>
        <v/>
      </c>
      <c r="FD65" t="str">
        <f>""</f>
        <v/>
      </c>
      <c r="FE65" t="str">
        <f>""</f>
        <v/>
      </c>
      <c r="FF65" t="str">
        <f>""</f>
        <v/>
      </c>
      <c r="FG65" t="str">
        <f>""</f>
        <v/>
      </c>
      <c r="FH65" t="str">
        <f>""</f>
        <v/>
      </c>
      <c r="FI65" t="str">
        <f>""</f>
        <v/>
      </c>
      <c r="FJ65" t="str">
        <f>""</f>
        <v/>
      </c>
      <c r="FK65" t="str">
        <f>""</f>
        <v/>
      </c>
      <c r="FL65" t="str">
        <f>""</f>
        <v/>
      </c>
      <c r="FM65" t="str">
        <f>""</f>
        <v/>
      </c>
      <c r="FN65" t="str">
        <f>""</f>
        <v/>
      </c>
      <c r="FO65" t="str">
        <f>""</f>
        <v/>
      </c>
      <c r="FP65" t="str">
        <f>""</f>
        <v/>
      </c>
      <c r="FQ65" t="str">
        <f>""</f>
        <v/>
      </c>
    </row>
    <row r="66" spans="1:173">
      <c r="A66" t="str">
        <f>"    UDR 公司"</f>
        <v xml:space="preserve">    UDR 公司</v>
      </c>
      <c r="B66" t="str">
        <f>"UDR US Equity"</f>
        <v>UDR US Equity</v>
      </c>
      <c r="C66" t="str">
        <f t="shared" si="21"/>
        <v>BE038</v>
      </c>
      <c r="D66" t="str">
        <f t="shared" si="22"/>
        <v>BEST_FFOPS</v>
      </c>
      <c r="E66" t="str">
        <f t="shared" si="23"/>
        <v>动态</v>
      </c>
      <c r="F66">
        <f ca="1">IF(AND(ISNUMBER($F$309),$B$252=1),$F$309,HLOOKUP(INDIRECT(ADDRESS(2,COLUMN())),OFFSET($CL$2,0,0,ROW()-1,84),ROW()-1,FALSE))</f>
        <v>1.9410000000000001</v>
      </c>
      <c r="G66">
        <f ca="1">IF(AND(ISNUMBER($G$309),$B$252=1),$G$309,HLOOKUP(INDIRECT(ADDRESS(2,COLUMN())),OFFSET($CL$2,0,0,ROW()-1,84),ROW()-1,FALSE))</f>
        <v>1.9430000000000001</v>
      </c>
      <c r="H66">
        <f ca="1">IF(AND(ISNUMBER($H$309),$B$252=1),$H$309,HLOOKUP(INDIRECT(ADDRESS(2,COLUMN())),OFFSET($CL$2,0,0,ROW()-1,84),ROW()-1,FALSE))</f>
        <v>1.97</v>
      </c>
      <c r="I66">
        <f ca="1">IF(AND(ISNUMBER($I$309),$B$252=1),$I$309,HLOOKUP(INDIRECT(ADDRESS(2,COLUMN())),OFFSET($CL$2,0,0,ROW()-1,84),ROW()-1,FALSE))</f>
        <v>1.968</v>
      </c>
      <c r="J66">
        <f ca="1">IF(AND(ISNUMBER($J$309),$B$252=1),$J$309,HLOOKUP(INDIRECT(ADDRESS(2,COLUMN())),OFFSET($CL$2,0,0,ROW()-1,84),ROW()-1,FALSE))</f>
        <v>1.9650000000000001</v>
      </c>
      <c r="K66">
        <f ca="1">IF(AND(ISNUMBER($K$309),$B$252=1),$K$309,HLOOKUP(INDIRECT(ADDRESS(2,COLUMN())),OFFSET($CL$2,0,0,ROW()-1,84),ROW()-1,FALSE))</f>
        <v>1.962</v>
      </c>
      <c r="L66">
        <f ca="1">IF(AND(ISNUMBER($L$309),$B$252=1),$L$309,HLOOKUP(INDIRECT(ADDRESS(2,COLUMN())),OFFSET($CL$2,0,0,ROW()-1,84),ROW()-1,FALSE))</f>
        <v>1.9590000000000001</v>
      </c>
      <c r="M66">
        <f ca="1">IF(AND(ISNUMBER($M$309),$B$252=1),$M$309,HLOOKUP(INDIRECT(ADDRESS(2,COLUMN())),OFFSET($CL$2,0,0,ROW()-1,84),ROW()-1,FALSE))</f>
        <v>1.96</v>
      </c>
      <c r="N66">
        <f ca="1">IF(AND(ISNUMBER($N$309),$B$252=1),$N$309,HLOOKUP(INDIRECT(ADDRESS(2,COLUMN())),OFFSET($CL$2,0,0,ROW()-1,84),ROW()-1,FALSE))</f>
        <v>1.958</v>
      </c>
      <c r="O66">
        <f ca="1">IF(AND(ISNUMBER($O$309),$B$252=1),$O$309,HLOOKUP(INDIRECT(ADDRESS(2,COLUMN())),OFFSET($CL$2,0,0,ROW()-1,84),ROW()-1,FALSE))</f>
        <v>1.9550000000000001</v>
      </c>
      <c r="P66">
        <f ca="1">IF(AND(ISNUMBER($P$309),$B$252=1),$P$309,HLOOKUP(INDIRECT(ADDRESS(2,COLUMN())),OFFSET($CL$2,0,0,ROW()-1,84),ROW()-1,FALSE))</f>
        <v>1.9510000000000001</v>
      </c>
      <c r="Q66">
        <f ca="1">IF(AND(ISNUMBER($Q$309),$B$252=1),$Q$309,HLOOKUP(INDIRECT(ADDRESS(2,COLUMN())),OFFSET($CL$2,0,0,ROW()-1,84),ROW()-1,FALSE))</f>
        <v>1.9410000000000001</v>
      </c>
      <c r="R66">
        <f ca="1">IF(AND(ISNUMBER($R$309),$B$252=1),$R$309,HLOOKUP(INDIRECT(ADDRESS(2,COLUMN())),OFFSET($CL$2,0,0,ROW()-1,84),ROW()-1,FALSE))</f>
        <v>1.9410000000000001</v>
      </c>
      <c r="S66">
        <f ca="1">IF(AND(ISNUMBER($S$309),$B$252=1),$S$309,HLOOKUP(INDIRECT(ADDRESS(2,COLUMN())),OFFSET($CL$2,0,0,ROW()-1,84),ROW()-1,FALSE))</f>
        <v>1.94</v>
      </c>
      <c r="T66">
        <f ca="1">IF(AND(ISNUMBER($T$309),$B$252=1),$T$309,HLOOKUP(INDIRECT(ADDRESS(2,COLUMN())),OFFSET($CL$2,0,0,ROW()-1,84),ROW()-1,FALSE))</f>
        <v>1.9670000000000001</v>
      </c>
      <c r="U66">
        <f ca="1">IF(AND(ISNUMBER($U$309),$B$252=1),$U$309,HLOOKUP(INDIRECT(ADDRESS(2,COLUMN())),OFFSET($CL$2,0,0,ROW()-1,84),ROW()-1,FALSE))</f>
        <v>1.976</v>
      </c>
      <c r="V66">
        <f ca="1">IF(AND(ISNUMBER($V$309),$B$252=1),$V$309,HLOOKUP(INDIRECT(ADDRESS(2,COLUMN())),OFFSET($CL$2,0,0,ROW()-1,84),ROW()-1,FALSE))</f>
        <v>1.9730000000000001</v>
      </c>
      <c r="W66">
        <f ca="1">IF(AND(ISNUMBER($W$309),$B$252=1),$W$309,HLOOKUP(INDIRECT(ADDRESS(2,COLUMN())),OFFSET($CL$2,0,0,ROW()-1,84),ROW()-1,FALSE))</f>
        <v>1.97</v>
      </c>
      <c r="X66">
        <f ca="1">IF(AND(ISNUMBER($X$309),$B$252=1),$X$309,HLOOKUP(INDIRECT(ADDRESS(2,COLUMN())),OFFSET($CL$2,0,0,ROW()-1,84),ROW()-1,FALSE))</f>
        <v>2.0019999999999998</v>
      </c>
      <c r="Y66">
        <f ca="1">IF(AND(ISNUMBER($Y$309),$B$252=1),$Y$309,HLOOKUP(INDIRECT(ADDRESS(2,COLUMN())),OFFSET($CL$2,0,0,ROW()-1,84),ROW()-1,FALSE))</f>
        <v>2.0099999999999998</v>
      </c>
      <c r="Z66">
        <f ca="1">IF(AND(ISNUMBER($Z$309),$B$252=1),$Z$309,HLOOKUP(INDIRECT(ADDRESS(2,COLUMN())),OFFSET($CL$2,0,0,ROW()-1,84),ROW()-1,FALSE))</f>
        <v>2.0089999999999999</v>
      </c>
      <c r="AA66">
        <f ca="1">IF(AND(ISNUMBER($AA$309),$B$252=1),$AA$309,HLOOKUP(INDIRECT(ADDRESS(2,COLUMN())),OFFSET($CL$2,0,0,ROW()-1,84),ROW()-1,FALSE))</f>
        <v>2.0259999999999998</v>
      </c>
      <c r="AB66">
        <f ca="1">IF(AND(ISNUMBER($AB$309),$B$252=1),$AB$309,HLOOKUP(INDIRECT(ADDRESS(2,COLUMN())),OFFSET($CL$2,0,0,ROW()-1,84),ROW()-1,FALSE))</f>
        <v>2.0310000000000001</v>
      </c>
      <c r="AC66">
        <f ca="1">IF(AND(ISNUMBER($AC$309),$B$252=1),$AC$309,HLOOKUP(INDIRECT(ADDRESS(2,COLUMN())),OFFSET($CL$2,0,0,ROW()-1,84),ROW()-1,FALSE))</f>
        <v>2.0299999999999998</v>
      </c>
      <c r="AD66">
        <f ca="1">IF(AND(ISNUMBER($AD$309),$B$252=1),$AD$309,HLOOKUP(INDIRECT(ADDRESS(2,COLUMN())),OFFSET($CL$2,0,0,ROW()-1,84),ROW()-1,FALSE))</f>
        <v>2.06</v>
      </c>
      <c r="AE66">
        <f ca="1">IF(AND(ISNUMBER($AE$309),$B$252=1),$AE$309,HLOOKUP(INDIRECT(ADDRESS(2,COLUMN())),OFFSET($CL$2,0,0,ROW()-1,84),ROW()-1,FALSE))</f>
        <v>2.0499999999999998</v>
      </c>
      <c r="AF66" t="str">
        <f ca="1">IF(AND(ISNUMBER($AF$309),$B$252=1),$AF$309,HLOOKUP(INDIRECT(ADDRESS(2,COLUMN())),OFFSET($CL$2,0,0,ROW()-1,84),ROW()-1,FALSE))</f>
        <v/>
      </c>
      <c r="AG66" t="str">
        <f ca="1">IF(AND(ISNUMBER($AG$309),$B$252=1),$AG$309,HLOOKUP(INDIRECT(ADDRESS(2,COLUMN())),OFFSET($CL$2,0,0,ROW()-1,84),ROW()-1,FALSE))</f>
        <v/>
      </c>
      <c r="AH66" t="str">
        <f ca="1">IF(AND(ISNUMBER($AH$309),$B$252=1),$AH$309,HLOOKUP(INDIRECT(ADDRESS(2,COLUMN())),OFFSET($CL$2,0,0,ROW()-1,84),ROW()-1,FALSE))</f>
        <v/>
      </c>
      <c r="AI66" t="str">
        <f ca="1">IF(AND(ISNUMBER($AI$309),$B$252=1),$AI$309,HLOOKUP(INDIRECT(ADDRESS(2,COLUMN())),OFFSET($CL$2,0,0,ROW()-1,84),ROW()-1,FALSE))</f>
        <v/>
      </c>
      <c r="AJ66">
        <f ca="1">IF(AND(ISNUMBER($AJ$309),$B$252=1),$AJ$309,HLOOKUP(INDIRECT(ADDRESS(2,COLUMN())),OFFSET($CL$2,0,0,ROW()-1,84),ROW()-1,FALSE))</f>
        <v>2.14</v>
      </c>
      <c r="AK66">
        <f ca="1">IF(AND(ISNUMBER($AK$309),$B$252=1),$AK$309,HLOOKUP(INDIRECT(ADDRESS(2,COLUMN())),OFFSET($CL$2,0,0,ROW()-1,84),ROW()-1,FALSE))</f>
        <v>2.09</v>
      </c>
      <c r="AL66">
        <f ca="1">IF(AND(ISNUMBER($AL$309),$B$252=1),$AL$309,HLOOKUP(INDIRECT(ADDRESS(2,COLUMN())),OFFSET($CL$2,0,0,ROW()-1,84),ROW()-1,FALSE))</f>
        <v>2.0699999999999998</v>
      </c>
      <c r="AM66" t="str">
        <f ca="1">IF(AND(ISNUMBER($AM$309),$B$252=1),$AM$309,HLOOKUP(INDIRECT(ADDRESS(2,COLUMN())),OFFSET($CL$2,0,0,ROW()-1,84),ROW()-1,FALSE))</f>
        <v/>
      </c>
      <c r="AN66" t="str">
        <f ca="1">IF(AND(ISNUMBER($AN$309),$B$252=1),$AN$309,HLOOKUP(INDIRECT(ADDRESS(2,COLUMN())),OFFSET($CL$2,0,0,ROW()-1,84),ROW()-1,FALSE))</f>
        <v/>
      </c>
      <c r="AO66" t="str">
        <f ca="1">IF(AND(ISNUMBER($AO$309),$B$252=1),$AO$309,HLOOKUP(INDIRECT(ADDRESS(2,COLUMN())),OFFSET($CL$2,0,0,ROW()-1,84),ROW()-1,FALSE))</f>
        <v/>
      </c>
      <c r="AP66" t="str">
        <f ca="1">IF(AND(ISNUMBER($AP$309),$B$252=1),$AP$309,HLOOKUP(INDIRECT(ADDRESS(2,COLUMN())),OFFSET($CL$2,0,0,ROW()-1,84),ROW()-1,FALSE))</f>
        <v/>
      </c>
      <c r="AQ66" t="str">
        <f ca="1">IF(AND(ISNUMBER($AQ$309),$B$252=1),$AQ$309,HLOOKUP(INDIRECT(ADDRESS(2,COLUMN())),OFFSET($CL$2,0,0,ROW()-1,84),ROW()-1,FALSE))</f>
        <v/>
      </c>
      <c r="AR66" t="str">
        <f ca="1">IF(AND(ISNUMBER($AR$309),$B$252=1),$AR$309,HLOOKUP(INDIRECT(ADDRESS(2,COLUMN())),OFFSET($CL$2,0,0,ROW()-1,84),ROW()-1,FALSE))</f>
        <v/>
      </c>
      <c r="AS66" t="str">
        <f ca="1">IF(AND(ISNUMBER($AS$309),$B$252=1),$AS$309,HLOOKUP(INDIRECT(ADDRESS(2,COLUMN())),OFFSET($CL$2,0,0,ROW()-1,84),ROW()-1,FALSE))</f>
        <v/>
      </c>
      <c r="AT66" t="str">
        <f ca="1">IF(AND(ISNUMBER($AT$309),$B$252=1),$AT$309,HLOOKUP(INDIRECT(ADDRESS(2,COLUMN())),OFFSET($CL$2,0,0,ROW()-1,84),ROW()-1,FALSE))</f>
        <v/>
      </c>
      <c r="AU66" t="str">
        <f ca="1">IF(AND(ISNUMBER($AU$309),$B$252=1),$AU$309,HLOOKUP(INDIRECT(ADDRESS(2,COLUMN())),OFFSET($CL$2,0,0,ROW()-1,84),ROW()-1,FALSE))</f>
        <v/>
      </c>
      <c r="AV66" t="str">
        <f ca="1">IF(AND(ISNUMBER($AV$309),$B$252=1),$AV$309,HLOOKUP(INDIRECT(ADDRESS(2,COLUMN())),OFFSET($CL$2,0,0,ROW()-1,84),ROW()-1,FALSE))</f>
        <v/>
      </c>
      <c r="AW66" t="str">
        <f ca="1">IF(AND(ISNUMBER($AW$309),$B$252=1),$AW$309,HLOOKUP(INDIRECT(ADDRESS(2,COLUMN())),OFFSET($CL$2,0,0,ROW()-1,84),ROW()-1,FALSE))</f>
        <v/>
      </c>
      <c r="AX66" t="str">
        <f ca="1">IF(AND(ISNUMBER($AX$309),$B$252=1),$AX$309,HLOOKUP(INDIRECT(ADDRESS(2,COLUMN())),OFFSET($CL$2,0,0,ROW()-1,84),ROW()-1,FALSE))</f>
        <v/>
      </c>
      <c r="AY66" t="str">
        <f ca="1">IF(AND(ISNUMBER($AY$309),$B$252=1),$AY$309,HLOOKUP(INDIRECT(ADDRESS(2,COLUMN())),OFFSET($CL$2,0,0,ROW()-1,84),ROW()-1,FALSE))</f>
        <v/>
      </c>
      <c r="AZ66" t="str">
        <f ca="1">IF(AND(ISNUMBER($AZ$309),$B$252=1),$AZ$309,HLOOKUP(INDIRECT(ADDRESS(2,COLUMN())),OFFSET($CL$2,0,0,ROW()-1,84),ROW()-1,FALSE))</f>
        <v/>
      </c>
      <c r="BA66" t="str">
        <f ca="1">IF(AND(ISNUMBER($BA$309),$B$252=1),$BA$309,HLOOKUP(INDIRECT(ADDRESS(2,COLUMN())),OFFSET($CL$2,0,0,ROW()-1,84),ROW()-1,FALSE))</f>
        <v/>
      </c>
      <c r="BB66" t="str">
        <f ca="1">IF(AND(ISNUMBER($BB$309),$B$252=1),$BB$309,HLOOKUP(INDIRECT(ADDRESS(2,COLUMN())),OFFSET($CL$2,0,0,ROW()-1,84),ROW()-1,FALSE))</f>
        <v/>
      </c>
      <c r="BC66" t="str">
        <f ca="1">IF(AND(ISNUMBER($BC$309),$B$252=1),$BC$309,HLOOKUP(INDIRECT(ADDRESS(2,COLUMN())),OFFSET($CL$2,0,0,ROW()-1,84),ROW()-1,FALSE))</f>
        <v/>
      </c>
      <c r="BD66" t="str">
        <f ca="1">IF(AND(ISNUMBER($BD$309),$B$252=1),$BD$309,HLOOKUP(INDIRECT(ADDRESS(2,COLUMN())),OFFSET($CL$2,0,0,ROW()-1,84),ROW()-1,FALSE))</f>
        <v/>
      </c>
      <c r="BE66" t="str">
        <f ca="1">IF(AND(ISNUMBER($BE$309),$B$252=1),$BE$309,HLOOKUP(INDIRECT(ADDRESS(2,COLUMN())),OFFSET($CL$2,0,0,ROW()-1,84),ROW()-1,FALSE))</f>
        <v/>
      </c>
      <c r="BF66" t="str">
        <f ca="1">IF(AND(ISNUMBER($BF$309),$B$252=1),$BF$309,HLOOKUP(INDIRECT(ADDRESS(2,COLUMN())),OFFSET($CL$2,0,0,ROW()-1,84),ROW()-1,FALSE))</f>
        <v/>
      </c>
      <c r="BG66" t="str">
        <f ca="1">IF(AND(ISNUMBER($BG$309),$B$252=1),$BG$309,HLOOKUP(INDIRECT(ADDRESS(2,COLUMN())),OFFSET($CL$2,0,0,ROW()-1,84),ROW()-1,FALSE))</f>
        <v/>
      </c>
      <c r="BH66" t="str">
        <f ca="1">IF(AND(ISNUMBER($BH$309),$B$252=1),$BH$309,HLOOKUP(INDIRECT(ADDRESS(2,COLUMN())),OFFSET($CL$2,0,0,ROW()-1,84),ROW()-1,FALSE))</f>
        <v/>
      </c>
      <c r="BI66" t="str">
        <f ca="1">IF(AND(ISNUMBER($BI$309),$B$252=1),$BI$309,HLOOKUP(INDIRECT(ADDRESS(2,COLUMN())),OFFSET($CL$2,0,0,ROW()-1,84),ROW()-1,FALSE))</f>
        <v/>
      </c>
      <c r="BJ66" t="str">
        <f ca="1">IF(AND(ISNUMBER($BJ$309),$B$252=1),$BJ$309,HLOOKUP(INDIRECT(ADDRESS(2,COLUMN())),OFFSET($CL$2,0,0,ROW()-1,84),ROW()-1,FALSE))</f>
        <v/>
      </c>
      <c r="BK66" t="str">
        <f ca="1">IF(AND(ISNUMBER($BK$309),$B$252=1),$BK$309,HLOOKUP(INDIRECT(ADDRESS(2,COLUMN())),OFFSET($CL$2,0,0,ROW()-1,84),ROW()-1,FALSE))</f>
        <v/>
      </c>
      <c r="BL66" t="str">
        <f ca="1">IF(AND(ISNUMBER($BL$309),$B$252=1),$BL$309,HLOOKUP(INDIRECT(ADDRESS(2,COLUMN())),OFFSET($CL$2,0,0,ROW()-1,84),ROW()-1,FALSE))</f>
        <v/>
      </c>
      <c r="BM66" t="str">
        <f ca="1">IF(AND(ISNUMBER($BM$309),$B$252=1),$BM$309,HLOOKUP(INDIRECT(ADDRESS(2,COLUMN())),OFFSET($CL$2,0,0,ROW()-1,84),ROW()-1,FALSE))</f>
        <v/>
      </c>
      <c r="BN66" t="str">
        <f ca="1">IF(AND(ISNUMBER($BN$309),$B$252=1),$BN$309,HLOOKUP(INDIRECT(ADDRESS(2,COLUMN())),OFFSET($CL$2,0,0,ROW()-1,84),ROW()-1,FALSE))</f>
        <v/>
      </c>
      <c r="BO66" t="str">
        <f ca="1">IF(AND(ISNUMBER($BO$309),$B$252=1),$BO$309,HLOOKUP(INDIRECT(ADDRESS(2,COLUMN())),OFFSET($CL$2,0,0,ROW()-1,84),ROW()-1,FALSE))</f>
        <v/>
      </c>
      <c r="BP66" t="str">
        <f ca="1">IF(AND(ISNUMBER($BP$309),$B$252=1),$BP$309,HLOOKUP(INDIRECT(ADDRESS(2,COLUMN())),OFFSET($CL$2,0,0,ROW()-1,84),ROW()-1,FALSE))</f>
        <v/>
      </c>
      <c r="BQ66" t="str">
        <f ca="1">IF(AND(ISNUMBER($BQ$309),$B$252=1),$BQ$309,HLOOKUP(INDIRECT(ADDRESS(2,COLUMN())),OFFSET($CL$2,0,0,ROW()-1,84),ROW()-1,FALSE))</f>
        <v/>
      </c>
      <c r="BR66" t="str">
        <f ca="1">IF(AND(ISNUMBER($BR$309),$B$252=1),$BR$309,HLOOKUP(INDIRECT(ADDRESS(2,COLUMN())),OFFSET($CL$2,0,0,ROW()-1,84),ROW()-1,FALSE))</f>
        <v/>
      </c>
      <c r="BS66" t="str">
        <f ca="1">IF(AND(ISNUMBER($BS$309),$B$252=1),$BS$309,HLOOKUP(INDIRECT(ADDRESS(2,COLUMN())),OFFSET($CL$2,0,0,ROW()-1,84),ROW()-1,FALSE))</f>
        <v/>
      </c>
      <c r="BT66" t="str">
        <f ca="1">IF(AND(ISNUMBER($BT$309),$B$252=1),$BT$309,HLOOKUP(INDIRECT(ADDRESS(2,COLUMN())),OFFSET($CL$2,0,0,ROW()-1,84),ROW()-1,FALSE))</f>
        <v/>
      </c>
      <c r="BU66" t="str">
        <f ca="1">IF(AND(ISNUMBER($BU$309),$B$252=1),$BU$309,HLOOKUP(INDIRECT(ADDRESS(2,COLUMN())),OFFSET($CL$2,0,0,ROW()-1,84),ROW()-1,FALSE))</f>
        <v/>
      </c>
      <c r="BV66" t="str">
        <f ca="1">IF(AND(ISNUMBER($BV$309),$B$252=1),$BV$309,HLOOKUP(INDIRECT(ADDRESS(2,COLUMN())),OFFSET($CL$2,0,0,ROW()-1,84),ROW()-1,FALSE))</f>
        <v/>
      </c>
      <c r="BW66" t="str">
        <f ca="1">IF(AND(ISNUMBER($BW$309),$B$252=1),$BW$309,HLOOKUP(INDIRECT(ADDRESS(2,COLUMN())),OFFSET($CL$2,0,0,ROW()-1,84),ROW()-1,FALSE))</f>
        <v/>
      </c>
      <c r="BX66" t="str">
        <f ca="1">IF(AND(ISNUMBER($BX$309),$B$252=1),$BX$309,HLOOKUP(INDIRECT(ADDRESS(2,COLUMN())),OFFSET($CL$2,0,0,ROW()-1,84),ROW()-1,FALSE))</f>
        <v/>
      </c>
      <c r="BY66" t="str">
        <f ca="1">IF(AND(ISNUMBER($BY$309),$B$252=1),$BY$309,HLOOKUP(INDIRECT(ADDRESS(2,COLUMN())),OFFSET($CL$2,0,0,ROW()-1,84),ROW()-1,FALSE))</f>
        <v/>
      </c>
      <c r="BZ66" t="str">
        <f ca="1">IF(AND(ISNUMBER($BZ$309),$B$252=1),$BZ$309,HLOOKUP(INDIRECT(ADDRESS(2,COLUMN())),OFFSET($CL$2,0,0,ROW()-1,84),ROW()-1,FALSE))</f>
        <v/>
      </c>
      <c r="CA66" t="str">
        <f ca="1">IF(AND(ISNUMBER($CA$309),$B$252=1),$CA$309,HLOOKUP(INDIRECT(ADDRESS(2,COLUMN())),OFFSET($CL$2,0,0,ROW()-1,84),ROW()-1,FALSE))</f>
        <v/>
      </c>
      <c r="CB66" t="str">
        <f ca="1">IF(AND(ISNUMBER($CB$309),$B$252=1),$CB$309,HLOOKUP(INDIRECT(ADDRESS(2,COLUMN())),OFFSET($CL$2,0,0,ROW()-1,84),ROW()-1,FALSE))</f>
        <v/>
      </c>
      <c r="CC66" t="str">
        <f ca="1">IF(AND(ISNUMBER($CC$309),$B$252=1),$CC$309,HLOOKUP(INDIRECT(ADDRESS(2,COLUMN())),OFFSET($CL$2,0,0,ROW()-1,84),ROW()-1,FALSE))</f>
        <v/>
      </c>
      <c r="CD66" t="str">
        <f ca="1">IF(AND(ISNUMBER($CD$309),$B$252=1),$CD$309,HLOOKUP(INDIRECT(ADDRESS(2,COLUMN())),OFFSET($CL$2,0,0,ROW()-1,84),ROW()-1,FALSE))</f>
        <v/>
      </c>
      <c r="CE66" t="str">
        <f ca="1">IF(AND(ISNUMBER($CE$309),$B$252=1),$CE$309,HLOOKUP(INDIRECT(ADDRESS(2,COLUMN())),OFFSET($CL$2,0,0,ROW()-1,84),ROW()-1,FALSE))</f>
        <v/>
      </c>
      <c r="CF66" t="str">
        <f ca="1">IF(AND(ISNUMBER($CF$309),$B$252=1),$CF$309,HLOOKUP(INDIRECT(ADDRESS(2,COLUMN())),OFFSET($CL$2,0,0,ROW()-1,84),ROW()-1,FALSE))</f>
        <v/>
      </c>
      <c r="CG66" t="str">
        <f ca="1">IF(AND(ISNUMBER($CG$309),$B$252=1),$CG$309,HLOOKUP(INDIRECT(ADDRESS(2,COLUMN())),OFFSET($CL$2,0,0,ROW()-1,84),ROW()-1,FALSE))</f>
        <v/>
      </c>
      <c r="CH66" t="str">
        <f ca="1">IF(AND(ISNUMBER($CH$309),$B$252=1),$CH$309,HLOOKUP(INDIRECT(ADDRESS(2,COLUMN())),OFFSET($CL$2,0,0,ROW()-1,84),ROW()-1,FALSE))</f>
        <v/>
      </c>
      <c r="CI66" t="str">
        <f ca="1">IF(AND(ISNUMBER($CI$309),$B$252=1),$CI$309,HLOOKUP(INDIRECT(ADDRESS(2,COLUMN())),OFFSET($CL$2,0,0,ROW()-1,84),ROW()-1,FALSE))</f>
        <v/>
      </c>
      <c r="CJ66" t="str">
        <f ca="1">IF(AND(ISNUMBER($CJ$309),$B$252=1),$CJ$309,HLOOKUP(INDIRECT(ADDRESS(2,COLUMN())),OFFSET($CL$2,0,0,ROW()-1,84),ROW()-1,FALSE))</f>
        <v/>
      </c>
      <c r="CK66" t="str">
        <f ca="1">IF(AND(ISNUMBER($CK$309),$B$252=1),$CK$309,HLOOKUP(INDIRECT(ADDRESS(2,COLUMN())),OFFSET($CL$2,0,0,ROW()-1,84),ROW()-1,FALSE))</f>
        <v/>
      </c>
      <c r="CL66">
        <f>1.941</f>
        <v>1.9410000000000001</v>
      </c>
      <c r="CM66">
        <f>1.943</f>
        <v>1.9430000000000001</v>
      </c>
      <c r="CN66">
        <f>1.97</f>
        <v>1.97</v>
      </c>
      <c r="CO66">
        <f>1.968</f>
        <v>1.968</v>
      </c>
      <c r="CP66">
        <f>1.965</f>
        <v>1.9650000000000001</v>
      </c>
      <c r="CQ66">
        <f>1.962</f>
        <v>1.962</v>
      </c>
      <c r="CR66">
        <f>1.959</f>
        <v>1.9590000000000001</v>
      </c>
      <c r="CS66">
        <f>1.96</f>
        <v>1.96</v>
      </c>
      <c r="CT66">
        <f>1.958</f>
        <v>1.958</v>
      </c>
      <c r="CU66">
        <f>1.955</f>
        <v>1.9550000000000001</v>
      </c>
      <c r="CV66">
        <f>1.951</f>
        <v>1.9510000000000001</v>
      </c>
      <c r="CW66">
        <f>1.941</f>
        <v>1.9410000000000001</v>
      </c>
      <c r="CX66">
        <f>1.941</f>
        <v>1.9410000000000001</v>
      </c>
      <c r="CY66">
        <f>1.94</f>
        <v>1.94</v>
      </c>
      <c r="CZ66">
        <f>1.967</f>
        <v>1.9670000000000001</v>
      </c>
      <c r="DA66">
        <f>1.976</f>
        <v>1.976</v>
      </c>
      <c r="DB66">
        <f>1.973</f>
        <v>1.9730000000000001</v>
      </c>
      <c r="DC66">
        <f>1.97</f>
        <v>1.97</v>
      </c>
      <c r="DD66">
        <f>2.002</f>
        <v>2.0019999999999998</v>
      </c>
      <c r="DE66">
        <f>2.01</f>
        <v>2.0099999999999998</v>
      </c>
      <c r="DF66">
        <f>2.009</f>
        <v>2.0089999999999999</v>
      </c>
      <c r="DG66">
        <f>2.026</f>
        <v>2.0259999999999998</v>
      </c>
      <c r="DH66">
        <f>2.031</f>
        <v>2.0310000000000001</v>
      </c>
      <c r="DI66">
        <f>2.03</f>
        <v>2.0299999999999998</v>
      </c>
      <c r="DJ66">
        <f>2.06</f>
        <v>2.06</v>
      </c>
      <c r="DK66">
        <f>2.05</f>
        <v>2.0499999999999998</v>
      </c>
      <c r="DL66" t="str">
        <f>""</f>
        <v/>
      </c>
      <c r="DM66" t="str">
        <f>""</f>
        <v/>
      </c>
      <c r="DN66" t="str">
        <f>""</f>
        <v/>
      </c>
      <c r="DO66" t="str">
        <f>""</f>
        <v/>
      </c>
      <c r="DP66">
        <f>2.14</f>
        <v>2.14</v>
      </c>
      <c r="DQ66">
        <f>2.09</f>
        <v>2.09</v>
      </c>
      <c r="DR66">
        <f>2.07</f>
        <v>2.0699999999999998</v>
      </c>
      <c r="DS66" t="str">
        <f>""</f>
        <v/>
      </c>
      <c r="DT66" t="str">
        <f>""</f>
        <v/>
      </c>
      <c r="DU66" t="str">
        <f>""</f>
        <v/>
      </c>
      <c r="DV66" t="str">
        <f>""</f>
        <v/>
      </c>
      <c r="DW66" t="str">
        <f>""</f>
        <v/>
      </c>
      <c r="DX66" t="str">
        <f>""</f>
        <v/>
      </c>
      <c r="DY66" t="str">
        <f>""</f>
        <v/>
      </c>
      <c r="DZ66" t="str">
        <f>""</f>
        <v/>
      </c>
      <c r="EA66" t="str">
        <f>""</f>
        <v/>
      </c>
      <c r="EB66" t="str">
        <f>""</f>
        <v/>
      </c>
      <c r="EC66" t="str">
        <f>""</f>
        <v/>
      </c>
      <c r="ED66" t="str">
        <f>""</f>
        <v/>
      </c>
      <c r="EE66" t="str">
        <f>""</f>
        <v/>
      </c>
      <c r="EF66" t="str">
        <f>""</f>
        <v/>
      </c>
      <c r="EG66" t="str">
        <f>""</f>
        <v/>
      </c>
      <c r="EH66" t="str">
        <f>""</f>
        <v/>
      </c>
      <c r="EI66" t="str">
        <f>""</f>
        <v/>
      </c>
      <c r="EJ66" t="str">
        <f>""</f>
        <v/>
      </c>
      <c r="EK66" t="str">
        <f>""</f>
        <v/>
      </c>
      <c r="EL66" t="str">
        <f>""</f>
        <v/>
      </c>
      <c r="EM66" t="str">
        <f>""</f>
        <v/>
      </c>
      <c r="EN66" t="str">
        <f>""</f>
        <v/>
      </c>
      <c r="EO66" t="str">
        <f>""</f>
        <v/>
      </c>
      <c r="EP66" t="str">
        <f>""</f>
        <v/>
      </c>
      <c r="EQ66" t="str">
        <f>""</f>
        <v/>
      </c>
      <c r="ER66" t="str">
        <f>""</f>
        <v/>
      </c>
      <c r="ES66" t="str">
        <f>""</f>
        <v/>
      </c>
      <c r="ET66" t="str">
        <f>""</f>
        <v/>
      </c>
      <c r="EU66" t="str">
        <f>""</f>
        <v/>
      </c>
      <c r="EV66" t="str">
        <f>""</f>
        <v/>
      </c>
      <c r="EW66" t="str">
        <f>""</f>
        <v/>
      </c>
      <c r="EX66" t="str">
        <f>""</f>
        <v/>
      </c>
      <c r="EY66" t="str">
        <f>""</f>
        <v/>
      </c>
      <c r="EZ66" t="str">
        <f>""</f>
        <v/>
      </c>
      <c r="FA66" t="str">
        <f>""</f>
        <v/>
      </c>
      <c r="FB66" t="str">
        <f>""</f>
        <v/>
      </c>
      <c r="FC66" t="str">
        <f>""</f>
        <v/>
      </c>
      <c r="FD66" t="str">
        <f>""</f>
        <v/>
      </c>
      <c r="FE66" t="str">
        <f>""</f>
        <v/>
      </c>
      <c r="FF66" t="str">
        <f>""</f>
        <v/>
      </c>
      <c r="FG66" t="str">
        <f>""</f>
        <v/>
      </c>
      <c r="FH66" t="str">
        <f>""</f>
        <v/>
      </c>
      <c r="FI66" t="str">
        <f>""</f>
        <v/>
      </c>
      <c r="FJ66" t="str">
        <f>""</f>
        <v/>
      </c>
      <c r="FK66" t="str">
        <f>""</f>
        <v/>
      </c>
      <c r="FL66" t="str">
        <f>""</f>
        <v/>
      </c>
      <c r="FM66" t="str">
        <f>""</f>
        <v/>
      </c>
      <c r="FN66" t="str">
        <f>""</f>
        <v/>
      </c>
      <c r="FO66" t="str">
        <f>""</f>
        <v/>
      </c>
      <c r="FP66" t="str">
        <f>""</f>
        <v/>
      </c>
      <c r="FQ66" t="str">
        <f>""</f>
        <v/>
      </c>
    </row>
    <row r="67" spans="1:173">
      <c r="A67" t="str">
        <f>"价格/AFFO TTM"</f>
        <v>价格/AFFO TTM</v>
      </c>
      <c r="B67" t="str">
        <f>"BRFREITV Index"</f>
        <v>BRFREITV Index</v>
      </c>
      <c r="E67" t="str">
        <f>"Median"</f>
        <v>Median</v>
      </c>
      <c r="F67">
        <f ca="1">IF(ISERROR(IF(MEDIAN($F$68:$F$74) = 0, "", MEDIAN($F$68:$F$74))), "", (IF(MEDIAN($F$68:$F$74) = 0, "", MEDIAN($F$68:$F$74))))</f>
        <v>18.741175429999998</v>
      </c>
      <c r="G67">
        <f ca="1">IF(ISERROR(IF(MEDIAN($G$68:$G$74) = 0, "", MEDIAN($G$68:$G$74))), "", (IF(MEDIAN($G$68:$G$74) = 0, "", MEDIAN($G$68:$G$74))))</f>
        <v>17.947267230000001</v>
      </c>
      <c r="H67">
        <f ca="1">IF(ISERROR(IF(MEDIAN($H$68:$H$74) = 0, "", MEDIAN($H$68:$H$74))), "", (IF(MEDIAN($H$68:$H$74) = 0, "", MEDIAN($H$68:$H$74))))</f>
        <v>19.539889160000001</v>
      </c>
      <c r="I67">
        <f ca="1">IF(ISERROR(IF(MEDIAN($I$68:$I$74) = 0, "", MEDIAN($I$68:$I$74))), "", (IF(MEDIAN($I$68:$I$74) = 0, "", MEDIAN($I$68:$I$74))))</f>
        <v>20.325641839999999</v>
      </c>
      <c r="J67">
        <f ca="1">IF(ISERROR(IF(MEDIAN($J$68:$J$74) = 0, "", MEDIAN($J$68:$J$74))), "", (IF(MEDIAN($J$68:$J$74) = 0, "", MEDIAN($J$68:$J$74))))</f>
        <v>21.101843729999999</v>
      </c>
      <c r="K67">
        <f ca="1">IF(ISERROR(IF(MEDIAN($K$68:$K$74) = 0, "", MEDIAN($K$68:$K$74))), "", (IF(MEDIAN($K$68:$K$74) = 0, "", MEDIAN($K$68:$K$74))))</f>
        <v>20.958531910000001</v>
      </c>
      <c r="L67">
        <f ca="1">IF(ISERROR(IF(MEDIAN($L$68:$L$74) = 0, "", MEDIAN($L$68:$L$74))), "", (IF(MEDIAN($L$68:$L$74) = 0, "", MEDIAN($L$68:$L$74))))</f>
        <v>20.54789813</v>
      </c>
      <c r="M67">
        <f ca="1">IF(ISERROR(IF(MEDIAN($M$68:$M$74) = 0, "", MEDIAN($M$68:$M$74))), "", (IF(MEDIAN($M$68:$M$74) = 0, "", MEDIAN($M$68:$M$74))))</f>
        <v>21.17976681</v>
      </c>
      <c r="N67">
        <f ca="1">IF(ISERROR(IF(MEDIAN($N$68:$N$74) = 0, "", MEDIAN($N$68:$N$74))), "", (IF(MEDIAN($N$68:$N$74) = 0, "", MEDIAN($N$68:$N$74))))</f>
        <v>21.327075860000001</v>
      </c>
      <c r="O67">
        <f ca="1">IF(ISERROR(IF(MEDIAN($O$68:$O$74) = 0, "", MEDIAN($O$68:$O$74))), "", (IF(MEDIAN($O$68:$O$74) = 0, "", MEDIAN($O$68:$O$74))))</f>
        <v>21.261605169999999</v>
      </c>
      <c r="P67">
        <f ca="1">IF(ISERROR(IF(MEDIAN($P$68:$P$74) = 0, "", MEDIAN($P$68:$P$74))), "", (IF(MEDIAN($P$68:$P$74) = 0, "", MEDIAN($P$68:$P$74))))</f>
        <v>21.189056839999999</v>
      </c>
      <c r="Q67">
        <f ca="1">IF(ISERROR(IF(MEDIAN($Q$68:$Q$74) = 0, "", MEDIAN($Q$68:$Q$74))), "", (IF(MEDIAN($Q$68:$Q$74) = 0, "", MEDIAN($Q$68:$Q$74))))</f>
        <v>20.646135709999999</v>
      </c>
      <c r="R67">
        <f ca="1">IF(ISERROR(IF(MEDIAN($R$68:$R$74) = 0, "", MEDIAN($R$68:$R$74))), "", (IF(MEDIAN($R$68:$R$74) = 0, "", MEDIAN($R$68:$R$74))))</f>
        <v>20.048979129999999</v>
      </c>
      <c r="S67">
        <f ca="1">IF(ISERROR(IF(MEDIAN($S$68:$S$74) = 0, "", MEDIAN($S$68:$S$74))), "", (IF(MEDIAN($S$68:$S$74) = 0, "", MEDIAN($S$68:$S$74))))</f>
        <v>20.430776349999999</v>
      </c>
      <c r="T67">
        <f ca="1">IF(ISERROR(IF(MEDIAN($T$68:$T$74) = 0, "", MEDIAN($T$68:$T$74))), "", (IF(MEDIAN($T$68:$T$74) = 0, "", MEDIAN($T$68:$T$74))))</f>
        <v>19.56445252</v>
      </c>
      <c r="U67">
        <f ca="1">IF(ISERROR(IF(MEDIAN($U$68:$U$74) = 0, "", MEDIAN($U$68:$U$74))), "", (IF(MEDIAN($U$68:$U$74) = 0, "", MEDIAN($U$68:$U$74))))</f>
        <v>20.42092212</v>
      </c>
      <c r="V67">
        <f ca="1">IF(ISERROR(IF(MEDIAN($V$68:$V$74) = 0, "", MEDIAN($V$68:$V$74))), "", (IF(MEDIAN($V$68:$V$74) = 0, "", MEDIAN($V$68:$V$74))))</f>
        <v>18.632979540000001</v>
      </c>
      <c r="W67">
        <f ca="1">IF(ISERROR(IF(MEDIAN($W$68:$W$74) = 0, "", MEDIAN($W$68:$W$74))), "", (IF(MEDIAN($W$68:$W$74) = 0, "", MEDIAN($W$68:$W$74))))</f>
        <v>19.17618667</v>
      </c>
      <c r="X67">
        <f ca="1">IF(ISERROR(IF(MEDIAN($X$68:$X$74) = 0, "", MEDIAN($X$68:$X$74))), "", (IF(MEDIAN($X$68:$X$74) = 0, "", MEDIAN($X$68:$X$74))))</f>
        <v>19.976826190000001</v>
      </c>
      <c r="Y67">
        <f ca="1">IF(ISERROR(IF(MEDIAN($Y$68:$Y$74) = 0, "", MEDIAN($Y$68:$Y$74))), "", (IF(MEDIAN($Y$68:$Y$74) = 0, "", MEDIAN($Y$68:$Y$74))))</f>
        <v>19.55127478</v>
      </c>
      <c r="Z67">
        <f ca="1">IF(ISERROR(IF(MEDIAN($Z$68:$Z$74) = 0, "", MEDIAN($Z$68:$Z$74))), "", (IF(MEDIAN($Z$68:$Z$74) = 0, "", MEDIAN($Z$68:$Z$74))))</f>
        <v>20.368084169999999</v>
      </c>
      <c r="AA67">
        <f ca="1">IF(ISERROR(IF(MEDIAN($AA$68:$AA$74) = 0, "", MEDIAN($AA$68:$AA$74))), "", (IF(MEDIAN($AA$68:$AA$74) = 0, "", MEDIAN($AA$68:$AA$74))))</f>
        <v>20.634705660000002</v>
      </c>
      <c r="AB67">
        <f ca="1">IF(ISERROR(IF(MEDIAN($AB$68:$AB$74) = 0, "", MEDIAN($AB$68:$AB$74))), "", (IF(MEDIAN($AB$68:$AB$74) = 0, "", MEDIAN($AB$68:$AB$74))))</f>
        <v>20.160572559999999</v>
      </c>
      <c r="AC67">
        <f ca="1">IF(ISERROR(IF(MEDIAN($AC$68:$AC$74) = 0, "", MEDIAN($AC$68:$AC$74))), "", (IF(MEDIAN($AC$68:$AC$74) = 0, "", MEDIAN($AC$68:$AC$74))))</f>
        <v>19.82849551</v>
      </c>
      <c r="AD67">
        <f ca="1">IF(ISERROR(IF(MEDIAN($AD$68:$AD$74) = 0, "", MEDIAN($AD$68:$AD$74))), "", (IF(MEDIAN($AD$68:$AD$74) = 0, "", MEDIAN($AD$68:$AD$74))))</f>
        <v>21.855913300000001</v>
      </c>
      <c r="AE67">
        <f ca="1">IF(ISERROR(IF(MEDIAN($AE$68:$AE$74) = 0, "", MEDIAN($AE$68:$AE$74))), "", (IF(MEDIAN($AE$68:$AE$74) = 0, "", MEDIAN($AE$68:$AE$74))))</f>
        <v>20.586523540000002</v>
      </c>
      <c r="AF67">
        <f ca="1">IF(ISERROR(IF(MEDIAN($AF$68:$AF$74) = 0, "", MEDIAN($AF$68:$AF$74))), "", (IF(MEDIAN($AF$68:$AF$74) = 0, "", MEDIAN($AF$68:$AF$74))))</f>
        <v>21.342102319999999</v>
      </c>
      <c r="AG67">
        <f ca="1">IF(ISERROR(IF(MEDIAN($AG$68:$AG$74) = 0, "", MEDIAN($AG$68:$AG$74))), "", (IF(MEDIAN($AG$68:$AG$74) = 0, "", MEDIAN($AG$68:$AG$74))))</f>
        <v>22.529440409999999</v>
      </c>
      <c r="AH67">
        <f ca="1">IF(ISERROR(IF(MEDIAN($AH$68:$AH$74) = 0, "", MEDIAN($AH$68:$AH$74))), "", (IF(MEDIAN($AH$68:$AH$74) = 0, "", MEDIAN($AH$68:$AH$74))))</f>
        <v>22.59980453</v>
      </c>
      <c r="AI67">
        <f ca="1">IF(ISERROR(IF(MEDIAN($AI$68:$AI$74) = 0, "", MEDIAN($AI$68:$AI$74))), "", (IF(MEDIAN($AI$68:$AI$74) = 0, "", MEDIAN($AI$68:$AI$74))))</f>
        <v>21.099682040000001</v>
      </c>
      <c r="AJ67">
        <f ca="1">IF(ISERROR(IF(MEDIAN($AJ$68:$AJ$74) = 0, "", MEDIAN($AJ$68:$AJ$74))), "", (IF(MEDIAN($AJ$68:$AJ$74) = 0, "", MEDIAN($AJ$68:$AJ$74))))</f>
        <v>21.11192793</v>
      </c>
      <c r="AK67">
        <f ca="1">IF(ISERROR(IF(MEDIAN($AK$68:$AK$74) = 0, "", MEDIAN($AK$68:$AK$74))), "", (IF(MEDIAN($AK$68:$AK$74) = 0, "", MEDIAN($AK$68:$AK$74))))</f>
        <v>19.229449385000002</v>
      </c>
      <c r="AL67">
        <f ca="1">IF(ISERROR(IF(MEDIAN($AL$68:$AL$74) = 0, "", MEDIAN($AL$68:$AL$74))), "", (IF(MEDIAN($AL$68:$AL$74) = 0, "", MEDIAN($AL$68:$AL$74))))</f>
        <v>20.484910634999999</v>
      </c>
      <c r="AM67">
        <f ca="1">IF(ISERROR(IF(MEDIAN($AM$68:$AM$74) = 0, "", MEDIAN($AM$68:$AM$74))), "", (IF(MEDIAN($AM$68:$AM$74) = 0, "", MEDIAN($AM$68:$AM$74))))</f>
        <v>19.278935224999998</v>
      </c>
      <c r="AN67">
        <f ca="1">IF(ISERROR(IF(MEDIAN($AN$68:$AN$74) = 0, "", MEDIAN($AN$68:$AN$74))), "", (IF(MEDIAN($AN$68:$AN$74) = 0, "", MEDIAN($AN$68:$AN$74))))</f>
        <v>20.544456285000003</v>
      </c>
      <c r="AO67">
        <f ca="1">IF(ISERROR(IF(MEDIAN($AO$68:$AO$74) = 0, "", MEDIAN($AO$68:$AO$74))), "", (IF(MEDIAN($AO$68:$AO$74) = 0, "", MEDIAN($AO$68:$AO$74))))</f>
        <v>20.425643130000001</v>
      </c>
      <c r="AP67">
        <f ca="1">IF(ISERROR(IF(MEDIAN($AP$68:$AP$74) = 0, "", MEDIAN($AP$68:$AP$74))), "", (IF(MEDIAN($AP$68:$AP$74) = 0, "", MEDIAN($AP$68:$AP$74))))</f>
        <v>21.432603595</v>
      </c>
      <c r="AQ67">
        <f ca="1">IF(ISERROR(IF(MEDIAN($AQ$68:$AQ$74) = 0, "", MEDIAN($AQ$68:$AQ$74))), "", (IF(MEDIAN($AQ$68:$AQ$74) = 0, "", MEDIAN($AQ$68:$AQ$74))))</f>
        <v>21.270710305000001</v>
      </c>
      <c r="AR67">
        <f ca="1">IF(ISERROR(IF(MEDIAN($AR$68:$AR$74) = 0, "", MEDIAN($AR$68:$AR$74))), "", (IF(MEDIAN($AR$68:$AR$74) = 0, "", MEDIAN($AR$68:$AR$74))))</f>
        <v>21.889526314999998</v>
      </c>
      <c r="AS67">
        <f ca="1">IF(ISERROR(IF(MEDIAN($AS$68:$AS$74) = 0, "", MEDIAN($AS$68:$AS$74))), "", (IF(MEDIAN($AS$68:$AS$74) = 0, "", MEDIAN($AS$68:$AS$74))))</f>
        <v>20.323424320000001</v>
      </c>
      <c r="AT67">
        <f ca="1">IF(ISERROR(IF(MEDIAN($AT$68:$AT$74) = 0, "", MEDIAN($AT$68:$AT$74))), "", (IF(MEDIAN($AT$68:$AT$74) = 0, "", MEDIAN($AT$68:$AT$74))))</f>
        <v>20.545077669999998</v>
      </c>
      <c r="AU67">
        <f ca="1">IF(ISERROR(IF(MEDIAN($AU$68:$AU$74) = 0, "", MEDIAN($AU$68:$AU$74))), "", (IF(MEDIAN($AU$68:$AU$74) = 0, "", MEDIAN($AU$68:$AU$74))))</f>
        <v>20.335918289999999</v>
      </c>
      <c r="AV67">
        <f ca="1">IF(ISERROR(IF(MEDIAN($AV$68:$AV$74) = 0, "", MEDIAN($AV$68:$AV$74))), "", (IF(MEDIAN($AV$68:$AV$74) = 0, "", MEDIAN($AV$68:$AV$74))))</f>
        <v>18.080211540000001</v>
      </c>
      <c r="AW67">
        <f ca="1">IF(ISERROR(IF(MEDIAN($AW$68:$AW$74) = 0, "", MEDIAN($AW$68:$AW$74))), "", (IF(MEDIAN($AW$68:$AW$74) = 0, "", MEDIAN($AW$68:$AW$74))))</f>
        <v>20.000825579999997</v>
      </c>
      <c r="AX67">
        <f ca="1">IF(ISERROR(IF(MEDIAN($AX$68:$AX$74) = 0, "", MEDIAN($AX$68:$AX$74))), "", (IF(MEDIAN($AX$68:$AX$74) = 0, "", MEDIAN($AX$68:$AX$74))))</f>
        <v>19.402038839999999</v>
      </c>
      <c r="AY67">
        <f ca="1">IF(ISERROR(IF(MEDIAN($AY$68:$AY$74) = 0, "", MEDIAN($AY$68:$AY$74))), "", (IF(MEDIAN($AY$68:$AY$74) = 0, "", MEDIAN($AY$68:$AY$74))))</f>
        <v>19.97461599</v>
      </c>
      <c r="AZ67">
        <f ca="1">IF(ISERROR(IF(MEDIAN($AZ$68:$AZ$74) = 0, "", MEDIAN($AZ$68:$AZ$74))), "", (IF(MEDIAN($AZ$68:$AZ$74) = 0, "", MEDIAN($AZ$68:$AZ$74))))</f>
        <v>19.193485760000002</v>
      </c>
      <c r="BA67">
        <f ca="1">IF(ISERROR(IF(MEDIAN($BA$68:$BA$74) = 0, "", MEDIAN($BA$68:$BA$74))), "", (IF(MEDIAN($BA$68:$BA$74) = 0, "", MEDIAN($BA$68:$BA$74))))</f>
        <v>18.035739159999999</v>
      </c>
      <c r="BB67">
        <f ca="1">IF(ISERROR(IF(MEDIAN($BB$68:$BB$74) = 0, "", MEDIAN($BB$68:$BB$74))), "", (IF(MEDIAN($BB$68:$BB$74) = 0, "", MEDIAN($BB$68:$BB$74))))</f>
        <v>18.014816029999999</v>
      </c>
      <c r="BC67">
        <f ca="1">IF(ISERROR(IF(MEDIAN($BC$68:$BC$74) = 0, "", MEDIAN($BC$68:$BC$74))), "", (IF(MEDIAN($BC$68:$BC$74) = 0, "", MEDIAN($BC$68:$BC$74))))</f>
        <v>18.243093139999999</v>
      </c>
      <c r="BD67">
        <f ca="1">IF(ISERROR(IF(MEDIAN($BD$68:$BD$74) = 0, "", MEDIAN($BD$68:$BD$74))), "", (IF(MEDIAN($BD$68:$BD$74) = 0, "", MEDIAN($BD$68:$BD$74))))</f>
        <v>17.204063819999998</v>
      </c>
      <c r="BE67">
        <f ca="1">IF(ISERROR(IF(MEDIAN($BE$68:$BE$74) = 0, "", MEDIAN($BE$68:$BE$74))), "", (IF(MEDIAN($BE$68:$BE$74) = 0, "", MEDIAN($BE$68:$BE$74))))</f>
        <v>16.504309370000001</v>
      </c>
      <c r="BF67">
        <f ca="1">IF(ISERROR(IF(MEDIAN($BF$68:$BF$74) = 0, "", MEDIAN($BF$68:$BF$74))), "", (IF(MEDIAN($BF$68:$BF$74) = 0, "", MEDIAN($BF$68:$BF$74))))</f>
        <v>16.354061229999999</v>
      </c>
      <c r="BG67">
        <f ca="1">IF(ISERROR(IF(MEDIAN($BG$68:$BG$74) = 0, "", MEDIAN($BG$68:$BG$74))), "", (IF(MEDIAN($BG$68:$BG$74) = 0, "", MEDIAN($BG$68:$BG$74))))</f>
        <v>17.436366960000001</v>
      </c>
      <c r="BH67">
        <f ca="1">IF(ISERROR(IF(MEDIAN($BH$68:$BH$74) = 0, "", MEDIAN($BH$68:$BH$74))), "", (IF(MEDIAN($BH$68:$BH$74) = 0, "", MEDIAN($BH$68:$BH$74))))</f>
        <v>16.65626348</v>
      </c>
      <c r="BI67">
        <f ca="1">IF(ISERROR(IF(MEDIAN($BI$68:$BI$74) = 0, "", MEDIAN($BI$68:$BI$74))), "", (IF(MEDIAN($BI$68:$BI$74) = 0, "", MEDIAN($BI$68:$BI$74))))</f>
        <v>15.93369135</v>
      </c>
      <c r="BJ67">
        <f ca="1">IF(ISERROR(IF(MEDIAN($BJ$68:$BJ$74) = 0, "", MEDIAN($BJ$68:$BJ$74))), "", (IF(MEDIAN($BJ$68:$BJ$74) = 0, "", MEDIAN($BJ$68:$BJ$74))))</f>
        <v>18.190040270000001</v>
      </c>
      <c r="BK67">
        <f ca="1">IF(ISERROR(IF(MEDIAN($BK$68:$BK$74) = 0, "", MEDIAN($BK$68:$BK$74))), "", (IF(MEDIAN($BK$68:$BK$74) = 0, "", MEDIAN($BK$68:$BK$74))))</f>
        <v>17.962633820000001</v>
      </c>
      <c r="BL67">
        <f ca="1">IF(ISERROR(IF(MEDIAN($BL$68:$BL$74) = 0, "", MEDIAN($BL$68:$BL$74))), "", (IF(MEDIAN($BL$68:$BL$74) = 0, "", MEDIAN($BL$68:$BL$74))))</f>
        <v>18.475966029999999</v>
      </c>
      <c r="BM67">
        <f ca="1">IF(ISERROR(IF(MEDIAN($BM$68:$BM$74) = 0, "", MEDIAN($BM$68:$BM$74))), "", (IF(MEDIAN($BM$68:$BM$74) = 0, "", MEDIAN($BM$68:$BM$74))))</f>
        <v>19.30038098</v>
      </c>
      <c r="BN67">
        <f ca="1">IF(ISERROR(IF(MEDIAN($BN$68:$BN$74) = 0, "", MEDIAN($BN$68:$BN$74))), "", (IF(MEDIAN($BN$68:$BN$74) = 0, "", MEDIAN($BN$68:$BN$74))))</f>
        <v>18.323889489999999</v>
      </c>
      <c r="BO67">
        <f ca="1">IF(ISERROR(IF(MEDIAN($BO$68:$BO$74) = 0, "", MEDIAN($BO$68:$BO$74))), "", (IF(MEDIAN($BO$68:$BO$74) = 0, "", MEDIAN($BO$68:$BO$74))))</f>
        <v>19.139991800000001</v>
      </c>
      <c r="BP67">
        <f ca="1">IF(ISERROR(IF(MEDIAN($BP$68:$BP$74) = 0, "", MEDIAN($BP$68:$BP$74))), "", (IF(MEDIAN($BP$68:$BP$74) = 0, "", MEDIAN($BP$68:$BP$74))))</f>
        <v>19.209199170000002</v>
      </c>
      <c r="BQ67">
        <f ca="1">IF(ISERROR(IF(MEDIAN($BQ$68:$BQ$74) = 0, "", MEDIAN($BQ$68:$BQ$74))), "", (IF(MEDIAN($BQ$68:$BQ$74) = 0, "", MEDIAN($BQ$68:$BQ$74))))</f>
        <v>18.88254036</v>
      </c>
      <c r="BR67">
        <f ca="1">IF(ISERROR(IF(MEDIAN($BR$68:$BR$74) = 0, "", MEDIAN($BR$68:$BR$74))), "", (IF(MEDIAN($BR$68:$BR$74) = 0, "", MEDIAN($BR$68:$BR$74))))</f>
        <v>18.851302910000001</v>
      </c>
      <c r="BS67">
        <f ca="1">IF(ISERROR(IF(MEDIAN($BS$68:$BS$74) = 0, "", MEDIAN($BS$68:$BS$74))), "", (IF(MEDIAN($BS$68:$BS$74) = 0, "", MEDIAN($BS$68:$BS$74))))</f>
        <v>18.831217809999998</v>
      </c>
      <c r="BT67">
        <f ca="1">IF(ISERROR(IF(MEDIAN($BT$68:$BT$74) = 0, "", MEDIAN($BT$68:$BT$74))), "", (IF(MEDIAN($BT$68:$BT$74) = 0, "", MEDIAN($BT$68:$BT$74))))</f>
        <v>18.504117579999999</v>
      </c>
      <c r="BU67">
        <f ca="1">IF(ISERROR(IF(MEDIAN($BU$68:$BU$74) = 0, "", MEDIAN($BU$68:$BU$74))), "", (IF(MEDIAN($BU$68:$BU$74) = 0, "", MEDIAN($BU$68:$BU$74))))</f>
        <v>20.873257110000001</v>
      </c>
      <c r="BV67">
        <f ca="1">IF(ISERROR(IF(MEDIAN($BV$68:$BV$74) = 0, "", MEDIAN($BV$68:$BV$74))), "", (IF(MEDIAN($BV$68:$BV$74) = 0, "", MEDIAN($BV$68:$BV$74))))</f>
        <v>21.438455489999999</v>
      </c>
      <c r="BW67">
        <f ca="1">IF(ISERROR(IF(MEDIAN($BW$68:$BW$74) = 0, "", MEDIAN($BW$68:$BW$74))), "", (IF(MEDIAN($BW$68:$BW$74) = 0, "", MEDIAN($BW$68:$BW$74))))</f>
        <v>20.344135219999998</v>
      </c>
      <c r="BX67">
        <f ca="1">IF(ISERROR(IF(MEDIAN($BX$68:$BX$74) = 0, "", MEDIAN($BX$68:$BX$74))), "", (IF(MEDIAN($BX$68:$BX$74) = 0, "", MEDIAN($BX$68:$BX$74))))</f>
        <v>22.951142610000002</v>
      </c>
      <c r="BY67">
        <f ca="1">IF(ISERROR(IF(MEDIAN($BY$68:$BY$74) = 0, "", MEDIAN($BY$68:$BY$74))), "", (IF(MEDIAN($BY$68:$BY$74) = 0, "", MEDIAN($BY$68:$BY$74))))</f>
        <v>23.8535374</v>
      </c>
      <c r="BZ67">
        <f ca="1">IF(ISERROR(IF(MEDIAN($BZ$68:$BZ$74) = 0, "", MEDIAN($BZ$68:$BZ$74))), "", (IF(MEDIAN($BZ$68:$BZ$74) = 0, "", MEDIAN($BZ$68:$BZ$74))))</f>
        <v>23.1767413</v>
      </c>
      <c r="CA67">
        <f ca="1">IF(ISERROR(IF(MEDIAN($CA$68:$CA$74) = 0, "", MEDIAN($CA$68:$CA$74))), "", (IF(MEDIAN($CA$68:$CA$74) = 0, "", MEDIAN($CA$68:$CA$74))))</f>
        <v>22.707455199999998</v>
      </c>
      <c r="CB67">
        <f ca="1">IF(ISERROR(IF(MEDIAN($CB$68:$CB$74) = 0, "", MEDIAN($CB$68:$CB$74))), "", (IF(MEDIAN($CB$68:$CB$74) = 0, "", MEDIAN($CB$68:$CB$74))))</f>
        <v>23.62307839</v>
      </c>
      <c r="CC67">
        <f ca="1">IF(ISERROR(IF(MEDIAN($CC$68:$CC$74) = 0, "", MEDIAN($CC$68:$CC$74))), "", (IF(MEDIAN($CC$68:$CC$74) = 0, "", MEDIAN($CC$68:$CC$74))))</f>
        <v>22.795355019999999</v>
      </c>
      <c r="CD67">
        <f ca="1">IF(ISERROR(IF(MEDIAN($CD$68:$CD$74) = 0, "", MEDIAN($CD$68:$CD$74))), "", (IF(MEDIAN($CD$68:$CD$74) = 0, "", MEDIAN($CD$68:$CD$74))))</f>
        <v>21.900270500000001</v>
      </c>
      <c r="CE67">
        <f ca="1">IF(ISERROR(IF(MEDIAN($CE$68:$CE$74) = 0, "", MEDIAN($CE$68:$CE$74))), "", (IF(MEDIAN($CE$68:$CE$74) = 0, "", MEDIAN($CE$68:$CE$74))))</f>
        <v>23.00419891</v>
      </c>
      <c r="CF67">
        <f ca="1">IF(ISERROR(IF(MEDIAN($CF$68:$CF$74) = 0, "", MEDIAN($CF$68:$CF$74))), "", (IF(MEDIAN($CF$68:$CF$74) = 0, "", MEDIAN($CF$68:$CF$74))))</f>
        <v>20.963259099999998</v>
      </c>
      <c r="CG67">
        <f ca="1">IF(ISERROR(IF(MEDIAN($CG$68:$CG$74) = 0, "", MEDIAN($CG$68:$CG$74))), "", (IF(MEDIAN($CG$68:$CG$74) = 0, "", MEDIAN($CG$68:$CG$74))))</f>
        <v>26.10047011</v>
      </c>
      <c r="CH67">
        <f ca="1">IF(ISERROR(IF(MEDIAN($CH$68:$CH$74) = 0, "", MEDIAN($CH$68:$CH$74))), "", (IF(MEDIAN($CH$68:$CH$74) = 0, "", MEDIAN($CH$68:$CH$74))))</f>
        <v>26.373505430000002</v>
      </c>
      <c r="CI67">
        <f ca="1">IF(ISERROR(IF(MEDIAN($CI$68:$CI$74) = 0, "", MEDIAN($CI$68:$CI$74))), "", (IF(MEDIAN($CI$68:$CI$74) = 0, "", MEDIAN($CI$68:$CI$74))))</f>
        <v>25.292506280000001</v>
      </c>
      <c r="CJ67">
        <f ca="1">IF(ISERROR(IF(MEDIAN($CJ$68:$CJ$74) = 0, "", MEDIAN($CJ$68:$CJ$74))), "", (IF(MEDIAN($CJ$68:$CJ$74) = 0, "", MEDIAN($CJ$68:$CJ$74))))</f>
        <v>23.194515379999999</v>
      </c>
      <c r="CK67">
        <f ca="1">IF(ISERROR(IF(MEDIAN($CK$68:$CK$74) = 0, "", MEDIAN($CK$68:$CK$74))), "", (IF(MEDIAN($CK$68:$CK$74) = 0, "", MEDIAN($CK$68:$CK$74))))</f>
        <v>22.642436839999998</v>
      </c>
      <c r="CL67">
        <f>18.74117543</f>
        <v>18.741175429999998</v>
      </c>
      <c r="CM67">
        <f>17.94726723</f>
        <v>17.947267230000001</v>
      </c>
      <c r="CN67">
        <f>19.53988916</f>
        <v>19.539889160000001</v>
      </c>
      <c r="CO67">
        <f>20.32564184</f>
        <v>20.325641839999999</v>
      </c>
      <c r="CP67">
        <f>21.10184373</f>
        <v>21.101843729999999</v>
      </c>
      <c r="CQ67">
        <f>20.95853191</f>
        <v>20.958531910000001</v>
      </c>
      <c r="CR67">
        <f>20.54789813</f>
        <v>20.54789813</v>
      </c>
      <c r="CS67">
        <f>21.17976681</f>
        <v>21.17976681</v>
      </c>
      <c r="CT67">
        <f>21.32707586</f>
        <v>21.327075860000001</v>
      </c>
      <c r="CU67">
        <f>21.26160517</f>
        <v>21.261605169999999</v>
      </c>
      <c r="CV67">
        <f>21.18905684</f>
        <v>21.189056839999999</v>
      </c>
      <c r="CW67">
        <f>20.64613571</f>
        <v>20.646135709999999</v>
      </c>
      <c r="CX67">
        <f>20.04897913</f>
        <v>20.048979129999999</v>
      </c>
      <c r="CY67">
        <f>20.43077635</f>
        <v>20.430776349999999</v>
      </c>
      <c r="CZ67">
        <f>19.56445252</f>
        <v>19.56445252</v>
      </c>
      <c r="DA67">
        <f>20.42092212</f>
        <v>20.42092212</v>
      </c>
      <c r="DB67">
        <f>18.63297954</f>
        <v>18.632979540000001</v>
      </c>
      <c r="DC67">
        <f>19.17618667</f>
        <v>19.17618667</v>
      </c>
      <c r="DD67">
        <f>19.97682619</f>
        <v>19.976826190000001</v>
      </c>
      <c r="DE67">
        <f>19.55127478</f>
        <v>19.55127478</v>
      </c>
      <c r="DF67">
        <f>20.36808417</f>
        <v>20.368084169999999</v>
      </c>
      <c r="DG67">
        <f>20.63470566</f>
        <v>20.634705660000002</v>
      </c>
      <c r="DH67">
        <f>20.16057256</f>
        <v>20.160572559999999</v>
      </c>
      <c r="DI67">
        <f>19.82849551</f>
        <v>19.82849551</v>
      </c>
      <c r="DJ67">
        <f>21.8559133</f>
        <v>21.855913300000001</v>
      </c>
      <c r="DK67">
        <f>20.58652354</f>
        <v>20.586523540000002</v>
      </c>
      <c r="DL67">
        <f>21.34210232</f>
        <v>21.342102319999999</v>
      </c>
      <c r="DM67">
        <f>22.52944041</f>
        <v>22.529440409999999</v>
      </c>
      <c r="DN67">
        <f>22.59980453</f>
        <v>22.59980453</v>
      </c>
      <c r="DO67">
        <f>21.09968204</f>
        <v>21.099682040000001</v>
      </c>
      <c r="DP67">
        <f>21.11192793</f>
        <v>21.11192793</v>
      </c>
      <c r="DQ67">
        <f>19.22944939</f>
        <v>19.229449389999999</v>
      </c>
      <c r="DR67">
        <f>20.48491064</f>
        <v>20.484910639999999</v>
      </c>
      <c r="DS67">
        <f>19.27893522</f>
        <v>19.278935220000001</v>
      </c>
      <c r="DT67">
        <f>20.54445628</f>
        <v>20.544456279999999</v>
      </c>
      <c r="DU67">
        <f>20.42564313</f>
        <v>20.425643130000001</v>
      </c>
      <c r="DV67">
        <f>21.4326036</f>
        <v>21.4326036</v>
      </c>
      <c r="DW67">
        <f>21.27071031</f>
        <v>21.270710309999998</v>
      </c>
      <c r="DX67">
        <f>21.88952631</f>
        <v>21.889526310000001</v>
      </c>
      <c r="DY67">
        <f>20.32342432</f>
        <v>20.323424320000001</v>
      </c>
      <c r="DZ67">
        <f>20.54507767</f>
        <v>20.545077670000001</v>
      </c>
      <c r="EA67">
        <f>20.33591829</f>
        <v>20.335918289999999</v>
      </c>
      <c r="EB67">
        <f>18.08021154</f>
        <v>18.080211540000001</v>
      </c>
      <c r="EC67">
        <f>20.00082558</f>
        <v>20.000825580000001</v>
      </c>
      <c r="ED67">
        <f>19.40203884</f>
        <v>19.402038839999999</v>
      </c>
      <c r="EE67">
        <f>19.97461599</f>
        <v>19.97461599</v>
      </c>
      <c r="EF67">
        <f>19.19348576</f>
        <v>19.193485760000002</v>
      </c>
      <c r="EG67">
        <f>18.03573916</f>
        <v>18.035739159999999</v>
      </c>
      <c r="EH67">
        <f>18.01481603</f>
        <v>18.014816029999999</v>
      </c>
      <c r="EI67">
        <f>18.24309314</f>
        <v>18.243093139999999</v>
      </c>
      <c r="EJ67">
        <f>17.20406382</f>
        <v>17.204063819999998</v>
      </c>
      <c r="EK67">
        <f>16.50430937</f>
        <v>16.504309370000001</v>
      </c>
      <c r="EL67">
        <f>16.35406123</f>
        <v>16.354061229999999</v>
      </c>
      <c r="EM67">
        <f>17.43636696</f>
        <v>17.436366960000001</v>
      </c>
      <c r="EN67">
        <f>16.65626348</f>
        <v>16.65626348</v>
      </c>
      <c r="EO67">
        <f>15.93369135</f>
        <v>15.93369135</v>
      </c>
      <c r="EP67">
        <f>18.19004027</f>
        <v>18.190040270000001</v>
      </c>
      <c r="EQ67">
        <f>17.96263382</f>
        <v>17.962633820000001</v>
      </c>
      <c r="ER67">
        <f>18.47596603</f>
        <v>18.475966029999999</v>
      </c>
      <c r="ES67">
        <f>19.30038098</f>
        <v>19.30038098</v>
      </c>
      <c r="ET67">
        <f>18.32388949</f>
        <v>18.323889489999999</v>
      </c>
      <c r="EU67">
        <f>19.1399918</f>
        <v>19.139991800000001</v>
      </c>
      <c r="EV67">
        <f>19.20919917</f>
        <v>19.209199170000002</v>
      </c>
      <c r="EW67">
        <f>18.88254036</f>
        <v>18.88254036</v>
      </c>
      <c r="EX67">
        <f>18.85130291</f>
        <v>18.851302910000001</v>
      </c>
      <c r="EY67">
        <f>18.83121781</f>
        <v>18.831217809999998</v>
      </c>
      <c r="EZ67">
        <f>18.50411758</f>
        <v>18.504117579999999</v>
      </c>
      <c r="FA67">
        <f>20.87325711</f>
        <v>20.873257110000001</v>
      </c>
      <c r="FB67">
        <f>21.43845549</f>
        <v>21.438455489999999</v>
      </c>
      <c r="FC67">
        <f>20.34413522</f>
        <v>20.344135219999998</v>
      </c>
      <c r="FD67">
        <f>22.95114261</f>
        <v>22.951142610000002</v>
      </c>
      <c r="FE67">
        <f>23.8535374</f>
        <v>23.8535374</v>
      </c>
      <c r="FF67">
        <f>23.1767413</f>
        <v>23.1767413</v>
      </c>
      <c r="FG67">
        <f>22.7074552</f>
        <v>22.707455199999998</v>
      </c>
      <c r="FH67">
        <f>23.62307839</f>
        <v>23.62307839</v>
      </c>
      <c r="FI67">
        <f>22.79535502</f>
        <v>22.795355019999999</v>
      </c>
      <c r="FJ67">
        <f>21.9002705</f>
        <v>21.900270500000001</v>
      </c>
      <c r="FK67">
        <f>23.00419891</f>
        <v>23.00419891</v>
      </c>
      <c r="FL67">
        <f>20.9632591</f>
        <v>20.963259099999998</v>
      </c>
      <c r="FM67">
        <f>26.10047011</f>
        <v>26.10047011</v>
      </c>
      <c r="FN67">
        <f>26.37350543</f>
        <v>26.373505430000002</v>
      </c>
      <c r="FO67">
        <f>25.29250628</f>
        <v>25.292506280000001</v>
      </c>
      <c r="FP67">
        <f>23.19451538</f>
        <v>23.194515379999999</v>
      </c>
      <c r="FQ67">
        <f>22.64243684</f>
        <v>22.642436839999998</v>
      </c>
    </row>
    <row r="68" spans="1:173">
      <c r="A68" t="str">
        <f>"    公寓投资与管理"</f>
        <v xml:space="preserve">    公寓投资与管理</v>
      </c>
      <c r="B68" t="str">
        <f>"AIV US Equity"</f>
        <v>AIV US Equity</v>
      </c>
      <c r="C68" t="str">
        <f t="shared" ref="C68:C74" si="24">"F0893"</f>
        <v>F0893</v>
      </c>
      <c r="D68" t="str">
        <f t="shared" ref="D68:D74" si="25">"PRICE_TO_AFFOPS"</f>
        <v>PRICE_TO_AFFOPS</v>
      </c>
      <c r="E68" t="str">
        <f t="shared" ref="E68:E74" si="26">"动态"</f>
        <v>动态</v>
      </c>
      <c r="F68">
        <f ca="1">IF(AND(ISNUMBER($F$310),$B$252=1),$F$310,HLOOKUP(INDIRECT(ADDRESS(2,COLUMN())),OFFSET($CL$2,0,0,ROW()-1,84),ROW()-1,FALSE))</f>
        <v>16.360704810000001</v>
      </c>
      <c r="G68">
        <f ca="1">IF(AND(ISNUMBER($G$310),$B$252=1),$G$310,HLOOKUP(INDIRECT(ADDRESS(2,COLUMN())),OFFSET($CL$2,0,0,ROW()-1,84),ROW()-1,FALSE))</f>
        <v>15.79682437</v>
      </c>
      <c r="H68">
        <f ca="1">IF(AND(ISNUMBER($H$310),$B$252=1),$H$310,HLOOKUP(INDIRECT(ADDRESS(2,COLUMN())),OFFSET($CL$2,0,0,ROW()-1,84),ROW()-1,FALSE))</f>
        <v>17.09620103</v>
      </c>
      <c r="I68">
        <f ca="1">IF(AND(ISNUMBER($I$310),$B$252=1),$I$310,HLOOKUP(INDIRECT(ADDRESS(2,COLUMN())),OFFSET($CL$2,0,0,ROW()-1,84),ROW()-1,FALSE))</f>
        <v>17.860299879999999</v>
      </c>
      <c r="J68">
        <f ca="1">IF(AND(ISNUMBER($J$310),$B$252=1),$J$310,HLOOKUP(INDIRECT(ADDRESS(2,COLUMN())),OFFSET($CL$2,0,0,ROW()-1,84),ROW()-1,FALSE))</f>
        <v>18.22983967</v>
      </c>
      <c r="K68">
        <f ca="1">IF(AND(ISNUMBER($K$310),$B$252=1),$K$310,HLOOKUP(INDIRECT(ADDRESS(2,COLUMN())),OFFSET($CL$2,0,0,ROW()-1,84),ROW()-1,FALSE))</f>
        <v>18.184358100000001</v>
      </c>
      <c r="L68">
        <f ca="1">IF(AND(ISNUMBER($L$310),$B$252=1),$L$310,HLOOKUP(INDIRECT(ADDRESS(2,COLUMN())),OFFSET($CL$2,0,0,ROW()-1,84),ROW()-1,FALSE))</f>
        <v>18.13474184</v>
      </c>
      <c r="M68">
        <f ca="1">IF(AND(ISNUMBER($M$310),$B$252=1),$M$310,HLOOKUP(INDIRECT(ADDRESS(2,COLUMN())),OFFSET($CL$2,0,0,ROW()-1,84),ROW()-1,FALSE))</f>
        <v>19.341656140000001</v>
      </c>
      <c r="N68">
        <f ca="1">IF(AND(ISNUMBER($N$310),$B$252=1),$N$310,HLOOKUP(INDIRECT(ADDRESS(2,COLUMN())),OFFSET($CL$2,0,0,ROW()-1,84),ROW()-1,FALSE))</f>
        <v>19.435526960000001</v>
      </c>
      <c r="O68">
        <f ca="1">IF(AND(ISNUMBER($O$310),$B$252=1),$O$310,HLOOKUP(INDIRECT(ADDRESS(2,COLUMN())),OFFSET($CL$2,0,0,ROW()-1,84),ROW()-1,FALSE))</f>
        <v>18.334678230000002</v>
      </c>
      <c r="P68">
        <f ca="1">IF(AND(ISNUMBER($P$310),$B$252=1),$P$310,HLOOKUP(INDIRECT(ADDRESS(2,COLUMN())),OFFSET($CL$2,0,0,ROW()-1,84),ROW()-1,FALSE))</f>
        <v>18.45074271</v>
      </c>
      <c r="Q68">
        <f ca="1">IF(AND(ISNUMBER($Q$310),$B$252=1),$Q$310,HLOOKUP(INDIRECT(ADDRESS(2,COLUMN())),OFFSET($CL$2,0,0,ROW()-1,84),ROW()-1,FALSE))</f>
        <v>18.803249910000002</v>
      </c>
      <c r="R68">
        <f ca="1">IF(AND(ISNUMBER($R$310),$B$252=1),$R$310,HLOOKUP(INDIRECT(ADDRESS(2,COLUMN())),OFFSET($CL$2,0,0,ROW()-1,84),ROW()-1,FALSE))</f>
        <v>19.065480879999999</v>
      </c>
      <c r="S68">
        <f ca="1">IF(AND(ISNUMBER($S$310),$B$252=1),$S$310,HLOOKUP(INDIRECT(ADDRESS(2,COLUMN())),OFFSET($CL$2,0,0,ROW()-1,84),ROW()-1,FALSE))</f>
        <v>20.081592350000001</v>
      </c>
      <c r="T68">
        <f ca="1">IF(AND(ISNUMBER($T$310),$B$252=1),$T$310,HLOOKUP(INDIRECT(ADDRESS(2,COLUMN())),OFFSET($CL$2,0,0,ROW()-1,84),ROW()-1,FALSE))</f>
        <v>19.019896299999999</v>
      </c>
      <c r="U68">
        <f ca="1">IF(AND(ISNUMBER($U$310),$B$252=1),$U$310,HLOOKUP(INDIRECT(ADDRESS(2,COLUMN())),OFFSET($CL$2,0,0,ROW()-1,84),ROW()-1,FALSE))</f>
        <v>19.615481890000002</v>
      </c>
      <c r="V68">
        <f ca="1">IF(AND(ISNUMBER($V$310),$B$252=1),$V$310,HLOOKUP(INDIRECT(ADDRESS(2,COLUMN())),OFFSET($CL$2,0,0,ROW()-1,84),ROW()-1,FALSE))</f>
        <v>18.318980230000001</v>
      </c>
      <c r="W68">
        <f ca="1">IF(AND(ISNUMBER($W$310),$B$252=1),$W$310,HLOOKUP(INDIRECT(ADDRESS(2,COLUMN())),OFFSET($CL$2,0,0,ROW()-1,84),ROW()-1,FALSE))</f>
        <v>19.17618667</v>
      </c>
      <c r="X68">
        <f ca="1">IF(AND(ISNUMBER($X$310),$B$252=1),$X$310,HLOOKUP(INDIRECT(ADDRESS(2,COLUMN())),OFFSET($CL$2,0,0,ROW()-1,84),ROW()-1,FALSE))</f>
        <v>19.976826190000001</v>
      </c>
      <c r="Y68">
        <f ca="1">IF(AND(ISNUMBER($Y$310),$B$252=1),$Y$310,HLOOKUP(INDIRECT(ADDRESS(2,COLUMN())),OFFSET($CL$2,0,0,ROW()-1,84),ROW()-1,FALSE))</f>
        <v>19.55127478</v>
      </c>
      <c r="Z68">
        <f ca="1">IF(AND(ISNUMBER($Z$310),$B$252=1),$Z$310,HLOOKUP(INDIRECT(ADDRESS(2,COLUMN())),OFFSET($CL$2,0,0,ROW()-1,84),ROW()-1,FALSE))</f>
        <v>19.893140809999998</v>
      </c>
      <c r="AA68">
        <f ca="1">IF(AND(ISNUMBER($AA$310),$B$252=1),$AA$310,HLOOKUP(INDIRECT(ADDRESS(2,COLUMN())),OFFSET($CL$2,0,0,ROW()-1,84),ROW()-1,FALSE))</f>
        <v>19.109878139999999</v>
      </c>
      <c r="AB68">
        <f ca="1">IF(AND(ISNUMBER($AB$310),$B$252=1),$AB$310,HLOOKUP(INDIRECT(ADDRESS(2,COLUMN())),OFFSET($CL$2,0,0,ROW()-1,84),ROW()-1,FALSE))</f>
        <v>18.719700159999999</v>
      </c>
      <c r="AC68">
        <f ca="1">IF(AND(ISNUMBER($AC$310),$B$252=1),$AC$310,HLOOKUP(INDIRECT(ADDRESS(2,COLUMN())),OFFSET($CL$2,0,0,ROW()-1,84),ROW()-1,FALSE))</f>
        <v>17.582911800000002</v>
      </c>
      <c r="AD68">
        <f ca="1">IF(AND(ISNUMBER($AD$310),$B$252=1),$AD$310,HLOOKUP(INDIRECT(ADDRESS(2,COLUMN())),OFFSET($CL$2,0,0,ROW()-1,84),ROW()-1,FALSE))</f>
        <v>18.355401180000001</v>
      </c>
      <c r="AE68">
        <f ca="1">IF(AND(ISNUMBER($AE$310),$B$252=1),$AE$310,HLOOKUP(INDIRECT(ADDRESS(2,COLUMN())),OFFSET($CL$2,0,0,ROW()-1,84),ROW()-1,FALSE))</f>
        <v>16.455481679999998</v>
      </c>
      <c r="AF68">
        <f ca="1">IF(AND(ISNUMBER($AF$310),$B$252=1),$AF$310,HLOOKUP(INDIRECT(ADDRESS(2,COLUMN())),OFFSET($CL$2,0,0,ROW()-1,84),ROW()-1,FALSE))</f>
        <v>17.597162189999999</v>
      </c>
      <c r="AG68">
        <f ca="1">IF(AND(ISNUMBER($AG$310),$B$252=1),$AG$310,HLOOKUP(INDIRECT(ADDRESS(2,COLUMN())),OFFSET($CL$2,0,0,ROW()-1,84),ROW()-1,FALSE))</f>
        <v>17.992705050000001</v>
      </c>
      <c r="AH68">
        <f ca="1">IF(AND(ISNUMBER($AH$310),$B$252=1),$AH$310,HLOOKUP(INDIRECT(ADDRESS(2,COLUMN())),OFFSET($CL$2,0,0,ROW()-1,84),ROW()-1,FALSE))</f>
        <v>17.47472217</v>
      </c>
      <c r="AI68">
        <f ca="1">IF(AND(ISNUMBER($AI$310),$B$252=1),$AI$310,HLOOKUP(INDIRECT(ADDRESS(2,COLUMN())),OFFSET($CL$2,0,0,ROW()-1,84),ROW()-1,FALSE))</f>
        <v>17.96993865</v>
      </c>
      <c r="AJ68">
        <f ca="1">IF(AND(ISNUMBER($AJ$310),$B$252=1),$AJ$310,HLOOKUP(INDIRECT(ADDRESS(2,COLUMN())),OFFSET($CL$2,0,0,ROW()-1,84),ROW()-1,FALSE))</f>
        <v>16.974920359999999</v>
      </c>
      <c r="AK68">
        <f ca="1">IF(AND(ISNUMBER($AK$310),$B$252=1),$AK$310,HLOOKUP(INDIRECT(ADDRESS(2,COLUMN())),OFFSET($CL$2,0,0,ROW()-1,84),ROW()-1,FALSE))</f>
        <v>16.989966190000001</v>
      </c>
      <c r="AL68">
        <f ca="1">IF(AND(ISNUMBER($AL$310),$B$252=1),$AL$310,HLOOKUP(INDIRECT(ADDRESS(2,COLUMN())),OFFSET($CL$2,0,0,ROW()-1,84),ROW()-1,FALSE))</f>
        <v>18.42819536</v>
      </c>
      <c r="AM68">
        <f ca="1">IF(AND(ISNUMBER($AM$310),$B$252=1),$AM$310,HLOOKUP(INDIRECT(ADDRESS(2,COLUMN())),OFFSET($CL$2,0,0,ROW()-1,84),ROW()-1,FALSE))</f>
        <v>17.41436169</v>
      </c>
      <c r="AN68">
        <f ca="1">IF(AND(ISNUMBER($AN$310),$B$252=1),$AN$310,HLOOKUP(INDIRECT(ADDRESS(2,COLUMN())),OFFSET($CL$2,0,0,ROW()-1,84),ROW()-1,FALSE))</f>
        <v>18.210634590000002</v>
      </c>
      <c r="AO68">
        <f ca="1">IF(AND(ISNUMBER($AO$310),$B$252=1),$AO$310,HLOOKUP(INDIRECT(ADDRESS(2,COLUMN())),OFFSET($CL$2,0,0,ROW()-1,84),ROW()-1,FALSE))</f>
        <v>18.114612260000001</v>
      </c>
      <c r="AP68">
        <f ca="1">IF(AND(ISNUMBER($AP$310),$B$252=1),$AP$310,HLOOKUP(INDIRECT(ADDRESS(2,COLUMN())),OFFSET($CL$2,0,0,ROW()-1,84),ROW()-1,FALSE))</f>
        <v>18.89719423</v>
      </c>
      <c r="AQ68">
        <f ca="1">IF(AND(ISNUMBER($AQ$310),$B$252=1),$AQ$310,HLOOKUP(INDIRECT(ADDRESS(2,COLUMN())),OFFSET($CL$2,0,0,ROW()-1,84),ROW()-1,FALSE))</f>
        <v>18.227422430000001</v>
      </c>
      <c r="AR68">
        <f ca="1">IF(AND(ISNUMBER($AR$310),$B$252=1),$AR$310,HLOOKUP(INDIRECT(ADDRESS(2,COLUMN())),OFFSET($CL$2,0,0,ROW()-1,84),ROW()-1,FALSE))</f>
        <v>19.28198137</v>
      </c>
      <c r="AS68">
        <f ca="1">IF(AND(ISNUMBER($AS$310),$B$252=1),$AS$310,HLOOKUP(INDIRECT(ADDRESS(2,COLUMN())),OFFSET($CL$2,0,0,ROW()-1,84),ROW()-1,FALSE))</f>
        <v>17.971038830000001</v>
      </c>
      <c r="AT68">
        <f ca="1">IF(AND(ISNUMBER($AT$310),$B$252=1),$AT$310,HLOOKUP(INDIRECT(ADDRESS(2,COLUMN())),OFFSET($CL$2,0,0,ROW()-1,84),ROW()-1,FALSE))</f>
        <v>17.785357550000001</v>
      </c>
      <c r="AU68">
        <f ca="1">IF(AND(ISNUMBER($AU$310),$B$252=1),$AU$310,HLOOKUP(INDIRECT(ADDRESS(2,COLUMN())),OFFSET($CL$2,0,0,ROW()-1,84),ROW()-1,FALSE))</f>
        <v>17.08826702</v>
      </c>
      <c r="AV68">
        <f ca="1">IF(AND(ISNUMBER($AV$310),$B$252=1),$AV$310,HLOOKUP(INDIRECT(ADDRESS(2,COLUMN())),OFFSET($CL$2,0,0,ROW()-1,84),ROW()-1,FALSE))</f>
        <v>15.19275375</v>
      </c>
      <c r="AW68">
        <f ca="1">IF(AND(ISNUMBER($AW$310),$B$252=1),$AW$310,HLOOKUP(INDIRECT(ADDRESS(2,COLUMN())),OFFSET($CL$2,0,0,ROW()-1,84),ROW()-1,FALSE))</f>
        <v>16.367455230000001</v>
      </c>
      <c r="AX68">
        <f ca="1">IF(AND(ISNUMBER($AX$310),$B$252=1),$AX$310,HLOOKUP(INDIRECT(ADDRESS(2,COLUMN())),OFFSET($CL$2,0,0,ROW()-1,84),ROW()-1,FALSE))</f>
        <v>16.324470959999999</v>
      </c>
      <c r="AY68">
        <f ca="1">IF(AND(ISNUMBER($AY$310),$B$252=1),$AY$310,HLOOKUP(INDIRECT(ADDRESS(2,COLUMN())),OFFSET($CL$2,0,0,ROW()-1,84),ROW()-1,FALSE))</f>
        <v>15.4122492</v>
      </c>
      <c r="AZ68">
        <f ca="1">IF(AND(ISNUMBER($AZ$310),$B$252=1),$AZ$310,HLOOKUP(INDIRECT(ADDRESS(2,COLUMN())),OFFSET($CL$2,0,0,ROW()-1,84),ROW()-1,FALSE))</f>
        <v>15.272743630000001</v>
      </c>
      <c r="BA68">
        <f ca="1">IF(AND(ISNUMBER($BA$310),$B$252=1),$BA$310,HLOOKUP(INDIRECT(ADDRESS(2,COLUMN())),OFFSET($CL$2,0,0,ROW()-1,84),ROW()-1,FALSE))</f>
        <v>14.95739156</v>
      </c>
      <c r="BB68">
        <f ca="1">IF(AND(ISNUMBER($BB$310),$B$252=1),$BB$310,HLOOKUP(INDIRECT(ADDRESS(2,COLUMN())),OFFSET($CL$2,0,0,ROW()-1,84),ROW()-1,FALSE))</f>
        <v>14.661445759999999</v>
      </c>
      <c r="BC68">
        <f ca="1">IF(AND(ISNUMBER($BC$310),$B$252=1),$BC$310,HLOOKUP(INDIRECT(ADDRESS(2,COLUMN())),OFFSET($CL$2,0,0,ROW()-1,84),ROW()-1,FALSE))</f>
        <v>14.64505576</v>
      </c>
      <c r="BD68">
        <f ca="1">IF(AND(ISNUMBER($BD$310),$B$252=1),$BD$310,HLOOKUP(INDIRECT(ADDRESS(2,COLUMN())),OFFSET($CL$2,0,0,ROW()-1,84),ROW()-1,FALSE))</f>
        <v>13.70432284</v>
      </c>
      <c r="BE68">
        <f ca="1">IF(AND(ISNUMBER($BE$310),$B$252=1),$BE$310,HLOOKUP(INDIRECT(ADDRESS(2,COLUMN())),OFFSET($CL$2,0,0,ROW()-1,84),ROW()-1,FALSE))</f>
        <v>12.694994810000001</v>
      </c>
      <c r="BF68">
        <f ca="1">IF(AND(ISNUMBER($BF$310),$B$252=1),$BF$310,HLOOKUP(INDIRECT(ADDRESS(2,COLUMN())),OFFSET($CL$2,0,0,ROW()-1,84),ROW()-1,FALSE))</f>
        <v>12.60867354</v>
      </c>
      <c r="BG68">
        <f ca="1">IF(AND(ISNUMBER($BG$310),$B$252=1),$BG$310,HLOOKUP(INDIRECT(ADDRESS(2,COLUMN())),OFFSET($CL$2,0,0,ROW()-1,84),ROW()-1,FALSE))</f>
        <v>14.04980827</v>
      </c>
      <c r="BH68">
        <f ca="1">IF(AND(ISNUMBER($BH$310),$B$252=1),$BH$310,HLOOKUP(INDIRECT(ADDRESS(2,COLUMN())),OFFSET($CL$2,0,0,ROW()-1,84),ROW()-1,FALSE))</f>
        <v>14.029722769999999</v>
      </c>
      <c r="BI68">
        <f ca="1">IF(AND(ISNUMBER($BI$310),$B$252=1),$BI$310,HLOOKUP(INDIRECT(ADDRESS(2,COLUMN())),OFFSET($CL$2,0,0,ROW()-1,84),ROW()-1,FALSE))</f>
        <v>14.17362443</v>
      </c>
      <c r="BJ68">
        <f ca="1">IF(AND(ISNUMBER($BJ$310),$B$252=1),$BJ$310,HLOOKUP(INDIRECT(ADDRESS(2,COLUMN())),OFFSET($CL$2,0,0,ROW()-1,84),ROW()-1,FALSE))</f>
        <v>15.12608376</v>
      </c>
      <c r="BK68">
        <f ca="1">IF(AND(ISNUMBER($BK$310),$B$252=1),$BK$310,HLOOKUP(INDIRECT(ADDRESS(2,COLUMN())),OFFSET($CL$2,0,0,ROW()-1,84),ROW()-1,FALSE))</f>
        <v>15.46588006</v>
      </c>
      <c r="BL68">
        <f ca="1">IF(AND(ISNUMBER($BL$310),$B$252=1),$BL$310,HLOOKUP(INDIRECT(ADDRESS(2,COLUMN())),OFFSET($CL$2,0,0,ROW()-1,84),ROW()-1,FALSE))</f>
        <v>15.844162669999999</v>
      </c>
      <c r="BM68">
        <f ca="1">IF(AND(ISNUMBER($BM$310),$B$252=1),$BM$310,HLOOKUP(INDIRECT(ADDRESS(2,COLUMN())),OFFSET($CL$2,0,0,ROW()-1,84),ROW()-1,FALSE))</f>
        <v>16.289223410000002</v>
      </c>
      <c r="BN68">
        <f ca="1">IF(AND(ISNUMBER($BN$310),$B$252=1),$BN$310,HLOOKUP(INDIRECT(ADDRESS(2,COLUMN())),OFFSET($CL$2,0,0,ROW()-1,84),ROW()-1,FALSE))</f>
        <v>16.053603020000001</v>
      </c>
      <c r="BO68">
        <f ca="1">IF(AND(ISNUMBER($BO$310),$B$252=1),$BO$310,HLOOKUP(INDIRECT(ADDRESS(2,COLUMN())),OFFSET($CL$2,0,0,ROW()-1,84),ROW()-1,FALSE))</f>
        <v>16.206539079999999</v>
      </c>
      <c r="BP68">
        <f ca="1">IF(AND(ISNUMBER($BP$310),$B$252=1),$BP$310,HLOOKUP(INDIRECT(ADDRESS(2,COLUMN())),OFFSET($CL$2,0,0,ROW()-1,84),ROW()-1,FALSE))</f>
        <v>14.92621155</v>
      </c>
      <c r="BQ68">
        <f ca="1">IF(AND(ISNUMBER($BQ$310),$B$252=1),$BQ$310,HLOOKUP(INDIRECT(ADDRESS(2,COLUMN())),OFFSET($CL$2,0,0,ROW()-1,84),ROW()-1,FALSE))</f>
        <v>14.80583888</v>
      </c>
      <c r="BR68">
        <f ca="1">IF(AND(ISNUMBER($BR$310),$B$252=1),$BR$310,HLOOKUP(INDIRECT(ADDRESS(2,COLUMN())),OFFSET($CL$2,0,0,ROW()-1,84),ROW()-1,FALSE))</f>
        <v>14.499906040000001</v>
      </c>
      <c r="BS68">
        <f ca="1">IF(AND(ISNUMBER($BS$310),$B$252=1),$BS$310,HLOOKUP(INDIRECT(ADDRESS(2,COLUMN())),OFFSET($CL$2,0,0,ROW()-1,84),ROW()-1,FALSE))</f>
        <v>15.43687643</v>
      </c>
      <c r="BT68">
        <f ca="1">IF(AND(ISNUMBER($BT$310),$B$252=1),$BT$310,HLOOKUP(INDIRECT(ADDRESS(2,COLUMN())),OFFSET($CL$2,0,0,ROW()-1,84),ROW()-1,FALSE))</f>
        <v>15.032012679999999</v>
      </c>
      <c r="BU68">
        <f ca="1">IF(AND(ISNUMBER($BU$310),$B$252=1),$BU$310,HLOOKUP(INDIRECT(ADDRESS(2,COLUMN())),OFFSET($CL$2,0,0,ROW()-1,84),ROW()-1,FALSE))</f>
        <v>15.70756149</v>
      </c>
      <c r="BV68">
        <f ca="1">IF(AND(ISNUMBER($BV$310),$B$252=1),$BV$310,HLOOKUP(INDIRECT(ADDRESS(2,COLUMN())),OFFSET($CL$2,0,0,ROW()-1,84),ROW()-1,FALSE))</f>
        <v>16.271088049999999</v>
      </c>
      <c r="BW68">
        <f ca="1">IF(AND(ISNUMBER($BW$310),$B$252=1),$BW$310,HLOOKUP(INDIRECT(ADDRESS(2,COLUMN())),OFFSET($CL$2,0,0,ROW()-1,84),ROW()-1,FALSE))</f>
        <v>16.03381371</v>
      </c>
      <c r="BX68">
        <f ca="1">IF(AND(ISNUMBER($BX$310),$B$252=1),$BX$310,HLOOKUP(INDIRECT(ADDRESS(2,COLUMN())),OFFSET($CL$2,0,0,ROW()-1,84),ROW()-1,FALSE))</f>
        <v>18.043279040000002</v>
      </c>
      <c r="BY68">
        <f ca="1">IF(AND(ISNUMBER($BY$310),$B$252=1),$BY$310,HLOOKUP(INDIRECT(ADDRESS(2,COLUMN())),OFFSET($CL$2,0,0,ROW()-1,84),ROW()-1,FALSE))</f>
        <v>18.096602359999999</v>
      </c>
      <c r="BZ68">
        <f ca="1">IF(AND(ISNUMBER($BZ$310),$B$252=1),$BZ$310,HLOOKUP(INDIRECT(ADDRESS(2,COLUMN())),OFFSET($CL$2,0,0,ROW()-1,84),ROW()-1,FALSE))</f>
        <v>17.603361629999998</v>
      </c>
      <c r="CA68">
        <f ca="1">IF(AND(ISNUMBER($CA$310),$B$252=1),$CA$310,HLOOKUP(INDIRECT(ADDRESS(2,COLUMN())),OFFSET($CL$2,0,0,ROW()-1,84),ROW()-1,FALSE))</f>
        <v>16.68312572</v>
      </c>
      <c r="CB68">
        <f ca="1">IF(AND(ISNUMBER($CB$310),$B$252=1),$CB$310,HLOOKUP(INDIRECT(ADDRESS(2,COLUMN())),OFFSET($CL$2,0,0,ROW()-1,84),ROW()-1,FALSE))</f>
        <v>16.495071169999999</v>
      </c>
      <c r="CC68">
        <f ca="1">IF(AND(ISNUMBER($CC$310),$B$252=1),$CC$310,HLOOKUP(INDIRECT(ADDRESS(2,COLUMN())),OFFSET($CL$2,0,0,ROW()-1,84),ROW()-1,FALSE))</f>
        <v>15.386892530000001</v>
      </c>
      <c r="CD68">
        <f ca="1">IF(AND(ISNUMBER($CD$310),$B$252=1),$CD$310,HLOOKUP(INDIRECT(ADDRESS(2,COLUMN())),OFFSET($CL$2,0,0,ROW()-1,84),ROW()-1,FALSE))</f>
        <v>14.93416358</v>
      </c>
      <c r="CE68">
        <f ca="1">IF(AND(ISNUMBER($CE$310),$B$252=1),$CE$310,HLOOKUP(INDIRECT(ADDRESS(2,COLUMN())),OFFSET($CL$2,0,0,ROW()-1,84),ROW()-1,FALSE))</f>
        <v>16.915785840000002</v>
      </c>
      <c r="CF68">
        <f ca="1">IF(AND(ISNUMBER($CF$310),$B$252=1),$CF$310,HLOOKUP(INDIRECT(ADDRESS(2,COLUMN())),OFFSET($CL$2,0,0,ROW()-1,84),ROW()-1,FALSE))</f>
        <v>15.16729561</v>
      </c>
      <c r="CG68">
        <f ca="1">IF(AND(ISNUMBER($CG$310),$B$252=1),$CG$310,HLOOKUP(INDIRECT(ADDRESS(2,COLUMN())),OFFSET($CL$2,0,0,ROW()-1,84),ROW()-1,FALSE))</f>
        <v>18.374245349999999</v>
      </c>
      <c r="CH68">
        <f ca="1">IF(AND(ISNUMBER($CH$310),$B$252=1),$CH$310,HLOOKUP(INDIRECT(ADDRESS(2,COLUMN())),OFFSET($CL$2,0,0,ROW()-1,84),ROW()-1,FALSE))</f>
        <v>18.879070309999999</v>
      </c>
      <c r="CI68">
        <f ca="1">IF(AND(ISNUMBER($CI$310),$B$252=1),$CI$310,HLOOKUP(INDIRECT(ADDRESS(2,COLUMN())),OFFSET($CL$2,0,0,ROW()-1,84),ROW()-1,FALSE))</f>
        <v>17.65504267</v>
      </c>
      <c r="CJ68">
        <f ca="1">IF(AND(ISNUMBER($CJ$310),$B$252=1),$CJ$310,HLOOKUP(INDIRECT(ADDRESS(2,COLUMN())),OFFSET($CL$2,0,0,ROW()-1,84),ROW()-1,FALSE))</f>
        <v>16.85821017</v>
      </c>
      <c r="CK68">
        <f ca="1">IF(AND(ISNUMBER($CK$310),$B$252=1),$CK$310,HLOOKUP(INDIRECT(ADDRESS(2,COLUMN())),OFFSET($CL$2,0,0,ROW()-1,84),ROW()-1,FALSE))</f>
        <v>17.00326772</v>
      </c>
      <c r="CL68">
        <f>16.36070481</f>
        <v>16.360704810000001</v>
      </c>
      <c r="CM68">
        <f>15.79682437</f>
        <v>15.79682437</v>
      </c>
      <c r="CN68">
        <f>17.09620103</f>
        <v>17.09620103</v>
      </c>
      <c r="CO68">
        <f>17.86029988</f>
        <v>17.860299879999999</v>
      </c>
      <c r="CP68">
        <f>18.22983967</f>
        <v>18.22983967</v>
      </c>
      <c r="CQ68">
        <f>18.1843581</f>
        <v>18.184358100000001</v>
      </c>
      <c r="CR68">
        <f>18.13474184</f>
        <v>18.13474184</v>
      </c>
      <c r="CS68">
        <f>19.34165614</f>
        <v>19.341656140000001</v>
      </c>
      <c r="CT68">
        <f>19.43552696</f>
        <v>19.435526960000001</v>
      </c>
      <c r="CU68">
        <f>18.33467823</f>
        <v>18.334678230000002</v>
      </c>
      <c r="CV68">
        <f>18.45074271</f>
        <v>18.45074271</v>
      </c>
      <c r="CW68">
        <f>18.80324991</f>
        <v>18.803249910000002</v>
      </c>
      <c r="CX68">
        <f>19.06548088</f>
        <v>19.065480879999999</v>
      </c>
      <c r="CY68">
        <f>20.08159235</f>
        <v>20.081592350000001</v>
      </c>
      <c r="CZ68">
        <f>19.0198963</f>
        <v>19.019896299999999</v>
      </c>
      <c r="DA68">
        <f>19.61548189</f>
        <v>19.615481890000002</v>
      </c>
      <c r="DB68">
        <f>18.31898023</f>
        <v>18.318980230000001</v>
      </c>
      <c r="DC68">
        <f>19.17618667</f>
        <v>19.17618667</v>
      </c>
      <c r="DD68">
        <f>19.97682619</f>
        <v>19.976826190000001</v>
      </c>
      <c r="DE68">
        <f>19.55127478</f>
        <v>19.55127478</v>
      </c>
      <c r="DF68">
        <f>19.89314081</f>
        <v>19.893140809999998</v>
      </c>
      <c r="DG68">
        <f>19.10987814</f>
        <v>19.109878139999999</v>
      </c>
      <c r="DH68">
        <f>18.71970016</f>
        <v>18.719700159999999</v>
      </c>
      <c r="DI68">
        <f>17.5829118</f>
        <v>17.582911800000002</v>
      </c>
      <c r="DJ68">
        <f>18.35540118</f>
        <v>18.355401180000001</v>
      </c>
      <c r="DK68">
        <f>16.45548168</f>
        <v>16.455481679999998</v>
      </c>
      <c r="DL68">
        <f>17.59716219</f>
        <v>17.597162189999999</v>
      </c>
      <c r="DM68">
        <f>17.99270505</f>
        <v>17.992705050000001</v>
      </c>
      <c r="DN68">
        <f>17.47472217</f>
        <v>17.47472217</v>
      </c>
      <c r="DO68">
        <f>17.96993865</f>
        <v>17.96993865</v>
      </c>
      <c r="DP68">
        <f>16.97492036</f>
        <v>16.974920359999999</v>
      </c>
      <c r="DQ68">
        <f>16.98996619</f>
        <v>16.989966190000001</v>
      </c>
      <c r="DR68">
        <f>18.42819536</f>
        <v>18.42819536</v>
      </c>
      <c r="DS68">
        <f>17.41436169</f>
        <v>17.41436169</v>
      </c>
      <c r="DT68">
        <f>18.21063459</f>
        <v>18.210634590000002</v>
      </c>
      <c r="DU68">
        <f>18.11461226</f>
        <v>18.114612260000001</v>
      </c>
      <c r="DV68">
        <f>18.89719423</f>
        <v>18.89719423</v>
      </c>
      <c r="DW68">
        <f>18.22742243</f>
        <v>18.227422430000001</v>
      </c>
      <c r="DX68">
        <f>19.28198137</f>
        <v>19.28198137</v>
      </c>
      <c r="DY68">
        <f>17.97103883</f>
        <v>17.971038830000001</v>
      </c>
      <c r="DZ68">
        <f>17.78535755</f>
        <v>17.785357550000001</v>
      </c>
      <c r="EA68">
        <f>17.08826702</f>
        <v>17.08826702</v>
      </c>
      <c r="EB68">
        <f>15.19275375</f>
        <v>15.19275375</v>
      </c>
      <c r="EC68">
        <f>16.36745523</f>
        <v>16.367455230000001</v>
      </c>
      <c r="ED68">
        <f>16.32447096</f>
        <v>16.324470959999999</v>
      </c>
      <c r="EE68">
        <f>15.4122492</f>
        <v>15.4122492</v>
      </c>
      <c r="EF68">
        <f>15.27274363</f>
        <v>15.272743630000001</v>
      </c>
      <c r="EG68">
        <f>14.95739156</f>
        <v>14.95739156</v>
      </c>
      <c r="EH68">
        <f>14.66144576</f>
        <v>14.661445759999999</v>
      </c>
      <c r="EI68">
        <f>14.64505576</f>
        <v>14.64505576</v>
      </c>
      <c r="EJ68">
        <f>13.70432284</f>
        <v>13.70432284</v>
      </c>
      <c r="EK68">
        <f>12.69499481</f>
        <v>12.694994810000001</v>
      </c>
      <c r="EL68">
        <f>12.60867354</f>
        <v>12.60867354</v>
      </c>
      <c r="EM68">
        <f>14.04980827</f>
        <v>14.04980827</v>
      </c>
      <c r="EN68">
        <f>14.02972277</f>
        <v>14.029722769999999</v>
      </c>
      <c r="EO68">
        <f>14.17362443</f>
        <v>14.17362443</v>
      </c>
      <c r="EP68">
        <f>15.12608376</f>
        <v>15.12608376</v>
      </c>
      <c r="EQ68">
        <f>15.46588006</f>
        <v>15.46588006</v>
      </c>
      <c r="ER68">
        <f>15.84416267</f>
        <v>15.844162669999999</v>
      </c>
      <c r="ES68">
        <f>16.28922341</f>
        <v>16.289223410000002</v>
      </c>
      <c r="ET68">
        <f>16.05360302</f>
        <v>16.053603020000001</v>
      </c>
      <c r="EU68">
        <f>16.20653908</f>
        <v>16.206539079999999</v>
      </c>
      <c r="EV68">
        <f>14.92621155</f>
        <v>14.92621155</v>
      </c>
      <c r="EW68">
        <f>14.80583888</f>
        <v>14.80583888</v>
      </c>
      <c r="EX68">
        <f>14.49990604</f>
        <v>14.499906040000001</v>
      </c>
      <c r="EY68">
        <f>15.43687643</f>
        <v>15.43687643</v>
      </c>
      <c r="EZ68">
        <f>15.03201268</f>
        <v>15.032012679999999</v>
      </c>
      <c r="FA68">
        <f>15.70756149</f>
        <v>15.70756149</v>
      </c>
      <c r="FB68">
        <f>16.27108805</f>
        <v>16.271088049999999</v>
      </c>
      <c r="FC68">
        <f>16.03381371</f>
        <v>16.03381371</v>
      </c>
      <c r="FD68">
        <f>18.04327904</f>
        <v>18.043279040000002</v>
      </c>
      <c r="FE68">
        <f>18.09660236</f>
        <v>18.096602359999999</v>
      </c>
      <c r="FF68">
        <f>17.60336163</f>
        <v>17.603361629999998</v>
      </c>
      <c r="FG68">
        <f>16.68312572</f>
        <v>16.68312572</v>
      </c>
      <c r="FH68">
        <f>16.49507117</f>
        <v>16.495071169999999</v>
      </c>
      <c r="FI68">
        <f>15.38689253</f>
        <v>15.386892530000001</v>
      </c>
      <c r="FJ68">
        <f>14.93416358</f>
        <v>14.93416358</v>
      </c>
      <c r="FK68">
        <f>16.91578584</f>
        <v>16.915785840000002</v>
      </c>
      <c r="FL68">
        <f>15.16729561</f>
        <v>15.16729561</v>
      </c>
      <c r="FM68">
        <f>18.37424535</f>
        <v>18.374245349999999</v>
      </c>
      <c r="FN68">
        <f>18.87907031</f>
        <v>18.879070309999999</v>
      </c>
      <c r="FO68">
        <f>17.65504267</f>
        <v>17.65504267</v>
      </c>
      <c r="FP68">
        <f>16.85821017</f>
        <v>16.85821017</v>
      </c>
      <c r="FQ68">
        <f>17.00326772</f>
        <v>17.00326772</v>
      </c>
    </row>
    <row r="69" spans="1:173">
      <c r="A69" t="str">
        <f>"    AvalonBay社区股份有限公司"</f>
        <v xml:space="preserve">    AvalonBay社区股份有限公司</v>
      </c>
      <c r="B69" t="str">
        <f>"AVB US Equity"</f>
        <v>AVB US Equity</v>
      </c>
      <c r="C69" t="str">
        <f t="shared" si="24"/>
        <v>F0893</v>
      </c>
      <c r="D69" t="str">
        <f t="shared" si="25"/>
        <v>PRICE_TO_AFFOPS</v>
      </c>
      <c r="E69" t="str">
        <f t="shared" si="26"/>
        <v>动态</v>
      </c>
      <c r="F69">
        <f ca="1">IF(AND(ISNUMBER($F$311),$B$252=1),$F$311,HLOOKUP(INDIRECT(ADDRESS(2,COLUMN())),OFFSET($CL$2,0,0,ROW()-1,84),ROW()-1,FALSE))</f>
        <v>18.741175429999998</v>
      </c>
      <c r="G69">
        <f ca="1">IF(AND(ISNUMBER($G$311),$B$252=1),$G$311,HLOOKUP(INDIRECT(ADDRESS(2,COLUMN())),OFFSET($CL$2,0,0,ROW()-1,84),ROW()-1,FALSE))</f>
        <v>18.103009610000001</v>
      </c>
      <c r="H69">
        <f ca="1">IF(AND(ISNUMBER($H$311),$B$252=1),$H$311,HLOOKUP(INDIRECT(ADDRESS(2,COLUMN())),OFFSET($CL$2,0,0,ROW()-1,84),ROW()-1,FALSE))</f>
        <v>19.771521839999998</v>
      </c>
      <c r="I69">
        <f ca="1">IF(AND(ISNUMBER($I$311),$B$252=1),$I$311,HLOOKUP(INDIRECT(ADDRESS(2,COLUMN())),OFFSET($CL$2,0,0,ROW()-1,84),ROW()-1,FALSE))</f>
        <v>20.700922609999999</v>
      </c>
      <c r="J69">
        <f ca="1">IF(AND(ISNUMBER($J$311),$B$252=1),$J$311,HLOOKUP(INDIRECT(ADDRESS(2,COLUMN())),OFFSET($CL$2,0,0,ROW()-1,84),ROW()-1,FALSE))</f>
        <v>21.366000270000001</v>
      </c>
      <c r="K69">
        <f ca="1">IF(AND(ISNUMBER($K$311),$B$252=1),$K$311,HLOOKUP(INDIRECT(ADDRESS(2,COLUMN())),OFFSET($CL$2,0,0,ROW()-1,84),ROW()-1,FALSE))</f>
        <v>21.366000270000001</v>
      </c>
      <c r="L69">
        <f ca="1">IF(AND(ISNUMBER($L$311),$B$252=1),$L$311,HLOOKUP(INDIRECT(ADDRESS(2,COLUMN())),OFFSET($CL$2,0,0,ROW()-1,84),ROW()-1,FALSE))</f>
        <v>21.0231168</v>
      </c>
      <c r="M69">
        <f ca="1">IF(AND(ISNUMBER($M$311),$B$252=1),$M$311,HLOOKUP(INDIRECT(ADDRESS(2,COLUMN())),OFFSET($CL$2,0,0,ROW()-1,84),ROW()-1,FALSE))</f>
        <v>22.444212499999999</v>
      </c>
      <c r="N69">
        <f ca="1">IF(AND(ISNUMBER($N$311),$B$252=1),$N$311,HLOOKUP(INDIRECT(ADDRESS(2,COLUMN())),OFFSET($CL$2,0,0,ROW()-1,84),ROW()-1,FALSE))</f>
        <v>22.996560349999999</v>
      </c>
      <c r="O69">
        <f ca="1">IF(AND(ISNUMBER($O$311),$B$252=1),$O$311,HLOOKUP(INDIRECT(ADDRESS(2,COLUMN())),OFFSET($CL$2,0,0,ROW()-1,84),ROW()-1,FALSE))</f>
        <v>22.9750403</v>
      </c>
      <c r="P69">
        <f ca="1">IF(AND(ISNUMBER($P$311),$B$252=1),$P$311,HLOOKUP(INDIRECT(ADDRESS(2,COLUMN())),OFFSET($CL$2,0,0,ROW()-1,84),ROW()-1,FALSE))</f>
        <v>23.032152580000002</v>
      </c>
      <c r="Q69">
        <f ca="1">IF(AND(ISNUMBER($Q$311),$B$252=1),$Q$311,HLOOKUP(INDIRECT(ADDRESS(2,COLUMN())),OFFSET($CL$2,0,0,ROW()-1,84),ROW()-1,FALSE))</f>
        <v>22.863542389999999</v>
      </c>
      <c r="R69">
        <f ca="1">IF(AND(ISNUMBER($R$311),$B$252=1),$R$311,HLOOKUP(INDIRECT(ADDRESS(2,COLUMN())),OFFSET($CL$2,0,0,ROW()-1,84),ROW()-1,FALSE))</f>
        <v>22.112022670000002</v>
      </c>
      <c r="S69">
        <f ca="1">IF(AND(ISNUMBER($S$311),$B$252=1),$S$311,HLOOKUP(INDIRECT(ADDRESS(2,COLUMN())),OFFSET($CL$2,0,0,ROW()-1,84),ROW()-1,FALSE))</f>
        <v>22.44913682</v>
      </c>
      <c r="T69">
        <f ca="1">IF(AND(ISNUMBER($T$311),$B$252=1),$T$311,HLOOKUP(INDIRECT(ADDRESS(2,COLUMN())),OFFSET($CL$2,0,0,ROW()-1,84),ROW()-1,FALSE))</f>
        <v>21.170202969999998</v>
      </c>
      <c r="U69">
        <f ca="1">IF(AND(ISNUMBER($U$311),$B$252=1),$U$311,HLOOKUP(INDIRECT(ADDRESS(2,COLUMN())),OFFSET($CL$2,0,0,ROW()-1,84),ROW()-1,FALSE))</f>
        <v>21.639267539999999</v>
      </c>
      <c r="V69">
        <f ca="1">IF(AND(ISNUMBER($V$311),$B$252=1),$V$311,HLOOKUP(INDIRECT(ADDRESS(2,COLUMN())),OFFSET($CL$2,0,0,ROW()-1,84),ROW()-1,FALSE))</f>
        <v>20.414599200000001</v>
      </c>
      <c r="W69">
        <f ca="1">IF(AND(ISNUMBER($W$311),$B$252=1),$W$311,HLOOKUP(INDIRECT(ADDRESS(2,COLUMN())),OFFSET($CL$2,0,0,ROW()-1,84),ROW()-1,FALSE))</f>
        <v>21.24488474</v>
      </c>
      <c r="X69">
        <f ca="1">IF(AND(ISNUMBER($X$311),$B$252=1),$X$311,HLOOKUP(INDIRECT(ADDRESS(2,COLUMN())),OFFSET($CL$2,0,0,ROW()-1,84),ROW()-1,FALSE))</f>
        <v>22.071447030000002</v>
      </c>
      <c r="Y69">
        <f ca="1">IF(AND(ISNUMBER($Y$311),$B$252=1),$Y$311,HLOOKUP(INDIRECT(ADDRESS(2,COLUMN())),OFFSET($CL$2,0,0,ROW()-1,84),ROW()-1,FALSE))</f>
        <v>22.110773720000001</v>
      </c>
      <c r="Z69">
        <f ca="1">IF(AND(ISNUMBER($Z$311),$B$252=1),$Z$311,HLOOKUP(INDIRECT(ADDRESS(2,COLUMN())),OFFSET($CL$2,0,0,ROW()-1,84),ROW()-1,FALSE))</f>
        <v>23.455031940000001</v>
      </c>
      <c r="AA69">
        <f ca="1">IF(AND(ISNUMBER($AA$311),$B$252=1),$AA$311,HLOOKUP(INDIRECT(ADDRESS(2,COLUMN())),OFFSET($CL$2,0,0,ROW()-1,84),ROW()-1,FALSE))</f>
        <v>22.79048323</v>
      </c>
      <c r="AB69">
        <f ca="1">IF(AND(ISNUMBER($AB$311),$B$252=1),$AB$311,HLOOKUP(INDIRECT(ADDRESS(2,COLUMN())),OFFSET($CL$2,0,0,ROW()-1,84),ROW()-1,FALSE))</f>
        <v>23.192185500000001</v>
      </c>
      <c r="AC69">
        <f ca="1">IF(AND(ISNUMBER($AC$311),$B$252=1),$AC$311,HLOOKUP(INDIRECT(ADDRESS(2,COLUMN())),OFFSET($CL$2,0,0,ROW()-1,84),ROW()-1,FALSE))</f>
        <v>22.793787389999999</v>
      </c>
      <c r="AD69">
        <f ca="1">IF(AND(ISNUMBER($AD$311),$B$252=1),$AD$311,HLOOKUP(INDIRECT(ADDRESS(2,COLUMN())),OFFSET($CL$2,0,0,ROW()-1,84),ROW()-1,FALSE))</f>
        <v>24.522757859999999</v>
      </c>
      <c r="AE69">
        <f ca="1">IF(AND(ISNUMBER($AE$311),$B$252=1),$AE$311,HLOOKUP(INDIRECT(ADDRESS(2,COLUMN())),OFFSET($CL$2,0,0,ROW()-1,84),ROW()-1,FALSE))</f>
        <v>22.77094859</v>
      </c>
      <c r="AF69">
        <f ca="1">IF(AND(ISNUMBER($AF$311),$B$252=1),$AF$311,HLOOKUP(INDIRECT(ADDRESS(2,COLUMN())),OFFSET($CL$2,0,0,ROW()-1,84),ROW()-1,FALSE))</f>
        <v>22.751048560000001</v>
      </c>
      <c r="AG69">
        <f ca="1">IF(AND(ISNUMBER($AG$311),$B$252=1),$AG$311,HLOOKUP(INDIRECT(ADDRESS(2,COLUMN())),OFFSET($CL$2,0,0,ROW()-1,84),ROW()-1,FALSE))</f>
        <v>24.427958310000001</v>
      </c>
      <c r="AH69">
        <f ca="1">IF(AND(ISNUMBER($AH$311),$B$252=1),$AH$311,HLOOKUP(INDIRECT(ADDRESS(2,COLUMN())),OFFSET($CL$2,0,0,ROW()-1,84),ROW()-1,FALSE))</f>
        <v>24.95337868</v>
      </c>
      <c r="AI69">
        <f ca="1">IF(AND(ISNUMBER($AI$311),$B$252=1),$AI$311,HLOOKUP(INDIRECT(ADDRESS(2,COLUMN())),OFFSET($CL$2,0,0,ROW()-1,84),ROW()-1,FALSE))</f>
        <v>23.99801527</v>
      </c>
      <c r="AJ69">
        <f ca="1">IF(AND(ISNUMBER($AJ$311),$B$252=1),$AJ$311,HLOOKUP(INDIRECT(ADDRESS(2,COLUMN())),OFFSET($CL$2,0,0,ROW()-1,84),ROW()-1,FALSE))</f>
        <v>23.996642619999999</v>
      </c>
      <c r="AK69">
        <f ca="1">IF(AND(ISNUMBER($AK$311),$B$252=1),$AK$311,HLOOKUP(INDIRECT(ADDRESS(2,COLUMN())),OFFSET($CL$2,0,0,ROW()-1,84),ROW()-1,FALSE))</f>
        <v>23.300092859999999</v>
      </c>
      <c r="AL69">
        <f ca="1">IF(AND(ISNUMBER($AL$311),$B$252=1),$AL$311,HLOOKUP(INDIRECT(ADDRESS(2,COLUMN())),OFFSET($CL$2,0,0,ROW()-1,84),ROW()-1,FALSE))</f>
        <v>24.327747500000001</v>
      </c>
      <c r="AM69">
        <f ca="1">IF(AND(ISNUMBER($AM$311),$B$252=1),$AM$311,HLOOKUP(INDIRECT(ADDRESS(2,COLUMN())),OFFSET($CL$2,0,0,ROW()-1,84),ROW()-1,FALSE))</f>
        <v>22.567465439999999</v>
      </c>
      <c r="AN69">
        <f ca="1">IF(AND(ISNUMBER($AN$311),$B$252=1),$AN$311,HLOOKUP(INDIRECT(ADDRESS(2,COLUMN())),OFFSET($CL$2,0,0,ROW()-1,84),ROW()-1,FALSE))</f>
        <v>24.07548401</v>
      </c>
      <c r="AO69">
        <f ca="1">IF(AND(ISNUMBER($AO$311),$B$252=1),$AO$311,HLOOKUP(INDIRECT(ADDRESS(2,COLUMN())),OFFSET($CL$2,0,0,ROW()-1,84),ROW()-1,FALSE))</f>
        <v>23.7631534</v>
      </c>
      <c r="AP69">
        <f ca="1">IF(AND(ISNUMBER($AP$311),$B$252=1),$AP$311,HLOOKUP(INDIRECT(ADDRESS(2,COLUMN())),OFFSET($CL$2,0,0,ROW()-1,84),ROW()-1,FALSE))</f>
        <v>25.196114640000001</v>
      </c>
      <c r="AQ69">
        <f ca="1">IF(AND(ISNUMBER($AQ$311),$B$252=1),$AQ$311,HLOOKUP(INDIRECT(ADDRESS(2,COLUMN())),OFFSET($CL$2,0,0,ROW()-1,84),ROW()-1,FALSE))</f>
        <v>24.80292536</v>
      </c>
      <c r="AR69">
        <f ca="1">IF(AND(ISNUMBER($AR$311),$B$252=1),$AR$311,HLOOKUP(INDIRECT(ADDRESS(2,COLUMN())),OFFSET($CL$2,0,0,ROW()-1,84),ROW()-1,FALSE))</f>
        <v>25.488048339999999</v>
      </c>
      <c r="AS69">
        <f ca="1">IF(AND(ISNUMBER($AS$311),$B$252=1),$AS$311,HLOOKUP(INDIRECT(ADDRESS(2,COLUMN())),OFFSET($CL$2,0,0,ROW()-1,84),ROW()-1,FALSE))</f>
        <v>24.073600890000002</v>
      </c>
      <c r="AT69">
        <f ca="1">IF(AND(ISNUMBER($AT$311),$B$252=1),$AT$311,HLOOKUP(INDIRECT(ADDRESS(2,COLUMN())),OFFSET($CL$2,0,0,ROW()-1,84),ROW()-1,FALSE))</f>
        <v>24.153259810000002</v>
      </c>
      <c r="AU69">
        <f ca="1">IF(AND(ISNUMBER($AU$311),$B$252=1),$AU$311,HLOOKUP(INDIRECT(ADDRESS(2,COLUMN())),OFFSET($CL$2,0,0,ROW()-1,84),ROW()-1,FALSE))</f>
        <v>23.409689709999999</v>
      </c>
      <c r="AV69">
        <f ca="1">IF(AND(ISNUMBER($AV$311),$B$252=1),$AV$311,HLOOKUP(INDIRECT(ADDRESS(2,COLUMN())),OFFSET($CL$2,0,0,ROW()-1,84),ROW()-1,FALSE))</f>
        <v>21.175975090000001</v>
      </c>
      <c r="AW69">
        <f ca="1">IF(AND(ISNUMBER($AW$311),$B$252=1),$AW$311,HLOOKUP(INDIRECT(ADDRESS(2,COLUMN())),OFFSET($CL$2,0,0,ROW()-1,84),ROW()-1,FALSE))</f>
        <v>23.49617387</v>
      </c>
      <c r="AX69">
        <f ca="1">IF(AND(ISNUMBER($AX$311),$B$252=1),$AX$311,HLOOKUP(INDIRECT(ADDRESS(2,COLUMN())),OFFSET($CL$2,0,0,ROW()-1,84),ROW()-1,FALSE))</f>
        <v>22.578283110000001</v>
      </c>
      <c r="AY69">
        <f ca="1">IF(AND(ISNUMBER($AY$311),$B$252=1),$AY$311,HLOOKUP(INDIRECT(ADDRESS(2,COLUMN())),OFFSET($CL$2,0,0,ROW()-1,84),ROW()-1,FALSE))</f>
        <v>21.680213909999999</v>
      </c>
      <c r="AZ69">
        <f ca="1">IF(AND(ISNUMBER($AZ$311),$B$252=1),$AZ$311,HLOOKUP(INDIRECT(ADDRESS(2,COLUMN())),OFFSET($CL$2,0,0,ROW()-1,84),ROW()-1,FALSE))</f>
        <v>21.903202929999999</v>
      </c>
      <c r="BA69">
        <f ca="1">IF(AND(ISNUMBER($BA$311),$B$252=1),$BA$311,HLOOKUP(INDIRECT(ADDRESS(2,COLUMN())),OFFSET($CL$2,0,0,ROW()-1,84),ROW()-1,FALSE))</f>
        <v>21.086311049999999</v>
      </c>
      <c r="BB69">
        <f ca="1">IF(AND(ISNUMBER($BB$311),$B$252=1),$BB$311,HLOOKUP(INDIRECT(ADDRESS(2,COLUMN())),OFFSET($CL$2,0,0,ROW()-1,84),ROW()-1,FALSE))</f>
        <v>20.27868449</v>
      </c>
      <c r="BC69">
        <f ca="1">IF(AND(ISNUMBER($BC$311),$B$252=1),$BC$311,HLOOKUP(INDIRECT(ADDRESS(2,COLUMN())),OFFSET($CL$2,0,0,ROW()-1,84),ROW()-1,FALSE))</f>
        <v>20.76732402</v>
      </c>
      <c r="BD69">
        <f ca="1">IF(AND(ISNUMBER($BD$311),$B$252=1),$BD$311,HLOOKUP(INDIRECT(ADDRESS(2,COLUMN())),OFFSET($CL$2,0,0,ROW()-1,84),ROW()-1,FALSE))</f>
        <v>19.886520239999999</v>
      </c>
      <c r="BE69">
        <f ca="1">IF(AND(ISNUMBER($BE$311),$B$252=1),$BE$311,HLOOKUP(INDIRECT(ADDRESS(2,COLUMN())),OFFSET($CL$2,0,0,ROW()-1,84),ROW()-1,FALSE))</f>
        <v>19.037921359999999</v>
      </c>
      <c r="BF69">
        <f ca="1">IF(AND(ISNUMBER($BF$311),$B$252=1),$BF$311,HLOOKUP(INDIRECT(ADDRESS(2,COLUMN())),OFFSET($CL$2,0,0,ROW()-1,84),ROW()-1,FALSE))</f>
        <v>20.18293984</v>
      </c>
      <c r="BG69">
        <f ca="1">IF(AND(ISNUMBER($BG$311),$B$252=1),$BG$311,HLOOKUP(INDIRECT(ADDRESS(2,COLUMN())),OFFSET($CL$2,0,0,ROW()-1,84),ROW()-1,FALSE))</f>
        <v>21.287758319999998</v>
      </c>
      <c r="BH69">
        <f ca="1">IF(AND(ISNUMBER($BH$311),$B$252=1),$BH$311,HLOOKUP(INDIRECT(ADDRESS(2,COLUMN())),OFFSET($CL$2,0,0,ROW()-1,84),ROW()-1,FALSE))</f>
        <v>21.635035630000001</v>
      </c>
      <c r="BI69">
        <f ca="1">IF(AND(ISNUMBER($BI$311),$B$252=1),$BI$311,HLOOKUP(INDIRECT(ADDRESS(2,COLUMN())),OFFSET($CL$2,0,0,ROW()-1,84),ROW()-1,FALSE))</f>
        <v>21.80105713</v>
      </c>
      <c r="BJ69">
        <f ca="1">IF(AND(ISNUMBER($BJ$311),$B$252=1),$BJ$311,HLOOKUP(INDIRECT(ADDRESS(2,COLUMN())),OFFSET($CL$2,0,0,ROW()-1,84),ROW()-1,FALSE))</f>
        <v>23.814003809999999</v>
      </c>
      <c r="BK69">
        <f ca="1">IF(AND(ISNUMBER($BK$311),$B$252=1),$BK$311,HLOOKUP(INDIRECT(ADDRESS(2,COLUMN())),OFFSET($CL$2,0,0,ROW()-1,84),ROW()-1,FALSE))</f>
        <v>23.73834235</v>
      </c>
      <c r="BL69">
        <f ca="1">IF(AND(ISNUMBER($BL$311),$B$252=1),$BL$311,HLOOKUP(INDIRECT(ADDRESS(2,COLUMN())),OFFSET($CL$2,0,0,ROW()-1,84),ROW()-1,FALSE))</f>
        <v>24.519999349999999</v>
      </c>
      <c r="BM69">
        <f ca="1">IF(AND(ISNUMBER($BM$311),$B$252=1),$BM$311,HLOOKUP(INDIRECT(ADDRESS(2,COLUMN())),OFFSET($CL$2,0,0,ROW()-1,84),ROW()-1,FALSE))</f>
        <v>24.590236040000001</v>
      </c>
      <c r="BN69">
        <f ca="1">IF(AND(ISNUMBER($BN$311),$B$252=1),$BN$311,HLOOKUP(INDIRECT(ADDRESS(2,COLUMN())),OFFSET($CL$2,0,0,ROW()-1,84),ROW()-1,FALSE))</f>
        <v>23.412847259999999</v>
      </c>
      <c r="BO69">
        <f ca="1">IF(AND(ISNUMBER($BO$311),$B$252=1),$BO$311,HLOOKUP(INDIRECT(ADDRESS(2,COLUMN())),OFFSET($CL$2,0,0,ROW()-1,84),ROW()-1,FALSE))</f>
        <v>23.44166448</v>
      </c>
      <c r="BP69">
        <f ca="1">IF(AND(ISNUMBER($BP$311),$B$252=1),$BP$311,HLOOKUP(INDIRECT(ADDRESS(2,COLUMN())),OFFSET($CL$2,0,0,ROW()-1,84),ROW()-1,FALSE))</f>
        <v>24.373096480000001</v>
      </c>
      <c r="BQ69">
        <f ca="1">IF(AND(ISNUMBER($BQ$311),$B$252=1),$BQ$311,HLOOKUP(INDIRECT(ADDRESS(2,COLUMN())),OFFSET($CL$2,0,0,ROW()-1,84),ROW()-1,FALSE))</f>
        <v>25.46227099</v>
      </c>
      <c r="BR69">
        <f ca="1">IF(AND(ISNUMBER($BR$311),$B$252=1),$BR$311,HLOOKUP(INDIRECT(ADDRESS(2,COLUMN())),OFFSET($CL$2,0,0,ROW()-1,84),ROW()-1,FALSE))</f>
        <v>24.77018335</v>
      </c>
      <c r="BS69">
        <f ca="1">IF(AND(ISNUMBER($BS$311),$B$252=1),$BS$311,HLOOKUP(INDIRECT(ADDRESS(2,COLUMN())),OFFSET($CL$2,0,0,ROW()-1,84),ROW()-1,FALSE))</f>
        <v>25.47876209</v>
      </c>
      <c r="BT69">
        <f ca="1">IF(AND(ISNUMBER($BT$311),$B$252=1),$BT$311,HLOOKUP(INDIRECT(ADDRESS(2,COLUMN())),OFFSET($CL$2,0,0,ROW()-1,84),ROW()-1,FALSE))</f>
        <v>25.55958141</v>
      </c>
      <c r="BU69">
        <f ca="1">IF(AND(ISNUMBER($BU$311),$B$252=1),$BU$311,HLOOKUP(INDIRECT(ADDRESS(2,COLUMN())),OFFSET($CL$2,0,0,ROW()-1,84),ROW()-1,FALSE))</f>
        <v>28.009972059999999</v>
      </c>
      <c r="BV69">
        <f ca="1">IF(AND(ISNUMBER($BV$311),$B$252=1),$BV$311,HLOOKUP(INDIRECT(ADDRESS(2,COLUMN())),OFFSET($CL$2,0,0,ROW()-1,84),ROW()-1,FALSE))</f>
        <v>29.112399589999999</v>
      </c>
      <c r="BW69">
        <f ca="1">IF(AND(ISNUMBER($BW$311),$B$252=1),$BW$311,HLOOKUP(INDIRECT(ADDRESS(2,COLUMN())),OFFSET($CL$2,0,0,ROW()-1,84),ROW()-1,FALSE))</f>
        <v>28.002055160000001</v>
      </c>
      <c r="BX69">
        <f ca="1">IF(AND(ISNUMBER($BX$311),$B$252=1),$BX$311,HLOOKUP(INDIRECT(ADDRESS(2,COLUMN())),OFFSET($CL$2,0,0,ROW()-1,84),ROW()-1,FALSE))</f>
        <v>28.800835989999999</v>
      </c>
      <c r="BY69">
        <f ca="1">IF(AND(ISNUMBER($BY$311),$B$252=1),$BY$311,HLOOKUP(INDIRECT(ADDRESS(2,COLUMN())),OFFSET($CL$2,0,0,ROW()-1,84),ROW()-1,FALSE))</f>
        <v>29.965234720000002</v>
      </c>
      <c r="BZ69">
        <f ca="1">IF(AND(ISNUMBER($BZ$311),$B$252=1),$BZ$311,HLOOKUP(INDIRECT(ADDRESS(2,COLUMN())),OFFSET($CL$2,0,0,ROW()-1,84),ROW()-1,FALSE))</f>
        <v>29.130577219999999</v>
      </c>
      <c r="CA69">
        <f ca="1">IF(AND(ISNUMBER($CA$311),$B$252=1),$CA$311,HLOOKUP(INDIRECT(ADDRESS(2,COLUMN())),OFFSET($CL$2,0,0,ROW()-1,84),ROW()-1,FALSE))</f>
        <v>27.871721999999998</v>
      </c>
      <c r="CB69">
        <f ca="1">IF(AND(ISNUMBER($CB$311),$B$252=1),$CB$311,HLOOKUP(INDIRECT(ADDRESS(2,COLUMN())),OFFSET($CL$2,0,0,ROW()-1,84),ROW()-1,FALSE))</f>
        <v>29.23446371</v>
      </c>
      <c r="CC69">
        <f ca="1">IF(AND(ISNUMBER($CC$311),$B$252=1),$CC$311,HLOOKUP(INDIRECT(ADDRESS(2,COLUMN())),OFFSET($CL$2,0,0,ROW()-1,84),ROW()-1,FALSE))</f>
        <v>28.071619439999999</v>
      </c>
      <c r="CD69">
        <f ca="1">IF(AND(ISNUMBER($CD$311),$B$252=1),$CD$311,HLOOKUP(INDIRECT(ADDRESS(2,COLUMN())),OFFSET($CL$2,0,0,ROW()-1,84),ROW()-1,FALSE))</f>
        <v>28.40467173</v>
      </c>
      <c r="CE69">
        <f ca="1">IF(AND(ISNUMBER($CE$311),$B$252=1),$CE$311,HLOOKUP(INDIRECT(ADDRESS(2,COLUMN())),OFFSET($CL$2,0,0,ROW()-1,84),ROW()-1,FALSE))</f>
        <v>30.415863550000001</v>
      </c>
      <c r="CF69">
        <f ca="1">IF(AND(ISNUMBER($CF$311),$B$252=1),$CF$311,HLOOKUP(INDIRECT(ADDRESS(2,COLUMN())),OFFSET($CL$2,0,0,ROW()-1,84),ROW()-1,FALSE))</f>
        <v>25.947559559999998</v>
      </c>
      <c r="CG69">
        <f ca="1">IF(AND(ISNUMBER($CG$311),$B$252=1),$CG$311,HLOOKUP(INDIRECT(ADDRESS(2,COLUMN())),OFFSET($CL$2,0,0,ROW()-1,84),ROW()-1,FALSE))</f>
        <v>32.388925550000003</v>
      </c>
      <c r="CH69">
        <f ca="1">IF(AND(ISNUMBER($CH$311),$B$252=1),$CH$311,HLOOKUP(INDIRECT(ADDRESS(2,COLUMN())),OFFSET($CL$2,0,0,ROW()-1,84),ROW()-1,FALSE))</f>
        <v>31.868821820000001</v>
      </c>
      <c r="CI69">
        <f ca="1">IF(AND(ISNUMBER($CI$311),$B$252=1),$CI$311,HLOOKUP(INDIRECT(ADDRESS(2,COLUMN())),OFFSET($CL$2,0,0,ROW()-1,84),ROW()-1,FALSE))</f>
        <v>30.493753049999999</v>
      </c>
      <c r="CJ69">
        <f ca="1">IF(AND(ISNUMBER($CJ$311),$B$252=1),$CJ$311,HLOOKUP(INDIRECT(ADDRESS(2,COLUMN())),OFFSET($CL$2,0,0,ROW()-1,84),ROW()-1,FALSE))</f>
        <v>32.369715890000002</v>
      </c>
      <c r="CK69">
        <f ca="1">IF(AND(ISNUMBER($CK$311),$B$252=1),$CK$311,HLOOKUP(INDIRECT(ADDRESS(2,COLUMN())),OFFSET($CL$2,0,0,ROW()-1,84),ROW()-1,FALSE))</f>
        <v>30.798299610000001</v>
      </c>
      <c r="CL69">
        <f>18.74117543</f>
        <v>18.741175429999998</v>
      </c>
      <c r="CM69">
        <f>18.10300961</f>
        <v>18.103009610000001</v>
      </c>
      <c r="CN69">
        <f>19.77152184</f>
        <v>19.771521839999998</v>
      </c>
      <c r="CO69">
        <f>20.70092261</f>
        <v>20.700922609999999</v>
      </c>
      <c r="CP69">
        <f>21.36600027</f>
        <v>21.366000270000001</v>
      </c>
      <c r="CQ69">
        <f>21.36600027</f>
        <v>21.366000270000001</v>
      </c>
      <c r="CR69">
        <f>21.0231168</f>
        <v>21.0231168</v>
      </c>
      <c r="CS69">
        <f>22.4442125</f>
        <v>22.444212499999999</v>
      </c>
      <c r="CT69">
        <f>22.99656035</f>
        <v>22.996560349999999</v>
      </c>
      <c r="CU69">
        <f>22.9750403</f>
        <v>22.9750403</v>
      </c>
      <c r="CV69">
        <f>23.03215258</f>
        <v>23.032152580000002</v>
      </c>
      <c r="CW69">
        <f>22.86354239</f>
        <v>22.863542389999999</v>
      </c>
      <c r="CX69">
        <f>22.11202267</f>
        <v>22.112022670000002</v>
      </c>
      <c r="CY69">
        <f>22.44913682</f>
        <v>22.44913682</v>
      </c>
      <c r="CZ69">
        <f>21.17020297</f>
        <v>21.170202969999998</v>
      </c>
      <c r="DA69">
        <f>21.63926754</f>
        <v>21.639267539999999</v>
      </c>
      <c r="DB69">
        <f>20.4145992</f>
        <v>20.414599200000001</v>
      </c>
      <c r="DC69">
        <f>21.24488474</f>
        <v>21.24488474</v>
      </c>
      <c r="DD69">
        <f>22.07144703</f>
        <v>22.071447030000002</v>
      </c>
      <c r="DE69">
        <f>22.11077372</f>
        <v>22.110773720000001</v>
      </c>
      <c r="DF69">
        <f>23.45503194</f>
        <v>23.455031940000001</v>
      </c>
      <c r="DG69">
        <f>22.79048323</f>
        <v>22.79048323</v>
      </c>
      <c r="DH69">
        <f>23.1921855</f>
        <v>23.192185500000001</v>
      </c>
      <c r="DI69">
        <f>22.79378739</f>
        <v>22.793787389999999</v>
      </c>
      <c r="DJ69">
        <f>24.52275786</f>
        <v>24.522757859999999</v>
      </c>
      <c r="DK69">
        <f>22.77094859</f>
        <v>22.77094859</v>
      </c>
      <c r="DL69">
        <f>22.75104856</f>
        <v>22.751048560000001</v>
      </c>
      <c r="DM69">
        <f>24.42795831</f>
        <v>24.427958310000001</v>
      </c>
      <c r="DN69">
        <f>24.95337868</f>
        <v>24.95337868</v>
      </c>
      <c r="DO69">
        <f>23.99801527</f>
        <v>23.99801527</v>
      </c>
      <c r="DP69">
        <f>23.99664262</f>
        <v>23.996642619999999</v>
      </c>
      <c r="DQ69">
        <f>23.30009286</f>
        <v>23.300092859999999</v>
      </c>
      <c r="DR69">
        <f>24.3277475</f>
        <v>24.327747500000001</v>
      </c>
      <c r="DS69">
        <f>22.56746544</f>
        <v>22.567465439999999</v>
      </c>
      <c r="DT69">
        <f>24.07548401</f>
        <v>24.07548401</v>
      </c>
      <c r="DU69">
        <f>23.7631534</f>
        <v>23.7631534</v>
      </c>
      <c r="DV69">
        <f>25.19611464</f>
        <v>25.196114640000001</v>
      </c>
      <c r="DW69">
        <f>24.80292536</f>
        <v>24.80292536</v>
      </c>
      <c r="DX69">
        <f>25.48804834</f>
        <v>25.488048339999999</v>
      </c>
      <c r="DY69">
        <f>24.07360089</f>
        <v>24.073600890000002</v>
      </c>
      <c r="DZ69">
        <f>24.15325981</f>
        <v>24.153259810000002</v>
      </c>
      <c r="EA69">
        <f>23.40968971</f>
        <v>23.409689709999999</v>
      </c>
      <c r="EB69">
        <f>21.17597509</f>
        <v>21.175975090000001</v>
      </c>
      <c r="EC69">
        <f>23.49617387</f>
        <v>23.49617387</v>
      </c>
      <c r="ED69">
        <f>22.57828311</f>
        <v>22.578283110000001</v>
      </c>
      <c r="EE69">
        <f>21.68021391</f>
        <v>21.680213909999999</v>
      </c>
      <c r="EF69">
        <f>21.90320293</f>
        <v>21.903202929999999</v>
      </c>
      <c r="EG69">
        <f>21.08631105</f>
        <v>21.086311049999999</v>
      </c>
      <c r="EH69">
        <f>20.27868449</f>
        <v>20.27868449</v>
      </c>
      <c r="EI69">
        <f>20.76732402</f>
        <v>20.76732402</v>
      </c>
      <c r="EJ69">
        <f>19.88652024</f>
        <v>19.886520239999999</v>
      </c>
      <c r="EK69">
        <f>19.03792136</f>
        <v>19.037921359999999</v>
      </c>
      <c r="EL69">
        <f>20.18293984</f>
        <v>20.18293984</v>
      </c>
      <c r="EM69">
        <f>21.28775832</f>
        <v>21.287758319999998</v>
      </c>
      <c r="EN69">
        <f>21.63503563</f>
        <v>21.635035630000001</v>
      </c>
      <c r="EO69">
        <f>21.80105713</f>
        <v>21.80105713</v>
      </c>
      <c r="EP69">
        <f>23.81400381</f>
        <v>23.814003809999999</v>
      </c>
      <c r="EQ69">
        <f>23.73834235</f>
        <v>23.73834235</v>
      </c>
      <c r="ER69">
        <f>24.51999935</f>
        <v>24.519999349999999</v>
      </c>
      <c r="ES69">
        <f>24.59023604</f>
        <v>24.590236040000001</v>
      </c>
      <c r="ET69">
        <f>23.41284726</f>
        <v>23.412847259999999</v>
      </c>
      <c r="EU69">
        <f>23.44166448</f>
        <v>23.44166448</v>
      </c>
      <c r="EV69">
        <f>24.37309648</f>
        <v>24.373096480000001</v>
      </c>
      <c r="EW69">
        <f>25.46227099</f>
        <v>25.46227099</v>
      </c>
      <c r="EX69">
        <f>24.77018335</f>
        <v>24.77018335</v>
      </c>
      <c r="EY69">
        <f>25.47876209</f>
        <v>25.47876209</v>
      </c>
      <c r="EZ69">
        <f>25.55958141</f>
        <v>25.55958141</v>
      </c>
      <c r="FA69">
        <f>28.00997206</f>
        <v>28.009972059999999</v>
      </c>
      <c r="FB69">
        <f>29.11239959</f>
        <v>29.112399589999999</v>
      </c>
      <c r="FC69">
        <f>28.00205516</f>
        <v>28.002055160000001</v>
      </c>
      <c r="FD69">
        <f>28.80083599</f>
        <v>28.800835989999999</v>
      </c>
      <c r="FE69">
        <f>29.96523472</f>
        <v>29.965234720000002</v>
      </c>
      <c r="FF69">
        <f>29.13057722</f>
        <v>29.130577219999999</v>
      </c>
      <c r="FG69">
        <f>27.871722</f>
        <v>27.871721999999998</v>
      </c>
      <c r="FH69">
        <f>29.23446371</f>
        <v>29.23446371</v>
      </c>
      <c r="FI69">
        <f>28.07161944</f>
        <v>28.071619439999999</v>
      </c>
      <c r="FJ69">
        <f>28.40467173</f>
        <v>28.40467173</v>
      </c>
      <c r="FK69">
        <f>30.41586355</f>
        <v>30.415863550000001</v>
      </c>
      <c r="FL69">
        <f>25.94755956</f>
        <v>25.947559559999998</v>
      </c>
      <c r="FM69">
        <f>32.38892555</f>
        <v>32.388925550000003</v>
      </c>
      <c r="FN69">
        <f>31.86882182</f>
        <v>31.868821820000001</v>
      </c>
      <c r="FO69">
        <f>30.49375305</f>
        <v>30.493753049999999</v>
      </c>
      <c r="FP69">
        <f>32.36971589</f>
        <v>32.369715890000002</v>
      </c>
      <c r="FQ69">
        <f>30.79829961</f>
        <v>30.798299610000001</v>
      </c>
    </row>
    <row r="70" spans="1:173">
      <c r="A70" t="str">
        <f>"    Camden 房地产信托公司"</f>
        <v xml:space="preserve">    Camden 房地产信托公司</v>
      </c>
      <c r="B70" t="str">
        <f>"CPT US Equity"</f>
        <v>CPT US Equity</v>
      </c>
      <c r="C70" t="str">
        <f t="shared" si="24"/>
        <v>F0893</v>
      </c>
      <c r="D70" t="str">
        <f t="shared" si="25"/>
        <v>PRICE_TO_AFFOPS</v>
      </c>
      <c r="E70" t="str">
        <f t="shared" si="26"/>
        <v>动态</v>
      </c>
      <c r="F70">
        <f ca="1">IF(AND(ISNUMBER($F$312),$B$252=1),$F$312,HLOOKUP(INDIRECT(ADDRESS(2,COLUMN())),OFFSET($CL$2,0,0,ROW()-1,84),ROW()-1,FALSE))</f>
        <v>18.351807579999999</v>
      </c>
      <c r="G70">
        <f ca="1">IF(AND(ISNUMBER($G$312),$B$252=1),$G$312,HLOOKUP(INDIRECT(ADDRESS(2,COLUMN())),OFFSET($CL$2,0,0,ROW()-1,84),ROW()-1,FALSE))</f>
        <v>17.59892365</v>
      </c>
      <c r="H70">
        <f ca="1">IF(AND(ISNUMBER($H$312),$B$252=1),$H$312,HLOOKUP(INDIRECT(ADDRESS(2,COLUMN())),OFFSET($CL$2,0,0,ROW()-1,84),ROW()-1,FALSE))</f>
        <v>19.111313899999999</v>
      </c>
      <c r="I70">
        <f ca="1">IF(AND(ISNUMBER($I$312),$B$252=1),$I$312,HLOOKUP(INDIRECT(ADDRESS(2,COLUMN())),OFFSET($CL$2,0,0,ROW()-1,84),ROW()-1,FALSE))</f>
        <v>20.325641839999999</v>
      </c>
      <c r="J70">
        <f ca="1">IF(AND(ISNUMBER($J$312),$B$252=1),$J$312,HLOOKUP(INDIRECT(ADDRESS(2,COLUMN())),OFFSET($CL$2,0,0,ROW()-1,84),ROW()-1,FALSE))</f>
        <v>20.296739720000001</v>
      </c>
      <c r="K70">
        <f ca="1">IF(AND(ISNUMBER($K$312),$B$252=1),$K$312,HLOOKUP(INDIRECT(ADDRESS(2,COLUMN())),OFFSET($CL$2,0,0,ROW()-1,84),ROW()-1,FALSE))</f>
        <v>20.287845440000002</v>
      </c>
      <c r="L70">
        <f ca="1">IF(AND(ISNUMBER($L$312),$B$252=1),$L$312,HLOOKUP(INDIRECT(ADDRESS(2,COLUMN())),OFFSET($CL$2,0,0,ROW()-1,84),ROW()-1,FALSE))</f>
        <v>20.334540400000002</v>
      </c>
      <c r="M70">
        <f ca="1">IF(AND(ISNUMBER($M$312),$B$252=1),$M$312,HLOOKUP(INDIRECT(ADDRESS(2,COLUMN())),OFFSET($CL$2,0,0,ROW()-1,84),ROW()-1,FALSE))</f>
        <v>19.782297109999998</v>
      </c>
      <c r="N70">
        <f ca="1">IF(AND(ISNUMBER($N$312),$B$252=1),$N$312,HLOOKUP(INDIRECT(ADDRESS(2,COLUMN())),OFFSET($CL$2,0,0,ROW()-1,84),ROW()-1,FALSE))</f>
        <v>19.830934859999999</v>
      </c>
      <c r="O70">
        <f ca="1">IF(AND(ISNUMBER($O$312),$B$252=1),$O$312,HLOOKUP(INDIRECT(ADDRESS(2,COLUMN())),OFFSET($CL$2,0,0,ROW()-1,84),ROW()-1,FALSE))</f>
        <v>18.904606909999998</v>
      </c>
      <c r="P70">
        <f ca="1">IF(AND(ISNUMBER($P$312),$B$252=1),$P$312,HLOOKUP(INDIRECT(ADDRESS(2,COLUMN())),OFFSET($CL$2,0,0,ROW()-1,84),ROW()-1,FALSE))</f>
        <v>18.417294729999998</v>
      </c>
      <c r="Q70">
        <f ca="1">IF(AND(ISNUMBER($Q$312),$B$252=1),$Q$312,HLOOKUP(INDIRECT(ADDRESS(2,COLUMN())),OFFSET($CL$2,0,0,ROW()-1,84),ROW()-1,FALSE))</f>
        <v>18.200646689999999</v>
      </c>
      <c r="R70">
        <f ca="1">IF(AND(ISNUMBER($R$312),$B$252=1),$R$312,HLOOKUP(INDIRECT(ADDRESS(2,COLUMN())),OFFSET($CL$2,0,0,ROW()-1,84),ROW()-1,FALSE))</f>
        <v>17.787246840000002</v>
      </c>
      <c r="S70">
        <f ca="1">IF(AND(ISNUMBER($S$312),$B$252=1),$S$312,HLOOKUP(INDIRECT(ADDRESS(2,COLUMN())),OFFSET($CL$2,0,0,ROW()-1,84),ROW()-1,FALSE))</f>
        <v>18.262583190000001</v>
      </c>
      <c r="T70">
        <f ca="1">IF(AND(ISNUMBER($T$312),$B$252=1),$T$312,HLOOKUP(INDIRECT(ADDRESS(2,COLUMN())),OFFSET($CL$2,0,0,ROW()-1,84),ROW()-1,FALSE))</f>
        <v>18.029581539999999</v>
      </c>
      <c r="U70">
        <f ca="1">IF(AND(ISNUMBER($U$312),$B$252=1),$U$312,HLOOKUP(INDIRECT(ADDRESS(2,COLUMN())),OFFSET($CL$2,0,0,ROW()-1,84),ROW()-1,FALSE))</f>
        <v>18.137452679999999</v>
      </c>
      <c r="V70">
        <f ca="1">IF(AND(ISNUMBER($V$312),$B$252=1),$V$312,HLOOKUP(INDIRECT(ADDRESS(2,COLUMN())),OFFSET($CL$2,0,0,ROW()-1,84),ROW()-1,FALSE))</f>
        <v>16.801823110000001</v>
      </c>
      <c r="W70">
        <f ca="1">IF(AND(ISNUMBER($W$312),$B$252=1),$W$312,HLOOKUP(INDIRECT(ADDRESS(2,COLUMN())),OFFSET($CL$2,0,0,ROW()-1,84),ROW()-1,FALSE))</f>
        <v>17.38458232</v>
      </c>
      <c r="X70">
        <f ca="1">IF(AND(ISNUMBER($X$312),$B$252=1),$X$312,HLOOKUP(INDIRECT(ADDRESS(2,COLUMN())),OFFSET($CL$2,0,0,ROW()-1,84),ROW()-1,FALSE))</f>
        <v>17.875551609999999</v>
      </c>
      <c r="Y70">
        <f ca="1">IF(AND(ISNUMBER($Y$312),$B$252=1),$Y$312,HLOOKUP(INDIRECT(ADDRESS(2,COLUMN())),OFFSET($CL$2,0,0,ROW()-1,84),ROW()-1,FALSE))</f>
        <v>18.707404279999999</v>
      </c>
      <c r="Z70">
        <f ca="1">IF(AND(ISNUMBER($Z$312),$B$252=1),$Z$312,HLOOKUP(INDIRECT(ADDRESS(2,COLUMN())),OFFSET($CL$2,0,0,ROW()-1,84),ROW()-1,FALSE))</f>
        <v>19.095321290000001</v>
      </c>
      <c r="AA70">
        <f ca="1">IF(AND(ISNUMBER($AA$312),$B$252=1),$AA$312,HLOOKUP(INDIRECT(ADDRESS(2,COLUMN())),OFFSET($CL$2,0,0,ROW()-1,84),ROW()-1,FALSE))</f>
        <v>18.84594607</v>
      </c>
      <c r="AB70">
        <f ca="1">IF(AND(ISNUMBER($AB$312),$B$252=1),$AB$312,HLOOKUP(INDIRECT(ADDRESS(2,COLUMN())),OFFSET($CL$2,0,0,ROW()-1,84),ROW()-1,FALSE))</f>
        <v>18.292359350000002</v>
      </c>
      <c r="AC70">
        <f ca="1">IF(AND(ISNUMBER($AC$312),$B$252=1),$AC$312,HLOOKUP(INDIRECT(ADDRESS(2,COLUMN())),OFFSET($CL$2,0,0,ROW()-1,84),ROW()-1,FALSE))</f>
        <v>17.33062047</v>
      </c>
      <c r="AD70">
        <f ca="1">IF(AND(ISNUMBER($AD$312),$B$252=1),$AD$312,HLOOKUP(INDIRECT(ADDRESS(2,COLUMN())),OFFSET($CL$2,0,0,ROW()-1,84),ROW()-1,FALSE))</f>
        <v>18.051924629999998</v>
      </c>
      <c r="AE70">
        <f ca="1">IF(AND(ISNUMBER($AE$312),$B$252=1),$AE$312,HLOOKUP(INDIRECT(ADDRESS(2,COLUMN())),OFFSET($CL$2,0,0,ROW()-1,84),ROW()-1,FALSE))</f>
        <v>16.47879386</v>
      </c>
      <c r="AF70">
        <f ca="1">IF(AND(ISNUMBER($AF$312),$B$252=1),$AF$312,HLOOKUP(INDIRECT(ADDRESS(2,COLUMN())),OFFSET($CL$2,0,0,ROW()-1,84),ROW()-1,FALSE))</f>
        <v>16.822745130000001</v>
      </c>
      <c r="AG70">
        <f ca="1">IF(AND(ISNUMBER($AG$312),$B$252=1),$AG$312,HLOOKUP(INDIRECT(ADDRESS(2,COLUMN())),OFFSET($CL$2,0,0,ROW()-1,84),ROW()-1,FALSE))</f>
        <v>16.924166660000001</v>
      </c>
      <c r="AH70">
        <f ca="1">IF(AND(ISNUMBER($AH$312),$B$252=1),$AH$312,HLOOKUP(INDIRECT(ADDRESS(2,COLUMN())),OFFSET($CL$2,0,0,ROW()-1,84),ROW()-1,FALSE))</f>
        <v>17.202895269999999</v>
      </c>
      <c r="AI70">
        <f ca="1">IF(AND(ISNUMBER($AI$312),$B$252=1),$AI$312,HLOOKUP(INDIRECT(ADDRESS(2,COLUMN())),OFFSET($CL$2,0,0,ROW()-1,84),ROW()-1,FALSE))</f>
        <v>16.619555399999999</v>
      </c>
      <c r="AJ70">
        <f ca="1">IF(AND(ISNUMBER($AJ$312),$B$252=1),$AJ$312,HLOOKUP(INDIRECT(ADDRESS(2,COLUMN())),OFFSET($CL$2,0,0,ROW()-1,84),ROW()-1,FALSE))</f>
        <v>16.644330459999999</v>
      </c>
      <c r="AK70">
        <f ca="1">IF(AND(ISNUMBER($AK$312),$B$252=1),$AK$312,HLOOKUP(INDIRECT(ADDRESS(2,COLUMN())),OFFSET($CL$2,0,0,ROW()-1,84),ROW()-1,FALSE))</f>
        <v>16.482296519999998</v>
      </c>
      <c r="AL70">
        <f ca="1">IF(AND(ISNUMBER($AL$312),$B$252=1),$AL$312,HLOOKUP(INDIRECT(ADDRESS(2,COLUMN())),OFFSET($CL$2,0,0,ROW()-1,84),ROW()-1,FALSE))</f>
        <v>18.22136987</v>
      </c>
      <c r="AM70">
        <f ca="1">IF(AND(ISNUMBER($AM$312),$B$252=1),$AM$312,HLOOKUP(INDIRECT(ADDRESS(2,COLUMN())),OFFSET($CL$2,0,0,ROW()-1,84),ROW()-1,FALSE))</f>
        <v>16.99715376</v>
      </c>
      <c r="AN70">
        <f ca="1">IF(AND(ISNUMBER($AN$312),$B$252=1),$AN$312,HLOOKUP(INDIRECT(ADDRESS(2,COLUMN())),OFFSET($CL$2,0,0,ROW()-1,84),ROW()-1,FALSE))</f>
        <v>17.456278560000001</v>
      </c>
      <c r="AO70">
        <f ca="1">IF(AND(ISNUMBER($AO$312),$B$252=1),$AO$312,HLOOKUP(INDIRECT(ADDRESS(2,COLUMN())),OFFSET($CL$2,0,0,ROW()-1,84),ROW()-1,FALSE))</f>
        <v>17.479559800000001</v>
      </c>
      <c r="AP70">
        <f ca="1">IF(AND(ISNUMBER($AP$312),$B$252=1),$AP$312,HLOOKUP(INDIRECT(ADDRESS(2,COLUMN())),OFFSET($CL$2,0,0,ROW()-1,84),ROW()-1,FALSE))</f>
        <v>18.189637820000002</v>
      </c>
      <c r="AQ70">
        <f ca="1">IF(AND(ISNUMBER($AQ$312),$B$252=1),$AQ$312,HLOOKUP(INDIRECT(ADDRESS(2,COLUMN())),OFFSET($CL$2,0,0,ROW()-1,84),ROW()-1,FALSE))</f>
        <v>17.06228535</v>
      </c>
      <c r="AR70">
        <f ca="1">IF(AND(ISNUMBER($AR$312),$B$252=1),$AR$312,HLOOKUP(INDIRECT(ADDRESS(2,COLUMN())),OFFSET($CL$2,0,0,ROW()-1,84),ROW()-1,FALSE))</f>
        <v>18.060847460000002</v>
      </c>
      <c r="AS70">
        <f ca="1">IF(AND(ISNUMBER($AS$312),$B$252=1),$AS$312,HLOOKUP(INDIRECT(ADDRESS(2,COLUMN())),OFFSET($CL$2,0,0,ROW()-1,84),ROW()-1,FALSE))</f>
        <v>17.308409810000001</v>
      </c>
      <c r="AT70">
        <f ca="1">IF(AND(ISNUMBER($AT$312),$B$252=1),$AT$312,HLOOKUP(INDIRECT(ADDRESS(2,COLUMN())),OFFSET($CL$2,0,0,ROW()-1,84),ROW()-1,FALSE))</f>
        <v>18.069240529999998</v>
      </c>
      <c r="AU70">
        <f ca="1">IF(AND(ISNUMBER($AU$312),$B$252=1),$AU$312,HLOOKUP(INDIRECT(ADDRESS(2,COLUMN())),OFFSET($CL$2,0,0,ROW()-1,84),ROW()-1,FALSE))</f>
        <v>18.066884089999999</v>
      </c>
      <c r="AV70">
        <f ca="1">IF(AND(ISNUMBER($AV$312),$B$252=1),$AV$312,HLOOKUP(INDIRECT(ADDRESS(2,COLUMN())),OFFSET($CL$2,0,0,ROW()-1,84),ROW()-1,FALSE))</f>
        <v>16.1487357</v>
      </c>
      <c r="AW70">
        <f ca="1">IF(AND(ISNUMBER($AW$312),$B$252=1),$AW$312,HLOOKUP(INDIRECT(ADDRESS(2,COLUMN())),OFFSET($CL$2,0,0,ROW()-1,84),ROW()-1,FALSE))</f>
        <v>17.7704849</v>
      </c>
      <c r="AX70">
        <f ca="1">IF(AND(ISNUMBER($AX$312),$B$252=1),$AX$312,HLOOKUP(INDIRECT(ADDRESS(2,COLUMN())),OFFSET($CL$2,0,0,ROW()-1,84),ROW()-1,FALSE))</f>
        <v>17.18161795</v>
      </c>
      <c r="AY70">
        <f ca="1">IF(AND(ISNUMBER($AY$312),$B$252=1),$AY$312,HLOOKUP(INDIRECT(ADDRESS(2,COLUMN())),OFFSET($CL$2,0,0,ROW()-1,84),ROW()-1,FALSE))</f>
        <v>16.894307869999999</v>
      </c>
      <c r="AZ70">
        <f ca="1">IF(AND(ISNUMBER($AZ$312),$B$252=1),$AZ$312,HLOOKUP(INDIRECT(ADDRESS(2,COLUMN())),OFFSET($CL$2,0,0,ROW()-1,84),ROW()-1,FALSE))</f>
        <v>16.762844680000001</v>
      </c>
      <c r="BA70">
        <f ca="1">IF(AND(ISNUMBER($BA$312),$B$252=1),$BA$312,HLOOKUP(INDIRECT(ADDRESS(2,COLUMN())),OFFSET($CL$2,0,0,ROW()-1,84),ROW()-1,FALSE))</f>
        <v>16.34520547</v>
      </c>
      <c r="BB70">
        <f ca="1">IF(AND(ISNUMBER($BB$312),$B$252=1),$BB$312,HLOOKUP(INDIRECT(ADDRESS(2,COLUMN())),OFFSET($CL$2,0,0,ROW()-1,84),ROW()-1,FALSE))</f>
        <v>16.070756849999999</v>
      </c>
      <c r="BC70">
        <f ca="1">IF(AND(ISNUMBER($BC$312),$B$252=1),$BC$312,HLOOKUP(INDIRECT(ADDRESS(2,COLUMN())),OFFSET($CL$2,0,0,ROW()-1,84),ROW()-1,FALSE))</f>
        <v>16.254316660000001</v>
      </c>
      <c r="BD70">
        <f ca="1">IF(AND(ISNUMBER($BD$312),$B$252=1),$BD$312,HLOOKUP(INDIRECT(ADDRESS(2,COLUMN())),OFFSET($CL$2,0,0,ROW()-1,84),ROW()-1,FALSE))</f>
        <v>15.06509529</v>
      </c>
      <c r="BE70">
        <f ca="1">IF(AND(ISNUMBER($BE$312),$B$252=1),$BE$312,HLOOKUP(INDIRECT(ADDRESS(2,COLUMN())),OFFSET($CL$2,0,0,ROW()-1,84),ROW()-1,FALSE))</f>
        <v>13.861252350000001</v>
      </c>
      <c r="BF70">
        <f ca="1">IF(AND(ISNUMBER($BF$312),$B$252=1),$BF$312,HLOOKUP(INDIRECT(ADDRESS(2,COLUMN())),OFFSET($CL$2,0,0,ROW()-1,84),ROW()-1,FALSE))</f>
        <v>14.517931689999999</v>
      </c>
      <c r="BG70">
        <f ca="1">IF(AND(ISNUMBER($BG$312),$B$252=1),$BG$312,HLOOKUP(INDIRECT(ADDRESS(2,COLUMN())),OFFSET($CL$2,0,0,ROW()-1,84),ROW()-1,FALSE))</f>
        <v>16.09204445</v>
      </c>
      <c r="BH70">
        <f ca="1">IF(AND(ISNUMBER($BH$312),$B$252=1),$BH$312,HLOOKUP(INDIRECT(ADDRESS(2,COLUMN())),OFFSET($CL$2,0,0,ROW()-1,84),ROW()-1,FALSE))</f>
        <v>15.40023693</v>
      </c>
      <c r="BI70">
        <f ca="1">IF(AND(ISNUMBER($BI$312),$B$252=1),$BI$312,HLOOKUP(INDIRECT(ADDRESS(2,COLUMN())),OFFSET($CL$2,0,0,ROW()-1,84),ROW()-1,FALSE))</f>
        <v>15.93369135</v>
      </c>
      <c r="BJ70">
        <f ca="1">IF(AND(ISNUMBER($BJ$312),$B$252=1),$BJ$312,HLOOKUP(INDIRECT(ADDRESS(2,COLUMN())),OFFSET($CL$2,0,0,ROW()-1,84),ROW()-1,FALSE))</f>
        <v>18.190040270000001</v>
      </c>
      <c r="BK70">
        <f ca="1">IF(AND(ISNUMBER($BK$312),$B$252=1),$BK$312,HLOOKUP(INDIRECT(ADDRESS(2,COLUMN())),OFFSET($CL$2,0,0,ROW()-1,84),ROW()-1,FALSE))</f>
        <v>17.829024440000001</v>
      </c>
      <c r="BL70">
        <f ca="1">IF(AND(ISNUMBER($BL$312),$B$252=1),$BL$312,HLOOKUP(INDIRECT(ADDRESS(2,COLUMN())),OFFSET($CL$2,0,0,ROW()-1,84),ROW()-1,FALSE))</f>
        <v>18.475966029999999</v>
      </c>
      <c r="BM70">
        <f ca="1">IF(AND(ISNUMBER($BM$312),$B$252=1),$BM$312,HLOOKUP(INDIRECT(ADDRESS(2,COLUMN())),OFFSET($CL$2,0,0,ROW()-1,84),ROW()-1,FALSE))</f>
        <v>19.30038098</v>
      </c>
      <c r="BN70">
        <f ca="1">IF(AND(ISNUMBER($BN$312),$B$252=1),$BN$312,HLOOKUP(INDIRECT(ADDRESS(2,COLUMN())),OFFSET($CL$2,0,0,ROW()-1,84),ROW()-1,FALSE))</f>
        <v>18.323889489999999</v>
      </c>
      <c r="BO70">
        <f ca="1">IF(AND(ISNUMBER($BO$312),$B$252=1),$BO$312,HLOOKUP(INDIRECT(ADDRESS(2,COLUMN())),OFFSET($CL$2,0,0,ROW()-1,84),ROW()-1,FALSE))</f>
        <v>19.139991800000001</v>
      </c>
      <c r="BP70">
        <f ca="1">IF(AND(ISNUMBER($BP$312),$B$252=1),$BP$312,HLOOKUP(INDIRECT(ADDRESS(2,COLUMN())),OFFSET($CL$2,0,0,ROW()-1,84),ROW()-1,FALSE))</f>
        <v>19.209199170000002</v>
      </c>
      <c r="BQ70">
        <f ca="1">IF(AND(ISNUMBER($BQ$312),$B$252=1),$BQ$312,HLOOKUP(INDIRECT(ADDRESS(2,COLUMN())),OFFSET($CL$2,0,0,ROW()-1,84),ROW()-1,FALSE))</f>
        <v>18.88254036</v>
      </c>
      <c r="BR70">
        <f ca="1">IF(AND(ISNUMBER($BR$312),$B$252=1),$BR$312,HLOOKUP(INDIRECT(ADDRESS(2,COLUMN())),OFFSET($CL$2,0,0,ROW()-1,84),ROW()-1,FALSE))</f>
        <v>18.851302910000001</v>
      </c>
      <c r="BS70">
        <f ca="1">IF(AND(ISNUMBER($BS$312),$B$252=1),$BS$312,HLOOKUP(INDIRECT(ADDRESS(2,COLUMN())),OFFSET($CL$2,0,0,ROW()-1,84),ROW()-1,FALSE))</f>
        <v>18.831217809999998</v>
      </c>
      <c r="BT70">
        <f ca="1">IF(AND(ISNUMBER($BT$312),$B$252=1),$BT$312,HLOOKUP(INDIRECT(ADDRESS(2,COLUMN())),OFFSET($CL$2,0,0,ROW()-1,84),ROW()-1,FALSE))</f>
        <v>18.504117579999999</v>
      </c>
      <c r="BU70">
        <f ca="1">IF(AND(ISNUMBER($BU$312),$B$252=1),$BU$312,HLOOKUP(INDIRECT(ADDRESS(2,COLUMN())),OFFSET($CL$2,0,0,ROW()-1,84),ROW()-1,FALSE))</f>
        <v>20.873257110000001</v>
      </c>
      <c r="BV70">
        <f ca="1">IF(AND(ISNUMBER($BV$312),$B$252=1),$BV$312,HLOOKUP(INDIRECT(ADDRESS(2,COLUMN())),OFFSET($CL$2,0,0,ROW()-1,84),ROW()-1,FALSE))</f>
        <v>21.438455489999999</v>
      </c>
      <c r="BW70">
        <f ca="1">IF(AND(ISNUMBER($BW$312),$B$252=1),$BW$312,HLOOKUP(INDIRECT(ADDRESS(2,COLUMN())),OFFSET($CL$2,0,0,ROW()-1,84),ROW()-1,FALSE))</f>
        <v>20.344135219999998</v>
      </c>
      <c r="BX70">
        <f ca="1">IF(AND(ISNUMBER($BX$312),$B$252=1),$BX$312,HLOOKUP(INDIRECT(ADDRESS(2,COLUMN())),OFFSET($CL$2,0,0,ROW()-1,84),ROW()-1,FALSE))</f>
        <v>22.951142610000002</v>
      </c>
      <c r="BY70">
        <f ca="1">IF(AND(ISNUMBER($BY$312),$B$252=1),$BY$312,HLOOKUP(INDIRECT(ADDRESS(2,COLUMN())),OFFSET($CL$2,0,0,ROW()-1,84),ROW()-1,FALSE))</f>
        <v>23.8535374</v>
      </c>
      <c r="BZ70">
        <f ca="1">IF(AND(ISNUMBER($BZ$312),$B$252=1),$BZ$312,HLOOKUP(INDIRECT(ADDRESS(2,COLUMN())),OFFSET($CL$2,0,0,ROW()-1,84),ROW()-1,FALSE))</f>
        <v>23.1767413</v>
      </c>
      <c r="CA70">
        <f ca="1">IF(AND(ISNUMBER($CA$312),$B$252=1),$CA$312,HLOOKUP(INDIRECT(ADDRESS(2,COLUMN())),OFFSET($CL$2,0,0,ROW()-1,84),ROW()-1,FALSE))</f>
        <v>22.707455199999998</v>
      </c>
      <c r="CB70">
        <f ca="1">IF(AND(ISNUMBER($CB$312),$B$252=1),$CB$312,HLOOKUP(INDIRECT(ADDRESS(2,COLUMN())),OFFSET($CL$2,0,0,ROW()-1,84),ROW()-1,FALSE))</f>
        <v>23.62307839</v>
      </c>
      <c r="CC70">
        <f ca="1">IF(AND(ISNUMBER($CC$312),$B$252=1),$CC$312,HLOOKUP(INDIRECT(ADDRESS(2,COLUMN())),OFFSET($CL$2,0,0,ROW()-1,84),ROW()-1,FALSE))</f>
        <v>22.795355019999999</v>
      </c>
      <c r="CD70">
        <f ca="1">IF(AND(ISNUMBER($CD$312),$B$252=1),$CD$312,HLOOKUP(INDIRECT(ADDRESS(2,COLUMN())),OFFSET($CL$2,0,0,ROW()-1,84),ROW()-1,FALSE))</f>
        <v>21.900270500000001</v>
      </c>
      <c r="CE70">
        <f ca="1">IF(AND(ISNUMBER($CE$312),$B$252=1),$CE$312,HLOOKUP(INDIRECT(ADDRESS(2,COLUMN())),OFFSET($CL$2,0,0,ROW()-1,84),ROW()-1,FALSE))</f>
        <v>23.00419891</v>
      </c>
      <c r="CF70">
        <f ca="1">IF(AND(ISNUMBER($CF$312),$B$252=1),$CF$312,HLOOKUP(INDIRECT(ADDRESS(2,COLUMN())),OFFSET($CL$2,0,0,ROW()-1,84),ROW()-1,FALSE))</f>
        <v>20.963259099999998</v>
      </c>
      <c r="CG70">
        <f ca="1">IF(AND(ISNUMBER($CG$312),$B$252=1),$CG$312,HLOOKUP(INDIRECT(ADDRESS(2,COLUMN())),OFFSET($CL$2,0,0,ROW()-1,84),ROW()-1,FALSE))</f>
        <v>26.564685149999999</v>
      </c>
      <c r="CH70">
        <f ca="1">IF(AND(ISNUMBER($CH$312),$B$252=1),$CH$312,HLOOKUP(INDIRECT(ADDRESS(2,COLUMN())),OFFSET($CL$2,0,0,ROW()-1,84),ROW()-1,FALSE))</f>
        <v>26.664074129999999</v>
      </c>
      <c r="CI70">
        <f ca="1">IF(AND(ISNUMBER($CI$312),$B$252=1),$CI$312,HLOOKUP(INDIRECT(ADDRESS(2,COLUMN())),OFFSET($CL$2,0,0,ROW()-1,84),ROW()-1,FALSE))</f>
        <v>25.292506280000001</v>
      </c>
      <c r="CJ70">
        <f ca="1">IF(AND(ISNUMBER($CJ$312),$B$252=1),$CJ$312,HLOOKUP(INDIRECT(ADDRESS(2,COLUMN())),OFFSET($CL$2,0,0,ROW()-1,84),ROW()-1,FALSE))</f>
        <v>23.194515379999999</v>
      </c>
      <c r="CK70">
        <f ca="1">IF(AND(ISNUMBER($CK$312),$B$252=1),$CK$312,HLOOKUP(INDIRECT(ADDRESS(2,COLUMN())),OFFSET($CL$2,0,0,ROW()-1,84),ROW()-1,FALSE))</f>
        <v>22.642436839999998</v>
      </c>
      <c r="CL70">
        <f>18.35180758</f>
        <v>18.351807579999999</v>
      </c>
      <c r="CM70">
        <f>17.59892365</f>
        <v>17.59892365</v>
      </c>
      <c r="CN70">
        <f>19.1113139</f>
        <v>19.111313899999999</v>
      </c>
      <c r="CO70">
        <f>20.32564184</f>
        <v>20.325641839999999</v>
      </c>
      <c r="CP70">
        <f>20.29673972</f>
        <v>20.296739720000001</v>
      </c>
      <c r="CQ70">
        <f>20.28784544</f>
        <v>20.287845440000002</v>
      </c>
      <c r="CR70">
        <f>20.3345404</f>
        <v>20.334540400000002</v>
      </c>
      <c r="CS70">
        <f>19.78229711</f>
        <v>19.782297109999998</v>
      </c>
      <c r="CT70">
        <f>19.83093486</f>
        <v>19.830934859999999</v>
      </c>
      <c r="CU70">
        <f>18.90460691</f>
        <v>18.904606909999998</v>
      </c>
      <c r="CV70">
        <f>18.41729473</f>
        <v>18.417294729999998</v>
      </c>
      <c r="CW70">
        <f>18.20064669</f>
        <v>18.200646689999999</v>
      </c>
      <c r="CX70">
        <f>17.78724684</f>
        <v>17.787246840000002</v>
      </c>
      <c r="CY70">
        <f>18.26258319</f>
        <v>18.262583190000001</v>
      </c>
      <c r="CZ70">
        <f>18.02958154</f>
        <v>18.029581539999999</v>
      </c>
      <c r="DA70">
        <f>18.13745268</f>
        <v>18.137452679999999</v>
      </c>
      <c r="DB70">
        <f>16.80182311</f>
        <v>16.801823110000001</v>
      </c>
      <c r="DC70">
        <f>17.38458232</f>
        <v>17.38458232</v>
      </c>
      <c r="DD70">
        <f>17.87555161</f>
        <v>17.875551609999999</v>
      </c>
      <c r="DE70">
        <f>18.70740428</f>
        <v>18.707404279999999</v>
      </c>
      <c r="DF70">
        <f>19.09532129</f>
        <v>19.095321290000001</v>
      </c>
      <c r="DG70">
        <f>18.84594607</f>
        <v>18.84594607</v>
      </c>
      <c r="DH70">
        <f>18.29235935</f>
        <v>18.292359350000002</v>
      </c>
      <c r="DI70">
        <f>17.33062047</f>
        <v>17.33062047</v>
      </c>
      <c r="DJ70">
        <f>18.05192463</f>
        <v>18.051924629999998</v>
      </c>
      <c r="DK70">
        <f>16.47879386</f>
        <v>16.47879386</v>
      </c>
      <c r="DL70">
        <f>16.82274513</f>
        <v>16.822745130000001</v>
      </c>
      <c r="DM70">
        <f>16.92416666</f>
        <v>16.924166660000001</v>
      </c>
      <c r="DN70">
        <f>17.20289527</f>
        <v>17.202895269999999</v>
      </c>
      <c r="DO70">
        <f>16.6195554</f>
        <v>16.619555399999999</v>
      </c>
      <c r="DP70">
        <f>16.64433046</f>
        <v>16.644330459999999</v>
      </c>
      <c r="DQ70">
        <f>16.48229652</f>
        <v>16.482296519999998</v>
      </c>
      <c r="DR70">
        <f>18.22136987</f>
        <v>18.22136987</v>
      </c>
      <c r="DS70">
        <f>16.99715376</f>
        <v>16.99715376</v>
      </c>
      <c r="DT70">
        <f>17.45627856</f>
        <v>17.456278560000001</v>
      </c>
      <c r="DU70">
        <f>17.4795598</f>
        <v>17.479559800000001</v>
      </c>
      <c r="DV70">
        <f>18.18963782</f>
        <v>18.189637820000002</v>
      </c>
      <c r="DW70">
        <f>17.06228535</f>
        <v>17.06228535</v>
      </c>
      <c r="DX70">
        <f>18.06084746</f>
        <v>18.060847460000002</v>
      </c>
      <c r="DY70">
        <f>17.30840981</f>
        <v>17.308409810000001</v>
      </c>
      <c r="DZ70">
        <f>18.06924053</f>
        <v>18.069240529999998</v>
      </c>
      <c r="EA70">
        <f>18.06688409</f>
        <v>18.066884089999999</v>
      </c>
      <c r="EB70">
        <f>16.1487357</f>
        <v>16.1487357</v>
      </c>
      <c r="EC70">
        <f>17.7704849</f>
        <v>17.7704849</v>
      </c>
      <c r="ED70">
        <f>17.18161795</f>
        <v>17.18161795</v>
      </c>
      <c r="EE70">
        <f>16.89430787</f>
        <v>16.894307869999999</v>
      </c>
      <c r="EF70">
        <f>16.76284468</f>
        <v>16.762844680000001</v>
      </c>
      <c r="EG70">
        <f>16.34520547</f>
        <v>16.34520547</v>
      </c>
      <c r="EH70">
        <f>16.07075685</f>
        <v>16.070756849999999</v>
      </c>
      <c r="EI70">
        <f>16.25431666</f>
        <v>16.254316660000001</v>
      </c>
      <c r="EJ70">
        <f>15.06509529</f>
        <v>15.06509529</v>
      </c>
      <c r="EK70">
        <f>13.86125235</f>
        <v>13.861252350000001</v>
      </c>
      <c r="EL70">
        <f>14.51793169</f>
        <v>14.517931689999999</v>
      </c>
      <c r="EM70">
        <f>16.09204445</f>
        <v>16.09204445</v>
      </c>
      <c r="EN70">
        <f>15.40023693</f>
        <v>15.40023693</v>
      </c>
      <c r="EO70">
        <f>15.93369135</f>
        <v>15.93369135</v>
      </c>
      <c r="EP70">
        <f>18.19004027</f>
        <v>18.190040270000001</v>
      </c>
      <c r="EQ70">
        <f>17.82902444</f>
        <v>17.829024440000001</v>
      </c>
      <c r="ER70">
        <f>18.47596603</f>
        <v>18.475966029999999</v>
      </c>
      <c r="ES70">
        <f>19.30038098</f>
        <v>19.30038098</v>
      </c>
      <c r="ET70">
        <f>18.32388949</f>
        <v>18.323889489999999</v>
      </c>
      <c r="EU70">
        <f>19.1399918</f>
        <v>19.139991800000001</v>
      </c>
      <c r="EV70">
        <f>19.20919917</f>
        <v>19.209199170000002</v>
      </c>
      <c r="EW70">
        <f>18.88254036</f>
        <v>18.88254036</v>
      </c>
      <c r="EX70">
        <f>18.85130291</f>
        <v>18.851302910000001</v>
      </c>
      <c r="EY70">
        <f>18.83121781</f>
        <v>18.831217809999998</v>
      </c>
      <c r="EZ70">
        <f>18.50411758</f>
        <v>18.504117579999999</v>
      </c>
      <c r="FA70">
        <f>20.87325711</f>
        <v>20.873257110000001</v>
      </c>
      <c r="FB70">
        <f>21.43845549</f>
        <v>21.438455489999999</v>
      </c>
      <c r="FC70">
        <f>20.34413522</f>
        <v>20.344135219999998</v>
      </c>
      <c r="FD70">
        <f>22.95114261</f>
        <v>22.951142610000002</v>
      </c>
      <c r="FE70">
        <f>23.8535374</f>
        <v>23.8535374</v>
      </c>
      <c r="FF70">
        <f>23.1767413</f>
        <v>23.1767413</v>
      </c>
      <c r="FG70">
        <f>22.7074552</f>
        <v>22.707455199999998</v>
      </c>
      <c r="FH70">
        <f>23.62307839</f>
        <v>23.62307839</v>
      </c>
      <c r="FI70">
        <f>22.79535502</f>
        <v>22.795355019999999</v>
      </c>
      <c r="FJ70">
        <f>21.9002705</f>
        <v>21.900270500000001</v>
      </c>
      <c r="FK70">
        <f>23.00419891</f>
        <v>23.00419891</v>
      </c>
      <c r="FL70">
        <f>20.9632591</f>
        <v>20.963259099999998</v>
      </c>
      <c r="FM70">
        <f>26.56468515</f>
        <v>26.564685149999999</v>
      </c>
      <c r="FN70">
        <f>26.66407413</f>
        <v>26.664074129999999</v>
      </c>
      <c r="FO70">
        <f>25.29250628</f>
        <v>25.292506280000001</v>
      </c>
      <c r="FP70">
        <f>23.19451538</f>
        <v>23.194515379999999</v>
      </c>
      <c r="FQ70">
        <f>22.64243684</f>
        <v>22.642436839999998</v>
      </c>
    </row>
    <row r="71" spans="1:173">
      <c r="A71" t="str">
        <f>"    公寓物业权益信托"</f>
        <v xml:space="preserve">    公寓物业权益信托</v>
      </c>
      <c r="B71" t="str">
        <f>"EQR US Equity"</f>
        <v>EQR US Equity</v>
      </c>
      <c r="C71" t="str">
        <f t="shared" si="24"/>
        <v>F0893</v>
      </c>
      <c r="D71" t="str">
        <f t="shared" si="25"/>
        <v>PRICE_TO_AFFOPS</v>
      </c>
      <c r="E71" t="str">
        <f t="shared" si="26"/>
        <v>动态</v>
      </c>
      <c r="F71">
        <f ca="1">IF(AND(ISNUMBER($F$313),$B$252=1),$F$313,HLOOKUP(INDIRECT(ADDRESS(2,COLUMN())),OFFSET($CL$2,0,0,ROW()-1,84),ROW()-1,FALSE))</f>
        <v>18.949479570000001</v>
      </c>
      <c r="G71">
        <f ca="1">IF(AND(ISNUMBER($G$313),$B$252=1),$G$313,HLOOKUP(INDIRECT(ADDRESS(2,COLUMN())),OFFSET($CL$2,0,0,ROW()-1,84),ROW()-1,FALSE))</f>
        <v>17.947267230000001</v>
      </c>
      <c r="H71">
        <f ca="1">IF(AND(ISNUMBER($H$313),$B$252=1),$H$313,HLOOKUP(INDIRECT(ADDRESS(2,COLUMN())),OFFSET($CL$2,0,0,ROW()-1,84),ROW()-1,FALSE))</f>
        <v>19.664434180000001</v>
      </c>
      <c r="I71">
        <f ca="1">IF(AND(ISNUMBER($I$313),$B$252=1),$I$313,HLOOKUP(INDIRECT(ADDRESS(2,COLUMN())),OFFSET($CL$2,0,0,ROW()-1,84),ROW()-1,FALSE))</f>
        <v>20.353854370000001</v>
      </c>
      <c r="J71">
        <f ca="1">IF(AND(ISNUMBER($J$313),$B$252=1),$J$313,HLOOKUP(INDIRECT(ADDRESS(2,COLUMN())),OFFSET($CL$2,0,0,ROW()-1,84),ROW()-1,FALSE))</f>
        <v>21.564135619999998</v>
      </c>
      <c r="K71">
        <f ca="1">IF(AND(ISNUMBER($K$313),$B$252=1),$K$313,HLOOKUP(INDIRECT(ADDRESS(2,COLUMN())),OFFSET($CL$2,0,0,ROW()-1,84),ROW()-1,FALSE))</f>
        <v>21.706132329999999</v>
      </c>
      <c r="L71">
        <f ca="1">IF(AND(ISNUMBER($L$313),$B$252=1),$L$313,HLOOKUP(INDIRECT(ADDRESS(2,COLUMN())),OFFSET($CL$2,0,0,ROW()-1,84),ROW()-1,FALSE))</f>
        <v>21.276915020000001</v>
      </c>
      <c r="M71">
        <f ca="1">IF(AND(ISNUMBER($M$313),$B$252=1),$M$313,HLOOKUP(INDIRECT(ADDRESS(2,COLUMN())),OFFSET($CL$2,0,0,ROW()-1,84),ROW()-1,FALSE))</f>
        <v>21.80298938</v>
      </c>
      <c r="N71">
        <f ca="1">IF(AND(ISNUMBER($N$313),$B$252=1),$N$313,HLOOKUP(INDIRECT(ADDRESS(2,COLUMN())),OFFSET($CL$2,0,0,ROW()-1,84),ROW()-1,FALSE))</f>
        <v>22.098458040000001</v>
      </c>
      <c r="O71">
        <f ca="1">IF(AND(ISNUMBER($O$313),$B$252=1),$O$313,HLOOKUP(INDIRECT(ADDRESS(2,COLUMN())),OFFSET($CL$2,0,0,ROW()-1,84),ROW()-1,FALSE))</f>
        <v>21.374397479999999</v>
      </c>
      <c r="P71">
        <f ca="1">IF(AND(ISNUMBER($P$313),$B$252=1),$P$313,HLOOKUP(INDIRECT(ADDRESS(2,COLUMN())),OFFSET($CL$2,0,0,ROW()-1,84),ROW()-1,FALSE))</f>
        <v>21.189056839999999</v>
      </c>
      <c r="Q71">
        <f ca="1">IF(AND(ISNUMBER($Q$313),$B$252=1),$Q$313,HLOOKUP(INDIRECT(ADDRESS(2,COLUMN())),OFFSET($CL$2,0,0,ROW()-1,84),ROW()-1,FALSE))</f>
        <v>21.023034119999998</v>
      </c>
      <c r="R71">
        <f ca="1">IF(AND(ISNUMBER($R$313),$B$252=1),$R$313,HLOOKUP(INDIRECT(ADDRESS(2,COLUMN())),OFFSET($CL$2,0,0,ROW()-1,84),ROW()-1,FALSE))</f>
        <v>20.254772110000001</v>
      </c>
      <c r="S71">
        <f ca="1">IF(AND(ISNUMBER($S$313),$B$252=1),$S$313,HLOOKUP(INDIRECT(ADDRESS(2,COLUMN())),OFFSET($CL$2,0,0,ROW()-1,84),ROW()-1,FALSE))</f>
        <v>20.430776349999999</v>
      </c>
      <c r="T71">
        <f ca="1">IF(AND(ISNUMBER($T$313),$B$252=1),$T$313,HLOOKUP(INDIRECT(ADDRESS(2,COLUMN())),OFFSET($CL$2,0,0,ROW()-1,84),ROW()-1,FALSE))</f>
        <v>19.68571871</v>
      </c>
      <c r="U71">
        <f ca="1">IF(AND(ISNUMBER($U$313),$B$252=1),$U$313,HLOOKUP(INDIRECT(ADDRESS(2,COLUMN())),OFFSET($CL$2,0,0,ROW()-1,84),ROW()-1,FALSE))</f>
        <v>20.848656510000001</v>
      </c>
      <c r="V71">
        <f ca="1">IF(AND(ISNUMBER($V$313),$B$252=1),$V$313,HLOOKUP(INDIRECT(ADDRESS(2,COLUMN())),OFFSET($CL$2,0,0,ROW()-1,84),ROW()-1,FALSE))</f>
        <v>18.632979540000001</v>
      </c>
      <c r="W71">
        <f ca="1">IF(AND(ISNUMBER($W$313),$B$252=1),$W$313,HLOOKUP(INDIRECT(ADDRESS(2,COLUMN())),OFFSET($CL$2,0,0,ROW()-1,84),ROW()-1,FALSE))</f>
        <v>19.173245900000001</v>
      </c>
      <c r="X71">
        <f ca="1">IF(AND(ISNUMBER($X$313),$B$252=1),$X$313,HLOOKUP(INDIRECT(ADDRESS(2,COLUMN())),OFFSET($CL$2,0,0,ROW()-1,84),ROW()-1,FALSE))</f>
        <v>19.974330500000001</v>
      </c>
      <c r="Y71">
        <f ca="1">IF(AND(ISNUMBER($Y$313),$B$252=1),$Y$313,HLOOKUP(INDIRECT(ADDRESS(2,COLUMN())),OFFSET($CL$2,0,0,ROW()-1,84),ROW()-1,FALSE))</f>
        <v>19.43341109</v>
      </c>
      <c r="Z71">
        <f ca="1">IF(AND(ISNUMBER($Z$313),$B$252=1),$Z$313,HLOOKUP(INDIRECT(ADDRESS(2,COLUMN())),OFFSET($CL$2,0,0,ROW()-1,84),ROW()-1,FALSE))</f>
        <v>20.368084169999999</v>
      </c>
      <c r="AA71">
        <f ca="1">IF(AND(ISNUMBER($AA$313),$B$252=1),$AA$313,HLOOKUP(INDIRECT(ADDRESS(2,COLUMN())),OFFSET($CL$2,0,0,ROW()-1,84),ROW()-1,FALSE))</f>
        <v>20.634705660000002</v>
      </c>
      <c r="AB71">
        <f ca="1">IF(AND(ISNUMBER($AB$313),$B$252=1),$AB$313,HLOOKUP(INDIRECT(ADDRESS(2,COLUMN())),OFFSET($CL$2,0,0,ROW()-1,84),ROW()-1,FALSE))</f>
        <v>20.160572559999999</v>
      </c>
      <c r="AC71">
        <f ca="1">IF(AND(ISNUMBER($AC$313),$B$252=1),$AC$313,HLOOKUP(INDIRECT(ADDRESS(2,COLUMN())),OFFSET($CL$2,0,0,ROW()-1,84),ROW()-1,FALSE))</f>
        <v>19.82849551</v>
      </c>
      <c r="AD71">
        <f ca="1">IF(AND(ISNUMBER($AD$313),$B$252=1),$AD$313,HLOOKUP(INDIRECT(ADDRESS(2,COLUMN())),OFFSET($CL$2,0,0,ROW()-1,84),ROW()-1,FALSE))</f>
        <v>21.855913300000001</v>
      </c>
      <c r="AE71">
        <f ca="1">IF(AND(ISNUMBER($AE$313),$B$252=1),$AE$313,HLOOKUP(INDIRECT(ADDRESS(2,COLUMN())),OFFSET($CL$2,0,0,ROW()-1,84),ROW()-1,FALSE))</f>
        <v>21.517787420000001</v>
      </c>
      <c r="AF71">
        <f ca="1">IF(AND(ISNUMBER($AF$313),$B$252=1),$AF$313,HLOOKUP(INDIRECT(ADDRESS(2,COLUMN())),OFFSET($CL$2,0,0,ROW()-1,84),ROW()-1,FALSE))</f>
        <v>22.268844569999999</v>
      </c>
      <c r="AG71">
        <f ca="1">IF(AND(ISNUMBER($AG$313),$B$252=1),$AG$313,HLOOKUP(INDIRECT(ADDRESS(2,COLUMN())),OFFSET($CL$2,0,0,ROW()-1,84),ROW()-1,FALSE))</f>
        <v>23.56875118</v>
      </c>
      <c r="AH71">
        <f ca="1">IF(AND(ISNUMBER($AH$313),$B$252=1),$AH$313,HLOOKUP(INDIRECT(ADDRESS(2,COLUMN())),OFFSET($CL$2,0,0,ROW()-1,84),ROW()-1,FALSE))</f>
        <v>23.508847679999999</v>
      </c>
      <c r="AI71">
        <f ca="1">IF(AND(ISNUMBER($AI$313),$B$252=1),$AI$313,HLOOKUP(INDIRECT(ADDRESS(2,COLUMN())),OFFSET($CL$2,0,0,ROW()-1,84),ROW()-1,FALSE))</f>
        <v>22.77253949</v>
      </c>
      <c r="AJ71">
        <f ca="1">IF(AND(ISNUMBER($AJ$313),$B$252=1),$AJ$313,HLOOKUP(INDIRECT(ADDRESS(2,COLUMN())),OFFSET($CL$2,0,0,ROW()-1,84),ROW()-1,FALSE))</f>
        <v>22.124588289999998</v>
      </c>
      <c r="AK71">
        <f ca="1">IF(AND(ISNUMBER($AK$313),$B$252=1),$AK$313,HLOOKUP(INDIRECT(ADDRESS(2,COLUMN())),OFFSET($CL$2,0,0,ROW()-1,84),ROW()-1,FALSE))</f>
        <v>21.468932580000001</v>
      </c>
      <c r="AL71">
        <f ca="1">IF(AND(ISNUMBER($AL$313),$B$252=1),$AL$313,HLOOKUP(INDIRECT(ADDRESS(2,COLUMN())),OFFSET($CL$2,0,0,ROW()-1,84),ROW()-1,FALSE))</f>
        <v>22.54162591</v>
      </c>
      <c r="AM71">
        <f ca="1">IF(AND(ISNUMBER($AM$313),$B$252=1),$AM$313,HLOOKUP(INDIRECT(ADDRESS(2,COLUMN())),OFFSET($CL$2,0,0,ROW()-1,84),ROW()-1,FALSE))</f>
        <v>21.14350876</v>
      </c>
      <c r="AN71">
        <f ca="1">IF(AND(ISNUMBER($AN$313),$B$252=1),$AN$313,HLOOKUP(INDIRECT(ADDRESS(2,COLUMN())),OFFSET($CL$2,0,0,ROW()-1,84),ROW()-1,FALSE))</f>
        <v>22.87827798</v>
      </c>
      <c r="AO71">
        <f ca="1">IF(AND(ISNUMBER($AO$313),$B$252=1),$AO$313,HLOOKUP(INDIRECT(ADDRESS(2,COLUMN())),OFFSET($CL$2,0,0,ROW()-1,84),ROW()-1,FALSE))</f>
        <v>22.736674000000001</v>
      </c>
      <c r="AP71">
        <f ca="1">IF(AND(ISNUMBER($AP$313),$B$252=1),$AP$313,HLOOKUP(INDIRECT(ADDRESS(2,COLUMN())),OFFSET($CL$2,0,0,ROW()-1,84),ROW()-1,FALSE))</f>
        <v>23.968012959999999</v>
      </c>
      <c r="AQ71">
        <f ca="1">IF(AND(ISNUMBER($AQ$313),$B$252=1),$AQ$313,HLOOKUP(INDIRECT(ADDRESS(2,COLUMN())),OFFSET($CL$2,0,0,ROW()-1,84),ROW()-1,FALSE))</f>
        <v>24.313998179999999</v>
      </c>
      <c r="AR71">
        <f ca="1">IF(AND(ISNUMBER($AR$313),$B$252=1),$AR$313,HLOOKUP(INDIRECT(ADDRESS(2,COLUMN())),OFFSET($CL$2,0,0,ROW()-1,84),ROW()-1,FALSE))</f>
        <v>24.497071259999998</v>
      </c>
      <c r="AS71">
        <f ca="1">IF(AND(ISNUMBER($AS$313),$B$252=1),$AS$313,HLOOKUP(INDIRECT(ADDRESS(2,COLUMN())),OFFSET($CL$2,0,0,ROW()-1,84),ROW()-1,FALSE))</f>
        <v>22.675809810000001</v>
      </c>
      <c r="AT71">
        <f ca="1">IF(AND(ISNUMBER($AT$313),$B$252=1),$AT$313,HLOOKUP(INDIRECT(ADDRESS(2,COLUMN())),OFFSET($CL$2,0,0,ROW()-1,84),ROW()-1,FALSE))</f>
        <v>23.020914810000001</v>
      </c>
      <c r="AU71">
        <f ca="1">IF(AND(ISNUMBER($AU$313),$B$252=1),$AU$313,HLOOKUP(INDIRECT(ADDRESS(2,COLUMN())),OFFSET($CL$2,0,0,ROW()-1,84),ROW()-1,FALSE))</f>
        <v>22.604952489999999</v>
      </c>
      <c r="AV71">
        <f ca="1">IF(AND(ISNUMBER($AV$313),$B$252=1),$AV$313,HLOOKUP(INDIRECT(ADDRESS(2,COLUMN())),OFFSET($CL$2,0,0,ROW()-1,84),ROW()-1,FALSE))</f>
        <v>20.011687380000001</v>
      </c>
      <c r="AW71">
        <f ca="1">IF(AND(ISNUMBER($AW$313),$B$252=1),$AW$313,HLOOKUP(INDIRECT(ADDRESS(2,COLUMN())),OFFSET($CL$2,0,0,ROW()-1,84),ROW()-1,FALSE))</f>
        <v>22.231166259999998</v>
      </c>
      <c r="AX71">
        <f ca="1">IF(AND(ISNUMBER($AX$313),$B$252=1),$AX$313,HLOOKUP(INDIRECT(ADDRESS(2,COLUMN())),OFFSET($CL$2,0,0,ROW()-1,84),ROW()-1,FALSE))</f>
        <v>21.622459729999999</v>
      </c>
      <c r="AY71">
        <f ca="1">IF(AND(ISNUMBER($AY$313),$B$252=1),$AY$313,HLOOKUP(INDIRECT(ADDRESS(2,COLUMN())),OFFSET($CL$2,0,0,ROW()-1,84),ROW()-1,FALSE))</f>
        <v>21.07061041</v>
      </c>
      <c r="AZ71">
        <f ca="1">IF(AND(ISNUMBER($AZ$313),$B$252=1),$AZ$313,HLOOKUP(INDIRECT(ADDRESS(2,COLUMN())),OFFSET($CL$2,0,0,ROW()-1,84),ROW()-1,FALSE))</f>
        <v>21.190920739999999</v>
      </c>
      <c r="BA71">
        <f ca="1">IF(AND(ISNUMBER($BA$313),$B$252=1),$BA$313,HLOOKUP(INDIRECT(ADDRESS(2,COLUMN())),OFFSET($CL$2,0,0,ROW()-1,84),ROW()-1,FALSE))</f>
        <v>20.38168817</v>
      </c>
      <c r="BB71">
        <f ca="1">IF(AND(ISNUMBER($BB$313),$B$252=1),$BB$313,HLOOKUP(INDIRECT(ADDRESS(2,COLUMN())),OFFSET($CL$2,0,0,ROW()-1,84),ROW()-1,FALSE))</f>
        <v>19.884490190000001</v>
      </c>
      <c r="BC71">
        <f ca="1">IF(AND(ISNUMBER($BC$313),$B$252=1),$BC$313,HLOOKUP(INDIRECT(ADDRESS(2,COLUMN())),OFFSET($CL$2,0,0,ROW()-1,84),ROW()-1,FALSE))</f>
        <v>20.51541649</v>
      </c>
      <c r="BD71">
        <f ca="1">IF(AND(ISNUMBER($BD$313),$B$252=1),$BD$313,HLOOKUP(INDIRECT(ADDRESS(2,COLUMN())),OFFSET($CL$2,0,0,ROW()-1,84),ROW()-1,FALSE))</f>
        <v>19.43122567</v>
      </c>
      <c r="BE71">
        <f ca="1">IF(AND(ISNUMBER($BE$313),$B$252=1),$BE$313,HLOOKUP(INDIRECT(ADDRESS(2,COLUMN())),OFFSET($CL$2,0,0,ROW()-1,84),ROW()-1,FALSE))</f>
        <v>18.199669119999999</v>
      </c>
      <c r="BF71">
        <f ca="1">IF(AND(ISNUMBER($BF$313),$B$252=1),$BF$313,HLOOKUP(INDIRECT(ADDRESS(2,COLUMN())),OFFSET($CL$2,0,0,ROW()-1,84),ROW()-1,FALSE))</f>
        <v>18.23170206</v>
      </c>
      <c r="BG71">
        <f ca="1">IF(AND(ISNUMBER($BG$313),$B$252=1),$BG$313,HLOOKUP(INDIRECT(ADDRESS(2,COLUMN())),OFFSET($CL$2,0,0,ROW()-1,84),ROW()-1,FALSE))</f>
        <v>18.52176794</v>
      </c>
      <c r="BH71">
        <f ca="1">IF(AND(ISNUMBER($BH$313),$B$252=1),$BH$313,HLOOKUP(INDIRECT(ADDRESS(2,COLUMN())),OFFSET($CL$2,0,0,ROW()-1,84),ROW()-1,FALSE))</f>
        <v>18.949791990000001</v>
      </c>
      <c r="BI71">
        <f ca="1">IF(AND(ISNUMBER($BI$313),$B$252=1),$BI$313,HLOOKUP(INDIRECT(ADDRESS(2,COLUMN())),OFFSET($CL$2,0,0,ROW()-1,84),ROW()-1,FALSE))</f>
        <v>18.364703309999999</v>
      </c>
      <c r="BJ71">
        <f ca="1">IF(AND(ISNUMBER($BJ$313),$B$252=1),$BJ$313,HLOOKUP(INDIRECT(ADDRESS(2,COLUMN())),OFFSET($CL$2,0,0,ROW()-1,84),ROW()-1,FALSE))</f>
        <v>19.819298239999998</v>
      </c>
      <c r="BK71">
        <f ca="1">IF(AND(ISNUMBER($BK$313),$B$252=1),$BK$313,HLOOKUP(INDIRECT(ADDRESS(2,COLUMN())),OFFSET($CL$2,0,0,ROW()-1,84),ROW()-1,FALSE))</f>
        <v>20.548365279999999</v>
      </c>
      <c r="BL71">
        <f ca="1">IF(AND(ISNUMBER($BL$313),$B$252=1),$BL$313,HLOOKUP(INDIRECT(ADDRESS(2,COLUMN())),OFFSET($CL$2,0,0,ROW()-1,84),ROW()-1,FALSE))</f>
        <v>20.258636989999999</v>
      </c>
      <c r="BM71">
        <f ca="1">IF(AND(ISNUMBER($BM$313),$B$252=1),$BM$313,HLOOKUP(INDIRECT(ADDRESS(2,COLUMN())),OFFSET($CL$2,0,0,ROW()-1,84),ROW()-1,FALSE))</f>
        <v>20.799583800000001</v>
      </c>
      <c r="BN71">
        <f ca="1">IF(AND(ISNUMBER($BN$313),$B$252=1),$BN$313,HLOOKUP(INDIRECT(ADDRESS(2,COLUMN())),OFFSET($CL$2,0,0,ROW()-1,84),ROW()-1,FALSE))</f>
        <v>19.724855040000001</v>
      </c>
      <c r="BO71">
        <f ca="1">IF(AND(ISNUMBER($BO$313),$B$252=1),$BO$313,HLOOKUP(INDIRECT(ADDRESS(2,COLUMN())),OFFSET($CL$2,0,0,ROW()-1,84),ROW()-1,FALSE))</f>
        <v>19.938432580000001</v>
      </c>
      <c r="BP71">
        <f ca="1">IF(AND(ISNUMBER($BP$313),$B$252=1),$BP$313,HLOOKUP(INDIRECT(ADDRESS(2,COLUMN())),OFFSET($CL$2,0,0,ROW()-1,84),ROW()-1,FALSE))</f>
        <v>20.065221309999998</v>
      </c>
      <c r="BQ71">
        <f ca="1">IF(AND(ISNUMBER($BQ$313),$B$252=1),$BQ$313,HLOOKUP(INDIRECT(ADDRESS(2,COLUMN())),OFFSET($CL$2,0,0,ROW()-1,84),ROW()-1,FALSE))</f>
        <v>20.528905779999999</v>
      </c>
      <c r="BR71">
        <f ca="1">IF(AND(ISNUMBER($BR$313),$B$252=1),$BR$313,HLOOKUP(INDIRECT(ADDRESS(2,COLUMN())),OFFSET($CL$2,0,0,ROW()-1,84),ROW()-1,FALSE))</f>
        <v>20.796238939999999</v>
      </c>
      <c r="BS71">
        <f ca="1">IF(AND(ISNUMBER($BS$313),$B$252=1),$BS$313,HLOOKUP(INDIRECT(ADDRESS(2,COLUMN())),OFFSET($CL$2,0,0,ROW()-1,84),ROW()-1,FALSE))</f>
        <v>21.508054000000001</v>
      </c>
      <c r="BT71">
        <f ca="1">IF(AND(ISNUMBER($BT$313),$B$252=1),$BT$313,HLOOKUP(INDIRECT(ADDRESS(2,COLUMN())),OFFSET($CL$2,0,0,ROW()-1,84),ROW()-1,FALSE))</f>
        <v>21.553010740000001</v>
      </c>
      <c r="BU71">
        <f ca="1">IF(AND(ISNUMBER($BU$313),$B$252=1),$BU$313,HLOOKUP(INDIRECT(ADDRESS(2,COLUMN())),OFFSET($CL$2,0,0,ROW()-1,84),ROW()-1,FALSE))</f>
        <v>23.620662599999999</v>
      </c>
      <c r="BV71">
        <f ca="1">IF(AND(ISNUMBER($BV$313),$B$252=1),$BV$313,HLOOKUP(INDIRECT(ADDRESS(2,COLUMN())),OFFSET($CL$2,0,0,ROW()-1,84),ROW()-1,FALSE))</f>
        <v>24.758677970000001</v>
      </c>
      <c r="BW71">
        <f ca="1">IF(AND(ISNUMBER($BW$313),$B$252=1),$BW$313,HLOOKUP(INDIRECT(ADDRESS(2,COLUMN())),OFFSET($CL$2,0,0,ROW()-1,84),ROW()-1,FALSE))</f>
        <v>24.387160919999999</v>
      </c>
      <c r="BX71">
        <f ca="1">IF(AND(ISNUMBER($BX$313),$B$252=1),$BX$313,HLOOKUP(INDIRECT(ADDRESS(2,COLUMN())),OFFSET($CL$2,0,0,ROW()-1,84),ROW()-1,FALSE))</f>
        <v>24.654083799999999</v>
      </c>
      <c r="BY71">
        <f ca="1">IF(AND(ISNUMBER($BY$313),$B$252=1),$BY$313,HLOOKUP(INDIRECT(ADDRESS(2,COLUMN())),OFFSET($CL$2,0,0,ROW()-1,84),ROW()-1,FALSE))</f>
        <v>24.791275110000001</v>
      </c>
      <c r="BZ71">
        <f ca="1">IF(AND(ISNUMBER($BZ$313),$B$252=1),$BZ$313,HLOOKUP(INDIRECT(ADDRESS(2,COLUMN())),OFFSET($CL$2,0,0,ROW()-1,84),ROW()-1,FALSE))</f>
        <v>25.267409619999999</v>
      </c>
      <c r="CA71">
        <f ca="1">IF(AND(ISNUMBER($CA$313),$B$252=1),$CA$313,HLOOKUP(INDIRECT(ADDRESS(2,COLUMN())),OFFSET($CL$2,0,0,ROW()-1,84),ROW()-1,FALSE))</f>
        <v>23.3729312</v>
      </c>
      <c r="CB71">
        <f ca="1">IF(AND(ISNUMBER($CB$313),$B$252=1),$CB$313,HLOOKUP(INDIRECT(ADDRESS(2,COLUMN())),OFFSET($CL$2,0,0,ROW()-1,84),ROW()-1,FALSE))</f>
        <v>24.465776980000001</v>
      </c>
      <c r="CC71">
        <f ca="1">IF(AND(ISNUMBER($CC$313),$B$252=1),$CC$313,HLOOKUP(INDIRECT(ADDRESS(2,COLUMN())),OFFSET($CL$2,0,0,ROW()-1,84),ROW()-1,FALSE))</f>
        <v>23.43044939</v>
      </c>
      <c r="CD71">
        <f ca="1">IF(AND(ISNUMBER($CD$313),$B$252=1),$CD$313,HLOOKUP(INDIRECT(ADDRESS(2,COLUMN())),OFFSET($CL$2,0,0,ROW()-1,84),ROW()-1,FALSE))</f>
        <v>23.122056610000001</v>
      </c>
      <c r="CE71">
        <f ca="1">IF(AND(ISNUMBER($CE$313),$B$252=1),$CE$313,HLOOKUP(INDIRECT(ADDRESS(2,COLUMN())),OFFSET($CL$2,0,0,ROW()-1,84),ROW()-1,FALSE))</f>
        <v>24.584205140000002</v>
      </c>
      <c r="CF71">
        <f ca="1">IF(AND(ISNUMBER($CF$313),$B$252=1),$CF$313,HLOOKUP(INDIRECT(ADDRESS(2,COLUMN())),OFFSET($CL$2,0,0,ROW()-1,84),ROW()-1,FALSE))</f>
        <v>21.73113021</v>
      </c>
      <c r="CG71">
        <f ca="1">IF(AND(ISNUMBER($CG$313),$B$252=1),$CG$313,HLOOKUP(INDIRECT(ADDRESS(2,COLUMN())),OFFSET($CL$2,0,0,ROW()-1,84),ROW()-1,FALSE))</f>
        <v>26.10047011</v>
      </c>
      <c r="CH71">
        <f ca="1">IF(AND(ISNUMBER($CH$313),$B$252=1),$CH$313,HLOOKUP(INDIRECT(ADDRESS(2,COLUMN())),OFFSET($CL$2,0,0,ROW()-1,84),ROW()-1,FALSE))</f>
        <v>26.373505430000002</v>
      </c>
      <c r="CI71">
        <f ca="1">IF(AND(ISNUMBER($CI$313),$B$252=1),$CI$313,HLOOKUP(INDIRECT(ADDRESS(2,COLUMN())),OFFSET($CL$2,0,0,ROW()-1,84),ROW()-1,FALSE))</f>
        <v>25.597061239999999</v>
      </c>
      <c r="CJ71">
        <f ca="1">IF(AND(ISNUMBER($CJ$313),$B$252=1),$CJ$313,HLOOKUP(INDIRECT(ADDRESS(2,COLUMN())),OFFSET($CL$2,0,0,ROW()-1,84),ROW()-1,FALSE))</f>
        <v>26.539031439999999</v>
      </c>
      <c r="CK71">
        <f ca="1">IF(AND(ISNUMBER($CK$313),$B$252=1),$CK$313,HLOOKUP(INDIRECT(ADDRESS(2,COLUMN())),OFFSET($CL$2,0,0,ROW()-1,84),ROW()-1,FALSE))</f>
        <v>25.64194951</v>
      </c>
      <c r="CL71">
        <f>18.94947957</f>
        <v>18.949479570000001</v>
      </c>
      <c r="CM71">
        <f>17.94726723</f>
        <v>17.947267230000001</v>
      </c>
      <c r="CN71">
        <f>19.66443418</f>
        <v>19.664434180000001</v>
      </c>
      <c r="CO71">
        <f>20.35385437</f>
        <v>20.353854370000001</v>
      </c>
      <c r="CP71">
        <f>21.56413562</f>
        <v>21.564135619999998</v>
      </c>
      <c r="CQ71">
        <f>21.70613233</f>
        <v>21.706132329999999</v>
      </c>
      <c r="CR71">
        <f>21.27691502</f>
        <v>21.276915020000001</v>
      </c>
      <c r="CS71">
        <f>21.80298938</f>
        <v>21.80298938</v>
      </c>
      <c r="CT71">
        <f>22.09845804</f>
        <v>22.098458040000001</v>
      </c>
      <c r="CU71">
        <f>21.37439748</f>
        <v>21.374397479999999</v>
      </c>
      <c r="CV71">
        <f>21.18905684</f>
        <v>21.189056839999999</v>
      </c>
      <c r="CW71">
        <f>21.02303412</f>
        <v>21.023034119999998</v>
      </c>
      <c r="CX71">
        <f>20.25477211</f>
        <v>20.254772110000001</v>
      </c>
      <c r="CY71">
        <f>20.43077635</f>
        <v>20.430776349999999</v>
      </c>
      <c r="CZ71">
        <f>19.68571871</f>
        <v>19.68571871</v>
      </c>
      <c r="DA71">
        <f>20.84865651</f>
        <v>20.848656510000001</v>
      </c>
      <c r="DB71">
        <f>18.63297954</f>
        <v>18.632979540000001</v>
      </c>
      <c r="DC71">
        <f>19.1732459</f>
        <v>19.173245900000001</v>
      </c>
      <c r="DD71">
        <f>19.9743305</f>
        <v>19.974330500000001</v>
      </c>
      <c r="DE71">
        <f>19.43341109</f>
        <v>19.43341109</v>
      </c>
      <c r="DF71">
        <f>20.36808417</f>
        <v>20.368084169999999</v>
      </c>
      <c r="DG71">
        <f>20.63470566</f>
        <v>20.634705660000002</v>
      </c>
      <c r="DH71">
        <f>20.16057256</f>
        <v>20.160572559999999</v>
      </c>
      <c r="DI71">
        <f>19.82849551</f>
        <v>19.82849551</v>
      </c>
      <c r="DJ71">
        <f>21.8559133</f>
        <v>21.855913300000001</v>
      </c>
      <c r="DK71">
        <f>21.51778742</f>
        <v>21.517787420000001</v>
      </c>
      <c r="DL71">
        <f>22.26884457</f>
        <v>22.268844569999999</v>
      </c>
      <c r="DM71">
        <f>23.56875118</f>
        <v>23.56875118</v>
      </c>
      <c r="DN71">
        <f>23.50884768</f>
        <v>23.508847679999999</v>
      </c>
      <c r="DO71">
        <f>22.77253949</f>
        <v>22.77253949</v>
      </c>
      <c r="DP71">
        <f>22.12458829</f>
        <v>22.124588289999998</v>
      </c>
      <c r="DQ71">
        <f>21.46893258</f>
        <v>21.468932580000001</v>
      </c>
      <c r="DR71">
        <f>22.54162591</f>
        <v>22.54162591</v>
      </c>
      <c r="DS71">
        <f>21.14350876</f>
        <v>21.14350876</v>
      </c>
      <c r="DT71">
        <f>22.87827798</f>
        <v>22.87827798</v>
      </c>
      <c r="DU71">
        <f>22.736674</f>
        <v>22.736674000000001</v>
      </c>
      <c r="DV71">
        <f>23.96801296</f>
        <v>23.968012959999999</v>
      </c>
      <c r="DW71">
        <f>24.31399818</f>
        <v>24.313998179999999</v>
      </c>
      <c r="DX71">
        <f>24.49707126</f>
        <v>24.497071259999998</v>
      </c>
      <c r="DY71">
        <f>22.67580981</f>
        <v>22.675809810000001</v>
      </c>
      <c r="DZ71">
        <f>23.02091481</f>
        <v>23.020914810000001</v>
      </c>
      <c r="EA71">
        <f>22.60495249</f>
        <v>22.604952489999999</v>
      </c>
      <c r="EB71">
        <f>20.01168738</f>
        <v>20.011687380000001</v>
      </c>
      <c r="EC71">
        <f>22.23116626</f>
        <v>22.231166259999998</v>
      </c>
      <c r="ED71">
        <f>21.62245973</f>
        <v>21.622459729999999</v>
      </c>
      <c r="EE71">
        <f>21.07061041</f>
        <v>21.07061041</v>
      </c>
      <c r="EF71">
        <f>21.19092074</f>
        <v>21.190920739999999</v>
      </c>
      <c r="EG71">
        <f>20.38168817</f>
        <v>20.38168817</v>
      </c>
      <c r="EH71">
        <f>19.88449019</f>
        <v>19.884490190000001</v>
      </c>
      <c r="EI71">
        <f>20.51541649</f>
        <v>20.51541649</v>
      </c>
      <c r="EJ71">
        <f>19.43122567</f>
        <v>19.43122567</v>
      </c>
      <c r="EK71">
        <f>18.19966912</f>
        <v>18.199669119999999</v>
      </c>
      <c r="EL71">
        <f>18.23170206</f>
        <v>18.23170206</v>
      </c>
      <c r="EM71">
        <f>18.52176794</f>
        <v>18.52176794</v>
      </c>
      <c r="EN71">
        <f>18.94979199</f>
        <v>18.949791990000001</v>
      </c>
      <c r="EO71">
        <f>18.36470331</f>
        <v>18.364703309999999</v>
      </c>
      <c r="EP71">
        <f>19.81929824</f>
        <v>19.819298239999998</v>
      </c>
      <c r="EQ71">
        <f>20.54836528</f>
        <v>20.548365279999999</v>
      </c>
      <c r="ER71">
        <f>20.25863699</f>
        <v>20.258636989999999</v>
      </c>
      <c r="ES71">
        <f>20.7995838</f>
        <v>20.799583800000001</v>
      </c>
      <c r="ET71">
        <f>19.72485504</f>
        <v>19.724855040000001</v>
      </c>
      <c r="EU71">
        <f>19.93843258</f>
        <v>19.938432580000001</v>
      </c>
      <c r="EV71">
        <f>20.06522131</f>
        <v>20.065221309999998</v>
      </c>
      <c r="EW71">
        <f>20.52890578</f>
        <v>20.528905779999999</v>
      </c>
      <c r="EX71">
        <f>20.79623894</f>
        <v>20.796238939999999</v>
      </c>
      <c r="EY71">
        <f>21.508054</f>
        <v>21.508054000000001</v>
      </c>
      <c r="EZ71">
        <f>21.55301074</f>
        <v>21.553010740000001</v>
      </c>
      <c r="FA71">
        <f>23.6206626</f>
        <v>23.620662599999999</v>
      </c>
      <c r="FB71">
        <f>24.75867797</f>
        <v>24.758677970000001</v>
      </c>
      <c r="FC71">
        <f>24.38716092</f>
        <v>24.387160919999999</v>
      </c>
      <c r="FD71">
        <f>24.6540838</f>
        <v>24.654083799999999</v>
      </c>
      <c r="FE71">
        <f>24.79127511</f>
        <v>24.791275110000001</v>
      </c>
      <c r="FF71">
        <f>25.26740962</f>
        <v>25.267409619999999</v>
      </c>
      <c r="FG71">
        <f>23.3729312</f>
        <v>23.3729312</v>
      </c>
      <c r="FH71">
        <f>24.46577698</f>
        <v>24.465776980000001</v>
      </c>
      <c r="FI71">
        <f>23.43044939</f>
        <v>23.43044939</v>
      </c>
      <c r="FJ71">
        <f>23.12205661</f>
        <v>23.122056610000001</v>
      </c>
      <c r="FK71">
        <f>24.58420514</f>
        <v>24.584205140000002</v>
      </c>
      <c r="FL71">
        <f>21.73113021</f>
        <v>21.73113021</v>
      </c>
      <c r="FM71">
        <f>26.10047011</f>
        <v>26.10047011</v>
      </c>
      <c r="FN71">
        <f>26.37350543</f>
        <v>26.373505430000002</v>
      </c>
      <c r="FO71">
        <f>25.59706124</f>
        <v>25.597061239999999</v>
      </c>
      <c r="FP71">
        <f>26.53903144</f>
        <v>26.539031439999999</v>
      </c>
      <c r="FQ71">
        <f>25.64194951</f>
        <v>25.64194951</v>
      </c>
    </row>
    <row r="72" spans="1:173">
      <c r="A72" t="str">
        <f>"    埃塞克斯房地产信托公司"</f>
        <v xml:space="preserve">    埃塞克斯房地产信托公司</v>
      </c>
      <c r="B72" t="str">
        <f>"ESS US Equity"</f>
        <v>ESS US Equity</v>
      </c>
      <c r="C72" t="str">
        <f t="shared" si="24"/>
        <v>F0893</v>
      </c>
      <c r="D72" t="str">
        <f t="shared" si="25"/>
        <v>PRICE_TO_AFFOPS</v>
      </c>
      <c r="E72" t="str">
        <f t="shared" si="26"/>
        <v>动态</v>
      </c>
      <c r="F72">
        <f ca="1">IF(AND(ISNUMBER($F$314),$B$252=1),$F$314,HLOOKUP(INDIRECT(ADDRESS(2,COLUMN())),OFFSET($CL$2,0,0,ROW()-1,84),ROW()-1,FALSE))</f>
        <v>19.993895680000001</v>
      </c>
      <c r="G72">
        <f ca="1">IF(AND(ISNUMBER($G$314),$B$252=1),$G$314,HLOOKUP(INDIRECT(ADDRESS(2,COLUMN())),OFFSET($CL$2,0,0,ROW()-1,84),ROW()-1,FALSE))</f>
        <v>18.799553079999999</v>
      </c>
      <c r="H72">
        <f ca="1">IF(AND(ISNUMBER($H$314),$B$252=1),$H$314,HLOOKUP(INDIRECT(ADDRESS(2,COLUMN())),OFFSET($CL$2,0,0,ROW()-1,84),ROW()-1,FALSE))</f>
        <v>19.568064499999998</v>
      </c>
      <c r="I72">
        <f ca="1">IF(AND(ISNUMBER($I$314),$B$252=1),$I$314,HLOOKUP(INDIRECT(ADDRESS(2,COLUMN())),OFFSET($CL$2,0,0,ROW()-1,84),ROW()-1,FALSE))</f>
        <v>20.27274328</v>
      </c>
      <c r="J72">
        <f ca="1">IF(AND(ISNUMBER($J$314),$B$252=1),$J$314,HLOOKUP(INDIRECT(ADDRESS(2,COLUMN())),OFFSET($CL$2,0,0,ROW()-1,84),ROW()-1,FALSE))</f>
        <v>21.101843729999999</v>
      </c>
      <c r="K72">
        <f ca="1">IF(AND(ISNUMBER($K$314),$B$252=1),$K$314,HLOOKUP(INDIRECT(ADDRESS(2,COLUMN())),OFFSET($CL$2,0,0,ROW()-1,84),ROW()-1,FALSE))</f>
        <v>22.420975949999999</v>
      </c>
      <c r="L72">
        <f ca="1">IF(AND(ISNUMBER($L$314),$B$252=1),$L$314,HLOOKUP(INDIRECT(ADDRESS(2,COLUMN())),OFFSET($CL$2,0,0,ROW()-1,84),ROW()-1,FALSE))</f>
        <v>21.703313340000001</v>
      </c>
      <c r="M72">
        <f ca="1">IF(AND(ISNUMBER($M$314),$B$252=1),$M$314,HLOOKUP(INDIRECT(ADDRESS(2,COLUMN())),OFFSET($CL$2,0,0,ROW()-1,84),ROW()-1,FALSE))</f>
        <v>23.076703550000001</v>
      </c>
      <c r="N72">
        <f ca="1">IF(AND(ISNUMBER($N$314),$B$252=1),$N$314,HLOOKUP(INDIRECT(ADDRESS(2,COLUMN())),OFFSET($CL$2,0,0,ROW()-1,84),ROW()-1,FALSE))</f>
        <v>22.706219950000001</v>
      </c>
      <c r="O72">
        <f ca="1">IF(AND(ISNUMBER($O$314),$B$252=1),$O$314,HLOOKUP(INDIRECT(ADDRESS(2,COLUMN())),OFFSET($CL$2,0,0,ROW()-1,84),ROW()-1,FALSE))</f>
        <v>22.32185406</v>
      </c>
      <c r="P72">
        <f ca="1">IF(AND(ISNUMBER($P$314),$B$252=1),$P$314,HLOOKUP(INDIRECT(ADDRESS(2,COLUMN())),OFFSET($CL$2,0,0,ROW()-1,84),ROW()-1,FALSE))</f>
        <v>22.745938120000002</v>
      </c>
      <c r="Q72">
        <f ca="1">IF(AND(ISNUMBER($Q$314),$B$252=1),$Q$314,HLOOKUP(INDIRECT(ADDRESS(2,COLUMN())),OFFSET($CL$2,0,0,ROW()-1,84),ROW()-1,FALSE))</f>
        <v>21.643700339999999</v>
      </c>
      <c r="R72">
        <f ca="1">IF(AND(ISNUMBER($R$314),$B$252=1),$R$314,HLOOKUP(INDIRECT(ADDRESS(2,COLUMN())),OFFSET($CL$2,0,0,ROW()-1,84),ROW()-1,FALSE))</f>
        <v>20.498081320000001</v>
      </c>
      <c r="S72">
        <f ca="1">IF(AND(ISNUMBER($S$314),$B$252=1),$S$314,HLOOKUP(INDIRECT(ADDRESS(2,COLUMN())),OFFSET($CL$2,0,0,ROW()-1,84),ROW()-1,FALSE))</f>
        <v>21.269133849999999</v>
      </c>
      <c r="T72">
        <f ca="1">IF(AND(ISNUMBER($T$314),$B$252=1),$T$314,HLOOKUP(INDIRECT(ADDRESS(2,COLUMN())),OFFSET($CL$2,0,0,ROW()-1,84),ROW()-1,FALSE))</f>
        <v>20.326658389999999</v>
      </c>
      <c r="U72">
        <f ca="1">IF(AND(ISNUMBER($U$314),$B$252=1),$U$314,HLOOKUP(INDIRECT(ADDRESS(2,COLUMN())),OFFSET($CL$2,0,0,ROW()-1,84),ROW()-1,FALSE))</f>
        <v>21.069764039999999</v>
      </c>
      <c r="V72">
        <f ca="1">IF(AND(ISNUMBER($V$314),$B$252=1),$V$314,HLOOKUP(INDIRECT(ADDRESS(2,COLUMN())),OFFSET($CL$2,0,0,ROW()-1,84),ROW()-1,FALSE))</f>
        <v>19.890474730000001</v>
      </c>
      <c r="W72">
        <f ca="1">IF(AND(ISNUMBER($W$314),$B$252=1),$W$314,HLOOKUP(INDIRECT(ADDRESS(2,COLUMN())),OFFSET($CL$2,0,0,ROW()-1,84),ROW()-1,FALSE))</f>
        <v>19.72189577</v>
      </c>
      <c r="X72">
        <f ca="1">IF(AND(ISNUMBER($X$314),$B$252=1),$X$314,HLOOKUP(INDIRECT(ADDRESS(2,COLUMN())),OFFSET($CL$2,0,0,ROW()-1,84),ROW()-1,FALSE))</f>
        <v>20.515045950000001</v>
      </c>
      <c r="Y72">
        <f ca="1">IF(AND(ISNUMBER($Y$314),$B$252=1),$Y$314,HLOOKUP(INDIRECT(ADDRESS(2,COLUMN())),OFFSET($CL$2,0,0,ROW()-1,84),ROW()-1,FALSE))</f>
        <v>21.538358049999999</v>
      </c>
      <c r="Z72">
        <f ca="1">IF(AND(ISNUMBER($Z$314),$B$252=1),$Z$314,HLOOKUP(INDIRECT(ADDRESS(2,COLUMN())),OFFSET($CL$2,0,0,ROW()-1,84),ROW()-1,FALSE))</f>
        <v>22.181379039999999</v>
      </c>
      <c r="AA72">
        <f ca="1">IF(AND(ISNUMBER($AA$314),$B$252=1),$AA$314,HLOOKUP(INDIRECT(ADDRESS(2,COLUMN())),OFFSET($CL$2,0,0,ROW()-1,84),ROW()-1,FALSE))</f>
        <v>21.632250490000001</v>
      </c>
      <c r="AB72">
        <f ca="1">IF(AND(ISNUMBER($AB$314),$B$252=1),$AB$314,HLOOKUP(INDIRECT(ADDRESS(2,COLUMN())),OFFSET($CL$2,0,0,ROW()-1,84),ROW()-1,FALSE))</f>
        <v>22.272267249999999</v>
      </c>
      <c r="AC72">
        <f ca="1">IF(AND(ISNUMBER($AC$314),$B$252=1),$AC$314,HLOOKUP(INDIRECT(ADDRESS(2,COLUMN())),OFFSET($CL$2,0,0,ROW()-1,84),ROW()-1,FALSE))</f>
        <v>21.607716029999999</v>
      </c>
      <c r="AD72">
        <f ca="1">IF(AND(ISNUMBER($AD$314),$B$252=1),$AD$314,HLOOKUP(INDIRECT(ADDRESS(2,COLUMN())),OFFSET($CL$2,0,0,ROW()-1,84),ROW()-1,FALSE))</f>
        <v>22.922115999999999</v>
      </c>
      <c r="AE72">
        <f ca="1">IF(AND(ISNUMBER($AE$314),$B$252=1),$AE$314,HLOOKUP(INDIRECT(ADDRESS(2,COLUMN())),OFFSET($CL$2,0,0,ROW()-1,84),ROW()-1,FALSE))</f>
        <v>21.322519509999999</v>
      </c>
      <c r="AF72">
        <f ca="1">IF(AND(ISNUMBER($AF$314),$B$252=1),$AF$314,HLOOKUP(INDIRECT(ADDRESS(2,COLUMN())),OFFSET($CL$2,0,0,ROW()-1,84),ROW()-1,FALSE))</f>
        <v>21.712739540000001</v>
      </c>
      <c r="AG72">
        <f ca="1">IF(AND(ISNUMBER($AG$314),$B$252=1),$AG$314,HLOOKUP(INDIRECT(ADDRESS(2,COLUMN())),OFFSET($CL$2,0,0,ROW()-1,84),ROW()-1,FALSE))</f>
        <v>24.392318400000001</v>
      </c>
      <c r="AH72">
        <f ca="1">IF(AND(ISNUMBER($AH$314),$B$252=1),$AH$314,HLOOKUP(INDIRECT(ADDRESS(2,COLUMN())),OFFSET($CL$2,0,0,ROW()-1,84),ROW()-1,FALSE))</f>
        <v>24.488227510000002</v>
      </c>
      <c r="AI72">
        <f ca="1">IF(AND(ISNUMBER($AI$314),$B$252=1),$AI$314,HLOOKUP(INDIRECT(ADDRESS(2,COLUMN())),OFFSET($CL$2,0,0,ROW()-1,84),ROW()-1,FALSE))</f>
        <v>23.390029349999999</v>
      </c>
      <c r="AJ72">
        <f ca="1">IF(AND(ISNUMBER($AJ$314),$B$252=1),$AJ$314,HLOOKUP(INDIRECT(ADDRESS(2,COLUMN())),OFFSET($CL$2,0,0,ROW()-1,84),ROW()-1,FALSE))</f>
        <v>23.706225530000001</v>
      </c>
      <c r="AK72">
        <f ca="1">IF(AND(ISNUMBER($AK$314),$B$252=1),$AK$314,HLOOKUP(INDIRECT(ADDRESS(2,COLUMN())),OFFSET($CL$2,0,0,ROW()-1,84),ROW()-1,FALSE))</f>
        <v>23.60127524</v>
      </c>
      <c r="AL72">
        <f ca="1">IF(AND(ISNUMBER($AL$314),$B$252=1),$AL$314,HLOOKUP(INDIRECT(ADDRESS(2,COLUMN())),OFFSET($CL$2,0,0,ROW()-1,84),ROW()-1,FALSE))</f>
        <v>24.73284323</v>
      </c>
      <c r="AM72">
        <f ca="1">IF(AND(ISNUMBER($AM$314),$B$252=1),$AM$314,HLOOKUP(INDIRECT(ADDRESS(2,COLUMN())),OFFSET($CL$2,0,0,ROW()-1,84),ROW()-1,FALSE))</f>
        <v>23.36814364</v>
      </c>
      <c r="AN72">
        <f ca="1">IF(AND(ISNUMBER($AN$314),$B$252=1),$AN$314,HLOOKUP(INDIRECT(ADDRESS(2,COLUMN())),OFFSET($CL$2,0,0,ROW()-1,84),ROW()-1,FALSE))</f>
        <v>25.362605479999999</v>
      </c>
      <c r="AO72">
        <f ca="1">IF(AND(ISNUMBER($AO$314),$B$252=1),$AO$314,HLOOKUP(INDIRECT(ADDRESS(2,COLUMN())),OFFSET($CL$2,0,0,ROW()-1,84),ROW()-1,FALSE))</f>
        <v>25.286273860000001</v>
      </c>
      <c r="AP72">
        <f ca="1">IF(AND(ISNUMBER($AP$314),$B$252=1),$AP$314,HLOOKUP(INDIRECT(ADDRESS(2,COLUMN())),OFFSET($CL$2,0,0,ROW()-1,84),ROW()-1,FALSE))</f>
        <v>26.191999819999999</v>
      </c>
      <c r="AQ72">
        <f ca="1">IF(AND(ISNUMBER($AQ$314),$B$252=1),$AQ$314,HLOOKUP(INDIRECT(ADDRESS(2,COLUMN())),OFFSET($CL$2,0,0,ROW()-1,84),ROW()-1,FALSE))</f>
        <v>26.157935349999999</v>
      </c>
      <c r="AR72">
        <f ca="1">IF(AND(ISNUMBER($AR$314),$B$252=1),$AR$314,HLOOKUP(INDIRECT(ADDRESS(2,COLUMN())),OFFSET($CL$2,0,0,ROW()-1,84),ROW()-1,FALSE))</f>
        <v>26.583650070000001</v>
      </c>
      <c r="AS72">
        <f ca="1">IF(AND(ISNUMBER($AS$314),$B$252=1),$AS$314,HLOOKUP(INDIRECT(ADDRESS(2,COLUMN())),OFFSET($CL$2,0,0,ROW()-1,84),ROW()-1,FALSE))</f>
        <v>24.296315440000001</v>
      </c>
      <c r="AT72">
        <f ca="1">IF(AND(ISNUMBER($AT$314),$B$252=1),$AT$314,HLOOKUP(INDIRECT(ADDRESS(2,COLUMN())),OFFSET($CL$2,0,0,ROW()-1,84),ROW()-1,FALSE))</f>
        <v>24.662582100000002</v>
      </c>
      <c r="AU72">
        <f ca="1">IF(AND(ISNUMBER($AU$314),$B$252=1),$AU$314,HLOOKUP(INDIRECT(ADDRESS(2,COLUMN())),OFFSET($CL$2,0,0,ROW()-1,84),ROW()-1,FALSE))</f>
        <v>24.583383059999999</v>
      </c>
      <c r="AV72">
        <f ca="1">IF(AND(ISNUMBER($AV$314),$B$252=1),$AV$314,HLOOKUP(INDIRECT(ADDRESS(2,COLUMN())),OFFSET($CL$2,0,0,ROW()-1,84),ROW()-1,FALSE))</f>
        <v>21.779736920000001</v>
      </c>
      <c r="AW72">
        <f ca="1">IF(AND(ISNUMBER($AW$314),$B$252=1),$AW$314,HLOOKUP(INDIRECT(ADDRESS(2,COLUMN())),OFFSET($CL$2,0,0,ROW()-1,84),ROW()-1,FALSE))</f>
        <v>24.31993997</v>
      </c>
      <c r="AX72">
        <f ca="1">IF(AND(ISNUMBER($AX$314),$B$252=1),$AX$314,HLOOKUP(INDIRECT(ADDRESS(2,COLUMN())),OFFSET($CL$2,0,0,ROW()-1,84),ROW()-1,FALSE))</f>
        <v>23.832158280000002</v>
      </c>
      <c r="AY72">
        <f ca="1">IF(AND(ISNUMBER($AY$314),$B$252=1),$AY$314,HLOOKUP(INDIRECT(ADDRESS(2,COLUMN())),OFFSET($CL$2,0,0,ROW()-1,84),ROW()-1,FALSE))</f>
        <v>23.246317390000002</v>
      </c>
      <c r="AZ72">
        <f ca="1">IF(AND(ISNUMBER($AZ$314),$B$252=1),$AZ$314,HLOOKUP(INDIRECT(ADDRESS(2,COLUMN())),OFFSET($CL$2,0,0,ROW()-1,84),ROW()-1,FALSE))</f>
        <v>23.363564490000002</v>
      </c>
      <c r="BA72">
        <f ca="1">IF(AND(ISNUMBER($BA$314),$B$252=1),$BA$314,HLOOKUP(INDIRECT(ADDRESS(2,COLUMN())),OFFSET($CL$2,0,0,ROW()-1,84),ROW()-1,FALSE))</f>
        <v>22.369425199999998</v>
      </c>
      <c r="BB72">
        <f ca="1">IF(AND(ISNUMBER($BB$314),$B$252=1),$BB$314,HLOOKUP(INDIRECT(ADDRESS(2,COLUMN())),OFFSET($CL$2,0,0,ROW()-1,84),ROW()-1,FALSE))</f>
        <v>21.954985310000001</v>
      </c>
      <c r="BC72">
        <f ca="1">IF(AND(ISNUMBER($BC$314),$B$252=1),$BC$314,HLOOKUP(INDIRECT(ADDRESS(2,COLUMN())),OFFSET($CL$2,0,0,ROW()-1,84),ROW()-1,FALSE))</f>
        <v>22.015839540000002</v>
      </c>
      <c r="BD72">
        <f ca="1">IF(AND(ISNUMBER($BD$314),$B$252=1),$BD$314,HLOOKUP(INDIRECT(ADDRESS(2,COLUMN())),OFFSET($CL$2,0,0,ROW()-1,84),ROW()-1,FALSE))</f>
        <v>20.846926809999999</v>
      </c>
      <c r="BE72">
        <f ca="1">IF(AND(ISNUMBER($BE$314),$B$252=1),$BE$314,HLOOKUP(INDIRECT(ADDRESS(2,COLUMN())),OFFSET($CL$2,0,0,ROW()-1,84),ROW()-1,FALSE))</f>
        <v>18.89084085</v>
      </c>
      <c r="BF72">
        <f ca="1">IF(AND(ISNUMBER($BF$314),$B$252=1),$BF$314,HLOOKUP(INDIRECT(ADDRESS(2,COLUMN())),OFFSET($CL$2,0,0,ROW()-1,84),ROW()-1,FALSE))</f>
        <v>20.345805609999999</v>
      </c>
      <c r="BG72">
        <f ca="1">IF(AND(ISNUMBER($BG$314),$B$252=1),$BG$314,HLOOKUP(INDIRECT(ADDRESS(2,COLUMN())),OFFSET($CL$2,0,0,ROW()-1,84),ROW()-1,FALSE))</f>
        <v>21.577463300000002</v>
      </c>
      <c r="BH72">
        <f ca="1">IF(AND(ISNUMBER($BH$314),$B$252=1),$BH$314,HLOOKUP(INDIRECT(ADDRESS(2,COLUMN())),OFFSET($CL$2,0,0,ROW()-1,84),ROW()-1,FALSE))</f>
        <v>19.794977200000002</v>
      </c>
      <c r="BI72">
        <f ca="1">IF(AND(ISNUMBER($BI$314),$B$252=1),$BI$314,HLOOKUP(INDIRECT(ADDRESS(2,COLUMN())),OFFSET($CL$2,0,0,ROW()-1,84),ROW()-1,FALSE))</f>
        <v>19.741983789999999</v>
      </c>
      <c r="BJ72">
        <f ca="1">IF(AND(ISNUMBER($BJ$314),$B$252=1),$BJ$314,HLOOKUP(INDIRECT(ADDRESS(2,COLUMN())),OFFSET($CL$2,0,0,ROW()-1,84),ROW()-1,FALSE))</f>
        <v>22.218858180000002</v>
      </c>
      <c r="BK72">
        <f ca="1">IF(AND(ISNUMBER($BK$314),$B$252=1),$BK$314,HLOOKUP(INDIRECT(ADDRESS(2,COLUMN())),OFFSET($CL$2,0,0,ROW()-1,84),ROW()-1,FALSE))</f>
        <v>21.892373620000001</v>
      </c>
      <c r="BL72">
        <f ca="1">IF(AND(ISNUMBER($BL$314),$B$252=1),$BL$314,HLOOKUP(INDIRECT(ADDRESS(2,COLUMN())),OFFSET($CL$2,0,0,ROW()-1,84),ROW()-1,FALSE))</f>
        <v>22.125340550000001</v>
      </c>
      <c r="BM72">
        <f ca="1">IF(AND(ISNUMBER($BM$314),$B$252=1),$BM$314,HLOOKUP(INDIRECT(ADDRESS(2,COLUMN())),OFFSET($CL$2,0,0,ROW()-1,84),ROW()-1,FALSE))</f>
        <v>22.112668530000001</v>
      </c>
      <c r="BN72">
        <f ca="1">IF(AND(ISNUMBER($BN$314),$B$252=1),$BN$314,HLOOKUP(INDIRECT(ADDRESS(2,COLUMN())),OFFSET($CL$2,0,0,ROW()-1,84),ROW()-1,FALSE))</f>
        <v>21.201691360000002</v>
      </c>
      <c r="BO72">
        <f ca="1">IF(AND(ISNUMBER($BO$314),$B$252=1),$BO$314,HLOOKUP(INDIRECT(ADDRESS(2,COLUMN())),OFFSET($CL$2,0,0,ROW()-1,84),ROW()-1,FALSE))</f>
        <v>21.6929345</v>
      </c>
      <c r="BP72">
        <f ca="1">IF(AND(ISNUMBER($BP$314),$B$252=1),$BP$314,HLOOKUP(INDIRECT(ADDRESS(2,COLUMN())),OFFSET($CL$2,0,0,ROW()-1,84),ROW()-1,FALSE))</f>
        <v>22.390358190000001</v>
      </c>
      <c r="BQ72">
        <f ca="1">IF(AND(ISNUMBER($BQ$314),$B$252=1),$BQ$314,HLOOKUP(INDIRECT(ADDRESS(2,COLUMN())),OFFSET($CL$2,0,0,ROW()-1,84),ROW()-1,FALSE))</f>
        <v>21.352230649999999</v>
      </c>
      <c r="BR72">
        <f ca="1">IF(AND(ISNUMBER($BR$314),$B$252=1),$BR$314,HLOOKUP(INDIRECT(ADDRESS(2,COLUMN())),OFFSET($CL$2,0,0,ROW()-1,84),ROW()-1,FALSE))</f>
        <v>21.396578980000001</v>
      </c>
      <c r="BS72">
        <f ca="1">IF(AND(ISNUMBER($BS$314),$B$252=1),$BS$314,HLOOKUP(INDIRECT(ADDRESS(2,COLUMN())),OFFSET($CL$2,0,0,ROW()-1,84),ROW()-1,FALSE))</f>
        <v>22.844948729999999</v>
      </c>
      <c r="BT72">
        <f ca="1">IF(AND(ISNUMBER($BT$314),$B$252=1),$BT$314,HLOOKUP(INDIRECT(ADDRESS(2,COLUMN())),OFFSET($CL$2,0,0,ROW()-1,84),ROW()-1,FALSE))</f>
        <v>22.576901329999998</v>
      </c>
      <c r="BU72">
        <f ca="1">IF(AND(ISNUMBER($BU$314),$B$252=1),$BU$314,HLOOKUP(INDIRECT(ADDRESS(2,COLUMN())),OFFSET($CL$2,0,0,ROW()-1,84),ROW()-1,FALSE))</f>
        <v>24.22376521</v>
      </c>
      <c r="BV72">
        <f ca="1">IF(AND(ISNUMBER($BV$314),$B$252=1),$BV$314,HLOOKUP(INDIRECT(ADDRESS(2,COLUMN())),OFFSET($CL$2,0,0,ROW()-1,84),ROW()-1,FALSE))</f>
        <v>25.081271839999999</v>
      </c>
      <c r="BW72">
        <f ca="1">IF(AND(ISNUMBER($BW$314),$B$252=1),$BW$314,HLOOKUP(INDIRECT(ADDRESS(2,COLUMN())),OFFSET($CL$2,0,0,ROW()-1,84),ROW()-1,FALSE))</f>
        <v>24.532977639999999</v>
      </c>
      <c r="BX72">
        <f ca="1">IF(AND(ISNUMBER($BX$314),$B$252=1),$BX$314,HLOOKUP(INDIRECT(ADDRESS(2,COLUMN())),OFFSET($CL$2,0,0,ROW()-1,84),ROW()-1,FALSE))</f>
        <v>25.283607759999999</v>
      </c>
      <c r="BY72">
        <f ca="1">IF(AND(ISNUMBER($BY$314),$B$252=1),$BY$314,HLOOKUP(INDIRECT(ADDRESS(2,COLUMN())),OFFSET($CL$2,0,0,ROW()-1,84),ROW()-1,FALSE))</f>
        <v>26.5456036</v>
      </c>
      <c r="BZ72">
        <f ca="1">IF(AND(ISNUMBER($BZ$314),$B$252=1),$BZ$314,HLOOKUP(INDIRECT(ADDRESS(2,COLUMN())),OFFSET($CL$2,0,0,ROW()-1,84),ROW()-1,FALSE))</f>
        <v>25.460051920000002</v>
      </c>
      <c r="CA72">
        <f ca="1">IF(AND(ISNUMBER($CA$314),$B$252=1),$CA$314,HLOOKUP(INDIRECT(ADDRESS(2,COLUMN())),OFFSET($CL$2,0,0,ROW()-1,84),ROW()-1,FALSE))</f>
        <v>24.873534710000001</v>
      </c>
      <c r="CB72">
        <f ca="1">IF(AND(ISNUMBER($CB$314),$B$252=1),$CB$314,HLOOKUP(INDIRECT(ADDRESS(2,COLUMN())),OFFSET($CL$2,0,0,ROW()-1,84),ROW()-1,FALSE))</f>
        <v>25.58603471</v>
      </c>
      <c r="CC72">
        <f ca="1">IF(AND(ISNUMBER($CC$314),$B$252=1),$CC$314,HLOOKUP(INDIRECT(ADDRESS(2,COLUMN())),OFFSET($CL$2,0,0,ROW()-1,84),ROW()-1,FALSE))</f>
        <v>24.965928730000002</v>
      </c>
      <c r="CD72">
        <f ca="1">IF(AND(ISNUMBER($CD$314),$B$252=1),$CD$314,HLOOKUP(INDIRECT(ADDRESS(2,COLUMN())),OFFSET($CL$2,0,0,ROW()-1,84),ROW()-1,FALSE))</f>
        <v>24.616844759999999</v>
      </c>
      <c r="CE72">
        <f ca="1">IF(AND(ISNUMBER($CE$314),$B$252=1),$CE$314,HLOOKUP(INDIRECT(ADDRESS(2,COLUMN())),OFFSET($CL$2,0,0,ROW()-1,84),ROW()-1,FALSE))</f>
        <v>26.453148349999999</v>
      </c>
      <c r="CF72">
        <f ca="1">IF(AND(ISNUMBER($CF$314),$B$252=1),$CF$314,HLOOKUP(INDIRECT(ADDRESS(2,COLUMN())),OFFSET($CL$2,0,0,ROW()-1,84),ROW()-1,FALSE))</f>
        <v>22.243176850000001</v>
      </c>
      <c r="CG72">
        <f ca="1">IF(AND(ISNUMBER($CG$314),$B$252=1),$CG$314,HLOOKUP(INDIRECT(ADDRESS(2,COLUMN())),OFFSET($CL$2,0,0,ROW()-1,84),ROW()-1,FALSE))</f>
        <v>27.398995299999999</v>
      </c>
      <c r="CH72">
        <f ca="1">IF(AND(ISNUMBER($CH$314),$B$252=1),$CH$314,HLOOKUP(INDIRECT(ADDRESS(2,COLUMN())),OFFSET($CL$2,0,0,ROW()-1,84),ROW()-1,FALSE))</f>
        <v>26.790128729999999</v>
      </c>
      <c r="CI72">
        <f ca="1">IF(AND(ISNUMBER($CI$314),$B$252=1),$CI$314,HLOOKUP(INDIRECT(ADDRESS(2,COLUMN())),OFFSET($CL$2,0,0,ROW()-1,84),ROW()-1,FALSE))</f>
        <v>25.822431720000001</v>
      </c>
      <c r="CJ72">
        <f ca="1">IF(AND(ISNUMBER($CJ$314),$B$252=1),$CJ$314,HLOOKUP(INDIRECT(ADDRESS(2,COLUMN())),OFFSET($CL$2,0,0,ROW()-1,84),ROW()-1,FALSE))</f>
        <v>27.193714979999999</v>
      </c>
      <c r="CK72">
        <f ca="1">IF(AND(ISNUMBER($CK$314),$B$252=1),$CK$314,HLOOKUP(INDIRECT(ADDRESS(2,COLUMN())),OFFSET($CL$2,0,0,ROW()-1,84),ROW()-1,FALSE))</f>
        <v>26.772796339999999</v>
      </c>
      <c r="CL72">
        <f>19.99389568</f>
        <v>19.993895680000001</v>
      </c>
      <c r="CM72">
        <f>18.79955308</f>
        <v>18.799553079999999</v>
      </c>
      <c r="CN72">
        <f>19.5680645</f>
        <v>19.568064499999998</v>
      </c>
      <c r="CO72">
        <f>20.27274328</f>
        <v>20.27274328</v>
      </c>
      <c r="CP72">
        <f>21.10184373</f>
        <v>21.101843729999999</v>
      </c>
      <c r="CQ72">
        <f>22.42097595</f>
        <v>22.420975949999999</v>
      </c>
      <c r="CR72">
        <f>21.70331334</f>
        <v>21.703313340000001</v>
      </c>
      <c r="CS72">
        <f>23.07670355</f>
        <v>23.076703550000001</v>
      </c>
      <c r="CT72">
        <f>22.70621995</f>
        <v>22.706219950000001</v>
      </c>
      <c r="CU72">
        <f>22.32185406</f>
        <v>22.32185406</v>
      </c>
      <c r="CV72">
        <f>22.74593812</f>
        <v>22.745938120000002</v>
      </c>
      <c r="CW72">
        <f>21.64370034</f>
        <v>21.643700339999999</v>
      </c>
      <c r="CX72">
        <f>20.49808132</f>
        <v>20.498081320000001</v>
      </c>
      <c r="CY72">
        <f>21.26913385</f>
        <v>21.269133849999999</v>
      </c>
      <c r="CZ72">
        <f>20.32665839</f>
        <v>20.326658389999999</v>
      </c>
      <c r="DA72">
        <f>21.06976404</f>
        <v>21.069764039999999</v>
      </c>
      <c r="DB72">
        <f>19.89047473</f>
        <v>19.890474730000001</v>
      </c>
      <c r="DC72">
        <f>19.72189577</f>
        <v>19.72189577</v>
      </c>
      <c r="DD72">
        <f>20.51504595</f>
        <v>20.515045950000001</v>
      </c>
      <c r="DE72">
        <f>21.53835805</f>
        <v>21.538358049999999</v>
      </c>
      <c r="DF72">
        <f>22.18137904</f>
        <v>22.181379039999999</v>
      </c>
      <c r="DG72">
        <f>21.63225049</f>
        <v>21.632250490000001</v>
      </c>
      <c r="DH72">
        <f>22.27226725</f>
        <v>22.272267249999999</v>
      </c>
      <c r="DI72">
        <f>21.60771603</f>
        <v>21.607716029999999</v>
      </c>
      <c r="DJ72">
        <f>22.922116</f>
        <v>22.922115999999999</v>
      </c>
      <c r="DK72">
        <f>21.32251951</f>
        <v>21.322519509999999</v>
      </c>
      <c r="DL72">
        <f>21.71273954</f>
        <v>21.712739540000001</v>
      </c>
      <c r="DM72">
        <f>24.3923184</f>
        <v>24.392318400000001</v>
      </c>
      <c r="DN72">
        <f>24.48822751</f>
        <v>24.488227510000002</v>
      </c>
      <c r="DO72">
        <f>23.39002935</f>
        <v>23.390029349999999</v>
      </c>
      <c r="DP72">
        <f>23.70622553</f>
        <v>23.706225530000001</v>
      </c>
      <c r="DQ72">
        <f>23.60127524</f>
        <v>23.60127524</v>
      </c>
      <c r="DR72">
        <f>24.73284323</f>
        <v>24.73284323</v>
      </c>
      <c r="DS72">
        <f>23.36814364</f>
        <v>23.36814364</v>
      </c>
      <c r="DT72">
        <f>25.36260548</f>
        <v>25.362605479999999</v>
      </c>
      <c r="DU72">
        <f>25.28627386</f>
        <v>25.286273860000001</v>
      </c>
      <c r="DV72">
        <f>26.19199982</f>
        <v>26.191999819999999</v>
      </c>
      <c r="DW72">
        <f>26.15793535</f>
        <v>26.157935349999999</v>
      </c>
      <c r="DX72">
        <f>26.58365007</f>
        <v>26.583650070000001</v>
      </c>
      <c r="DY72">
        <f>24.29631544</f>
        <v>24.296315440000001</v>
      </c>
      <c r="DZ72">
        <f>24.6625821</f>
        <v>24.662582100000002</v>
      </c>
      <c r="EA72">
        <f>24.58338306</f>
        <v>24.583383059999999</v>
      </c>
      <c r="EB72">
        <f>21.77973692</f>
        <v>21.779736920000001</v>
      </c>
      <c r="EC72">
        <f>24.31993997</f>
        <v>24.31993997</v>
      </c>
      <c r="ED72">
        <f>23.83215828</f>
        <v>23.832158280000002</v>
      </c>
      <c r="EE72">
        <f>23.24631739</f>
        <v>23.246317390000002</v>
      </c>
      <c r="EF72">
        <f>23.36356449</f>
        <v>23.363564490000002</v>
      </c>
      <c r="EG72">
        <f>22.3694252</f>
        <v>22.369425199999998</v>
      </c>
      <c r="EH72">
        <f>21.95498531</f>
        <v>21.954985310000001</v>
      </c>
      <c r="EI72">
        <f>22.01583954</f>
        <v>22.015839540000002</v>
      </c>
      <c r="EJ72">
        <f>20.84692681</f>
        <v>20.846926809999999</v>
      </c>
      <c r="EK72">
        <f>18.89084085</f>
        <v>18.89084085</v>
      </c>
      <c r="EL72">
        <f>20.34580561</f>
        <v>20.345805609999999</v>
      </c>
      <c r="EM72">
        <f>21.5774633</f>
        <v>21.577463300000002</v>
      </c>
      <c r="EN72">
        <f>19.7949772</f>
        <v>19.794977200000002</v>
      </c>
      <c r="EO72">
        <f>19.74198379</f>
        <v>19.741983789999999</v>
      </c>
      <c r="EP72">
        <f>22.21885818</f>
        <v>22.218858180000002</v>
      </c>
      <c r="EQ72">
        <f>21.89237362</f>
        <v>21.892373620000001</v>
      </c>
      <c r="ER72">
        <f>22.12534055</f>
        <v>22.125340550000001</v>
      </c>
      <c r="ES72">
        <f>22.11266853</f>
        <v>22.112668530000001</v>
      </c>
      <c r="ET72">
        <f>21.20169136</f>
        <v>21.201691360000002</v>
      </c>
      <c r="EU72">
        <f>21.6929345</f>
        <v>21.6929345</v>
      </c>
      <c r="EV72">
        <f>22.39035819</f>
        <v>22.390358190000001</v>
      </c>
      <c r="EW72">
        <f>21.35223065</f>
        <v>21.352230649999999</v>
      </c>
      <c r="EX72">
        <f>21.39657898</f>
        <v>21.396578980000001</v>
      </c>
      <c r="EY72">
        <f>22.84494873</f>
        <v>22.844948729999999</v>
      </c>
      <c r="EZ72">
        <f>22.57690133</f>
        <v>22.576901329999998</v>
      </c>
      <c r="FA72">
        <f>24.22376521</f>
        <v>24.22376521</v>
      </c>
      <c r="FB72">
        <f>25.08127184</f>
        <v>25.081271839999999</v>
      </c>
      <c r="FC72">
        <f>24.53297764</f>
        <v>24.532977639999999</v>
      </c>
      <c r="FD72">
        <f>25.28360776</f>
        <v>25.283607759999999</v>
      </c>
      <c r="FE72">
        <f>26.5456036</f>
        <v>26.5456036</v>
      </c>
      <c r="FF72">
        <f>25.46005192</f>
        <v>25.460051920000002</v>
      </c>
      <c r="FG72">
        <f>24.87353471</f>
        <v>24.873534710000001</v>
      </c>
      <c r="FH72">
        <f>25.58603471</f>
        <v>25.58603471</v>
      </c>
      <c r="FI72">
        <f>24.96592873</f>
        <v>24.965928730000002</v>
      </c>
      <c r="FJ72">
        <f>24.61684476</f>
        <v>24.616844759999999</v>
      </c>
      <c r="FK72">
        <f>26.45314835</f>
        <v>26.453148349999999</v>
      </c>
      <c r="FL72">
        <f>22.24317685</f>
        <v>22.243176850000001</v>
      </c>
      <c r="FM72">
        <f>27.3989953</f>
        <v>27.398995299999999</v>
      </c>
      <c r="FN72">
        <f>26.79012873</f>
        <v>26.790128729999999</v>
      </c>
      <c r="FO72">
        <f>25.82243172</f>
        <v>25.822431720000001</v>
      </c>
      <c r="FP72">
        <f>27.19371498</f>
        <v>27.193714979999999</v>
      </c>
      <c r="FQ72">
        <f>26.77279634</f>
        <v>26.772796339999999</v>
      </c>
    </row>
    <row r="73" spans="1:173">
      <c r="A73" t="str">
        <f>"    Mid-America Apartment Communities股份有限公司"</f>
        <v xml:space="preserve">    Mid-America Apartment Communities股份有限公司</v>
      </c>
      <c r="B73" t="str">
        <f>"MAA US Equity"</f>
        <v>MAA US Equity</v>
      </c>
      <c r="C73" t="str">
        <f t="shared" si="24"/>
        <v>F0893</v>
      </c>
      <c r="D73" t="str">
        <f t="shared" si="25"/>
        <v>PRICE_TO_AFFOPS</v>
      </c>
      <c r="E73" t="str">
        <f t="shared" si="26"/>
        <v>动态</v>
      </c>
      <c r="F73">
        <f ca="1">IF(AND(ISNUMBER($F$315),$B$252=1),$F$315,HLOOKUP(INDIRECT(ADDRESS(2,COLUMN())),OFFSET($CL$2,0,0,ROW()-1,84),ROW()-1,FALSE))</f>
        <v>15.103155709999999</v>
      </c>
      <c r="G73">
        <f ca="1">IF(AND(ISNUMBER($G$315),$B$252=1),$G$315,HLOOKUP(INDIRECT(ADDRESS(2,COLUMN())),OFFSET($CL$2,0,0,ROW()-1,84),ROW()-1,FALSE))</f>
        <v>14.5080907</v>
      </c>
      <c r="H73">
        <f ca="1">IF(AND(ISNUMBER($H$315),$B$252=1),$H$315,HLOOKUP(INDIRECT(ADDRESS(2,COLUMN())),OFFSET($CL$2,0,0,ROW()-1,84),ROW()-1,FALSE))</f>
        <v>16.122542639999999</v>
      </c>
      <c r="I73">
        <f ca="1">IF(AND(ISNUMBER($I$315),$B$252=1),$I$315,HLOOKUP(INDIRECT(ADDRESS(2,COLUMN())),OFFSET($CL$2,0,0,ROW()-1,84),ROW()-1,FALSE))</f>
        <v>16.999925430000001</v>
      </c>
      <c r="J73">
        <f ca="1">IF(AND(ISNUMBER($J$315),$B$252=1),$J$315,HLOOKUP(INDIRECT(ADDRESS(2,COLUMN())),OFFSET($CL$2,0,0,ROW()-1,84),ROW()-1,FALSE))</f>
        <v>18.428188899999999</v>
      </c>
      <c r="K73">
        <f ca="1">IF(AND(ISNUMBER($K$315),$B$252=1),$K$315,HLOOKUP(INDIRECT(ADDRESS(2,COLUMN())),OFFSET($CL$2,0,0,ROW()-1,84),ROW()-1,FALSE))</f>
        <v>18.411998570000002</v>
      </c>
      <c r="L73">
        <f ca="1">IF(AND(ISNUMBER($L$315),$B$252=1),$L$315,HLOOKUP(INDIRECT(ADDRESS(2,COLUMN())),OFFSET($CL$2,0,0,ROW()-1,84),ROW()-1,FALSE))</f>
        <v>19.226911650000002</v>
      </c>
      <c r="M73">
        <f ca="1">IF(AND(ISNUMBER($M$315),$B$252=1),$M$315,HLOOKUP(INDIRECT(ADDRESS(2,COLUMN())),OFFSET($CL$2,0,0,ROW()-1,84),ROW()-1,FALSE))</f>
        <v>19.177653159999998</v>
      </c>
      <c r="N73">
        <f ca="1">IF(AND(ISNUMBER($N$315),$B$252=1),$N$315,HLOOKUP(INDIRECT(ADDRESS(2,COLUMN())),OFFSET($CL$2,0,0,ROW()-1,84),ROW()-1,FALSE))</f>
        <v>18.64984437</v>
      </c>
      <c r="O73">
        <f ca="1">IF(AND(ISNUMBER($O$315),$B$252=1),$O$315,HLOOKUP(INDIRECT(ADDRESS(2,COLUMN())),OFFSET($CL$2,0,0,ROW()-1,84),ROW()-1,FALSE))</f>
        <v>18.983102479999999</v>
      </c>
      <c r="P73">
        <f ca="1">IF(AND(ISNUMBER($P$315),$B$252=1),$P$315,HLOOKUP(INDIRECT(ADDRESS(2,COLUMN())),OFFSET($CL$2,0,0,ROW()-1,84),ROW()-1,FALSE))</f>
        <v>18.178840900000001</v>
      </c>
      <c r="Q73">
        <f ca="1">IF(AND(ISNUMBER($Q$315),$B$252=1),$Q$315,HLOOKUP(INDIRECT(ADDRESS(2,COLUMN())),OFFSET($CL$2,0,0,ROW()-1,84),ROW()-1,FALSE))</f>
        <v>17.692003199999998</v>
      </c>
      <c r="R73">
        <f ca="1">IF(AND(ISNUMBER($R$315),$B$252=1),$R$315,HLOOKUP(INDIRECT(ADDRESS(2,COLUMN())),OFFSET($CL$2,0,0,ROW()-1,84),ROW()-1,FALSE))</f>
        <v>18.14317514</v>
      </c>
      <c r="S73">
        <f ca="1">IF(AND(ISNUMBER($S$315),$B$252=1),$S$315,HLOOKUP(INDIRECT(ADDRESS(2,COLUMN())),OFFSET($CL$2,0,0,ROW()-1,84),ROW()-1,FALSE))</f>
        <v>18.383423789999998</v>
      </c>
      <c r="T73">
        <f ca="1">IF(AND(ISNUMBER($T$315),$B$252=1),$T$315,HLOOKUP(INDIRECT(ADDRESS(2,COLUMN())),OFFSET($CL$2,0,0,ROW()-1,84),ROW()-1,FALSE))</f>
        <v>16.991201100000001</v>
      </c>
      <c r="U73">
        <f ca="1">IF(AND(ISNUMBER($U$315),$B$252=1),$U$315,HLOOKUP(INDIRECT(ADDRESS(2,COLUMN())),OFFSET($CL$2,0,0,ROW()-1,84),ROW()-1,FALSE))</f>
        <v>17.52267943</v>
      </c>
      <c r="V73">
        <f ca="1">IF(AND(ISNUMBER($V$315),$B$252=1),$V$315,HLOOKUP(INDIRECT(ADDRESS(2,COLUMN())),OFFSET($CL$2,0,0,ROW()-1,84),ROW()-1,FALSE))</f>
        <v>15.49386807</v>
      </c>
      <c r="W73">
        <f ca="1">IF(AND(ISNUMBER($W$315),$B$252=1),$W$315,HLOOKUP(INDIRECT(ADDRESS(2,COLUMN())),OFFSET($CL$2,0,0,ROW()-1,84),ROW()-1,FALSE))</f>
        <v>15.68325072</v>
      </c>
      <c r="X73">
        <f ca="1">IF(AND(ISNUMBER($X$315),$B$252=1),$X$315,HLOOKUP(INDIRECT(ADDRESS(2,COLUMN())),OFFSET($CL$2,0,0,ROW()-1,84),ROW()-1,FALSE))</f>
        <v>15.892924369999999</v>
      </c>
      <c r="Y73">
        <f ca="1">IF(AND(ISNUMBER($Y$315),$B$252=1),$Y$315,HLOOKUP(INDIRECT(ADDRESS(2,COLUMN())),OFFSET($CL$2,0,0,ROW()-1,84),ROW()-1,FALSE))</f>
        <v>16.184498189999999</v>
      </c>
      <c r="Z73">
        <f ca="1">IF(AND(ISNUMBER($Z$315),$B$252=1),$Z$315,HLOOKUP(INDIRECT(ADDRESS(2,COLUMN())),OFFSET($CL$2,0,0,ROW()-1,84),ROW()-1,FALSE))</f>
        <v>18.255989979999999</v>
      </c>
      <c r="AA73">
        <f ca="1">IF(AND(ISNUMBER($AA$315),$B$252=1),$AA$315,HLOOKUP(INDIRECT(ADDRESS(2,COLUMN())),OFFSET($CL$2,0,0,ROW()-1,84),ROW()-1,FALSE))</f>
        <v>18.321423630000002</v>
      </c>
      <c r="AB73">
        <f ca="1">IF(AND(ISNUMBER($AB$315),$B$252=1),$AB$315,HLOOKUP(INDIRECT(ADDRESS(2,COLUMN())),OFFSET($CL$2,0,0,ROW()-1,84),ROW()-1,FALSE))</f>
        <v>18.301129700000001</v>
      </c>
      <c r="AC73">
        <f ca="1">IF(AND(ISNUMBER($AC$315),$B$252=1),$AC$315,HLOOKUP(INDIRECT(ADDRESS(2,COLUMN())),OFFSET($CL$2,0,0,ROW()-1,84),ROW()-1,FALSE))</f>
        <v>17.007487359999999</v>
      </c>
      <c r="AD73">
        <f ca="1">IF(AND(ISNUMBER($AD$315),$B$252=1),$AD$315,HLOOKUP(INDIRECT(ADDRESS(2,COLUMN())),OFFSET($CL$2,0,0,ROW()-1,84),ROW()-1,FALSE))</f>
        <v>18.162525160000001</v>
      </c>
      <c r="AE73">
        <f ca="1">IF(AND(ISNUMBER($AE$315),$B$252=1),$AE$315,HLOOKUP(INDIRECT(ADDRESS(2,COLUMN())),OFFSET($CL$2,0,0,ROW()-1,84),ROW()-1,FALSE))</f>
        <v>16.314410479999999</v>
      </c>
      <c r="AF73">
        <f ca="1">IF(AND(ISNUMBER($AF$315),$B$252=1),$AF$315,HLOOKUP(INDIRECT(ADDRESS(2,COLUMN())),OFFSET($CL$2,0,0,ROW()-1,84),ROW()-1,FALSE))</f>
        <v>17.018212040000002</v>
      </c>
      <c r="AG73">
        <f ca="1">IF(AND(ISNUMBER($AG$315),$B$252=1),$AG$315,HLOOKUP(INDIRECT(ADDRESS(2,COLUMN())),OFFSET($CL$2,0,0,ROW()-1,84),ROW()-1,FALSE))</f>
        <v>16.472221659999999</v>
      </c>
      <c r="AH73">
        <f ca="1">IF(AND(ISNUMBER($AH$315),$B$252=1),$AH$315,HLOOKUP(INDIRECT(ADDRESS(2,COLUMN())),OFFSET($CL$2,0,0,ROW()-1,84),ROW()-1,FALSE))</f>
        <v>16.46509575</v>
      </c>
      <c r="AI73">
        <f ca="1">IF(AND(ISNUMBER($AI$315),$B$252=1),$AI$315,HLOOKUP(INDIRECT(ADDRESS(2,COLUMN())),OFFSET($CL$2,0,0,ROW()-1,84),ROW()-1,FALSE))</f>
        <v>15.83854457</v>
      </c>
      <c r="AJ73">
        <f ca="1">IF(AND(ISNUMBER($AJ$315),$B$252=1),$AJ$315,HLOOKUP(INDIRECT(ADDRESS(2,COLUMN())),OFFSET($CL$2,0,0,ROW()-1,84),ROW()-1,FALSE))</f>
        <v>15.221289390000001</v>
      </c>
      <c r="AK73">
        <f ca="1">IF(AND(ISNUMBER($AK$315),$B$252=1),$AK$315,HLOOKUP(INDIRECT(ADDRESS(2,COLUMN())),OFFSET($CL$2,0,0,ROW()-1,84),ROW()-1,FALSE))</f>
        <v>14.894477999999999</v>
      </c>
      <c r="AL73">
        <f ca="1">IF(AND(ISNUMBER($AL$315),$B$252=1),$AL$315,HLOOKUP(INDIRECT(ADDRESS(2,COLUMN())),OFFSET($CL$2,0,0,ROW()-1,84),ROW()-1,FALSE))</f>
        <v>15.226140259999999</v>
      </c>
      <c r="AM73">
        <f ca="1">IF(AND(ISNUMBER($AM$315),$B$252=1),$AM$315,HLOOKUP(INDIRECT(ADDRESS(2,COLUMN())),OFFSET($CL$2,0,0,ROW()-1,84),ROW()-1,FALSE))</f>
        <v>13.79904496</v>
      </c>
      <c r="AN73">
        <f ca="1">IF(AND(ISNUMBER($AN$315),$B$252=1),$AN$315,HLOOKUP(INDIRECT(ADDRESS(2,COLUMN())),OFFSET($CL$2,0,0,ROW()-1,84),ROW()-1,FALSE))</f>
        <v>14.970912909999999</v>
      </c>
      <c r="AO73">
        <f ca="1">IF(AND(ISNUMBER($AO$315),$B$252=1),$AO$315,HLOOKUP(INDIRECT(ADDRESS(2,COLUMN())),OFFSET($CL$2,0,0,ROW()-1,84),ROW()-1,FALSE))</f>
        <v>14.622068499999999</v>
      </c>
      <c r="AP73">
        <f ca="1">IF(AND(ISNUMBER($AP$315),$B$252=1),$AP$315,HLOOKUP(INDIRECT(ADDRESS(2,COLUMN())),OFFSET($CL$2,0,0,ROW()-1,84),ROW()-1,FALSE))</f>
        <v>15.143375320000001</v>
      </c>
      <c r="AQ73">
        <f ca="1">IF(AND(ISNUMBER($AQ$315),$B$252=1),$AQ$315,HLOOKUP(INDIRECT(ADDRESS(2,COLUMN())),OFFSET($CL$2,0,0,ROW()-1,84),ROW()-1,FALSE))</f>
        <v>14.535772250000001</v>
      </c>
      <c r="AR73">
        <f ca="1">IF(AND(ISNUMBER($AR$315),$B$252=1),$AR$315,HLOOKUP(INDIRECT(ADDRESS(2,COLUMN())),OFFSET($CL$2,0,0,ROW()-1,84),ROW()-1,FALSE))</f>
        <v>15.90972064</v>
      </c>
      <c r="AS73">
        <f ca="1">IF(AND(ISNUMBER($AS$315),$B$252=1),$AS$315,HLOOKUP(INDIRECT(ADDRESS(2,COLUMN())),OFFSET($CL$2,0,0,ROW()-1,84),ROW()-1,FALSE))</f>
        <v>14.979046110000001</v>
      </c>
      <c r="AT73">
        <f ca="1">IF(AND(ISNUMBER($AT$315),$B$252=1),$AT$315,HLOOKUP(INDIRECT(ADDRESS(2,COLUMN())),OFFSET($CL$2,0,0,ROW()-1,84),ROW()-1,FALSE))</f>
        <v>15.127849360000001</v>
      </c>
      <c r="AU73">
        <f ca="1">IF(AND(ISNUMBER($AU$315),$B$252=1),$AU$315,HLOOKUP(INDIRECT(ADDRESS(2,COLUMN())),OFFSET($CL$2,0,0,ROW()-1,84),ROW()-1,FALSE))</f>
        <v>14.51172734</v>
      </c>
      <c r="AV73">
        <f ca="1">IF(AND(ISNUMBER($AV$315),$B$252=1),$AV$315,HLOOKUP(INDIRECT(ADDRESS(2,COLUMN())),OFFSET($CL$2,0,0,ROW()-1,84),ROW()-1,FALSE))</f>
        <v>13.48280357</v>
      </c>
      <c r="AW73">
        <f ca="1">IF(AND(ISNUMBER($AW$315),$B$252=1),$AW$315,HLOOKUP(INDIRECT(ADDRESS(2,COLUMN())),OFFSET($CL$2,0,0,ROW()-1,84),ROW()-1,FALSE))</f>
        <v>14.95037919</v>
      </c>
      <c r="AX73">
        <f ca="1">IF(AND(ISNUMBER($AX$315),$B$252=1),$AX$315,HLOOKUP(INDIRECT(ADDRESS(2,COLUMN())),OFFSET($CL$2,0,0,ROW()-1,84),ROW()-1,FALSE))</f>
        <v>14.45423828</v>
      </c>
      <c r="AY73">
        <f ca="1">IF(AND(ISNUMBER($AY$315),$B$252=1),$AY$315,HLOOKUP(INDIRECT(ADDRESS(2,COLUMN())),OFFSET($CL$2,0,0,ROW()-1,84),ROW()-1,FALSE))</f>
        <v>15.10128871</v>
      </c>
      <c r="AZ73">
        <f ca="1">IF(AND(ISNUMBER($AZ$315),$B$252=1),$AZ$315,HLOOKUP(INDIRECT(ADDRESS(2,COLUMN())),OFFSET($CL$2,0,0,ROW()-1,84),ROW()-1,FALSE))</f>
        <v>14.669123020000001</v>
      </c>
      <c r="BA73">
        <f ca="1">IF(AND(ISNUMBER($BA$315),$B$252=1),$BA$315,HLOOKUP(INDIRECT(ADDRESS(2,COLUMN())),OFFSET($CL$2,0,0,ROW()-1,84),ROW()-1,FALSE))</f>
        <v>14.12169203</v>
      </c>
      <c r="BB73">
        <f ca="1">IF(AND(ISNUMBER($BB$315),$B$252=1),$BB$315,HLOOKUP(INDIRECT(ADDRESS(2,COLUMN())),OFFSET($CL$2,0,0,ROW()-1,84),ROW()-1,FALSE))</f>
        <v>13.841893969999999</v>
      </c>
      <c r="BC73">
        <f ca="1">IF(AND(ISNUMBER($BC$315),$B$252=1),$BC$315,HLOOKUP(INDIRECT(ADDRESS(2,COLUMN())),OFFSET($CL$2,0,0,ROW()-1,84),ROW()-1,FALSE))</f>
        <v>13.595019730000001</v>
      </c>
      <c r="BD73">
        <f ca="1">IF(AND(ISNUMBER($BD$315),$B$252=1),$BD$315,HLOOKUP(INDIRECT(ADDRESS(2,COLUMN())),OFFSET($CL$2,0,0,ROW()-1,84),ROW()-1,FALSE))</f>
        <v>12.97194816</v>
      </c>
      <c r="BE73">
        <f ca="1">IF(AND(ISNUMBER($BE$315),$B$252=1),$BE$315,HLOOKUP(INDIRECT(ADDRESS(2,COLUMN())),OFFSET($CL$2,0,0,ROW()-1,84),ROW()-1,FALSE))</f>
        <v>12.208183010000001</v>
      </c>
      <c r="BF73">
        <f ca="1">IF(AND(ISNUMBER($BF$315),$B$252=1),$BF$315,HLOOKUP(INDIRECT(ADDRESS(2,COLUMN())),OFFSET($CL$2,0,0,ROW()-1,84),ROW()-1,FALSE))</f>
        <v>12.07878799</v>
      </c>
      <c r="BG73">
        <f ca="1">IF(AND(ISNUMBER($BG$315),$B$252=1),$BG$315,HLOOKUP(INDIRECT(ADDRESS(2,COLUMN())),OFFSET($CL$2,0,0,ROW()-1,84),ROW()-1,FALSE))</f>
        <v>13.3139363</v>
      </c>
      <c r="BH73">
        <f ca="1">IF(AND(ISNUMBER($BH$315),$B$252=1),$BH$315,HLOOKUP(INDIRECT(ADDRESS(2,COLUMN())),OFFSET($CL$2,0,0,ROW()-1,84),ROW()-1,FALSE))</f>
        <v>12.53194306</v>
      </c>
      <c r="BI73">
        <f ca="1">IF(AND(ISNUMBER($BI$315),$B$252=1),$BI$315,HLOOKUP(INDIRECT(ADDRESS(2,COLUMN())),OFFSET($CL$2,0,0,ROW()-1,84),ROW()-1,FALSE))</f>
        <v>12.63368607</v>
      </c>
      <c r="BJ73">
        <f ca="1">IF(AND(ISNUMBER($BJ$315),$B$252=1),$BJ$315,HLOOKUP(INDIRECT(ADDRESS(2,COLUMN())),OFFSET($CL$2,0,0,ROW()-1,84),ROW()-1,FALSE))</f>
        <v>13.84050429</v>
      </c>
      <c r="BK73">
        <f ca="1">IF(AND(ISNUMBER($BK$315),$B$252=1),$BK$315,HLOOKUP(INDIRECT(ADDRESS(2,COLUMN())),OFFSET($CL$2,0,0,ROW()-1,84),ROW()-1,FALSE))</f>
        <v>13.885580689999999</v>
      </c>
      <c r="BL73">
        <f ca="1">IF(AND(ISNUMBER($BL$315),$B$252=1),$BL$315,HLOOKUP(INDIRECT(ADDRESS(2,COLUMN())),OFFSET($CL$2,0,0,ROW()-1,84),ROW()-1,FALSE))</f>
        <v>14.374214419999999</v>
      </c>
      <c r="BM73">
        <f ca="1">IF(AND(ISNUMBER($BM$315),$B$252=1),$BM$315,HLOOKUP(INDIRECT(ADDRESS(2,COLUMN())),OFFSET($CL$2,0,0,ROW()-1,84),ROW()-1,FALSE))</f>
        <v>14.534938309999999</v>
      </c>
      <c r="BN73">
        <f ca="1">IF(AND(ISNUMBER($BN$315),$B$252=1),$BN$315,HLOOKUP(INDIRECT(ADDRESS(2,COLUMN())),OFFSET($CL$2,0,0,ROW()-1,84),ROW()-1,FALSE))</f>
        <v>14.604726319999999</v>
      </c>
      <c r="BO73">
        <f ca="1">IF(AND(ISNUMBER($BO$315),$B$252=1),$BO$315,HLOOKUP(INDIRECT(ADDRESS(2,COLUMN())),OFFSET($CL$2,0,0,ROW()-1,84),ROW()-1,FALSE))</f>
        <v>15.105663610000001</v>
      </c>
      <c r="BP73">
        <f ca="1">IF(AND(ISNUMBER($BP$315),$B$252=1),$BP$315,HLOOKUP(INDIRECT(ADDRESS(2,COLUMN())),OFFSET($CL$2,0,0,ROW()-1,84),ROW()-1,FALSE))</f>
        <v>14.22029422</v>
      </c>
      <c r="BQ73">
        <f ca="1">IF(AND(ISNUMBER($BQ$315),$B$252=1),$BQ$315,HLOOKUP(INDIRECT(ADDRESS(2,COLUMN())),OFFSET($CL$2,0,0,ROW()-1,84),ROW()-1,FALSE))</f>
        <v>14.08542222</v>
      </c>
      <c r="BR73">
        <f ca="1">IF(AND(ISNUMBER($BR$315),$B$252=1),$BR$315,HLOOKUP(INDIRECT(ADDRESS(2,COLUMN())),OFFSET($CL$2,0,0,ROW()-1,84),ROW()-1,FALSE))</f>
        <v>13.979782699999999</v>
      </c>
      <c r="BS73">
        <f ca="1">IF(AND(ISNUMBER($BS$315),$B$252=1),$BS$315,HLOOKUP(INDIRECT(ADDRESS(2,COLUMN())),OFFSET($CL$2,0,0,ROW()-1,84),ROW()-1,FALSE))</f>
        <v>14.51591365</v>
      </c>
      <c r="BT73">
        <f ca="1">IF(AND(ISNUMBER($BT$315),$B$252=1),$BT$315,HLOOKUP(INDIRECT(ADDRESS(2,COLUMN())),OFFSET($CL$2,0,0,ROW()-1,84),ROW()-1,FALSE))</f>
        <v>14.650507190000001</v>
      </c>
      <c r="BU73">
        <f ca="1">IF(AND(ISNUMBER($BU$315),$B$252=1),$BU$315,HLOOKUP(INDIRECT(ADDRESS(2,COLUMN())),OFFSET($CL$2,0,0,ROW()-1,84),ROW()-1,FALSE))</f>
        <v>15.75470331</v>
      </c>
      <c r="BV73">
        <f ca="1">IF(AND(ISNUMBER($BV$315),$B$252=1),$BV$315,HLOOKUP(INDIRECT(ADDRESS(2,COLUMN())),OFFSET($CL$2,0,0,ROW()-1,84),ROW()-1,FALSE))</f>
        <v>16.039678089999999</v>
      </c>
      <c r="BW73">
        <f ca="1">IF(AND(ISNUMBER($BW$315),$B$252=1),$BW$315,HLOOKUP(INDIRECT(ADDRESS(2,COLUMN())),OFFSET($CL$2,0,0,ROW()-1,84),ROW()-1,FALSE))</f>
        <v>15.810308149999999</v>
      </c>
      <c r="BX73">
        <f ca="1">IF(AND(ISNUMBER($BX$315),$B$252=1),$BX$315,HLOOKUP(INDIRECT(ADDRESS(2,COLUMN())),OFFSET($CL$2,0,0,ROW()-1,84),ROW()-1,FALSE))</f>
        <v>16.357782879999998</v>
      </c>
      <c r="BY73">
        <f ca="1">IF(AND(ISNUMBER($BY$315),$B$252=1),$BY$315,HLOOKUP(INDIRECT(ADDRESS(2,COLUMN())),OFFSET($CL$2,0,0,ROW()-1,84),ROW()-1,FALSE))</f>
        <v>16.522841379999999</v>
      </c>
      <c r="BZ73">
        <f ca="1">IF(AND(ISNUMBER($BZ$315),$B$252=1),$BZ$315,HLOOKUP(INDIRECT(ADDRESS(2,COLUMN())),OFFSET($CL$2,0,0,ROW()-1,84),ROW()-1,FALSE))</f>
        <v>16.270398969999999</v>
      </c>
      <c r="CA73">
        <f ca="1">IF(AND(ISNUMBER($CA$315),$B$252=1),$CA$315,HLOOKUP(INDIRECT(ADDRESS(2,COLUMN())),OFFSET($CL$2,0,0,ROW()-1,84),ROW()-1,FALSE))</f>
        <v>15.67619307</v>
      </c>
      <c r="CB73">
        <f ca="1">IF(AND(ISNUMBER($CB$315),$B$252=1),$CB$315,HLOOKUP(INDIRECT(ADDRESS(2,COLUMN())),OFFSET($CL$2,0,0,ROW()-1,84),ROW()-1,FALSE))</f>
        <v>16.065772989999999</v>
      </c>
      <c r="CC73">
        <f ca="1">IF(AND(ISNUMBER($CC$315),$B$252=1),$CC$315,HLOOKUP(INDIRECT(ADDRESS(2,COLUMN())),OFFSET($CL$2,0,0,ROW()-1,84),ROW()-1,FALSE))</f>
        <v>15.721434609999999</v>
      </c>
      <c r="CD73">
        <f ca="1">IF(AND(ISNUMBER($CD$315),$B$252=1),$CD$315,HLOOKUP(INDIRECT(ADDRESS(2,COLUMN())),OFFSET($CL$2,0,0,ROW()-1,84),ROW()-1,FALSE))</f>
        <v>14.885741169999999</v>
      </c>
      <c r="CE73">
        <f ca="1">IF(AND(ISNUMBER($CE$315),$B$252=1),$CE$315,HLOOKUP(INDIRECT(ADDRESS(2,COLUMN())),OFFSET($CL$2,0,0,ROW()-1,84),ROW()-1,FALSE))</f>
        <v>16.20499388</v>
      </c>
      <c r="CF73">
        <f ca="1">IF(AND(ISNUMBER($CF$315),$B$252=1),$CF$315,HLOOKUP(INDIRECT(ADDRESS(2,COLUMN())),OFFSET($CL$2,0,0,ROW()-1,84),ROW()-1,FALSE))</f>
        <v>15.63885788</v>
      </c>
      <c r="CG73">
        <f ca="1">IF(AND(ISNUMBER($CG$315),$B$252=1),$CG$315,HLOOKUP(INDIRECT(ADDRESS(2,COLUMN())),OFFSET($CL$2,0,0,ROW()-1,84),ROW()-1,FALSE))</f>
        <v>19.32668799</v>
      </c>
      <c r="CH73">
        <f ca="1">IF(AND(ISNUMBER($CH$315),$B$252=1),$CH$315,HLOOKUP(INDIRECT(ADDRESS(2,COLUMN())),OFFSET($CL$2,0,0,ROW()-1,84),ROW()-1,FALSE))</f>
        <v>19.140126510000002</v>
      </c>
      <c r="CI73">
        <f ca="1">IF(AND(ISNUMBER($CI$315),$B$252=1),$CI$315,HLOOKUP(INDIRECT(ADDRESS(2,COLUMN())),OFFSET($CL$2,0,0,ROW()-1,84),ROW()-1,FALSE))</f>
        <v>18.242468370000001</v>
      </c>
      <c r="CJ73">
        <f ca="1">IF(AND(ISNUMBER($CJ$315),$B$252=1),$CJ$315,HLOOKUP(INDIRECT(ADDRESS(2,COLUMN())),OFFSET($CL$2,0,0,ROW()-1,84),ROW()-1,FALSE))</f>
        <v>18.949367049999999</v>
      </c>
      <c r="CK73">
        <f ca="1">IF(AND(ISNUMBER($CK$315),$B$252=1),$CK$315,HLOOKUP(INDIRECT(ADDRESS(2,COLUMN())),OFFSET($CL$2,0,0,ROW()-1,84),ROW()-1,FALSE))</f>
        <v>18.479433799999999</v>
      </c>
      <c r="CL73">
        <f>15.10315571</f>
        <v>15.103155709999999</v>
      </c>
      <c r="CM73">
        <f>14.5080907</f>
        <v>14.5080907</v>
      </c>
      <c r="CN73">
        <f>16.12254264</f>
        <v>16.122542639999999</v>
      </c>
      <c r="CO73">
        <f>16.99992543</f>
        <v>16.999925430000001</v>
      </c>
      <c r="CP73">
        <f>18.4281889</f>
        <v>18.428188899999999</v>
      </c>
      <c r="CQ73">
        <f>18.41199857</f>
        <v>18.411998570000002</v>
      </c>
      <c r="CR73">
        <f>19.22691165</f>
        <v>19.226911650000002</v>
      </c>
      <c r="CS73">
        <f>19.17765316</f>
        <v>19.177653159999998</v>
      </c>
      <c r="CT73">
        <f>18.64984437</f>
        <v>18.64984437</v>
      </c>
      <c r="CU73">
        <f>18.98310248</f>
        <v>18.983102479999999</v>
      </c>
      <c r="CV73">
        <f>18.1788409</f>
        <v>18.178840900000001</v>
      </c>
      <c r="CW73">
        <f>17.6920032</f>
        <v>17.692003199999998</v>
      </c>
      <c r="CX73">
        <f>18.14317514</f>
        <v>18.14317514</v>
      </c>
      <c r="CY73">
        <f>18.38342379</f>
        <v>18.383423789999998</v>
      </c>
      <c r="CZ73">
        <f>16.9912011</f>
        <v>16.991201100000001</v>
      </c>
      <c r="DA73">
        <f>17.52267943</f>
        <v>17.52267943</v>
      </c>
      <c r="DB73">
        <f>15.49386807</f>
        <v>15.49386807</v>
      </c>
      <c r="DC73">
        <f>15.68325072</f>
        <v>15.68325072</v>
      </c>
      <c r="DD73">
        <f>15.89292437</f>
        <v>15.892924369999999</v>
      </c>
      <c r="DE73">
        <f>16.18449819</f>
        <v>16.184498189999999</v>
      </c>
      <c r="DF73">
        <f>18.25598998</f>
        <v>18.255989979999999</v>
      </c>
      <c r="DG73">
        <f>18.32142363</f>
        <v>18.321423630000002</v>
      </c>
      <c r="DH73">
        <f>18.3011297</f>
        <v>18.301129700000001</v>
      </c>
      <c r="DI73">
        <f>17.00748736</f>
        <v>17.007487359999999</v>
      </c>
      <c r="DJ73">
        <f>18.16252516</f>
        <v>18.162525160000001</v>
      </c>
      <c r="DK73">
        <f>16.31441048</f>
        <v>16.314410479999999</v>
      </c>
      <c r="DL73">
        <f>17.01821204</f>
        <v>17.018212040000002</v>
      </c>
      <c r="DM73">
        <f>16.47222166</f>
        <v>16.472221659999999</v>
      </c>
      <c r="DN73">
        <f>16.46509575</f>
        <v>16.46509575</v>
      </c>
      <c r="DO73">
        <f>15.83854457</f>
        <v>15.83854457</v>
      </c>
      <c r="DP73">
        <f>15.22128939</f>
        <v>15.221289390000001</v>
      </c>
      <c r="DQ73">
        <f>14.894478</f>
        <v>14.894477999999999</v>
      </c>
      <c r="DR73">
        <f>15.22614026</f>
        <v>15.226140259999999</v>
      </c>
      <c r="DS73">
        <f>13.79904496</f>
        <v>13.79904496</v>
      </c>
      <c r="DT73">
        <f>14.97091291</f>
        <v>14.970912909999999</v>
      </c>
      <c r="DU73">
        <f>14.6220685</f>
        <v>14.622068499999999</v>
      </c>
      <c r="DV73">
        <f>15.14337532</f>
        <v>15.143375320000001</v>
      </c>
      <c r="DW73">
        <f>14.53577225</f>
        <v>14.535772250000001</v>
      </c>
      <c r="DX73">
        <f>15.90972064</f>
        <v>15.90972064</v>
      </c>
      <c r="DY73">
        <f>14.97904611</f>
        <v>14.979046110000001</v>
      </c>
      <c r="DZ73">
        <f>15.12784936</f>
        <v>15.127849360000001</v>
      </c>
      <c r="EA73">
        <f>14.51172734</f>
        <v>14.51172734</v>
      </c>
      <c r="EB73">
        <f>13.48280357</f>
        <v>13.48280357</v>
      </c>
      <c r="EC73">
        <f>14.95037919</f>
        <v>14.95037919</v>
      </c>
      <c r="ED73">
        <f>14.45423828</f>
        <v>14.45423828</v>
      </c>
      <c r="EE73">
        <f>15.10128871</f>
        <v>15.10128871</v>
      </c>
      <c r="EF73">
        <f>14.66912302</f>
        <v>14.669123020000001</v>
      </c>
      <c r="EG73">
        <f>14.12169203</f>
        <v>14.12169203</v>
      </c>
      <c r="EH73">
        <f>13.84189397</f>
        <v>13.841893969999999</v>
      </c>
      <c r="EI73">
        <f>13.59501973</f>
        <v>13.595019730000001</v>
      </c>
      <c r="EJ73">
        <f>12.97194816</f>
        <v>12.97194816</v>
      </c>
      <c r="EK73">
        <f>12.20818301</f>
        <v>12.208183010000001</v>
      </c>
      <c r="EL73">
        <f>12.07878799</f>
        <v>12.07878799</v>
      </c>
      <c r="EM73">
        <f>13.3139363</f>
        <v>13.3139363</v>
      </c>
      <c r="EN73">
        <f>12.53194306</f>
        <v>12.53194306</v>
      </c>
      <c r="EO73">
        <f>12.63368607</f>
        <v>12.63368607</v>
      </c>
      <c r="EP73">
        <f>13.84050429</f>
        <v>13.84050429</v>
      </c>
      <c r="EQ73">
        <f>13.88558069</f>
        <v>13.885580689999999</v>
      </c>
      <c r="ER73">
        <f>14.37421442</f>
        <v>14.374214419999999</v>
      </c>
      <c r="ES73">
        <f>14.53493831</f>
        <v>14.534938309999999</v>
      </c>
      <c r="ET73">
        <f>14.60472632</f>
        <v>14.604726319999999</v>
      </c>
      <c r="EU73">
        <f>15.10566361</f>
        <v>15.105663610000001</v>
      </c>
      <c r="EV73">
        <f>14.22029422</f>
        <v>14.22029422</v>
      </c>
      <c r="EW73">
        <f>14.08542222</f>
        <v>14.08542222</v>
      </c>
      <c r="EX73">
        <f>13.9797827</f>
        <v>13.979782699999999</v>
      </c>
      <c r="EY73">
        <f>14.51591365</f>
        <v>14.51591365</v>
      </c>
      <c r="EZ73">
        <f>14.65050719</f>
        <v>14.650507190000001</v>
      </c>
      <c r="FA73">
        <f>15.75470331</f>
        <v>15.75470331</v>
      </c>
      <c r="FB73">
        <f>16.03967809</f>
        <v>16.039678089999999</v>
      </c>
      <c r="FC73">
        <f>15.81030815</f>
        <v>15.810308149999999</v>
      </c>
      <c r="FD73">
        <f>16.35778288</f>
        <v>16.357782879999998</v>
      </c>
      <c r="FE73">
        <f>16.52284138</f>
        <v>16.522841379999999</v>
      </c>
      <c r="FF73">
        <f>16.27039897</f>
        <v>16.270398969999999</v>
      </c>
      <c r="FG73">
        <f>15.67619307</f>
        <v>15.67619307</v>
      </c>
      <c r="FH73">
        <f>16.06577299</f>
        <v>16.065772989999999</v>
      </c>
      <c r="FI73">
        <f>15.72143461</f>
        <v>15.721434609999999</v>
      </c>
      <c r="FJ73">
        <f>14.88574117</f>
        <v>14.885741169999999</v>
      </c>
      <c r="FK73">
        <f>16.20499388</f>
        <v>16.20499388</v>
      </c>
      <c r="FL73">
        <f>15.63885788</f>
        <v>15.63885788</v>
      </c>
      <c r="FM73">
        <f>19.32668799</f>
        <v>19.32668799</v>
      </c>
      <c r="FN73">
        <f>19.14012651</f>
        <v>19.140126510000002</v>
      </c>
      <c r="FO73">
        <f>18.24246837</f>
        <v>18.242468370000001</v>
      </c>
      <c r="FP73">
        <f>18.94936705</f>
        <v>18.949367049999999</v>
      </c>
      <c r="FQ73">
        <f>18.4794338</f>
        <v>18.479433799999999</v>
      </c>
    </row>
    <row r="74" spans="1:173">
      <c r="A74" t="str">
        <f>"    UDR 公司"</f>
        <v xml:space="preserve">    UDR 公司</v>
      </c>
      <c r="B74" t="str">
        <f>"UDR US Equity"</f>
        <v>UDR US Equity</v>
      </c>
      <c r="C74" t="str">
        <f t="shared" si="24"/>
        <v>F0893</v>
      </c>
      <c r="D74" t="str">
        <f t="shared" si="25"/>
        <v>PRICE_TO_AFFOPS</v>
      </c>
      <c r="E74" t="str">
        <f t="shared" si="26"/>
        <v>动态</v>
      </c>
      <c r="F74">
        <f ca="1">IF(AND(ISNUMBER($F$316),$B$252=1),$F$316,HLOOKUP(INDIRECT(ADDRESS(2,COLUMN())),OFFSET($CL$2,0,0,ROW()-1,84),ROW()-1,FALSE))</f>
        <v>18.892660419999999</v>
      </c>
      <c r="G74">
        <f ca="1">IF(AND(ISNUMBER($G$316),$B$252=1),$G$316,HLOOKUP(INDIRECT(ADDRESS(2,COLUMN())),OFFSET($CL$2,0,0,ROW()-1,84),ROW()-1,FALSE))</f>
        <v>17.98333079</v>
      </c>
      <c r="H74">
        <f ca="1">IF(AND(ISNUMBER($H$316),$B$252=1),$H$316,HLOOKUP(INDIRECT(ADDRESS(2,COLUMN())),OFFSET($CL$2,0,0,ROW()-1,84),ROW()-1,FALSE))</f>
        <v>19.539889160000001</v>
      </c>
      <c r="I74">
        <f ca="1">IF(AND(ISNUMBER($I$316),$B$252=1),$I$316,HLOOKUP(INDIRECT(ADDRESS(2,COLUMN())),OFFSET($CL$2,0,0,ROW()-1,84),ROW()-1,FALSE))</f>
        <v>20.60433974</v>
      </c>
      <c r="J74">
        <f ca="1">IF(AND(ISNUMBER($J$316),$B$252=1),$J$316,HLOOKUP(INDIRECT(ADDRESS(2,COLUMN())),OFFSET($CL$2,0,0,ROW()-1,84),ROW()-1,FALSE))</f>
        <v>21.250298019999999</v>
      </c>
      <c r="K74">
        <f ca="1">IF(AND(ISNUMBER($K$316),$B$252=1),$K$316,HLOOKUP(INDIRECT(ADDRESS(2,COLUMN())),OFFSET($CL$2,0,0,ROW()-1,84),ROW()-1,FALSE))</f>
        <v>20.958531910000001</v>
      </c>
      <c r="L74">
        <f ca="1">IF(AND(ISNUMBER($L$316),$B$252=1),$L$316,HLOOKUP(INDIRECT(ADDRESS(2,COLUMN())),OFFSET($CL$2,0,0,ROW()-1,84),ROW()-1,FALSE))</f>
        <v>20.54789813</v>
      </c>
      <c r="M74">
        <f ca="1">IF(AND(ISNUMBER($M$316),$B$252=1),$M$316,HLOOKUP(INDIRECT(ADDRESS(2,COLUMN())),OFFSET($CL$2,0,0,ROW()-1,84),ROW()-1,FALSE))</f>
        <v>21.17976681</v>
      </c>
      <c r="N74">
        <f ca="1">IF(AND(ISNUMBER($N$316),$B$252=1),$N$316,HLOOKUP(INDIRECT(ADDRESS(2,COLUMN())),OFFSET($CL$2,0,0,ROW()-1,84),ROW()-1,FALSE))</f>
        <v>21.327075860000001</v>
      </c>
      <c r="O74">
        <f ca="1">IF(AND(ISNUMBER($O$316),$B$252=1),$O$316,HLOOKUP(INDIRECT(ADDRESS(2,COLUMN())),OFFSET($CL$2,0,0,ROW()-1,84),ROW()-1,FALSE))</f>
        <v>21.261605169999999</v>
      </c>
      <c r="P74">
        <f ca="1">IF(AND(ISNUMBER($P$316),$B$252=1),$P$316,HLOOKUP(INDIRECT(ADDRESS(2,COLUMN())),OFFSET($CL$2,0,0,ROW()-1,84),ROW()-1,FALSE))</f>
        <v>21.348347610000001</v>
      </c>
      <c r="Q74">
        <f ca="1">IF(AND(ISNUMBER($Q$316),$B$252=1),$Q$316,HLOOKUP(INDIRECT(ADDRESS(2,COLUMN())),OFFSET($CL$2,0,0,ROW()-1,84),ROW()-1,FALSE))</f>
        <v>20.646135709999999</v>
      </c>
      <c r="R74">
        <f ca="1">IF(AND(ISNUMBER($R$316),$B$252=1),$R$316,HLOOKUP(INDIRECT(ADDRESS(2,COLUMN())),OFFSET($CL$2,0,0,ROW()-1,84),ROW()-1,FALSE))</f>
        <v>20.048979129999999</v>
      </c>
      <c r="S74">
        <f ca="1">IF(AND(ISNUMBER($S$316),$B$252=1),$S$316,HLOOKUP(INDIRECT(ADDRESS(2,COLUMN())),OFFSET($CL$2,0,0,ROW()-1,84),ROW()-1,FALSE))</f>
        <v>20.4321178</v>
      </c>
      <c r="T74">
        <f ca="1">IF(AND(ISNUMBER($T$316),$B$252=1),$T$316,HLOOKUP(INDIRECT(ADDRESS(2,COLUMN())),OFFSET($CL$2,0,0,ROW()-1,84),ROW()-1,FALSE))</f>
        <v>19.56445252</v>
      </c>
      <c r="U74">
        <f ca="1">IF(AND(ISNUMBER($U$316),$B$252=1),$U$316,HLOOKUP(INDIRECT(ADDRESS(2,COLUMN())),OFFSET($CL$2,0,0,ROW()-1,84),ROW()-1,FALSE))</f>
        <v>20.42092212</v>
      </c>
      <c r="V74">
        <f ca="1">IF(AND(ISNUMBER($V$316),$B$252=1),$V$316,HLOOKUP(INDIRECT(ADDRESS(2,COLUMN())),OFFSET($CL$2,0,0,ROW()-1,84),ROW()-1,FALSE))</f>
        <v>19.426474750000001</v>
      </c>
      <c r="W74">
        <f ca="1">IF(AND(ISNUMBER($W$316),$B$252=1),$W$316,HLOOKUP(INDIRECT(ADDRESS(2,COLUMN())),OFFSET($CL$2,0,0,ROW()-1,84),ROW()-1,FALSE))</f>
        <v>19.957221570000002</v>
      </c>
      <c r="X74">
        <f ca="1">IF(AND(ISNUMBER($X$316),$B$252=1),$X$316,HLOOKUP(INDIRECT(ADDRESS(2,COLUMN())),OFFSET($CL$2,0,0,ROW()-1,84),ROW()-1,FALSE))</f>
        <v>20.539330979999999</v>
      </c>
      <c r="Y74">
        <f ca="1">IF(AND(ISNUMBER($Y$316),$B$252=1),$Y$316,HLOOKUP(INDIRECT(ADDRESS(2,COLUMN())),OFFSET($CL$2,0,0,ROW()-1,84),ROW()-1,FALSE))</f>
        <v>20.996427449999999</v>
      </c>
      <c r="Z74">
        <f ca="1">IF(AND(ISNUMBER($Z$316),$B$252=1),$Z$316,HLOOKUP(INDIRECT(ADDRESS(2,COLUMN())),OFFSET($CL$2,0,0,ROW()-1,84),ROW()-1,FALSE))</f>
        <v>21.605776500000001</v>
      </c>
      <c r="AA74">
        <f ca="1">IF(AND(ISNUMBER($AA$316),$B$252=1),$AA$316,HLOOKUP(INDIRECT(ADDRESS(2,COLUMN())),OFFSET($CL$2,0,0,ROW()-1,84),ROW()-1,FALSE))</f>
        <v>21.425873450000001</v>
      </c>
      <c r="AB74">
        <f ca="1">IF(AND(ISNUMBER($AB$316),$B$252=1),$AB$316,HLOOKUP(INDIRECT(ADDRESS(2,COLUMN())),OFFSET($CL$2,0,0,ROW()-1,84),ROW()-1,FALSE))</f>
        <v>21.230541049999999</v>
      </c>
      <c r="AC74">
        <f ca="1">IF(AND(ISNUMBER($AC$316),$B$252=1),$AC$316,HLOOKUP(INDIRECT(ADDRESS(2,COLUMN())),OFFSET($CL$2,0,0,ROW()-1,84),ROW()-1,FALSE))</f>
        <v>20.576477749999999</v>
      </c>
      <c r="AD74">
        <f ca="1">IF(AND(ISNUMBER($AD$316),$B$252=1),$AD$316,HLOOKUP(INDIRECT(ADDRESS(2,COLUMN())),OFFSET($CL$2,0,0,ROW()-1,84),ROW()-1,FALSE))</f>
        <v>22.703656580000001</v>
      </c>
      <c r="AE74">
        <f ca="1">IF(AND(ISNUMBER($AE$316),$B$252=1),$AE$316,HLOOKUP(INDIRECT(ADDRESS(2,COLUMN())),OFFSET($CL$2,0,0,ROW()-1,84),ROW()-1,FALSE))</f>
        <v>20.586523540000002</v>
      </c>
      <c r="AF74">
        <f ca="1">IF(AND(ISNUMBER($AF$316),$B$252=1),$AF$316,HLOOKUP(INDIRECT(ADDRESS(2,COLUMN())),OFFSET($CL$2,0,0,ROW()-1,84),ROW()-1,FALSE))</f>
        <v>21.342102319999999</v>
      </c>
      <c r="AG74">
        <f ca="1">IF(AND(ISNUMBER($AG$316),$B$252=1),$AG$316,HLOOKUP(INDIRECT(ADDRESS(2,COLUMN())),OFFSET($CL$2,0,0,ROW()-1,84),ROW()-1,FALSE))</f>
        <v>22.529440409999999</v>
      </c>
      <c r="AH74">
        <f ca="1">IF(AND(ISNUMBER($AH$316),$B$252=1),$AH$316,HLOOKUP(INDIRECT(ADDRESS(2,COLUMN())),OFFSET($CL$2,0,0,ROW()-1,84),ROW()-1,FALSE))</f>
        <v>22.59980453</v>
      </c>
      <c r="AI74">
        <f ca="1">IF(AND(ISNUMBER($AI$316),$B$252=1),$AI$316,HLOOKUP(INDIRECT(ADDRESS(2,COLUMN())),OFFSET($CL$2,0,0,ROW()-1,84),ROW()-1,FALSE))</f>
        <v>21.099682040000001</v>
      </c>
      <c r="AJ74">
        <f ca="1">IF(AND(ISNUMBER($AJ$316),$B$252=1),$AJ$316,HLOOKUP(INDIRECT(ADDRESS(2,COLUMN())),OFFSET($CL$2,0,0,ROW()-1,84),ROW()-1,FALSE))</f>
        <v>21.11192793</v>
      </c>
      <c r="AK74" t="str">
        <f ca="1">IF(AND(ISNUMBER($AK$316),$B$252=1),$AK$316,HLOOKUP(INDIRECT(ADDRESS(2,COLUMN())),OFFSET($CL$2,0,0,ROW()-1,84),ROW()-1,FALSE))</f>
        <v/>
      </c>
      <c r="AL74" t="str">
        <f ca="1">IF(AND(ISNUMBER($AL$316),$B$252=1),$AL$316,HLOOKUP(INDIRECT(ADDRESS(2,COLUMN())),OFFSET($CL$2,0,0,ROW()-1,84),ROW()-1,FALSE))</f>
        <v/>
      </c>
      <c r="AM74" t="str">
        <f ca="1">IF(AND(ISNUMBER($AM$316),$B$252=1),$AM$316,HLOOKUP(INDIRECT(ADDRESS(2,COLUMN())),OFFSET($CL$2,0,0,ROW()-1,84),ROW()-1,FALSE))</f>
        <v/>
      </c>
      <c r="AN74" t="str">
        <f ca="1">IF(AND(ISNUMBER($AN$316),$B$252=1),$AN$316,HLOOKUP(INDIRECT(ADDRESS(2,COLUMN())),OFFSET($CL$2,0,0,ROW()-1,84),ROW()-1,FALSE))</f>
        <v/>
      </c>
      <c r="AO74" t="str">
        <f ca="1">IF(AND(ISNUMBER($AO$316),$B$252=1),$AO$316,HLOOKUP(INDIRECT(ADDRESS(2,COLUMN())),OFFSET($CL$2,0,0,ROW()-1,84),ROW()-1,FALSE))</f>
        <v/>
      </c>
      <c r="AP74" t="str">
        <f ca="1">IF(AND(ISNUMBER($AP$316),$B$252=1),$AP$316,HLOOKUP(INDIRECT(ADDRESS(2,COLUMN())),OFFSET($CL$2,0,0,ROW()-1,84),ROW()-1,FALSE))</f>
        <v/>
      </c>
      <c r="AQ74" t="str">
        <f ca="1">IF(AND(ISNUMBER($AQ$316),$B$252=1),$AQ$316,HLOOKUP(INDIRECT(ADDRESS(2,COLUMN())),OFFSET($CL$2,0,0,ROW()-1,84),ROW()-1,FALSE))</f>
        <v/>
      </c>
      <c r="AR74" t="str">
        <f ca="1">IF(AND(ISNUMBER($AR$316),$B$252=1),$AR$316,HLOOKUP(INDIRECT(ADDRESS(2,COLUMN())),OFFSET($CL$2,0,0,ROW()-1,84),ROW()-1,FALSE))</f>
        <v/>
      </c>
      <c r="AS74" t="str">
        <f ca="1">IF(AND(ISNUMBER($AS$316),$B$252=1),$AS$316,HLOOKUP(INDIRECT(ADDRESS(2,COLUMN())),OFFSET($CL$2,0,0,ROW()-1,84),ROW()-1,FALSE))</f>
        <v/>
      </c>
      <c r="AT74" t="str">
        <f ca="1">IF(AND(ISNUMBER($AT$316),$B$252=1),$AT$316,HLOOKUP(INDIRECT(ADDRESS(2,COLUMN())),OFFSET($CL$2,0,0,ROW()-1,84),ROW()-1,FALSE))</f>
        <v/>
      </c>
      <c r="AU74" t="str">
        <f ca="1">IF(AND(ISNUMBER($AU$316),$B$252=1),$AU$316,HLOOKUP(INDIRECT(ADDRESS(2,COLUMN())),OFFSET($CL$2,0,0,ROW()-1,84),ROW()-1,FALSE))</f>
        <v/>
      </c>
      <c r="AV74" t="str">
        <f ca="1">IF(AND(ISNUMBER($AV$316),$B$252=1),$AV$316,HLOOKUP(INDIRECT(ADDRESS(2,COLUMN())),OFFSET($CL$2,0,0,ROW()-1,84),ROW()-1,FALSE))</f>
        <v/>
      </c>
      <c r="AW74" t="str">
        <f ca="1">IF(AND(ISNUMBER($AW$316),$B$252=1),$AW$316,HLOOKUP(INDIRECT(ADDRESS(2,COLUMN())),OFFSET($CL$2,0,0,ROW()-1,84),ROW()-1,FALSE))</f>
        <v/>
      </c>
      <c r="AX74" t="str">
        <f ca="1">IF(AND(ISNUMBER($AX$316),$B$252=1),$AX$316,HLOOKUP(INDIRECT(ADDRESS(2,COLUMN())),OFFSET($CL$2,0,0,ROW()-1,84),ROW()-1,FALSE))</f>
        <v/>
      </c>
      <c r="AY74">
        <f ca="1">IF(AND(ISNUMBER($AY$316),$B$252=1),$AY$316,HLOOKUP(INDIRECT(ADDRESS(2,COLUMN())),OFFSET($CL$2,0,0,ROW()-1,84),ROW()-1,FALSE))</f>
        <v>19.97461599</v>
      </c>
      <c r="AZ74">
        <f ca="1">IF(AND(ISNUMBER($AZ$316),$B$252=1),$AZ$316,HLOOKUP(INDIRECT(ADDRESS(2,COLUMN())),OFFSET($CL$2,0,0,ROW()-1,84),ROW()-1,FALSE))</f>
        <v>19.193485760000002</v>
      </c>
      <c r="BA74">
        <f ca="1">IF(AND(ISNUMBER($BA$316),$B$252=1),$BA$316,HLOOKUP(INDIRECT(ADDRESS(2,COLUMN())),OFFSET($CL$2,0,0,ROW()-1,84),ROW()-1,FALSE))</f>
        <v>18.035739159999999</v>
      </c>
      <c r="BB74">
        <f ca="1">IF(AND(ISNUMBER($BB$316),$B$252=1),$BB$316,HLOOKUP(INDIRECT(ADDRESS(2,COLUMN())),OFFSET($CL$2,0,0,ROW()-1,84),ROW()-1,FALSE))</f>
        <v>18.014816029999999</v>
      </c>
      <c r="BC74">
        <f ca="1">IF(AND(ISNUMBER($BC$316),$B$252=1),$BC$316,HLOOKUP(INDIRECT(ADDRESS(2,COLUMN())),OFFSET($CL$2,0,0,ROW()-1,84),ROW()-1,FALSE))</f>
        <v>18.243093139999999</v>
      </c>
      <c r="BD74">
        <f ca="1">IF(AND(ISNUMBER($BD$316),$B$252=1),$BD$316,HLOOKUP(INDIRECT(ADDRESS(2,COLUMN())),OFFSET($CL$2,0,0,ROW()-1,84),ROW()-1,FALSE))</f>
        <v>17.204063819999998</v>
      </c>
      <c r="BE74">
        <f ca="1">IF(AND(ISNUMBER($BE$316),$B$252=1),$BE$316,HLOOKUP(INDIRECT(ADDRESS(2,COLUMN())),OFFSET($CL$2,0,0,ROW()-1,84),ROW()-1,FALSE))</f>
        <v>16.504309370000001</v>
      </c>
      <c r="BF74">
        <f ca="1">IF(AND(ISNUMBER($BF$316),$B$252=1),$BF$316,HLOOKUP(INDIRECT(ADDRESS(2,COLUMN())),OFFSET($CL$2,0,0,ROW()-1,84),ROW()-1,FALSE))</f>
        <v>16.354061229999999</v>
      </c>
      <c r="BG74">
        <f ca="1">IF(AND(ISNUMBER($BG$316),$B$252=1),$BG$316,HLOOKUP(INDIRECT(ADDRESS(2,COLUMN())),OFFSET($CL$2,0,0,ROW()-1,84),ROW()-1,FALSE))</f>
        <v>17.436366960000001</v>
      </c>
      <c r="BH74">
        <f ca="1">IF(AND(ISNUMBER($BH$316),$B$252=1),$BH$316,HLOOKUP(INDIRECT(ADDRESS(2,COLUMN())),OFFSET($CL$2,0,0,ROW()-1,84),ROW()-1,FALSE))</f>
        <v>16.65626348</v>
      </c>
      <c r="BI74">
        <f ca="1">IF(AND(ISNUMBER($BI$316),$B$252=1),$BI$316,HLOOKUP(INDIRECT(ADDRESS(2,COLUMN())),OFFSET($CL$2,0,0,ROW()-1,84),ROW()-1,FALSE))</f>
        <v>15.91902307</v>
      </c>
      <c r="BJ74">
        <f ca="1">IF(AND(ISNUMBER($BJ$316),$B$252=1),$BJ$316,HLOOKUP(INDIRECT(ADDRESS(2,COLUMN())),OFFSET($CL$2,0,0,ROW()-1,84),ROW()-1,FALSE))</f>
        <v>17.645521810000002</v>
      </c>
      <c r="BK74">
        <f ca="1">IF(AND(ISNUMBER($BK$316),$B$252=1),$BK$316,HLOOKUP(INDIRECT(ADDRESS(2,COLUMN())),OFFSET($CL$2,0,0,ROW()-1,84),ROW()-1,FALSE))</f>
        <v>17.962633820000001</v>
      </c>
      <c r="BL74">
        <f ca="1">IF(AND(ISNUMBER($BL$316),$B$252=1),$BL$316,HLOOKUP(INDIRECT(ADDRESS(2,COLUMN())),OFFSET($CL$2,0,0,ROW()-1,84),ROW()-1,FALSE))</f>
        <v>17.295839239999999</v>
      </c>
      <c r="BM74">
        <f ca="1">IF(AND(ISNUMBER($BM$316),$B$252=1),$BM$316,HLOOKUP(INDIRECT(ADDRESS(2,COLUMN())),OFFSET($CL$2,0,0,ROW()-1,84),ROW()-1,FALSE))</f>
        <v>17.444880120000001</v>
      </c>
      <c r="BN74">
        <f ca="1">IF(AND(ISNUMBER($BN$316),$B$252=1),$BN$316,HLOOKUP(INDIRECT(ADDRESS(2,COLUMN())),OFFSET($CL$2,0,0,ROW()-1,84),ROW()-1,FALSE))</f>
        <v>17.16808992</v>
      </c>
      <c r="BO74">
        <f ca="1">IF(AND(ISNUMBER($BO$316),$B$252=1),$BO$316,HLOOKUP(INDIRECT(ADDRESS(2,COLUMN())),OFFSET($CL$2,0,0,ROW()-1,84),ROW()-1,FALSE))</f>
        <v>16.68453118</v>
      </c>
      <c r="BP74">
        <f ca="1">IF(AND(ISNUMBER($BP$316),$B$252=1),$BP$316,HLOOKUP(INDIRECT(ADDRESS(2,COLUMN())),OFFSET($CL$2,0,0,ROW()-1,84),ROW()-1,FALSE))</f>
        <v>16.70550922</v>
      </c>
      <c r="BQ74">
        <f ca="1">IF(AND(ISNUMBER($BQ$316),$B$252=1),$BQ$316,HLOOKUP(INDIRECT(ADDRESS(2,COLUMN())),OFFSET($CL$2,0,0,ROW()-1,84),ROW()-1,FALSE))</f>
        <v>16.62858975</v>
      </c>
      <c r="BR74">
        <f ca="1">IF(AND(ISNUMBER($BR$316),$B$252=1),$BR$316,HLOOKUP(INDIRECT(ADDRESS(2,COLUMN())),OFFSET($CL$2,0,0,ROW()-1,84),ROW()-1,FALSE))</f>
        <v>16.250343059999999</v>
      </c>
      <c r="BS74">
        <f ca="1">IF(AND(ISNUMBER($BS$316),$B$252=1),$BS$316,HLOOKUP(INDIRECT(ADDRESS(2,COLUMN())),OFFSET($CL$2,0,0,ROW()-1,84),ROW()-1,FALSE))</f>
        <v>17.14019235</v>
      </c>
      <c r="BT74">
        <f ca="1">IF(AND(ISNUMBER($BT$316),$B$252=1),$BT$316,HLOOKUP(INDIRECT(ADDRESS(2,COLUMN())),OFFSET($CL$2,0,0,ROW()-1,84),ROW()-1,FALSE))</f>
        <v>17.52861863</v>
      </c>
      <c r="BU74">
        <f ca="1">IF(AND(ISNUMBER($BU$316),$B$252=1),$BU$316,HLOOKUP(INDIRECT(ADDRESS(2,COLUMN())),OFFSET($CL$2,0,0,ROW()-1,84),ROW()-1,FALSE))</f>
        <v>17.96990435</v>
      </c>
      <c r="BV74">
        <f ca="1">IF(AND(ISNUMBER($BV$316),$B$252=1),$BV$316,HLOOKUP(INDIRECT(ADDRESS(2,COLUMN())),OFFSET($CL$2,0,0,ROW()-1,84),ROW()-1,FALSE))</f>
        <v>18.937788309999998</v>
      </c>
      <c r="BW74">
        <f ca="1">IF(AND(ISNUMBER($BW$316),$B$252=1),$BW$316,HLOOKUP(INDIRECT(ADDRESS(2,COLUMN())),OFFSET($CL$2,0,0,ROW()-1,84),ROW()-1,FALSE))</f>
        <v>18.389795190000001</v>
      </c>
      <c r="BX74">
        <f ca="1">IF(AND(ISNUMBER($BX$316),$B$252=1),$BX$316,HLOOKUP(INDIRECT(ADDRESS(2,COLUMN())),OFFSET($CL$2,0,0,ROW()-1,84),ROW()-1,FALSE))</f>
        <v>18.579319300000002</v>
      </c>
      <c r="BY74">
        <f ca="1">IF(AND(ISNUMBER($BY$316),$B$252=1),$BY$316,HLOOKUP(INDIRECT(ADDRESS(2,COLUMN())),OFFSET($CL$2,0,0,ROW()-1,84),ROW()-1,FALSE))</f>
        <v>18.887779040000002</v>
      </c>
      <c r="BZ74">
        <f ca="1">IF(AND(ISNUMBER($BZ$316),$B$252=1),$BZ$316,HLOOKUP(INDIRECT(ADDRESS(2,COLUMN())),OFFSET($CL$2,0,0,ROW()-1,84),ROW()-1,FALSE))</f>
        <v>19.16037137</v>
      </c>
      <c r="CA74">
        <f ca="1">IF(AND(ISNUMBER($CA$316),$B$252=1),$CA$316,HLOOKUP(INDIRECT(ADDRESS(2,COLUMN())),OFFSET($CL$2,0,0,ROW()-1,84),ROW()-1,FALSE))</f>
        <v>18.594604669999999</v>
      </c>
      <c r="CB74">
        <f ca="1">IF(AND(ISNUMBER($CB$316),$B$252=1),$CB$316,HLOOKUP(INDIRECT(ADDRESS(2,COLUMN())),OFFSET($CL$2,0,0,ROW()-1,84),ROW()-1,FALSE))</f>
        <v>19.337794299999999</v>
      </c>
      <c r="CC74">
        <f ca="1">IF(AND(ISNUMBER($CC$316),$B$252=1),$CC$316,HLOOKUP(INDIRECT(ADDRESS(2,COLUMN())),OFFSET($CL$2,0,0,ROW()-1,84),ROW()-1,FALSE))</f>
        <v>18.654059839999999</v>
      </c>
      <c r="CD74">
        <f ca="1">IF(AND(ISNUMBER($CD$316),$B$252=1),$CD$316,HLOOKUP(INDIRECT(ADDRESS(2,COLUMN())),OFFSET($CL$2,0,0,ROW()-1,84),ROW()-1,FALSE))</f>
        <v>18.328974469999999</v>
      </c>
      <c r="CE74">
        <f ca="1">IF(AND(ISNUMBER($CE$316),$B$252=1),$CE$316,HLOOKUP(INDIRECT(ADDRESS(2,COLUMN())),OFFSET($CL$2,0,0,ROW()-1,84),ROW()-1,FALSE))</f>
        <v>19.444312069999999</v>
      </c>
      <c r="CF74">
        <f ca="1">IF(AND(ISNUMBER($CF$316),$B$252=1),$CF$316,HLOOKUP(INDIRECT(ADDRESS(2,COLUMN())),OFFSET($CL$2,0,0,ROW()-1,84),ROW()-1,FALSE))</f>
        <v>17.268233819999999</v>
      </c>
      <c r="CG74">
        <f ca="1">IF(AND(ISNUMBER($CG$316),$B$252=1),$CG$316,HLOOKUP(INDIRECT(ADDRESS(2,COLUMN())),OFFSET($CL$2,0,0,ROW()-1,84),ROW()-1,FALSE))</f>
        <v>21.817283270000001</v>
      </c>
      <c r="CH74">
        <f ca="1">IF(AND(ISNUMBER($CH$316),$B$252=1),$CH$316,HLOOKUP(INDIRECT(ADDRESS(2,COLUMN())),OFFSET($CL$2,0,0,ROW()-1,84),ROW()-1,FALSE))</f>
        <v>21.49055495</v>
      </c>
      <c r="CI74">
        <f ca="1">IF(AND(ISNUMBER($CI$316),$B$252=1),$CI$316,HLOOKUP(INDIRECT(ADDRESS(2,COLUMN())),OFFSET($CL$2,0,0,ROW()-1,84),ROW()-1,FALSE))</f>
        <v>20.052950360000001</v>
      </c>
      <c r="CJ74">
        <f ca="1">IF(AND(ISNUMBER($CJ$316),$B$252=1),$CJ$316,HLOOKUP(INDIRECT(ADDRESS(2,COLUMN())),OFFSET($CL$2,0,0,ROW()-1,84),ROW()-1,FALSE))</f>
        <v>22.192191730000001</v>
      </c>
      <c r="CK74">
        <f ca="1">IF(AND(ISNUMBER($CK$316),$B$252=1),$CK$316,HLOOKUP(INDIRECT(ADDRESS(2,COLUMN())),OFFSET($CL$2,0,0,ROW()-1,84),ROW()-1,FALSE))</f>
        <v>22.04742302</v>
      </c>
      <c r="CL74">
        <f>18.89266042</f>
        <v>18.892660419999999</v>
      </c>
      <c r="CM74">
        <f>17.98333079</f>
        <v>17.98333079</v>
      </c>
      <c r="CN74">
        <f>19.53988916</f>
        <v>19.539889160000001</v>
      </c>
      <c r="CO74">
        <f>20.60433974</f>
        <v>20.60433974</v>
      </c>
      <c r="CP74">
        <f>21.25029802</f>
        <v>21.250298019999999</v>
      </c>
      <c r="CQ74">
        <f>20.95853191</f>
        <v>20.958531910000001</v>
      </c>
      <c r="CR74">
        <f>20.54789813</f>
        <v>20.54789813</v>
      </c>
      <c r="CS74">
        <f>21.17976681</f>
        <v>21.17976681</v>
      </c>
      <c r="CT74">
        <f>21.32707586</f>
        <v>21.327075860000001</v>
      </c>
      <c r="CU74">
        <f>21.26160517</f>
        <v>21.261605169999999</v>
      </c>
      <c r="CV74">
        <f>21.34834761</f>
        <v>21.348347610000001</v>
      </c>
      <c r="CW74">
        <f>20.64613571</f>
        <v>20.646135709999999</v>
      </c>
      <c r="CX74">
        <f>20.04897913</f>
        <v>20.048979129999999</v>
      </c>
      <c r="CY74">
        <f>20.4321178</f>
        <v>20.4321178</v>
      </c>
      <c r="CZ74">
        <f>19.56445252</f>
        <v>19.56445252</v>
      </c>
      <c r="DA74">
        <f>20.42092212</f>
        <v>20.42092212</v>
      </c>
      <c r="DB74">
        <f>19.42647475</f>
        <v>19.426474750000001</v>
      </c>
      <c r="DC74">
        <f>19.95722157</f>
        <v>19.957221570000002</v>
      </c>
      <c r="DD74">
        <f>20.53933098</f>
        <v>20.539330979999999</v>
      </c>
      <c r="DE74">
        <f>20.99642745</f>
        <v>20.996427449999999</v>
      </c>
      <c r="DF74">
        <f>21.6057765</f>
        <v>21.605776500000001</v>
      </c>
      <c r="DG74">
        <f>21.42587345</f>
        <v>21.425873450000001</v>
      </c>
      <c r="DH74">
        <f>21.23054105</f>
        <v>21.230541049999999</v>
      </c>
      <c r="DI74">
        <f>20.57647775</f>
        <v>20.576477749999999</v>
      </c>
      <c r="DJ74">
        <f>22.70365658</f>
        <v>22.703656580000001</v>
      </c>
      <c r="DK74">
        <f>20.58652354</f>
        <v>20.586523540000002</v>
      </c>
      <c r="DL74">
        <f>21.34210232</f>
        <v>21.342102319999999</v>
      </c>
      <c r="DM74">
        <f>22.52944041</f>
        <v>22.529440409999999</v>
      </c>
      <c r="DN74">
        <f>22.59980453</f>
        <v>22.59980453</v>
      </c>
      <c r="DO74">
        <f>21.09968204</f>
        <v>21.099682040000001</v>
      </c>
      <c r="DP74">
        <f>21.11192793</f>
        <v>21.11192793</v>
      </c>
      <c r="DQ74" t="str">
        <f>""</f>
        <v/>
      </c>
      <c r="DR74" t="str">
        <f>""</f>
        <v/>
      </c>
      <c r="DS74" t="str">
        <f>""</f>
        <v/>
      </c>
      <c r="DT74" t="str">
        <f>""</f>
        <v/>
      </c>
      <c r="DU74" t="str">
        <f>""</f>
        <v/>
      </c>
      <c r="DV74" t="str">
        <f>""</f>
        <v/>
      </c>
      <c r="DW74" t="str">
        <f>""</f>
        <v/>
      </c>
      <c r="DX74" t="str">
        <f>""</f>
        <v/>
      </c>
      <c r="DY74" t="str">
        <f>""</f>
        <v/>
      </c>
      <c r="DZ74" t="str">
        <f>""</f>
        <v/>
      </c>
      <c r="EA74" t="str">
        <f>""</f>
        <v/>
      </c>
      <c r="EB74" t="str">
        <f>""</f>
        <v/>
      </c>
      <c r="EC74" t="str">
        <f>""</f>
        <v/>
      </c>
      <c r="ED74" t="str">
        <f>""</f>
        <v/>
      </c>
      <c r="EE74">
        <f>19.97461599</f>
        <v>19.97461599</v>
      </c>
      <c r="EF74">
        <f>19.19348576</f>
        <v>19.193485760000002</v>
      </c>
      <c r="EG74">
        <f>18.03573916</f>
        <v>18.035739159999999</v>
      </c>
      <c r="EH74">
        <f>18.01481603</f>
        <v>18.014816029999999</v>
      </c>
      <c r="EI74">
        <f>18.24309314</f>
        <v>18.243093139999999</v>
      </c>
      <c r="EJ74">
        <f>17.20406382</f>
        <v>17.204063819999998</v>
      </c>
      <c r="EK74">
        <f>16.50430937</f>
        <v>16.504309370000001</v>
      </c>
      <c r="EL74">
        <f>16.35406123</f>
        <v>16.354061229999999</v>
      </c>
      <c r="EM74">
        <f>17.43636696</f>
        <v>17.436366960000001</v>
      </c>
      <c r="EN74">
        <f>16.65626348</f>
        <v>16.65626348</v>
      </c>
      <c r="EO74">
        <f>15.91902307</f>
        <v>15.91902307</v>
      </c>
      <c r="EP74">
        <f>17.64552181</f>
        <v>17.645521810000002</v>
      </c>
      <c r="EQ74">
        <f>17.96263382</f>
        <v>17.962633820000001</v>
      </c>
      <c r="ER74">
        <f>17.29583924</f>
        <v>17.295839239999999</v>
      </c>
      <c r="ES74">
        <f>17.44488012</f>
        <v>17.444880120000001</v>
      </c>
      <c r="ET74">
        <f>17.16808992</f>
        <v>17.16808992</v>
      </c>
      <c r="EU74">
        <f>16.68453118</f>
        <v>16.68453118</v>
      </c>
      <c r="EV74">
        <f>16.70550922</f>
        <v>16.70550922</v>
      </c>
      <c r="EW74">
        <f>16.62858975</f>
        <v>16.62858975</v>
      </c>
      <c r="EX74">
        <f>16.25034306</f>
        <v>16.250343059999999</v>
      </c>
      <c r="EY74">
        <f>17.14019235</f>
        <v>17.14019235</v>
      </c>
      <c r="EZ74">
        <f>17.52861863</f>
        <v>17.52861863</v>
      </c>
      <c r="FA74">
        <f>17.96990435</f>
        <v>17.96990435</v>
      </c>
      <c r="FB74">
        <f>18.93778831</f>
        <v>18.937788309999998</v>
      </c>
      <c r="FC74">
        <f>18.38979519</f>
        <v>18.389795190000001</v>
      </c>
      <c r="FD74">
        <f>18.5793193</f>
        <v>18.579319300000002</v>
      </c>
      <c r="FE74">
        <f>18.88777904</f>
        <v>18.887779040000002</v>
      </c>
      <c r="FF74">
        <f>19.16037137</f>
        <v>19.16037137</v>
      </c>
      <c r="FG74">
        <f>18.59460467</f>
        <v>18.594604669999999</v>
      </c>
      <c r="FH74">
        <f>19.3377943</f>
        <v>19.337794299999999</v>
      </c>
      <c r="FI74">
        <f>18.65405984</f>
        <v>18.654059839999999</v>
      </c>
      <c r="FJ74">
        <f>18.32897447</f>
        <v>18.328974469999999</v>
      </c>
      <c r="FK74">
        <f>19.44431207</f>
        <v>19.444312069999999</v>
      </c>
      <c r="FL74">
        <f>17.26823382</f>
        <v>17.268233819999999</v>
      </c>
      <c r="FM74">
        <f>21.81728327</f>
        <v>21.817283270000001</v>
      </c>
      <c r="FN74">
        <f>21.49055495</f>
        <v>21.49055495</v>
      </c>
      <c r="FO74">
        <f>20.05295036</f>
        <v>20.052950360000001</v>
      </c>
      <c r="FP74">
        <f>22.19219173</f>
        <v>22.192191730000001</v>
      </c>
      <c r="FQ74">
        <f>22.04742302</f>
        <v>22.04742302</v>
      </c>
    </row>
    <row r="75" spans="1:173">
      <c r="A75" t="str">
        <f>"P/FAD TTM"</f>
        <v>P/FAD TTM</v>
      </c>
      <c r="B75" t="str">
        <f>"BRFREITV Index"</f>
        <v>BRFREITV Index</v>
      </c>
      <c r="E75" t="str">
        <f>"Median"</f>
        <v>Median</v>
      </c>
      <c r="F75">
        <f ca="1">IF(ISERROR(IF(MEDIAN($F$76:$F$82) = 0, "", MEDIAN($F$76:$F$82))), "", (IF(MEDIAN($F$76:$F$82) = 0, "", MEDIAN($F$76:$F$82))))</f>
        <v>20.385625659999999</v>
      </c>
      <c r="G75">
        <f ca="1">IF(ISERROR(IF(MEDIAN($G$76:$G$82) = 0, "", MEDIAN($G$76:$G$82))), "", (IF(MEDIAN($G$76:$G$82) = 0, "", MEDIAN($G$76:$G$82))))</f>
        <v>19.32556434</v>
      </c>
      <c r="H75">
        <f ca="1">IF(ISERROR(IF(MEDIAN($H$76:$H$82) = 0, "", MEDIAN($H$76:$H$82))), "", (IF(MEDIAN($H$76:$H$82) = 0, "", MEDIAN($H$76:$H$82))))</f>
        <v>21.154765359999999</v>
      </c>
      <c r="I75">
        <f ca="1">IF(ISERROR(IF(MEDIAN($I$76:$I$82) = 0, "", MEDIAN($I$76:$I$82))), "", (IF(MEDIAN($I$76:$I$82) = 0, "", MEDIAN($I$76:$I$82))))</f>
        <v>21.89643543</v>
      </c>
      <c r="J75">
        <f ca="1">IF(ISERROR(IF(MEDIAN($J$76:$J$82) = 0, "", MEDIAN($J$76:$J$82))), "", (IF(MEDIAN($J$76:$J$82) = 0, "", MEDIAN($J$76:$J$82))))</f>
        <v>23.197565839999999</v>
      </c>
      <c r="K75">
        <f ca="1">IF(ISERROR(IF(MEDIAN($K$76:$K$82) = 0, "", MEDIAN($K$76:$K$82))), "", (IF(MEDIAN($K$76:$K$82) = 0, "", MEDIAN($K$76:$K$82))))</f>
        <v>23.303709080000001</v>
      </c>
      <c r="L75">
        <f ca="1">IF(ISERROR(IF(MEDIAN($L$76:$L$82) = 0, "", MEDIAN($L$76:$L$82))), "", (IF(MEDIAN($L$76:$L$82) = 0, "", MEDIAN($L$76:$L$82))))</f>
        <v>22.557791479999999</v>
      </c>
      <c r="M75">
        <f ca="1">IF(ISERROR(IF(MEDIAN($M$76:$M$82) = 0, "", MEDIAN($M$76:$M$82))), "", (IF(MEDIAN($M$76:$M$82) = 0, "", MEDIAN($M$76:$M$82))))</f>
        <v>23.347515300000001</v>
      </c>
      <c r="N75">
        <f ca="1">IF(ISERROR(IF(MEDIAN($N$76:$N$82) = 0, "", MEDIAN($N$76:$N$82))), "", (IF(MEDIAN($N$76:$N$82) = 0, "", MEDIAN($N$76:$N$82))))</f>
        <v>23.33214821</v>
      </c>
      <c r="O75">
        <f ca="1">IF(ISERROR(IF(MEDIAN($O$76:$O$82) = 0, "", MEDIAN($O$76:$O$82))), "", (IF(MEDIAN($O$76:$O$82) = 0, "", MEDIAN($O$76:$O$82))))</f>
        <v>23.152699810000001</v>
      </c>
      <c r="P75">
        <f ca="1">IF(ISERROR(IF(MEDIAN($P$76:$P$82) = 0, "", MEDIAN($P$76:$P$82))), "", (IF(MEDIAN($P$76:$P$82) = 0, "", MEDIAN($P$76:$P$82))))</f>
        <v>23.027293449999998</v>
      </c>
      <c r="Q75">
        <f ca="1">IF(ISERROR(IF(MEDIAN($Q$76:$Q$82) = 0, "", MEDIAN($Q$76:$Q$82))), "", (IF(MEDIAN($Q$76:$Q$82) = 0, "", MEDIAN($Q$76:$Q$82))))</f>
        <v>22.20690914</v>
      </c>
      <c r="R75">
        <f ca="1">IF(ISERROR(IF(MEDIAN($R$76:$R$82) = 0, "", MEDIAN($R$76:$R$82))), "", (IF(MEDIAN($R$76:$R$82) = 0, "", MEDIAN($R$76:$R$82))))</f>
        <v>21.978849579999999</v>
      </c>
      <c r="S75">
        <f ca="1">IF(ISERROR(IF(MEDIAN($S$76:$S$82) = 0, "", MEDIAN($S$76:$S$82))), "", (IF(MEDIAN($S$76:$S$82) = 0, "", MEDIAN($S$76:$S$82))))</f>
        <v>22.438170599999999</v>
      </c>
      <c r="T75">
        <f ca="1">IF(ISERROR(IF(MEDIAN($T$76:$T$82) = 0, "", MEDIAN($T$76:$T$82))), "", (IF(MEDIAN($T$76:$T$82) = 0, "", MEDIAN($T$76:$T$82))))</f>
        <v>21.485316780000002</v>
      </c>
      <c r="U75">
        <f ca="1">IF(ISERROR(IF(MEDIAN($U$76:$U$82) = 0, "", MEDIAN($U$76:$U$82))), "", (IF(MEDIAN($U$76:$U$82) = 0, "", MEDIAN($U$76:$U$82))))</f>
        <v>22.42587571</v>
      </c>
      <c r="V75">
        <f ca="1">IF(ISERROR(IF(MEDIAN($V$76:$V$82) = 0, "", MEDIAN($V$76:$V$82))), "", (IF(MEDIAN($V$76:$V$82) = 0, "", MEDIAN($V$76:$V$82))))</f>
        <v>21.214695259999999</v>
      </c>
      <c r="W75">
        <f ca="1">IF(ISERROR(IF(MEDIAN($W$76:$W$82) = 0, "", MEDIAN($W$76:$W$82))), "", (IF(MEDIAN($W$76:$W$82) = 0, "", MEDIAN($W$76:$W$82))))</f>
        <v>21.47400399</v>
      </c>
      <c r="X75">
        <f ca="1">IF(ISERROR(IF(MEDIAN($X$76:$X$82) = 0, "", MEDIAN($X$76:$X$82))), "", (IF(MEDIAN($X$76:$X$82) = 0, "", MEDIAN($X$76:$X$82))))</f>
        <v>21.761095789999999</v>
      </c>
      <c r="Y75">
        <f ca="1">IF(ISERROR(IF(MEDIAN($Y$76:$Y$82) = 0, "", MEDIAN($Y$76:$Y$82))), "", (IF(MEDIAN($Y$76:$Y$82) = 0, "", MEDIAN($Y$76:$Y$82))))</f>
        <v>22.491048450000001</v>
      </c>
      <c r="Z75">
        <f ca="1">IF(ISERROR(IF(MEDIAN($Z$76:$Z$82) = 0, "", MEDIAN($Z$76:$Z$82))), "", (IF(MEDIAN($Z$76:$Z$82) = 0, "", MEDIAN($Z$76:$Z$82))))</f>
        <v>23.460263139999999</v>
      </c>
      <c r="AA75">
        <f ca="1">IF(ISERROR(IF(MEDIAN($AA$76:$AA$82) = 0, "", MEDIAN($AA$76:$AA$82))), "", (IF(MEDIAN($AA$76:$AA$82) = 0, "", MEDIAN($AA$76:$AA$82))))</f>
        <v>22.53655036</v>
      </c>
      <c r="AB75">
        <f ca="1">IF(ISERROR(IF(MEDIAN($AB$76:$AB$82) = 0, "", MEDIAN($AB$76:$AB$82))), "", (IF(MEDIAN($AB$76:$AB$82) = 0, "", MEDIAN($AB$76:$AB$82))))</f>
        <v>22.272267249999999</v>
      </c>
      <c r="AC75">
        <f ca="1">IF(ISERROR(IF(MEDIAN($AC$76:$AC$82) = 0, "", MEDIAN($AC$76:$AC$82))), "", (IF(MEDIAN($AC$76:$AC$82) = 0, "", MEDIAN($AC$76:$AC$82))))</f>
        <v>21.607716029999999</v>
      </c>
      <c r="AD75">
        <f ca="1">IF(ISERROR(IF(MEDIAN($AD$76:$AD$82) = 0, "", MEDIAN($AD$76:$AD$82))), "", (IF(MEDIAN($AD$76:$AD$82) = 0, "", MEDIAN($AD$76:$AD$82))))</f>
        <v>23.768183799999999</v>
      </c>
      <c r="AE75">
        <f ca="1">IF(ISERROR(IF(MEDIAN($AE$76:$AE$82) = 0, "", MEDIAN($AE$76:$AE$82))), "", (IF(MEDIAN($AE$76:$AE$82) = 0, "", MEDIAN($AE$76:$AE$82))))</f>
        <v>21.839080330000002</v>
      </c>
      <c r="AF75">
        <f ca="1">IF(ISERROR(IF(MEDIAN($AF$76:$AF$82) = 0, "", MEDIAN($AF$76:$AF$82))), "", (IF(MEDIAN($AF$76:$AF$82) = 0, "", MEDIAN($AF$76:$AF$82))))</f>
        <v>22.78121544</v>
      </c>
      <c r="AG75">
        <f ca="1">IF(ISERROR(IF(MEDIAN($AG$76:$AG$82) = 0, "", MEDIAN($AG$76:$AG$82))), "", (IF(MEDIAN($AG$76:$AG$82) = 0, "", MEDIAN($AG$76:$AG$82))))</f>
        <v>24.392318400000001</v>
      </c>
      <c r="AH75">
        <f ca="1">IF(ISERROR(IF(MEDIAN($AH$76:$AH$82) = 0, "", MEDIAN($AH$76:$AH$82))), "", (IF(MEDIAN($AH$76:$AH$82) = 0, "", MEDIAN($AH$76:$AH$82))))</f>
        <v>24.93602357</v>
      </c>
      <c r="AI75">
        <f ca="1">IF(ISERROR(IF(MEDIAN($AI$76:$AI$82) = 0, "", MEDIAN($AI$76:$AI$82))), "", (IF(MEDIAN($AI$76:$AI$82) = 0, "", MEDIAN($AI$76:$AI$82))))</f>
        <v>23.48480391</v>
      </c>
      <c r="AJ75">
        <f ca="1">IF(ISERROR(IF(MEDIAN($AJ$76:$AJ$82) = 0, "", MEDIAN($AJ$76:$AJ$82))), "", (IF(MEDIAN($AJ$76:$AJ$82) = 0, "", MEDIAN($AJ$76:$AJ$82))))</f>
        <v>23.49843409</v>
      </c>
      <c r="AK75">
        <f ca="1">IF(ISERROR(IF(MEDIAN($AK$76:$AK$82) = 0, "", MEDIAN($AK$76:$AK$82))), "", (IF(MEDIAN($AK$76:$AK$82) = 0, "", MEDIAN($AK$76:$AK$82))))</f>
        <v>22.045604019999999</v>
      </c>
      <c r="AL75">
        <f ca="1">IF(ISERROR(IF(MEDIAN($AL$76:$AL$82) = 0, "", MEDIAN($AL$76:$AL$82))), "", (IF(MEDIAN($AL$76:$AL$82) = 0, "", MEDIAN($AL$76:$AL$82))))</f>
        <v>23.505066599999999</v>
      </c>
      <c r="AM75">
        <f ca="1">IF(ISERROR(IF(MEDIAN($AM$76:$AM$82) = 0, "", MEDIAN($AM$76:$AM$82))), "", (IF(MEDIAN($AM$76:$AM$82) = 0, "", MEDIAN($AM$76:$AM$82))))</f>
        <v>22.125640385000001</v>
      </c>
      <c r="AN75">
        <f ca="1">IF(ISERROR(IF(MEDIAN($AN$76:$AN$82) = 0, "", MEDIAN($AN$76:$AN$82))), "", (IF(MEDIAN($AN$76:$AN$82) = 0, "", MEDIAN($AN$76:$AN$82))))</f>
        <v>23.56718326</v>
      </c>
      <c r="AO75">
        <f ca="1">IF(ISERROR(IF(MEDIAN($AO$76:$AO$82) = 0, "", MEDIAN($AO$76:$AO$82))), "", (IF(MEDIAN($AO$76:$AO$82) = 0, "", MEDIAN($AO$76:$AO$82))))</f>
        <v>23.408492955</v>
      </c>
      <c r="AP75">
        <f ca="1">IF(ISERROR(IF(MEDIAN($AP$76:$AP$82) = 0, "", MEDIAN($AP$76:$AP$82))), "", (IF(MEDIAN($AP$76:$AP$82) = 0, "", MEDIAN($AP$76:$AP$82))))</f>
        <v>24.580058999999999</v>
      </c>
      <c r="AQ75">
        <f ca="1">IF(ISERROR(IF(MEDIAN($AQ$76:$AQ$82) = 0, "", MEDIAN($AQ$76:$AQ$82))), "", (IF(MEDIAN($AQ$76:$AQ$82) = 0, "", MEDIAN($AQ$76:$AQ$82))))</f>
        <v>24.137101585</v>
      </c>
      <c r="AR75">
        <f ca="1">IF(ISERROR(IF(MEDIAN($AR$76:$AR$82) = 0, "", MEDIAN($AR$76:$AR$82))), "", (IF(MEDIAN($AR$76:$AR$82) = 0, "", MEDIAN($AR$76:$AR$82))))</f>
        <v>25.1421919</v>
      </c>
      <c r="AS75">
        <f ca="1">IF(ISERROR(IF(MEDIAN($AS$76:$AS$82) = 0, "", MEDIAN($AS$76:$AS$82))), "", (IF(MEDIAN($AS$76:$AS$82) = 0, "", MEDIAN($AS$76:$AS$82))))</f>
        <v>23.470968124999999</v>
      </c>
      <c r="AT75">
        <f ca="1">IF(ISERROR(IF(MEDIAN($AT$76:$AT$82) = 0, "", MEDIAN($AT$76:$AT$82))), "", (IF(MEDIAN($AT$76:$AT$82) = 0, "", MEDIAN($AT$76:$AT$82))))</f>
        <v>23.693249129999998</v>
      </c>
      <c r="AU75">
        <f ca="1">IF(ISERROR(IF(MEDIAN($AU$76:$AU$82) = 0, "", MEDIAN($AU$76:$AU$82))), "", (IF(MEDIAN($AU$76:$AU$82) = 0, "", MEDIAN($AU$76:$AU$82))))</f>
        <v>22.87082801</v>
      </c>
      <c r="AV75">
        <f ca="1">IF(ISERROR(IF(MEDIAN($AV$76:$AV$82) = 0, "", MEDIAN($AV$76:$AV$82))), "", (IF(MEDIAN($AV$76:$AV$82) = 0, "", MEDIAN($AV$76:$AV$82))))</f>
        <v>20.465090249999999</v>
      </c>
      <c r="AW75">
        <f ca="1">IF(ISERROR(IF(MEDIAN($AW$76:$AW$82) = 0, "", MEDIAN($AW$76:$AW$82))), "", (IF(MEDIAN($AW$76:$AW$82) = 0, "", MEDIAN($AW$76:$AW$82))))</f>
        <v>22.738566435000003</v>
      </c>
      <c r="AX75">
        <f ca="1">IF(ISERROR(IF(MEDIAN($AX$76:$AX$82) = 0, "", MEDIAN($AX$76:$AX$82))), "", (IF(MEDIAN($AX$76:$AX$82) = 0, "", MEDIAN($AX$76:$AX$82))))</f>
        <v>22.230609505</v>
      </c>
      <c r="AY75">
        <f ca="1">IF(ISERROR(IF(MEDIAN($AY$76:$AY$82) = 0, "", MEDIAN($AY$76:$AY$82))), "", (IF(MEDIAN($AY$76:$AY$82) = 0, "", MEDIAN($AY$76:$AY$82))))</f>
        <v>22.54917206</v>
      </c>
      <c r="AZ75">
        <f ca="1">IF(ISERROR(IF(MEDIAN($AZ$76:$AZ$82) = 0, "", MEDIAN($AZ$76:$AZ$82))), "", (IF(MEDIAN($AZ$76:$AZ$82) = 0, "", MEDIAN($AZ$76:$AZ$82))))</f>
        <v>21.667360859999999</v>
      </c>
      <c r="BA75">
        <f ca="1">IF(ISERROR(IF(MEDIAN($BA$76:$BA$82) = 0, "", MEDIAN($BA$76:$BA$82))), "", (IF(MEDIAN($BA$76:$BA$82) = 0, "", MEDIAN($BA$76:$BA$82))))</f>
        <v>20.360390689999999</v>
      </c>
      <c r="BB75">
        <f ca="1">IF(ISERROR(IF(MEDIAN($BB$76:$BB$82) = 0, "", MEDIAN($BB$76:$BB$82))), "", (IF(MEDIAN($BB$76:$BB$82) = 0, "", MEDIAN($BB$76:$BB$82))))</f>
        <v>20.336770749999999</v>
      </c>
      <c r="BC75">
        <f ca="1">IF(ISERROR(IF(MEDIAN($BC$76:$BC$82) = 0, "", MEDIAN($BC$76:$BC$82))), "", (IF(MEDIAN($BC$76:$BC$82) = 0, "", MEDIAN($BC$76:$BC$82))))</f>
        <v>20.641189740000002</v>
      </c>
      <c r="BD75">
        <f ca="1">IF(ISERROR(IF(MEDIAN($BD$76:$BD$82) = 0, "", MEDIAN($BD$76:$BD$82))), "", (IF(MEDIAN($BD$76:$BD$82) = 0, "", MEDIAN($BD$76:$BD$82))))</f>
        <v>19.46557761</v>
      </c>
      <c r="BE75">
        <f ca="1">IF(ISERROR(IF(MEDIAN($BE$76:$BE$82) = 0, "", MEDIAN($BE$76:$BE$82))), "", (IF(MEDIAN($BE$76:$BE$82) = 0, "", MEDIAN($BE$76:$BE$82))))</f>
        <v>18.673838839999998</v>
      </c>
      <c r="BF75">
        <f ca="1">IF(ISERROR(IF(MEDIAN($BF$76:$BF$82) = 0, "", MEDIAN($BF$76:$BF$82))), "", (IF(MEDIAN($BF$76:$BF$82) = 0, "", MEDIAN($BF$76:$BF$82))))</f>
        <v>18.353699370000001</v>
      </c>
      <c r="BG75">
        <f ca="1">IF(ISERROR(IF(MEDIAN($BG$76:$BG$82) = 0, "", MEDIAN($BG$76:$BG$82))), "", (IF(MEDIAN($BG$76:$BG$82) = 0, "", MEDIAN($BG$76:$BG$82))))</f>
        <v>19.88139469</v>
      </c>
      <c r="BH75">
        <f ca="1">IF(ISERROR(IF(MEDIAN($BH$76:$BH$82) = 0, "", MEDIAN($BH$76:$BH$82))), "", (IF(MEDIAN($BH$76:$BH$82) = 0, "", MEDIAN($BH$76:$BH$82))))</f>
        <v>18.943027220000001</v>
      </c>
      <c r="BI75">
        <f ca="1">IF(ISERROR(IF(MEDIAN($BI$76:$BI$82) = 0, "", MEDIAN($BI$76:$BI$82))), "", (IF(MEDIAN($BI$76:$BI$82) = 0, "", MEDIAN($BI$76:$BI$82))))</f>
        <v>18.94393985</v>
      </c>
      <c r="BJ75">
        <f ca="1">IF(ISERROR(IF(MEDIAN($BJ$76:$BJ$82) = 0, "", MEDIAN($BJ$76:$BJ$82))), "", (IF(MEDIAN($BJ$76:$BJ$82) = 0, "", MEDIAN($BJ$76:$BJ$82))))</f>
        <v>20.690912650000001</v>
      </c>
      <c r="BK75">
        <f ca="1">IF(ISERROR(IF(MEDIAN($BK$76:$BK$82) = 0, "", MEDIAN($BK$76:$BK$82))), "", (IF(MEDIAN($BK$76:$BK$82) = 0, "", MEDIAN($BK$76:$BK$82))))</f>
        <v>20.758299780000002</v>
      </c>
      <c r="BL75">
        <f ca="1">IF(ISERROR(IF(MEDIAN($BL$76:$BL$82) = 0, "", MEDIAN($BL$76:$BL$82))), "", (IF(MEDIAN($BL$76:$BL$82) = 0, "", MEDIAN($BL$76:$BL$82))))</f>
        <v>21.480654999999999</v>
      </c>
      <c r="BM75">
        <f ca="1">IF(ISERROR(IF(MEDIAN($BM$76:$BM$82) = 0, "", MEDIAN($BM$76:$BM$82))), "", (IF(MEDIAN($BM$76:$BM$82) = 0, "", MEDIAN($BM$76:$BM$82))))</f>
        <v>22.011384159999999</v>
      </c>
      <c r="BN75">
        <f ca="1">IF(ISERROR(IF(MEDIAN($BN$76:$BN$82) = 0, "", MEDIAN($BN$76:$BN$82))), "", (IF(MEDIAN($BN$76:$BN$82) = 0, "", MEDIAN($BN$76:$BN$82))))</f>
        <v>21.52183655</v>
      </c>
      <c r="BO75">
        <f ca="1">IF(ISERROR(IF(MEDIAN($BO$76:$BO$82) = 0, "", MEDIAN($BO$76:$BO$82))), "", (IF(MEDIAN($BO$76:$BO$82) = 0, "", MEDIAN($BO$76:$BO$82))))</f>
        <v>22.154135239999999</v>
      </c>
      <c r="BP75">
        <f ca="1">IF(ISERROR(IF(MEDIAN($BP$76:$BP$82) = 0, "", MEDIAN($BP$76:$BP$82))), "", (IF(MEDIAN($BP$76:$BP$82) = 0, "", MEDIAN($BP$76:$BP$82))))</f>
        <v>21.356449529999999</v>
      </c>
      <c r="BQ75">
        <f ca="1">IF(ISERROR(IF(MEDIAN($BQ$76:$BQ$82) = 0, "", MEDIAN($BQ$76:$BQ$82))), "", (IF(MEDIAN($BQ$76:$BQ$82) = 0, "", MEDIAN($BQ$76:$BQ$82))))</f>
        <v>21.849972820000001</v>
      </c>
      <c r="BR75">
        <f ca="1">IF(ISERROR(IF(MEDIAN($BR$76:$BR$82) = 0, "", MEDIAN($BR$76:$BR$82))), "", (IF(MEDIAN($BR$76:$BR$82) = 0, "", MEDIAN($BR$76:$BR$82))))</f>
        <v>21.61252825</v>
      </c>
      <c r="BS75">
        <f ca="1">IF(ISERROR(IF(MEDIAN($BS$76:$BS$82) = 0, "", MEDIAN($BS$76:$BS$82))), "", (IF(MEDIAN($BS$76:$BS$82) = 0, "", MEDIAN($BS$76:$BS$82))))</f>
        <v>22.990756520000001</v>
      </c>
      <c r="BT75">
        <f ca="1">IF(ISERROR(IF(MEDIAN($BT$76:$BT$82) = 0, "", MEDIAN($BT$76:$BT$82))), "", (IF(MEDIAN($BT$76:$BT$82) = 0, "", MEDIAN($BT$76:$BT$82))))</f>
        <v>22.405648559999999</v>
      </c>
      <c r="BU75">
        <f ca="1">IF(ISERROR(IF(MEDIAN($BU$76:$BU$82) = 0, "", MEDIAN($BU$76:$BU$82))), "", (IF(MEDIAN($BU$76:$BU$82) = 0, "", MEDIAN($BU$76:$BU$82))))</f>
        <v>24.640323970000001</v>
      </c>
      <c r="BV75">
        <f ca="1">IF(ISERROR(IF(MEDIAN($BV$76:$BV$82) = 0, "", MEDIAN($BV$76:$BV$82))), "", (IF(MEDIAN($BV$76:$BV$82) = 0, "", MEDIAN($BV$76:$BV$82))))</f>
        <v>25.524323509999999</v>
      </c>
      <c r="BW75">
        <f ca="1">IF(ISERROR(IF(MEDIAN($BW$76:$BW$82) = 0, "", MEDIAN($BW$76:$BW$82))), "", (IF(MEDIAN($BW$76:$BW$82) = 0, "", MEDIAN($BW$76:$BW$82))))</f>
        <v>25.152113180000001</v>
      </c>
      <c r="BX75">
        <f ca="1">IF(ISERROR(IF(MEDIAN($BX$76:$BX$82) = 0, "", MEDIAN($BX$76:$BX$82))), "", (IF(MEDIAN($BX$76:$BX$82) = 0, "", MEDIAN($BX$76:$BX$82))))</f>
        <v>26.43729725</v>
      </c>
      <c r="BY75">
        <f ca="1">IF(ISERROR(IF(MEDIAN($BY$76:$BY$82) = 0, "", MEDIAN($BY$76:$BY$82))), "", (IF(MEDIAN($BY$76:$BY$82) = 0, "", MEDIAN($BY$76:$BY$82))))</f>
        <v>27.36808164</v>
      </c>
      <c r="BZ75">
        <f ca="1">IF(ISERROR(IF(MEDIAN($BZ$76:$BZ$82) = 0, "", MEDIAN($BZ$76:$BZ$82))), "", (IF(MEDIAN($BZ$76:$BZ$82) = 0, "", MEDIAN($BZ$76:$BZ$82))))</f>
        <v>27.09498451</v>
      </c>
      <c r="CA75">
        <f ca="1">IF(ISERROR(IF(MEDIAN($CA$76:$CA$82) = 0, "", MEDIAN($CA$76:$CA$82))), "", (IF(MEDIAN($CA$76:$CA$82) = 0, "", MEDIAN($CA$76:$CA$82))))</f>
        <v>26.312502609999999</v>
      </c>
      <c r="CB75">
        <f ca="1">IF(ISERROR(IF(MEDIAN($CB$76:$CB$82) = 0, "", MEDIAN($CB$76:$CB$82))), "", (IF(MEDIAN($CB$76:$CB$82) = 0, "", MEDIAN($CB$76:$CB$82))))</f>
        <v>27.373490619999998</v>
      </c>
      <c r="CC75">
        <f ca="1">IF(ISERROR(IF(MEDIAN($CC$76:$CC$82) = 0, "", MEDIAN($CC$76:$CC$82))), "", (IF(MEDIAN($CC$76:$CC$82) = 0, "", MEDIAN($CC$76:$CC$82))))</f>
        <v>26.252284190000001</v>
      </c>
      <c r="CD75">
        <f ca="1">IF(ISERROR(IF(MEDIAN($CD$76:$CD$82) = 0, "", MEDIAN($CD$76:$CD$82))), "", (IF(MEDIAN($CD$76:$CD$82) = 0, "", MEDIAN($CD$76:$CD$82))))</f>
        <v>24.920019109999998</v>
      </c>
      <c r="CE75">
        <f ca="1">IF(ISERROR(IF(MEDIAN($CE$76:$CE$82) = 0, "", MEDIAN($CE$76:$CE$82))), "", (IF(MEDIAN($CE$76:$CE$82) = 0, "", MEDIAN($CE$76:$CE$82))))</f>
        <v>26.700604599999998</v>
      </c>
      <c r="CF75">
        <f ca="1">IF(ISERROR(IF(MEDIAN($CF$76:$CF$82) = 0, "", MEDIAN($CF$76:$CF$82))), "", (IF(MEDIAN($CF$76:$CF$82) = 0, "", MEDIAN($CF$76:$CF$82))))</f>
        <v>23.940712349999998</v>
      </c>
      <c r="CG75">
        <f ca="1">IF(ISERROR(IF(MEDIAN($CG$76:$CG$82) = 0, "", MEDIAN($CG$76:$CG$82))), "", (IF(MEDIAN($CG$76:$CG$82) = 0, "", MEDIAN($CG$76:$CG$82))))</f>
        <v>28.39114318</v>
      </c>
      <c r="CH75">
        <f ca="1">IF(ISERROR(IF(MEDIAN($CH$76:$CH$82) = 0, "", MEDIAN($CH$76:$CH$82))), "", (IF(MEDIAN($CH$76:$CH$82) = 0, "", MEDIAN($CH$76:$CH$82))))</f>
        <v>28.616063090000001</v>
      </c>
      <c r="CI75">
        <f ca="1">IF(ISERROR(IF(MEDIAN($CI$76:$CI$82) = 0, "", MEDIAN($CI$76:$CI$82))), "", (IF(MEDIAN($CI$76:$CI$82) = 0, "", MEDIAN($CI$76:$CI$82))))</f>
        <v>27.279860200000002</v>
      </c>
      <c r="CJ75">
        <f ca="1">IF(ISERROR(IF(MEDIAN($CJ$76:$CJ$82) = 0, "", MEDIAN($CJ$76:$CJ$82))), "", (IF(MEDIAN($CJ$76:$CJ$82) = 0, "", MEDIAN($CJ$76:$CJ$82))))</f>
        <v>26.87393264</v>
      </c>
      <c r="CK75">
        <f ca="1">IF(ISERROR(IF(MEDIAN($CK$76:$CK$82) = 0, "", MEDIAN($CK$76:$CK$82))), "", (IF(MEDIAN($CK$76:$CK$82) = 0, "", MEDIAN($CK$76:$CK$82))))</f>
        <v>26.234276189999999</v>
      </c>
      <c r="CL75">
        <f>20.38562566</f>
        <v>20.385625659999999</v>
      </c>
      <c r="CM75">
        <f>19.32556434</f>
        <v>19.32556434</v>
      </c>
      <c r="CN75">
        <f>21.15476536</f>
        <v>21.154765359999999</v>
      </c>
      <c r="CO75">
        <f>21.89643543</f>
        <v>21.89643543</v>
      </c>
      <c r="CP75">
        <f>23.19756584</f>
        <v>23.197565839999999</v>
      </c>
      <c r="CQ75">
        <f>23.30370908</f>
        <v>23.303709080000001</v>
      </c>
      <c r="CR75">
        <f>22.55779148</f>
        <v>22.557791479999999</v>
      </c>
      <c r="CS75">
        <f>23.3475153</f>
        <v>23.347515300000001</v>
      </c>
      <c r="CT75">
        <f>23.33214821</f>
        <v>23.33214821</v>
      </c>
      <c r="CU75">
        <f>23.15269981</f>
        <v>23.152699810000001</v>
      </c>
      <c r="CV75">
        <f>23.02729345</f>
        <v>23.027293449999998</v>
      </c>
      <c r="CW75">
        <f>22.20690914</f>
        <v>22.20690914</v>
      </c>
      <c r="CX75">
        <f>21.97884958</f>
        <v>21.978849579999999</v>
      </c>
      <c r="CY75">
        <f>22.4381706</f>
        <v>22.438170599999999</v>
      </c>
      <c r="CZ75">
        <f>21.48531678</f>
        <v>21.485316780000002</v>
      </c>
      <c r="DA75">
        <f>22.42587571</f>
        <v>22.42587571</v>
      </c>
      <c r="DB75">
        <f>21.21469526</f>
        <v>21.214695259999999</v>
      </c>
      <c r="DC75">
        <f>21.47400399</f>
        <v>21.47400399</v>
      </c>
      <c r="DD75">
        <f>21.76109579</f>
        <v>21.761095789999999</v>
      </c>
      <c r="DE75">
        <f>22.49104845</f>
        <v>22.491048450000001</v>
      </c>
      <c r="DF75">
        <f>23.46026314</f>
        <v>23.460263139999999</v>
      </c>
      <c r="DG75">
        <f>22.53655036</f>
        <v>22.53655036</v>
      </c>
      <c r="DH75">
        <f>22.27226725</f>
        <v>22.272267249999999</v>
      </c>
      <c r="DI75">
        <f>21.60771603</f>
        <v>21.607716029999999</v>
      </c>
      <c r="DJ75">
        <f>23.7681838</f>
        <v>23.768183799999999</v>
      </c>
      <c r="DK75">
        <f>21.83908033</f>
        <v>21.839080330000002</v>
      </c>
      <c r="DL75">
        <f>22.78121544</f>
        <v>22.78121544</v>
      </c>
      <c r="DM75">
        <f>24.3923184</f>
        <v>24.392318400000001</v>
      </c>
      <c r="DN75">
        <f>24.93602357</f>
        <v>24.93602357</v>
      </c>
      <c r="DO75">
        <f>23.48480391</f>
        <v>23.48480391</v>
      </c>
      <c r="DP75">
        <f>23.49843409</f>
        <v>23.49843409</v>
      </c>
      <c r="DQ75">
        <f>22.04560402</f>
        <v>22.045604019999999</v>
      </c>
      <c r="DR75">
        <f>23.5050666</f>
        <v>23.505066599999999</v>
      </c>
      <c r="DS75">
        <f>22.12564039</f>
        <v>22.125640390000001</v>
      </c>
      <c r="DT75">
        <f>23.56718326</f>
        <v>23.56718326</v>
      </c>
      <c r="DU75">
        <f>23.40849295</f>
        <v>23.408492949999999</v>
      </c>
      <c r="DV75">
        <f>24.580059</f>
        <v>24.580058999999999</v>
      </c>
      <c r="DW75">
        <f>24.13710159</f>
        <v>24.13710159</v>
      </c>
      <c r="DX75">
        <f>25.1421919</f>
        <v>25.1421919</v>
      </c>
      <c r="DY75">
        <f>23.47096812</f>
        <v>23.470968119999998</v>
      </c>
      <c r="DZ75">
        <f>23.69324913</f>
        <v>23.693249130000002</v>
      </c>
      <c r="EA75">
        <f>22.87082801</f>
        <v>22.87082801</v>
      </c>
      <c r="EB75">
        <f>20.46509025</f>
        <v>20.465090249999999</v>
      </c>
      <c r="EC75">
        <f>22.73856643</f>
        <v>22.738566429999999</v>
      </c>
      <c r="ED75">
        <f>22.2306095</f>
        <v>22.2306095</v>
      </c>
      <c r="EE75">
        <f>22.54917206</f>
        <v>22.54917206</v>
      </c>
      <c r="EF75">
        <f>21.66736086</f>
        <v>21.667360859999999</v>
      </c>
      <c r="EG75">
        <f>20.36039069</f>
        <v>20.360390689999999</v>
      </c>
      <c r="EH75">
        <f>20.33677075</f>
        <v>20.336770749999999</v>
      </c>
      <c r="EI75">
        <f>20.64118974</f>
        <v>20.641189740000002</v>
      </c>
      <c r="EJ75">
        <f>19.46557761</f>
        <v>19.46557761</v>
      </c>
      <c r="EK75">
        <f>18.67383884</f>
        <v>18.673838839999998</v>
      </c>
      <c r="EL75">
        <f>18.35369937</f>
        <v>18.353699370000001</v>
      </c>
      <c r="EM75">
        <f>19.88139469</f>
        <v>19.88139469</v>
      </c>
      <c r="EN75">
        <f>18.94302722</f>
        <v>18.943027220000001</v>
      </c>
      <c r="EO75">
        <f>18.94393985</f>
        <v>18.94393985</v>
      </c>
      <c r="EP75">
        <f>20.69091265</f>
        <v>20.690912650000001</v>
      </c>
      <c r="EQ75">
        <f>20.75829978</f>
        <v>20.758299780000002</v>
      </c>
      <c r="ER75">
        <f>21.480655</f>
        <v>21.480654999999999</v>
      </c>
      <c r="ES75">
        <f>22.01138416</f>
        <v>22.011384159999999</v>
      </c>
      <c r="ET75">
        <f>21.52183655</f>
        <v>21.52183655</v>
      </c>
      <c r="EU75">
        <f>22.15413524</f>
        <v>22.154135239999999</v>
      </c>
      <c r="EV75">
        <f>21.35644953</f>
        <v>21.356449529999999</v>
      </c>
      <c r="EW75">
        <f>21.84997282</f>
        <v>21.849972820000001</v>
      </c>
      <c r="EX75">
        <f>21.61252825</f>
        <v>21.61252825</v>
      </c>
      <c r="EY75">
        <f>22.99075652</f>
        <v>22.990756520000001</v>
      </c>
      <c r="EZ75">
        <f>22.40564856</f>
        <v>22.405648559999999</v>
      </c>
      <c r="FA75">
        <f>24.64032397</f>
        <v>24.640323970000001</v>
      </c>
      <c r="FB75">
        <f>25.52432351</f>
        <v>25.524323509999999</v>
      </c>
      <c r="FC75">
        <f>25.15211318</f>
        <v>25.152113180000001</v>
      </c>
      <c r="FD75">
        <f>26.43729725</f>
        <v>26.43729725</v>
      </c>
      <c r="FE75">
        <f>27.36808164</f>
        <v>27.36808164</v>
      </c>
      <c r="FF75">
        <f>27.09498451</f>
        <v>27.09498451</v>
      </c>
      <c r="FG75">
        <f>26.31250261</f>
        <v>26.312502609999999</v>
      </c>
      <c r="FH75">
        <f>27.37349062</f>
        <v>27.373490619999998</v>
      </c>
      <c r="FI75">
        <f>26.25228419</f>
        <v>26.252284190000001</v>
      </c>
      <c r="FJ75">
        <f>24.92001911</f>
        <v>24.920019109999998</v>
      </c>
      <c r="FK75">
        <f>26.7006046</f>
        <v>26.700604599999998</v>
      </c>
      <c r="FL75">
        <f>23.94071235</f>
        <v>23.940712349999998</v>
      </c>
      <c r="FM75">
        <f>28.39114318</f>
        <v>28.39114318</v>
      </c>
      <c r="FN75">
        <f>28.61606309</f>
        <v>28.616063090000001</v>
      </c>
      <c r="FO75">
        <f>27.2798602</f>
        <v>27.279860200000002</v>
      </c>
      <c r="FP75">
        <f>26.87393264</f>
        <v>26.87393264</v>
      </c>
      <c r="FQ75">
        <f>26.23427619</f>
        <v>26.234276189999999</v>
      </c>
    </row>
    <row r="76" spans="1:173">
      <c r="A76" t="str">
        <f>"    公寓投资与管理"</f>
        <v xml:space="preserve">    公寓投资与管理</v>
      </c>
      <c r="B76" t="str">
        <f>"AIV US Equity"</f>
        <v>AIV US Equity</v>
      </c>
      <c r="C76" t="str">
        <f t="shared" ref="C76:C82" si="27">"F0891"</f>
        <v>F0891</v>
      </c>
      <c r="D76" t="str">
        <f t="shared" ref="D76:D82" si="28">"PRICE_TO_FAD_PS"</f>
        <v>PRICE_TO_FAD_PS</v>
      </c>
      <c r="E76" t="str">
        <f t="shared" ref="E76:E82" si="29">"动态"</f>
        <v>动态</v>
      </c>
      <c r="F76">
        <f ca="1">IF(AND(ISNUMBER($F$317),$B$252=1),$F$317,HLOOKUP(INDIRECT(ADDRESS(2,COLUMN())),OFFSET($CL$2,0,0,ROW()-1,84),ROW()-1,FALSE))</f>
        <v>18.91643461</v>
      </c>
      <c r="G76">
        <f ca="1">IF(AND(ISNUMBER($G$317),$B$252=1),$G$317,HLOOKUP(INDIRECT(ADDRESS(2,COLUMN())),OFFSET($CL$2,0,0,ROW()-1,84),ROW()-1,FALSE))</f>
        <v>18.25990951</v>
      </c>
      <c r="H76">
        <f ca="1">IF(AND(ISNUMBER($H$317),$B$252=1),$H$317,HLOOKUP(INDIRECT(ADDRESS(2,COLUMN())),OFFSET($CL$2,0,0,ROW()-1,84),ROW()-1,FALSE))</f>
        <v>19.761888620000001</v>
      </c>
      <c r="I76">
        <f ca="1">IF(AND(ISNUMBER($I$317),$B$252=1),$I$317,HLOOKUP(INDIRECT(ADDRESS(2,COLUMN())),OFFSET($CL$2,0,0,ROW()-1,84),ROW()-1,FALSE))</f>
        <v>20.645127899999999</v>
      </c>
      <c r="J76">
        <f ca="1">IF(AND(ISNUMBER($J$317),$B$252=1),$J$317,HLOOKUP(INDIRECT(ADDRESS(2,COLUMN())),OFFSET($CL$2,0,0,ROW()-1,84),ROW()-1,FALSE))</f>
        <v>21.388354490000001</v>
      </c>
      <c r="K76">
        <f ca="1">IF(AND(ISNUMBER($K$317),$B$252=1),$K$317,HLOOKUP(INDIRECT(ADDRESS(2,COLUMN())),OFFSET($CL$2,0,0,ROW()-1,84),ROW()-1,FALSE))</f>
        <v>21.334992759999999</v>
      </c>
      <c r="L76">
        <f ca="1">IF(AND(ISNUMBER($L$317),$B$252=1),$L$317,HLOOKUP(INDIRECT(ADDRESS(2,COLUMN())),OFFSET($CL$2,0,0,ROW()-1,84),ROW()-1,FALSE))</f>
        <v>21.276779950000002</v>
      </c>
      <c r="M76">
        <f ca="1">IF(AND(ISNUMBER($M$317),$B$252=1),$M$317,HLOOKUP(INDIRECT(ADDRESS(2,COLUMN())),OFFSET($CL$2,0,0,ROW()-1,84),ROW()-1,FALSE))</f>
        <v>22.887883769999998</v>
      </c>
      <c r="N76">
        <f ca="1">IF(AND(ISNUMBER($N$317),$B$252=1),$N$317,HLOOKUP(INDIRECT(ADDRESS(2,COLUMN())),OFFSET($CL$2,0,0,ROW()-1,84),ROW()-1,FALSE))</f>
        <v>22.99896549</v>
      </c>
      <c r="O76">
        <f ca="1">IF(AND(ISNUMBER($O$317),$B$252=1),$O$317,HLOOKUP(INDIRECT(ADDRESS(2,COLUMN())),OFFSET($CL$2,0,0,ROW()-1,84),ROW()-1,FALSE))</f>
        <v>21.69627985</v>
      </c>
      <c r="P76">
        <f ca="1">IF(AND(ISNUMBER($P$317),$B$252=1),$P$317,HLOOKUP(INDIRECT(ADDRESS(2,COLUMN())),OFFSET($CL$2,0,0,ROW()-1,84),ROW()-1,FALSE))</f>
        <v>21.790593059999999</v>
      </c>
      <c r="Q76">
        <f ca="1">IF(AND(ISNUMBER($Q$317),$B$252=1),$Q$317,HLOOKUP(INDIRECT(ADDRESS(2,COLUMN())),OFFSET($CL$2,0,0,ROW()-1,84),ROW()-1,FALSE))</f>
        <v>22.20690914</v>
      </c>
      <c r="R76">
        <f ca="1">IF(AND(ISNUMBER($R$317),$B$252=1),$R$317,HLOOKUP(INDIRECT(ADDRESS(2,COLUMN())),OFFSET($CL$2,0,0,ROW()-1,84),ROW()-1,FALSE))</f>
        <v>22.516607690000001</v>
      </c>
      <c r="S76">
        <f ca="1">IF(AND(ISNUMBER($S$317),$B$252=1),$S$317,HLOOKUP(INDIRECT(ADDRESS(2,COLUMN())),OFFSET($CL$2,0,0,ROW()-1,84),ROW()-1,FALSE))</f>
        <v>23.69370065</v>
      </c>
      <c r="T76">
        <f ca="1">IF(AND(ISNUMBER($T$317),$B$252=1),$T$317,HLOOKUP(INDIRECT(ADDRESS(2,COLUMN())),OFFSET($CL$2,0,0,ROW()-1,84),ROW()-1,FALSE))</f>
        <v>22.441035629999998</v>
      </c>
      <c r="U76">
        <f ca="1">IF(AND(ISNUMBER($U$317),$B$252=1),$U$317,HLOOKUP(INDIRECT(ADDRESS(2,COLUMN())),OFFSET($CL$2,0,0,ROW()-1,84),ROW()-1,FALSE))</f>
        <v>23.14375016</v>
      </c>
      <c r="V76">
        <f ca="1">IF(AND(ISNUMBER($V$317),$B$252=1),$V$317,HLOOKUP(INDIRECT(ADDRESS(2,COLUMN())),OFFSET($CL$2,0,0,ROW()-1,84),ROW()-1,FALSE))</f>
        <v>21.748119169999999</v>
      </c>
      <c r="W76">
        <f ca="1">IF(AND(ISNUMBER($W$317),$B$252=1),$W$317,HLOOKUP(INDIRECT(ADDRESS(2,COLUMN())),OFFSET($CL$2,0,0,ROW()-1,84),ROW()-1,FALSE))</f>
        <v>22.765786500000001</v>
      </c>
      <c r="X76">
        <f ca="1">IF(AND(ISNUMBER($X$317),$B$252=1),$X$317,HLOOKUP(INDIRECT(ADDRESS(2,COLUMN())),OFFSET($CL$2,0,0,ROW()-1,84),ROW()-1,FALSE))</f>
        <v>23.716298120000001</v>
      </c>
      <c r="Y76">
        <f ca="1">IF(AND(ISNUMBER($Y$317),$B$252=1),$Y$317,HLOOKUP(INDIRECT(ADDRESS(2,COLUMN())),OFFSET($CL$2,0,0,ROW()-1,84),ROW()-1,FALSE))</f>
        <v>23.057095690000001</v>
      </c>
      <c r="Z76">
        <f ca="1">IF(AND(ISNUMBER($Z$317),$B$252=1),$Z$317,HLOOKUP(INDIRECT(ADDRESS(2,COLUMN())),OFFSET($CL$2,0,0,ROW()-1,84),ROW()-1,FALSE))</f>
        <v>23.460263139999999</v>
      </c>
      <c r="AA76">
        <f ca="1">IF(AND(ISNUMBER($AA$317),$B$252=1),$AA$317,HLOOKUP(INDIRECT(ADDRESS(2,COLUMN())),OFFSET($CL$2,0,0,ROW()-1,84),ROW()-1,FALSE))</f>
        <v>22.53655036</v>
      </c>
      <c r="AB76">
        <f ca="1">IF(AND(ISNUMBER($AB$317),$B$252=1),$AB$317,HLOOKUP(INDIRECT(ADDRESS(2,COLUMN())),OFFSET($CL$2,0,0,ROW()-1,84),ROW()-1,FALSE))</f>
        <v>22.159541990000001</v>
      </c>
      <c r="AC76">
        <f ca="1">IF(AND(ISNUMBER($AC$317),$B$252=1),$AC$317,HLOOKUP(INDIRECT(ADDRESS(2,COLUMN())),OFFSET($CL$2,0,0,ROW()-1,84),ROW()-1,FALSE))</f>
        <v>20.813862889999999</v>
      </c>
      <c r="AD76">
        <f ca="1">IF(AND(ISNUMBER($AD$317),$B$252=1),$AD$317,HLOOKUP(INDIRECT(ADDRESS(2,COLUMN())),OFFSET($CL$2,0,0,ROW()-1,84),ROW()-1,FALSE))</f>
        <v>21.728301200000001</v>
      </c>
      <c r="AE76">
        <f ca="1">IF(AND(ISNUMBER($AE$317),$B$252=1),$AE$317,HLOOKUP(INDIRECT(ADDRESS(2,COLUMN())),OFFSET($CL$2,0,0,ROW()-1,84),ROW()-1,FALSE))</f>
        <v>19.489279610000001</v>
      </c>
      <c r="AF76">
        <f ca="1">IF(AND(ISNUMBER($AF$317),$B$252=1),$AF$317,HLOOKUP(INDIRECT(ADDRESS(2,COLUMN())),OFFSET($CL$2,0,0,ROW()-1,84),ROW()-1,FALSE))</f>
        <v>20.84144487</v>
      </c>
      <c r="AG76">
        <f ca="1">IF(AND(ISNUMBER($AG$317),$B$252=1),$AG$317,HLOOKUP(INDIRECT(ADDRESS(2,COLUMN())),OFFSET($CL$2,0,0,ROW()-1,84),ROW()-1,FALSE))</f>
        <v>21.309911580000001</v>
      </c>
      <c r="AH76">
        <f ca="1">IF(AND(ISNUMBER($AH$317),$B$252=1),$AH$317,HLOOKUP(INDIRECT(ADDRESS(2,COLUMN())),OFFSET($CL$2,0,0,ROW()-1,84),ROW()-1,FALSE))</f>
        <v>20.818768429999999</v>
      </c>
      <c r="AI76">
        <f ca="1">IF(AND(ISNUMBER($AI$317),$B$252=1),$AI$317,HLOOKUP(INDIRECT(ADDRESS(2,COLUMN())),OFFSET($CL$2,0,0,ROW()-1,84),ROW()-1,FALSE))</f>
        <v>21.408751890000001</v>
      </c>
      <c r="AJ76">
        <f ca="1">IF(AND(ISNUMBER($AJ$317),$B$252=1),$AJ$317,HLOOKUP(INDIRECT(ADDRESS(2,COLUMN())),OFFSET($CL$2,0,0,ROW()-1,84),ROW()-1,FALSE))</f>
        <v>20.223322150000001</v>
      </c>
      <c r="AK76">
        <f ca="1">IF(AND(ISNUMBER($AK$317),$B$252=1),$AK$317,HLOOKUP(INDIRECT(ADDRESS(2,COLUMN())),OFFSET($CL$2,0,0,ROW()-1,84),ROW()-1,FALSE))</f>
        <v>20.639335280000001</v>
      </c>
      <c r="AL76">
        <f ca="1">IF(AND(ISNUMBER($AL$317),$B$252=1),$AL$317,HLOOKUP(INDIRECT(ADDRESS(2,COLUMN())),OFFSET($CL$2,0,0,ROW()-1,84),ROW()-1,FALSE))</f>
        <v>22.38648967</v>
      </c>
      <c r="AM76">
        <f ca="1">IF(AND(ISNUMBER($AM$317),$B$252=1),$AM$317,HLOOKUP(INDIRECT(ADDRESS(2,COLUMN())),OFFSET($CL$2,0,0,ROW()-1,84),ROW()-1,FALSE))</f>
        <v>21.15488903</v>
      </c>
      <c r="AN76">
        <f ca="1">IF(AND(ISNUMBER($AN$317),$B$252=1),$AN$317,HLOOKUP(INDIRECT(ADDRESS(2,COLUMN())),OFFSET($CL$2,0,0,ROW()-1,84),ROW()-1,FALSE))</f>
        <v>22.087386760000001</v>
      </c>
      <c r="AO76">
        <f ca="1">IF(AND(ISNUMBER($AO$317),$B$252=1),$AO$317,HLOOKUP(INDIRECT(ADDRESS(2,COLUMN())),OFFSET($CL$2,0,0,ROW()-1,84),ROW()-1,FALSE))</f>
        <v>21.970922810000001</v>
      </c>
      <c r="AP76">
        <f ca="1">IF(AND(ISNUMBER($AP$317),$B$252=1),$AP$317,HLOOKUP(INDIRECT(ADDRESS(2,COLUMN())),OFFSET($CL$2,0,0,ROW()-1,84),ROW()-1,FALSE))</f>
        <v>22.920103950000001</v>
      </c>
      <c r="AQ76">
        <f ca="1">IF(AND(ISNUMBER($AQ$317),$B$252=1),$AQ$317,HLOOKUP(INDIRECT(ADDRESS(2,COLUMN())),OFFSET($CL$2,0,0,ROW()-1,84),ROW()-1,FALSE))</f>
        <v>22.38346383</v>
      </c>
      <c r="AR76">
        <f ca="1">IF(AND(ISNUMBER($AR$317),$B$252=1),$AR$317,HLOOKUP(INDIRECT(ADDRESS(2,COLUMN())),OFFSET($CL$2,0,0,ROW()-1,84),ROW()-1,FALSE))</f>
        <v>23.678473149999999</v>
      </c>
      <c r="AS76">
        <f ca="1">IF(AND(ISNUMBER($AS$317),$B$252=1),$AS$317,HLOOKUP(INDIRECT(ADDRESS(2,COLUMN())),OFFSET($CL$2,0,0,ROW()-1,84),ROW()-1,FALSE))</f>
        <v>22.068622120000001</v>
      </c>
      <c r="AT76">
        <f ca="1">IF(AND(ISNUMBER($AT$317),$B$252=1),$AT$317,HLOOKUP(INDIRECT(ADDRESS(2,COLUMN())),OFFSET($CL$2,0,0,ROW()-1,84),ROW()-1,FALSE))</f>
        <v>22.121820230000001</v>
      </c>
      <c r="AU76">
        <f ca="1">IF(AND(ISNUMBER($AU$317),$B$252=1),$AU$317,HLOOKUP(INDIRECT(ADDRESS(2,COLUMN())),OFFSET($CL$2,0,0,ROW()-1,84),ROW()-1,FALSE))</f>
        <v>21.254763650000001</v>
      </c>
      <c r="AV76">
        <f ca="1">IF(AND(ISNUMBER($AV$317),$B$252=1),$AV$317,HLOOKUP(INDIRECT(ADDRESS(2,COLUMN())),OFFSET($CL$2,0,0,ROW()-1,84),ROW()-1,FALSE))</f>
        <v>18.897082409999999</v>
      </c>
      <c r="AW76">
        <f ca="1">IF(AND(ISNUMBER($AW$317),$B$252=1),$AW$317,HLOOKUP(INDIRECT(ADDRESS(2,COLUMN())),OFFSET($CL$2,0,0,ROW()-1,84),ROW()-1,FALSE))</f>
        <v>20.875104</v>
      </c>
      <c r="AX76">
        <f ca="1">IF(AND(ISNUMBER($AX$317),$B$252=1),$AX$317,HLOOKUP(INDIRECT(ADDRESS(2,COLUMN())),OFFSET($CL$2,0,0,ROW()-1,84),ROW()-1,FALSE))</f>
        <v>20.820281730000001</v>
      </c>
      <c r="AY76">
        <f ca="1">IF(AND(ISNUMBER($AY$317),$B$252=1),$AY$317,HLOOKUP(INDIRECT(ADDRESS(2,COLUMN())),OFFSET($CL$2,0,0,ROW()-1,84),ROW()-1,FALSE))</f>
        <v>19.656831230000002</v>
      </c>
      <c r="AZ76">
        <f ca="1">IF(AND(ISNUMBER($AZ$317),$B$252=1),$AZ$317,HLOOKUP(INDIRECT(ADDRESS(2,COLUMN())),OFFSET($CL$2,0,0,ROW()-1,84),ROW()-1,FALSE))</f>
        <v>20.0256592</v>
      </c>
      <c r="BA76">
        <f ca="1">IF(AND(ISNUMBER($BA$317),$B$252=1),$BA$317,HLOOKUP(INDIRECT(ADDRESS(2,COLUMN())),OFFSET($CL$2,0,0,ROW()-1,84),ROW()-1,FALSE))</f>
        <v>19.612168780000001</v>
      </c>
      <c r="BB76">
        <f ca="1">IF(AND(ISNUMBER($BB$317),$B$252=1),$BB$317,HLOOKUP(INDIRECT(ADDRESS(2,COLUMN())),OFFSET($CL$2,0,0,ROW()-1,84),ROW()-1,FALSE))</f>
        <v>19.22412392</v>
      </c>
      <c r="BC76">
        <f ca="1">IF(AND(ISNUMBER($BC$317),$B$252=1),$BC$317,HLOOKUP(INDIRECT(ADDRESS(2,COLUMN())),OFFSET($CL$2,0,0,ROW()-1,84),ROW()-1,FALSE))</f>
        <v>19.59791074</v>
      </c>
      <c r="BD76">
        <f ca="1">IF(AND(ISNUMBER($BD$317),$B$252=1),$BD$317,HLOOKUP(INDIRECT(ADDRESS(2,COLUMN())),OFFSET($CL$2,0,0,ROW()-1,84),ROW()-1,FALSE))</f>
        <v>18.339028549999998</v>
      </c>
      <c r="BE76">
        <f ca="1">IF(AND(ISNUMBER($BE$317),$B$252=1),$BE$317,HLOOKUP(INDIRECT(ADDRESS(2,COLUMN())),OFFSET($CL$2,0,0,ROW()-1,84),ROW()-1,FALSE))</f>
        <v>16.98835287</v>
      </c>
      <c r="BF76">
        <f ca="1">IF(AND(ISNUMBER($BF$317),$B$252=1),$BF$317,HLOOKUP(INDIRECT(ADDRESS(2,COLUMN())),OFFSET($CL$2,0,0,ROW()-1,84),ROW()-1,FALSE))</f>
        <v>17.02431687</v>
      </c>
      <c r="BG76">
        <f ca="1">IF(AND(ISNUMBER($BG$317),$B$252=1),$BG$317,HLOOKUP(INDIRECT(ADDRESS(2,COLUMN())),OFFSET($CL$2,0,0,ROW()-1,84),ROW()-1,FALSE))</f>
        <v>18.970146799999998</v>
      </c>
      <c r="BH76">
        <f ca="1">IF(AND(ISNUMBER($BH$317),$B$252=1),$BH$317,HLOOKUP(INDIRECT(ADDRESS(2,COLUMN())),OFFSET($CL$2,0,0,ROW()-1,84),ROW()-1,FALSE))</f>
        <v>18.943027220000001</v>
      </c>
      <c r="BI76">
        <f ca="1">IF(AND(ISNUMBER($BI$317),$B$252=1),$BI$317,HLOOKUP(INDIRECT(ADDRESS(2,COLUMN())),OFFSET($CL$2,0,0,ROW()-1,84),ROW()-1,FALSE))</f>
        <v>18.94393985</v>
      </c>
      <c r="BJ76">
        <f ca="1">IF(AND(ISNUMBER($BJ$317),$B$252=1),$BJ$317,HLOOKUP(INDIRECT(ADDRESS(2,COLUMN())),OFFSET($CL$2,0,0,ROW()-1,84),ROW()-1,FALSE))</f>
        <v>20.21696159</v>
      </c>
      <c r="BK76">
        <f ca="1">IF(AND(ISNUMBER($BK$317),$B$252=1),$BK$317,HLOOKUP(INDIRECT(ADDRESS(2,COLUMN())),OFFSET($CL$2,0,0,ROW()-1,84),ROW()-1,FALSE))</f>
        <v>20.671120699999999</v>
      </c>
      <c r="BL76">
        <f ca="1">IF(AND(ISNUMBER($BL$317),$B$252=1),$BL$317,HLOOKUP(INDIRECT(ADDRESS(2,COLUMN())),OFFSET($CL$2,0,0,ROW()-1,84),ROW()-1,FALSE))</f>
        <v>21.24105591</v>
      </c>
      <c r="BM76">
        <f ca="1">IF(AND(ISNUMBER($BM$317),$B$252=1),$BM$317,HLOOKUP(INDIRECT(ADDRESS(2,COLUMN())),OFFSET($CL$2,0,0,ROW()-1,84),ROW()-1,FALSE))</f>
        <v>21.837714779999999</v>
      </c>
      <c r="BN76">
        <f ca="1">IF(AND(ISNUMBER($BN$317),$B$252=1),$BN$317,HLOOKUP(INDIRECT(ADDRESS(2,COLUMN())),OFFSET($CL$2,0,0,ROW()-1,84),ROW()-1,FALSE))</f>
        <v>21.52183655</v>
      </c>
      <c r="BO76">
        <f ca="1">IF(AND(ISNUMBER($BO$317),$B$252=1),$BO$317,HLOOKUP(INDIRECT(ADDRESS(2,COLUMN())),OFFSET($CL$2,0,0,ROW()-1,84),ROW()-1,FALSE))</f>
        <v>22.154135239999999</v>
      </c>
      <c r="BP76">
        <f ca="1">IF(AND(ISNUMBER($BP$317),$B$252=1),$BP$317,HLOOKUP(INDIRECT(ADDRESS(2,COLUMN())),OFFSET($CL$2,0,0,ROW()-1,84),ROW()-1,FALSE))</f>
        <v>20.403943590000001</v>
      </c>
      <c r="BQ76">
        <f ca="1">IF(AND(ISNUMBER($BQ$317),$B$252=1),$BQ$317,HLOOKUP(INDIRECT(ADDRESS(2,COLUMN())),OFFSET($CL$2,0,0,ROW()-1,84),ROW()-1,FALSE))</f>
        <v>20.23939566</v>
      </c>
      <c r="BR76">
        <f ca="1">IF(AND(ISNUMBER($BR$317),$B$252=1),$BR$317,HLOOKUP(INDIRECT(ADDRESS(2,COLUMN())),OFFSET($CL$2,0,0,ROW()-1,84),ROW()-1,FALSE))</f>
        <v>21.61252825</v>
      </c>
      <c r="BS76">
        <f ca="1">IF(AND(ISNUMBER($BS$317),$B$252=1),$BS$317,HLOOKUP(INDIRECT(ADDRESS(2,COLUMN())),OFFSET($CL$2,0,0,ROW()-1,84),ROW()-1,FALSE))</f>
        <v>23.00910966</v>
      </c>
      <c r="BT76">
        <f ca="1">IF(AND(ISNUMBER($BT$317),$B$252=1),$BT$317,HLOOKUP(INDIRECT(ADDRESS(2,COLUMN())),OFFSET($CL$2,0,0,ROW()-1,84),ROW()-1,FALSE))</f>
        <v>22.405648559999999</v>
      </c>
      <c r="BU76">
        <f ca="1">IF(AND(ISNUMBER($BU$317),$B$252=1),$BU$317,HLOOKUP(INDIRECT(ADDRESS(2,COLUMN())),OFFSET($CL$2,0,0,ROW()-1,84),ROW()-1,FALSE))</f>
        <v>24.640323970000001</v>
      </c>
      <c r="BV76">
        <f ca="1">IF(AND(ISNUMBER($BV$317),$B$252=1),$BV$317,HLOOKUP(INDIRECT(ADDRESS(2,COLUMN())),OFFSET($CL$2,0,0,ROW()-1,84),ROW()-1,FALSE))</f>
        <v>25.524323509999999</v>
      </c>
      <c r="BW76">
        <f ca="1">IF(AND(ISNUMBER($BW$317),$B$252=1),$BW$317,HLOOKUP(INDIRECT(ADDRESS(2,COLUMN())),OFFSET($CL$2,0,0,ROW()-1,84),ROW()-1,FALSE))</f>
        <v>25.152113180000001</v>
      </c>
      <c r="BX76">
        <f ca="1">IF(AND(ISNUMBER($BX$317),$B$252=1),$BX$317,HLOOKUP(INDIRECT(ADDRESS(2,COLUMN())),OFFSET($CL$2,0,0,ROW()-1,84),ROW()-1,FALSE))</f>
        <v>31.049167629999999</v>
      </c>
      <c r="BY76">
        <f ca="1">IF(AND(ISNUMBER($BY$317),$B$252=1),$BY$317,HLOOKUP(INDIRECT(ADDRESS(2,COLUMN())),OFFSET($CL$2,0,0,ROW()-1,84),ROW()-1,FALSE))</f>
        <v>31.140927269999999</v>
      </c>
      <c r="BZ76">
        <f ca="1">IF(AND(ISNUMBER($BZ$317),$B$252=1),$BZ$317,HLOOKUP(INDIRECT(ADDRESS(2,COLUMN())),OFFSET($CL$2,0,0,ROW()-1,84),ROW()-1,FALSE))</f>
        <v>30.29215061</v>
      </c>
      <c r="CA76">
        <f ca="1">IF(AND(ISNUMBER($CA$317),$B$252=1),$CA$317,HLOOKUP(INDIRECT(ADDRESS(2,COLUMN())),OFFSET($CL$2,0,0,ROW()-1,84),ROW()-1,FALSE))</f>
        <v>28.463847189999999</v>
      </c>
      <c r="CB76">
        <f ca="1">IF(AND(ISNUMBER($CB$317),$B$252=1),$CB$317,HLOOKUP(INDIRECT(ADDRESS(2,COLUMN())),OFFSET($CL$2,0,0,ROW()-1,84),ROW()-1,FALSE))</f>
        <v>28.142998670000001</v>
      </c>
      <c r="CC76">
        <f ca="1">IF(AND(ISNUMBER($CC$317),$B$252=1),$CC$317,HLOOKUP(INDIRECT(ADDRESS(2,COLUMN())),OFFSET($CL$2,0,0,ROW()-1,84),ROW()-1,FALSE))</f>
        <v>26.252284190000001</v>
      </c>
      <c r="CD76">
        <f ca="1">IF(AND(ISNUMBER($CD$317),$B$252=1),$CD$317,HLOOKUP(INDIRECT(ADDRESS(2,COLUMN())),OFFSET($CL$2,0,0,ROW()-1,84),ROW()-1,FALSE))</f>
        <v>23.572726719999999</v>
      </c>
      <c r="CE76">
        <f ca="1">IF(AND(ISNUMBER($CE$317),$B$252=1),$CE$317,HLOOKUP(INDIRECT(ADDRESS(2,COLUMN())),OFFSET($CL$2,0,0,ROW()-1,84),ROW()-1,FALSE))</f>
        <v>26.700604599999998</v>
      </c>
      <c r="CF76">
        <f ca="1">IF(AND(ISNUMBER($CF$317),$B$252=1),$CF$317,HLOOKUP(INDIRECT(ADDRESS(2,COLUMN())),OFFSET($CL$2,0,0,ROW()-1,84),ROW()-1,FALSE))</f>
        <v>23.940712349999998</v>
      </c>
      <c r="CG76">
        <f ca="1">IF(AND(ISNUMBER($CG$317),$B$252=1),$CG$317,HLOOKUP(INDIRECT(ADDRESS(2,COLUMN())),OFFSET($CL$2,0,0,ROW()-1,84),ROW()-1,FALSE))</f>
        <v>28.39114318</v>
      </c>
      <c r="CH76">
        <f ca="1">IF(AND(ISNUMBER($CH$317),$B$252=1),$CH$317,HLOOKUP(INDIRECT(ADDRESS(2,COLUMN())),OFFSET($CL$2,0,0,ROW()-1,84),ROW()-1,FALSE))</f>
        <v>29.171178350000002</v>
      </c>
      <c r="CI76">
        <f ca="1">IF(AND(ISNUMBER($CI$317),$B$252=1),$CI$317,HLOOKUP(INDIRECT(ADDRESS(2,COLUMN())),OFFSET($CL$2,0,0,ROW()-1,84),ROW()-1,FALSE))</f>
        <v>27.279860200000002</v>
      </c>
      <c r="CJ76">
        <f ca="1">IF(AND(ISNUMBER($CJ$317),$B$252=1),$CJ$317,HLOOKUP(INDIRECT(ADDRESS(2,COLUMN())),OFFSET($CL$2,0,0,ROW()-1,84),ROW()-1,FALSE))</f>
        <v>24.953430040000001</v>
      </c>
      <c r="CK76">
        <f ca="1">IF(AND(ISNUMBER($CK$317),$B$252=1),$CK$317,HLOOKUP(INDIRECT(ADDRESS(2,COLUMN())),OFFSET($CL$2,0,0,ROW()-1,84),ROW()-1,FALSE))</f>
        <v>25.168143430000001</v>
      </c>
      <c r="CL76">
        <f>18.91643461</f>
        <v>18.91643461</v>
      </c>
      <c r="CM76">
        <f>18.25990951</f>
        <v>18.25990951</v>
      </c>
      <c r="CN76">
        <f>19.76188862</f>
        <v>19.761888620000001</v>
      </c>
      <c r="CO76">
        <f>20.6451279</f>
        <v>20.645127899999999</v>
      </c>
      <c r="CP76">
        <f>21.38835449</f>
        <v>21.388354490000001</v>
      </c>
      <c r="CQ76">
        <f>21.33499276</f>
        <v>21.334992759999999</v>
      </c>
      <c r="CR76">
        <f>21.27677995</f>
        <v>21.276779950000002</v>
      </c>
      <c r="CS76">
        <f>22.88788377</f>
        <v>22.887883769999998</v>
      </c>
      <c r="CT76">
        <f>22.99896549</f>
        <v>22.99896549</v>
      </c>
      <c r="CU76">
        <f>21.69627985</f>
        <v>21.69627985</v>
      </c>
      <c r="CV76">
        <f>21.79059306</f>
        <v>21.790593059999999</v>
      </c>
      <c r="CW76">
        <f>22.20690914</f>
        <v>22.20690914</v>
      </c>
      <c r="CX76">
        <f>22.51660769</f>
        <v>22.516607690000001</v>
      </c>
      <c r="CY76">
        <f>23.69370065</f>
        <v>23.69370065</v>
      </c>
      <c r="CZ76">
        <f>22.44103563</f>
        <v>22.441035629999998</v>
      </c>
      <c r="DA76">
        <f>23.14375016</f>
        <v>23.14375016</v>
      </c>
      <c r="DB76">
        <f>21.74811917</f>
        <v>21.748119169999999</v>
      </c>
      <c r="DC76">
        <f>22.7657865</f>
        <v>22.765786500000001</v>
      </c>
      <c r="DD76">
        <f>23.71629812</f>
        <v>23.716298120000001</v>
      </c>
      <c r="DE76">
        <f>23.05709569</f>
        <v>23.057095690000001</v>
      </c>
      <c r="DF76">
        <f>23.46026314</f>
        <v>23.460263139999999</v>
      </c>
      <c r="DG76">
        <f>22.53655036</f>
        <v>22.53655036</v>
      </c>
      <c r="DH76">
        <f>22.15954199</f>
        <v>22.159541990000001</v>
      </c>
      <c r="DI76">
        <f>20.81386289</f>
        <v>20.813862889999999</v>
      </c>
      <c r="DJ76">
        <f>21.7283012</f>
        <v>21.728301200000001</v>
      </c>
      <c r="DK76">
        <f>19.48927961</f>
        <v>19.489279610000001</v>
      </c>
      <c r="DL76">
        <f>20.84144487</f>
        <v>20.84144487</v>
      </c>
      <c r="DM76">
        <f>21.30991158</f>
        <v>21.309911580000001</v>
      </c>
      <c r="DN76">
        <f>20.81876843</f>
        <v>20.818768429999999</v>
      </c>
      <c r="DO76">
        <f>21.40875189</f>
        <v>21.408751890000001</v>
      </c>
      <c r="DP76">
        <f>20.22332215</f>
        <v>20.223322150000001</v>
      </c>
      <c r="DQ76">
        <f>20.63933528</f>
        <v>20.639335280000001</v>
      </c>
      <c r="DR76">
        <f>22.38648967</f>
        <v>22.38648967</v>
      </c>
      <c r="DS76">
        <f>21.15488903</f>
        <v>21.15488903</v>
      </c>
      <c r="DT76">
        <f>22.08738676</f>
        <v>22.087386760000001</v>
      </c>
      <c r="DU76">
        <f>21.97092281</f>
        <v>21.970922810000001</v>
      </c>
      <c r="DV76">
        <f>22.92010395</f>
        <v>22.920103950000001</v>
      </c>
      <c r="DW76">
        <f>22.38346383</f>
        <v>22.38346383</v>
      </c>
      <c r="DX76">
        <f>23.67847315</f>
        <v>23.678473149999999</v>
      </c>
      <c r="DY76">
        <f>22.06862212</f>
        <v>22.068622120000001</v>
      </c>
      <c r="DZ76">
        <f>22.12182023</f>
        <v>22.121820230000001</v>
      </c>
      <c r="EA76">
        <f>21.25476365</f>
        <v>21.254763650000001</v>
      </c>
      <c r="EB76">
        <f>18.89708241</f>
        <v>18.897082409999999</v>
      </c>
      <c r="EC76">
        <f>20.875104</f>
        <v>20.875104</v>
      </c>
      <c r="ED76">
        <f>20.82028173</f>
        <v>20.820281730000001</v>
      </c>
      <c r="EE76">
        <f>19.65683123</f>
        <v>19.656831230000002</v>
      </c>
      <c r="EF76">
        <f>20.0256592</f>
        <v>20.0256592</v>
      </c>
      <c r="EG76">
        <f>19.61216878</f>
        <v>19.612168780000001</v>
      </c>
      <c r="EH76">
        <f>19.22412392</f>
        <v>19.22412392</v>
      </c>
      <c r="EI76">
        <f>19.59791074</f>
        <v>19.59791074</v>
      </c>
      <c r="EJ76">
        <f>18.33902855</f>
        <v>18.339028549999998</v>
      </c>
      <c r="EK76">
        <f>16.98835287</f>
        <v>16.98835287</v>
      </c>
      <c r="EL76">
        <f>17.02431687</f>
        <v>17.02431687</v>
      </c>
      <c r="EM76">
        <f>18.9701468</f>
        <v>18.970146799999998</v>
      </c>
      <c r="EN76">
        <f>18.94302722</f>
        <v>18.943027220000001</v>
      </c>
      <c r="EO76">
        <f>18.94393985</f>
        <v>18.94393985</v>
      </c>
      <c r="EP76">
        <f>20.21696159</f>
        <v>20.21696159</v>
      </c>
      <c r="EQ76">
        <f>20.6711207</f>
        <v>20.671120699999999</v>
      </c>
      <c r="ER76">
        <f>21.24105591</f>
        <v>21.24105591</v>
      </c>
      <c r="ES76">
        <f>21.83771478</f>
        <v>21.837714779999999</v>
      </c>
      <c r="ET76">
        <f>21.52183655</f>
        <v>21.52183655</v>
      </c>
      <c r="EU76">
        <f>22.15413524</f>
        <v>22.154135239999999</v>
      </c>
      <c r="EV76">
        <f>20.40394359</f>
        <v>20.403943590000001</v>
      </c>
      <c r="EW76">
        <f>20.23939566</f>
        <v>20.23939566</v>
      </c>
      <c r="EX76">
        <f>21.61252825</f>
        <v>21.61252825</v>
      </c>
      <c r="EY76">
        <f>23.00910966</f>
        <v>23.00910966</v>
      </c>
      <c r="EZ76">
        <f>22.40564856</f>
        <v>22.405648559999999</v>
      </c>
      <c r="FA76">
        <f>24.64032397</f>
        <v>24.640323970000001</v>
      </c>
      <c r="FB76">
        <f>25.52432351</f>
        <v>25.524323509999999</v>
      </c>
      <c r="FC76">
        <f>25.15211318</f>
        <v>25.152113180000001</v>
      </c>
      <c r="FD76">
        <f>31.04916763</f>
        <v>31.049167629999999</v>
      </c>
      <c r="FE76">
        <f>31.14092727</f>
        <v>31.140927269999999</v>
      </c>
      <c r="FF76">
        <f>30.29215061</f>
        <v>30.29215061</v>
      </c>
      <c r="FG76">
        <f>28.46384719</f>
        <v>28.463847189999999</v>
      </c>
      <c r="FH76">
        <f>28.14299867</f>
        <v>28.142998670000001</v>
      </c>
      <c r="FI76">
        <f>26.25228419</f>
        <v>26.252284190000001</v>
      </c>
      <c r="FJ76">
        <f>23.57272672</f>
        <v>23.572726719999999</v>
      </c>
      <c r="FK76">
        <f>26.7006046</f>
        <v>26.700604599999998</v>
      </c>
      <c r="FL76">
        <f>23.94071235</f>
        <v>23.940712349999998</v>
      </c>
      <c r="FM76">
        <f>28.39114318</f>
        <v>28.39114318</v>
      </c>
      <c r="FN76">
        <f>29.17117835</f>
        <v>29.171178350000002</v>
      </c>
      <c r="FO76">
        <f>27.2798602</f>
        <v>27.279860200000002</v>
      </c>
      <c r="FP76">
        <f>24.95343004</f>
        <v>24.953430040000001</v>
      </c>
      <c r="FQ76">
        <f>25.16814343</f>
        <v>25.168143430000001</v>
      </c>
    </row>
    <row r="77" spans="1:173">
      <c r="A77" t="str">
        <f>"    AvalonBay社区股份有限公司"</f>
        <v xml:space="preserve">    AvalonBay社区股份有限公司</v>
      </c>
      <c r="B77" t="str">
        <f>"AVB US Equity"</f>
        <v>AVB US Equity</v>
      </c>
      <c r="C77" t="str">
        <f t="shared" si="27"/>
        <v>F0891</v>
      </c>
      <c r="D77" t="str">
        <f t="shared" si="28"/>
        <v>PRICE_TO_FAD_PS</v>
      </c>
      <c r="E77" t="str">
        <f t="shared" si="29"/>
        <v>动态</v>
      </c>
      <c r="F77">
        <f ca="1">IF(AND(ISNUMBER($F$318),$B$252=1),$F$318,HLOOKUP(INDIRECT(ADDRESS(2,COLUMN())),OFFSET($CL$2,0,0,ROW()-1,84),ROW()-1,FALSE))</f>
        <v>19.51528527</v>
      </c>
      <c r="G77">
        <f ca="1">IF(AND(ISNUMBER($G$318),$B$252=1),$G$318,HLOOKUP(INDIRECT(ADDRESS(2,COLUMN())),OFFSET($CL$2,0,0,ROW()-1,84),ROW()-1,FALSE))</f>
        <v>18.848426450000002</v>
      </c>
      <c r="H77">
        <f ca="1">IF(AND(ISNUMBER($H$318),$B$252=1),$H$318,HLOOKUP(INDIRECT(ADDRESS(2,COLUMN())),OFFSET($CL$2,0,0,ROW()-1,84),ROW()-1,FALSE))</f>
        <v>20.585642010000001</v>
      </c>
      <c r="I77">
        <f ca="1">IF(AND(ISNUMBER($I$318),$B$252=1),$I$318,HLOOKUP(INDIRECT(ADDRESS(2,COLUMN())),OFFSET($CL$2,0,0,ROW()-1,84),ROW()-1,FALSE))</f>
        <v>21.553312160000001</v>
      </c>
      <c r="J77">
        <f ca="1">IF(AND(ISNUMBER($J$318),$B$252=1),$J$318,HLOOKUP(INDIRECT(ADDRESS(2,COLUMN())),OFFSET($CL$2,0,0,ROW()-1,84),ROW()-1,FALSE))</f>
        <v>22.235134219999999</v>
      </c>
      <c r="K77">
        <f ca="1">IF(AND(ISNUMBER($K$318),$B$252=1),$K$318,HLOOKUP(INDIRECT(ADDRESS(2,COLUMN())),OFFSET($CL$2,0,0,ROW()-1,84),ROW()-1,FALSE))</f>
        <v>22.235134219999999</v>
      </c>
      <c r="L77">
        <f ca="1">IF(AND(ISNUMBER($L$318),$B$252=1),$L$318,HLOOKUP(INDIRECT(ADDRESS(2,COLUMN())),OFFSET($CL$2,0,0,ROW()-1,84),ROW()-1,FALSE))</f>
        <v>21.8783028</v>
      </c>
      <c r="M77">
        <f ca="1">IF(AND(ISNUMBER($M$318),$B$252=1),$M$318,HLOOKUP(INDIRECT(ADDRESS(2,COLUMN())),OFFSET($CL$2,0,0,ROW()-1,84),ROW()-1,FALSE))</f>
        <v>23.347515300000001</v>
      </c>
      <c r="N77">
        <f ca="1">IF(AND(ISNUMBER($N$318),$B$252=1),$N$318,HLOOKUP(INDIRECT(ADDRESS(2,COLUMN())),OFFSET($CL$2,0,0,ROW()-1,84),ROW()-1,FALSE))</f>
        <v>23.92209326</v>
      </c>
      <c r="O77">
        <f ca="1">IF(AND(ISNUMBER($O$318),$B$252=1),$O$318,HLOOKUP(INDIRECT(ADDRESS(2,COLUMN())),OFFSET($CL$2,0,0,ROW()-1,84),ROW()-1,FALSE))</f>
        <v>23.899707100000001</v>
      </c>
      <c r="P77">
        <f ca="1">IF(AND(ISNUMBER($P$318),$B$252=1),$P$318,HLOOKUP(INDIRECT(ADDRESS(2,COLUMN())),OFFSET($CL$2,0,0,ROW()-1,84),ROW()-1,FALSE))</f>
        <v>23.96003211</v>
      </c>
      <c r="Q77">
        <f ca="1">IF(AND(ISNUMBER($Q$318),$B$252=1),$Q$318,HLOOKUP(INDIRECT(ADDRESS(2,COLUMN())),OFFSET($CL$2,0,0,ROW()-1,84),ROW()-1,FALSE))</f>
        <v>23.78462923</v>
      </c>
      <c r="R77">
        <f ca="1">IF(AND(ISNUMBER($R$318),$B$252=1),$R$318,HLOOKUP(INDIRECT(ADDRESS(2,COLUMN())),OFFSET($CL$2,0,0,ROW()-1,84),ROW()-1,FALSE))</f>
        <v>23.002833580000001</v>
      </c>
      <c r="S77">
        <f ca="1">IF(AND(ISNUMBER($S$318),$B$252=1),$S$318,HLOOKUP(INDIRECT(ADDRESS(2,COLUMN())),OFFSET($CL$2,0,0,ROW()-1,84),ROW()-1,FALSE))</f>
        <v>23.3886064</v>
      </c>
      <c r="T77">
        <f ca="1">IF(AND(ISNUMBER($T$318),$B$252=1),$T$318,HLOOKUP(INDIRECT(ADDRESS(2,COLUMN())),OFFSET($CL$2,0,0,ROW()-1,84),ROW()-1,FALSE))</f>
        <v>22.056150689999999</v>
      </c>
      <c r="U77">
        <f ca="1">IF(AND(ISNUMBER($U$318),$B$252=1),$U$318,HLOOKUP(INDIRECT(ADDRESS(2,COLUMN())),OFFSET($CL$2,0,0,ROW()-1,84),ROW()-1,FALSE))</f>
        <v>22.544845049999999</v>
      </c>
      <c r="V77">
        <f ca="1">IF(AND(ISNUMBER($V$318),$B$252=1),$V$318,HLOOKUP(INDIRECT(ADDRESS(2,COLUMN())),OFFSET($CL$2,0,0,ROW()-1,84),ROW()-1,FALSE))</f>
        <v>21.307920110000001</v>
      </c>
      <c r="W77">
        <f ca="1">IF(AND(ISNUMBER($W$318),$B$252=1),$W$318,HLOOKUP(INDIRECT(ADDRESS(2,COLUMN())),OFFSET($CL$2,0,0,ROW()-1,84),ROW()-1,FALSE))</f>
        <v>22.17453806</v>
      </c>
      <c r="X77">
        <f ca="1">IF(AND(ISNUMBER($X$318),$B$252=1),$X$318,HLOOKUP(INDIRECT(ADDRESS(2,COLUMN())),OFFSET($CL$2,0,0,ROW()-1,84),ROW()-1,FALSE))</f>
        <v>23.037269819999999</v>
      </c>
      <c r="Y77">
        <f ca="1">IF(AND(ISNUMBER($Y$318),$B$252=1),$Y$318,HLOOKUP(INDIRECT(ADDRESS(2,COLUMN())),OFFSET($CL$2,0,0,ROW()-1,84),ROW()-1,FALSE))</f>
        <v>23.09402231</v>
      </c>
      <c r="Z77">
        <f ca="1">IF(AND(ISNUMBER($Z$318),$B$252=1),$Z$318,HLOOKUP(INDIRECT(ADDRESS(2,COLUMN())),OFFSET($CL$2,0,0,ROW()-1,84),ROW()-1,FALSE))</f>
        <v>24.49805864</v>
      </c>
      <c r="AA77">
        <f ca="1">IF(AND(ISNUMBER($AA$318),$B$252=1),$AA$318,HLOOKUP(INDIRECT(ADDRESS(2,COLUMN())),OFFSET($CL$2,0,0,ROW()-1,84),ROW()-1,FALSE))</f>
        <v>23.803957969999999</v>
      </c>
      <c r="AB77">
        <f ca="1">IF(AND(ISNUMBER($AB$318),$B$252=1),$AB$318,HLOOKUP(INDIRECT(ADDRESS(2,COLUMN())),OFFSET($CL$2,0,0,ROW()-1,84),ROW()-1,FALSE))</f>
        <v>24.229800269999998</v>
      </c>
      <c r="AC77">
        <f ca="1">IF(AND(ISNUMBER($AC$318),$B$252=1),$AC$318,HLOOKUP(INDIRECT(ADDRESS(2,COLUMN())),OFFSET($CL$2,0,0,ROW()-1,84),ROW()-1,FALSE))</f>
        <v>23.81357788</v>
      </c>
      <c r="AD77">
        <f ca="1">IF(AND(ISNUMBER($AD$318),$B$252=1),$AD$318,HLOOKUP(INDIRECT(ADDRESS(2,COLUMN())),OFFSET($CL$2,0,0,ROW()-1,84),ROW()-1,FALSE))</f>
        <v>25.61990222</v>
      </c>
      <c r="AE77">
        <f ca="1">IF(AND(ISNUMBER($AE$318),$B$252=1),$AE$318,HLOOKUP(INDIRECT(ADDRESS(2,COLUMN())),OFFSET($CL$2,0,0,ROW()-1,84),ROW()-1,FALSE))</f>
        <v>23.801863560000001</v>
      </c>
      <c r="AF77">
        <f ca="1">IF(AND(ISNUMBER($AF$318),$B$252=1),$AF$318,HLOOKUP(INDIRECT(ADDRESS(2,COLUMN())),OFFSET($CL$2,0,0,ROW()-1,84),ROW()-1,FALSE))</f>
        <v>23.781062590000001</v>
      </c>
      <c r="AG77">
        <f ca="1">IF(AND(ISNUMBER($AG$318),$B$252=1),$AG$318,HLOOKUP(INDIRECT(ADDRESS(2,COLUMN())),OFFSET($CL$2,0,0,ROW()-1,84),ROW()-1,FALSE))</f>
        <v>25.53389151</v>
      </c>
      <c r="AH77">
        <f ca="1">IF(AND(ISNUMBER($AH$318),$B$252=1),$AH$318,HLOOKUP(INDIRECT(ADDRESS(2,COLUMN())),OFFSET($CL$2,0,0,ROW()-1,84),ROW()-1,FALSE))</f>
        <v>26.152266189999999</v>
      </c>
      <c r="AI77">
        <f ca="1">IF(AND(ISNUMBER($AI$318),$B$252=1),$AI$318,HLOOKUP(INDIRECT(ADDRESS(2,COLUMN())),OFFSET($CL$2,0,0,ROW()-1,84),ROW()-1,FALSE))</f>
        <v>25.15100224</v>
      </c>
      <c r="AJ77">
        <f ca="1">IF(AND(ISNUMBER($AJ$318),$B$252=1),$AJ$318,HLOOKUP(INDIRECT(ADDRESS(2,COLUMN())),OFFSET($CL$2,0,0,ROW()-1,84),ROW()-1,FALSE))</f>
        <v>25.149563650000001</v>
      </c>
      <c r="AK77">
        <f ca="1">IF(AND(ISNUMBER($AK$318),$B$252=1),$AK$318,HLOOKUP(INDIRECT(ADDRESS(2,COLUMN())),OFFSET($CL$2,0,0,ROW()-1,84),ROW()-1,FALSE))</f>
        <v>24.410054779999999</v>
      </c>
      <c r="AL77">
        <f ca="1">IF(AND(ISNUMBER($AL$318),$B$252=1),$AL$318,HLOOKUP(INDIRECT(ADDRESS(2,COLUMN())),OFFSET($CL$2,0,0,ROW()-1,84),ROW()-1,FALSE))</f>
        <v>25.486664489999999</v>
      </c>
      <c r="AM77">
        <f ca="1">IF(AND(ISNUMBER($AM$318),$B$252=1),$AM$318,HLOOKUP(INDIRECT(ADDRESS(2,COLUMN())),OFFSET($CL$2,0,0,ROW()-1,84),ROW()-1,FALSE))</f>
        <v>23.642526700000001</v>
      </c>
      <c r="AN77">
        <f ca="1">IF(AND(ISNUMBER($AN$318),$B$252=1),$AN$318,HLOOKUP(INDIRECT(ADDRESS(2,COLUMN())),OFFSET($CL$2,0,0,ROW()-1,84),ROW()-1,FALSE))</f>
        <v>25.172626900000001</v>
      </c>
      <c r="AO77">
        <f ca="1">IF(AND(ISNUMBER($AO$318),$B$252=1),$AO$318,HLOOKUP(INDIRECT(ADDRESS(2,COLUMN())),OFFSET($CL$2,0,0,ROW()-1,84),ROW()-1,FALSE))</f>
        <v>24.846063099999999</v>
      </c>
      <c r="AP77">
        <f ca="1">IF(AND(ISNUMBER($AP$318),$B$252=1),$AP$318,HLOOKUP(INDIRECT(ADDRESS(2,COLUMN())),OFFSET($CL$2,0,0,ROW()-1,84),ROW()-1,FALSE))</f>
        <v>26.344325749999999</v>
      </c>
      <c r="AQ77">
        <f ca="1">IF(AND(ISNUMBER($AQ$318),$B$252=1),$AQ$318,HLOOKUP(INDIRECT(ADDRESS(2,COLUMN())),OFFSET($CL$2,0,0,ROW()-1,84),ROW()-1,FALSE))</f>
        <v>25.89073934</v>
      </c>
      <c r="AR77">
        <f ca="1">IF(AND(ISNUMBER($AR$318),$B$252=1),$AR$318,HLOOKUP(INDIRECT(ADDRESS(2,COLUMN())),OFFSET($CL$2,0,0,ROW()-1,84),ROW()-1,FALSE))</f>
        <v>26.605910649999998</v>
      </c>
      <c r="AS77">
        <f ca="1">IF(AND(ISNUMBER($AS$318),$B$252=1),$AS$318,HLOOKUP(INDIRECT(ADDRESS(2,COLUMN())),OFFSET($CL$2,0,0,ROW()-1,84),ROW()-1,FALSE))</f>
        <v>25.12942795</v>
      </c>
      <c r="AT77">
        <f ca="1">IF(AND(ISNUMBER($AT$318),$B$252=1),$AT$318,HLOOKUP(INDIRECT(ADDRESS(2,COLUMN())),OFFSET($CL$2,0,0,ROW()-1,84),ROW()-1,FALSE))</f>
        <v>25.264678029999999</v>
      </c>
      <c r="AU77">
        <f ca="1">IF(AND(ISNUMBER($AU$318),$B$252=1),$AU$318,HLOOKUP(INDIRECT(ADDRESS(2,COLUMN())),OFFSET($CL$2,0,0,ROW()-1,84),ROW()-1,FALSE))</f>
        <v>24.48689237</v>
      </c>
      <c r="AV77">
        <f ca="1">IF(AND(ISNUMBER($AV$318),$B$252=1),$AV$318,HLOOKUP(INDIRECT(ADDRESS(2,COLUMN())),OFFSET($CL$2,0,0,ROW()-1,84),ROW()-1,FALSE))</f>
        <v>22.15039282</v>
      </c>
      <c r="AW77">
        <f ca="1">IF(AND(ISNUMBER($AW$318),$B$252=1),$AW$318,HLOOKUP(INDIRECT(ADDRESS(2,COLUMN())),OFFSET($CL$2,0,0,ROW()-1,84),ROW()-1,FALSE))</f>
        <v>24.602028870000002</v>
      </c>
      <c r="AX77">
        <f ca="1">IF(AND(ISNUMBER($AX$318),$B$252=1),$AX$318,HLOOKUP(INDIRECT(ADDRESS(2,COLUMN())),OFFSET($CL$2,0,0,ROW()-1,84),ROW()-1,FALSE))</f>
        <v>23.640937279999999</v>
      </c>
      <c r="AY77">
        <f ca="1">IF(AND(ISNUMBER($AY$318),$B$252=1),$AY$318,HLOOKUP(INDIRECT(ADDRESS(2,COLUMN())),OFFSET($CL$2,0,0,ROW()-1,84),ROW()-1,FALSE))</f>
        <v>22.70060016</v>
      </c>
      <c r="AZ77">
        <f ca="1">IF(AND(ISNUMBER($AZ$318),$B$252=1),$AZ$318,HLOOKUP(INDIRECT(ADDRESS(2,COLUMN())),OFFSET($CL$2,0,0,ROW()-1,84),ROW()-1,FALSE))</f>
        <v>22.957668139999999</v>
      </c>
      <c r="BA77">
        <f ca="1">IF(AND(ISNUMBER($BA$318),$B$252=1),$BA$318,HLOOKUP(INDIRECT(ADDRESS(2,COLUMN())),OFFSET($CL$2,0,0,ROW()-1,84),ROW()-1,FALSE))</f>
        <v>22.101449410000001</v>
      </c>
      <c r="BB77">
        <f ca="1">IF(AND(ISNUMBER($BB$318),$B$252=1),$BB$318,HLOOKUP(INDIRECT(ADDRESS(2,COLUMN())),OFFSET($CL$2,0,0,ROW()-1,84),ROW()-1,FALSE))</f>
        <v>21.25494205</v>
      </c>
      <c r="BC77">
        <f ca="1">IF(AND(ISNUMBER($BC$318),$B$252=1),$BC$318,HLOOKUP(INDIRECT(ADDRESS(2,COLUMN())),OFFSET($CL$2,0,0,ROW()-1,84),ROW()-1,FALSE))</f>
        <v>21.817853929999998</v>
      </c>
      <c r="BD77">
        <f ca="1">IF(AND(ISNUMBER($BD$318),$B$252=1),$BD$318,HLOOKUP(INDIRECT(ADDRESS(2,COLUMN())),OFFSET($CL$2,0,0,ROW()-1,84),ROW()-1,FALSE))</f>
        <v>20.892494070000001</v>
      </c>
      <c r="BE77">
        <f ca="1">IF(AND(ISNUMBER($BE$318),$B$252=1),$BE$318,HLOOKUP(INDIRECT(ADDRESS(2,COLUMN())),OFFSET($CL$2,0,0,ROW()-1,84),ROW()-1,FALSE))</f>
        <v>20.00096821</v>
      </c>
      <c r="BF77">
        <f ca="1">IF(AND(ISNUMBER($BF$318),$B$252=1),$BF$318,HLOOKUP(INDIRECT(ADDRESS(2,COLUMN())),OFFSET($CL$2,0,0,ROW()-1,84),ROW()-1,FALSE))</f>
        <v>21.132878739999999</v>
      </c>
      <c r="BG77">
        <f ca="1">IF(AND(ISNUMBER($BG$318),$B$252=1),$BG$318,HLOOKUP(INDIRECT(ADDRESS(2,COLUMN())),OFFSET($CL$2,0,0,ROW()-1,84),ROW()-1,FALSE))</f>
        <v>22.28969708</v>
      </c>
      <c r="BH77">
        <f ca="1">IF(AND(ISNUMBER($BH$318),$B$252=1),$BH$318,HLOOKUP(INDIRECT(ADDRESS(2,COLUMN())),OFFSET($CL$2,0,0,ROW()-1,84),ROW()-1,FALSE))</f>
        <v>22.653319490000001</v>
      </c>
      <c r="BI77">
        <f ca="1">IF(AND(ISNUMBER($BI$318),$B$252=1),$BI$318,HLOOKUP(INDIRECT(ADDRESS(2,COLUMN())),OFFSET($CL$2,0,0,ROW()-1,84),ROW()-1,FALSE))</f>
        <v>22.862859310000001</v>
      </c>
      <c r="BJ77">
        <f ca="1">IF(AND(ISNUMBER($BJ$318),$B$252=1),$BJ$318,HLOOKUP(INDIRECT(ADDRESS(2,COLUMN())),OFFSET($CL$2,0,0,ROW()-1,84),ROW()-1,FALSE))</f>
        <v>24.973844870000001</v>
      </c>
      <c r="BK77">
        <f ca="1">IF(AND(ISNUMBER($BK$318),$B$252=1),$BK$318,HLOOKUP(INDIRECT(ADDRESS(2,COLUMN())),OFFSET($CL$2,0,0,ROW()-1,84),ROW()-1,FALSE))</f>
        <v>24.894498380000002</v>
      </c>
      <c r="BL77">
        <f ca="1">IF(AND(ISNUMBER($BL$318),$B$252=1),$BL$318,HLOOKUP(INDIRECT(ADDRESS(2,COLUMN())),OFFSET($CL$2,0,0,ROW()-1,84),ROW()-1,FALSE))</f>
        <v>25.795995829999999</v>
      </c>
      <c r="BM77">
        <f ca="1">IF(AND(ISNUMBER($BM$318),$B$252=1),$BM$318,HLOOKUP(INDIRECT(ADDRESS(2,COLUMN())),OFFSET($CL$2,0,0,ROW()-1,84),ROW()-1,FALSE))</f>
        <v>25.869887569999999</v>
      </c>
      <c r="BN77">
        <f ca="1">IF(AND(ISNUMBER($BN$318),$B$252=1),$BN$318,HLOOKUP(INDIRECT(ADDRESS(2,COLUMN())),OFFSET($CL$2,0,0,ROW()-1,84),ROW()-1,FALSE))</f>
        <v>24.63122864</v>
      </c>
      <c r="BO77">
        <f ca="1">IF(AND(ISNUMBER($BO$318),$B$252=1),$BO$318,HLOOKUP(INDIRECT(ADDRESS(2,COLUMN())),OFFSET($CL$2,0,0,ROW()-1,84),ROW()-1,FALSE))</f>
        <v>24.697427399999999</v>
      </c>
      <c r="BP77">
        <f ca="1">IF(AND(ISNUMBER($BP$318),$B$252=1),$BP$318,HLOOKUP(INDIRECT(ADDRESS(2,COLUMN())),OFFSET($CL$2,0,0,ROW()-1,84),ROW()-1,FALSE))</f>
        <v>25.67875592</v>
      </c>
      <c r="BQ77">
        <f ca="1">IF(AND(ISNUMBER($BQ$318),$B$252=1),$BQ$318,HLOOKUP(INDIRECT(ADDRESS(2,COLUMN())),OFFSET($CL$2,0,0,ROW()-1,84),ROW()-1,FALSE))</f>
        <v>26.826277180000002</v>
      </c>
      <c r="BR77">
        <f ca="1">IF(AND(ISNUMBER($BR$318),$B$252=1),$BR$318,HLOOKUP(INDIRECT(ADDRESS(2,COLUMN())),OFFSET($CL$2,0,0,ROW()-1,84),ROW()-1,FALSE))</f>
        <v>26.103738100000001</v>
      </c>
      <c r="BS77">
        <f ca="1">IF(AND(ISNUMBER($BS$318),$B$252=1),$BS$318,HLOOKUP(INDIRECT(ADDRESS(2,COLUMN())),OFFSET($CL$2,0,0,ROW()-1,84),ROW()-1,FALSE))</f>
        <v>26.85046466</v>
      </c>
      <c r="BT77">
        <f ca="1">IF(AND(ISNUMBER($BT$318),$B$252=1),$BT$318,HLOOKUP(INDIRECT(ADDRESS(2,COLUMN())),OFFSET($CL$2,0,0,ROW()-1,84),ROW()-1,FALSE))</f>
        <v>26.935635059999999</v>
      </c>
      <c r="BU77">
        <f ca="1">IF(AND(ISNUMBER($BU$318),$B$252=1),$BU$318,HLOOKUP(INDIRECT(ADDRESS(2,COLUMN())),OFFSET($CL$2,0,0,ROW()-1,84),ROW()-1,FALSE))</f>
        <v>29.574096770000001</v>
      </c>
      <c r="BV77">
        <f ca="1">IF(AND(ISNUMBER($BV$318),$B$252=1),$BV$318,HLOOKUP(INDIRECT(ADDRESS(2,COLUMN())),OFFSET($CL$2,0,0,ROW()-1,84),ROW()-1,FALSE))</f>
        <v>30.738085739999999</v>
      </c>
      <c r="BW77">
        <f ca="1">IF(AND(ISNUMBER($BW$318),$B$252=1),$BW$318,HLOOKUP(INDIRECT(ADDRESS(2,COLUMN())),OFFSET($CL$2,0,0,ROW()-1,84),ROW()-1,FALSE))</f>
        <v>29.565737779999999</v>
      </c>
      <c r="BX77">
        <f ca="1">IF(AND(ISNUMBER($BX$318),$B$252=1),$BX$318,HLOOKUP(INDIRECT(ADDRESS(2,COLUMN())),OFFSET($CL$2,0,0,ROW()-1,84),ROW()-1,FALSE))</f>
        <v>30.473179510000001</v>
      </c>
      <c r="BY77">
        <f ca="1">IF(AND(ISNUMBER($BY$318),$B$252=1),$BY$318,HLOOKUP(INDIRECT(ADDRESS(2,COLUMN())),OFFSET($CL$2,0,0,ROW()-1,84),ROW()-1,FALSE))</f>
        <v>31.705189990000001</v>
      </c>
      <c r="BZ77">
        <f ca="1">IF(AND(ISNUMBER($BZ$318),$B$252=1),$BZ$318,HLOOKUP(INDIRECT(ADDRESS(2,COLUMN())),OFFSET($CL$2,0,0,ROW()-1,84),ROW()-1,FALSE))</f>
        <v>30.822067430000001</v>
      </c>
      <c r="CA77">
        <f ca="1">IF(AND(ISNUMBER($CA$318),$B$252=1),$CA$318,HLOOKUP(INDIRECT(ADDRESS(2,COLUMN())),OFFSET($CL$2,0,0,ROW()-1,84),ROW()-1,FALSE))</f>
        <v>29.551541010000001</v>
      </c>
      <c r="CB77">
        <f ca="1">IF(AND(ISNUMBER($CB$318),$B$252=1),$CB$318,HLOOKUP(INDIRECT(ADDRESS(2,COLUMN())),OFFSET($CL$2,0,0,ROW()-1,84),ROW()-1,FALSE))</f>
        <v>30.996414690000002</v>
      </c>
      <c r="CC77">
        <f ca="1">IF(AND(ISNUMBER($CC$318),$B$252=1),$CC$318,HLOOKUP(INDIRECT(ADDRESS(2,COLUMN())),OFFSET($CL$2,0,0,ROW()-1,84),ROW()-1,FALSE))</f>
        <v>29.763486199999999</v>
      </c>
      <c r="CD77">
        <f ca="1">IF(AND(ISNUMBER($CD$318),$B$252=1),$CD$318,HLOOKUP(INDIRECT(ADDRESS(2,COLUMN())),OFFSET($CL$2,0,0,ROW()-1,84),ROW()-1,FALSE))</f>
        <v>30.209422799999999</v>
      </c>
      <c r="CE77">
        <f ca="1">IF(AND(ISNUMBER($CE$318),$B$252=1),$CE$318,HLOOKUP(INDIRECT(ADDRESS(2,COLUMN())),OFFSET($CL$2,0,0,ROW()-1,84),ROW()-1,FALSE))</f>
        <v>32.348399950000001</v>
      </c>
      <c r="CF77">
        <f ca="1">IF(AND(ISNUMBER($CF$318),$B$252=1),$CF$318,HLOOKUP(INDIRECT(ADDRESS(2,COLUMN())),OFFSET($CL$2,0,0,ROW()-1,84),ROW()-1,FALSE))</f>
        <v>27.59619279</v>
      </c>
      <c r="CG77">
        <f ca="1">IF(AND(ISNUMBER($CG$318),$B$252=1),$CG$318,HLOOKUP(INDIRECT(ADDRESS(2,COLUMN())),OFFSET($CL$2,0,0,ROW()-1,84),ROW()-1,FALSE))</f>
        <v>34.513447890000002</v>
      </c>
      <c r="CH77">
        <f ca="1">IF(AND(ISNUMBER($CH$318),$B$252=1),$CH$318,HLOOKUP(INDIRECT(ADDRESS(2,COLUMN())),OFFSET($CL$2,0,0,ROW()-1,84),ROW()-1,FALSE))</f>
        <v>33.959228430000003</v>
      </c>
      <c r="CI77">
        <f ca="1">IF(AND(ISNUMBER($CI$318),$B$252=1),$CI$318,HLOOKUP(INDIRECT(ADDRESS(2,COLUMN())),OFFSET($CL$2,0,0,ROW()-1,84),ROW()-1,FALSE))</f>
        <v>32.493963260000001</v>
      </c>
      <c r="CJ77">
        <f ca="1">IF(AND(ISNUMBER($CJ$318),$B$252=1),$CJ$318,HLOOKUP(INDIRECT(ADDRESS(2,COLUMN())),OFFSET($CL$2,0,0,ROW()-1,84),ROW()-1,FALSE))</f>
        <v>34.507917190000001</v>
      </c>
      <c r="CK77">
        <f ca="1">IF(AND(ISNUMBER($CK$318),$B$252=1),$CK$318,HLOOKUP(INDIRECT(ADDRESS(2,COLUMN())),OFFSET($CL$2,0,0,ROW()-1,84),ROW()-1,FALSE))</f>
        <v>32.83270005</v>
      </c>
      <c r="CL77">
        <f>19.51528527</f>
        <v>19.51528527</v>
      </c>
      <c r="CM77">
        <f>18.84842645</f>
        <v>18.848426450000002</v>
      </c>
      <c r="CN77">
        <f>20.58564201</f>
        <v>20.585642010000001</v>
      </c>
      <c r="CO77">
        <f>21.55331216</f>
        <v>21.553312160000001</v>
      </c>
      <c r="CP77">
        <f>22.23513422</f>
        <v>22.235134219999999</v>
      </c>
      <c r="CQ77">
        <f>22.23513422</f>
        <v>22.235134219999999</v>
      </c>
      <c r="CR77">
        <f>21.8783028</f>
        <v>21.8783028</v>
      </c>
      <c r="CS77">
        <f>23.3475153</f>
        <v>23.347515300000001</v>
      </c>
      <c r="CT77">
        <f>23.92209326</f>
        <v>23.92209326</v>
      </c>
      <c r="CU77">
        <f>23.8997071</f>
        <v>23.899707100000001</v>
      </c>
      <c r="CV77">
        <f>23.96003211</f>
        <v>23.96003211</v>
      </c>
      <c r="CW77">
        <f>23.78462923</f>
        <v>23.78462923</v>
      </c>
      <c r="CX77">
        <f>23.00283358</f>
        <v>23.002833580000001</v>
      </c>
      <c r="CY77">
        <f>23.3886064</f>
        <v>23.3886064</v>
      </c>
      <c r="CZ77">
        <f>22.05615069</f>
        <v>22.056150689999999</v>
      </c>
      <c r="DA77">
        <f>22.54484505</f>
        <v>22.544845049999999</v>
      </c>
      <c r="DB77">
        <f>21.30792011</f>
        <v>21.307920110000001</v>
      </c>
      <c r="DC77">
        <f>22.17453806</f>
        <v>22.17453806</v>
      </c>
      <c r="DD77">
        <f>23.03726982</f>
        <v>23.037269819999999</v>
      </c>
      <c r="DE77">
        <f>23.09402231</f>
        <v>23.09402231</v>
      </c>
      <c r="DF77">
        <f>24.49805864</f>
        <v>24.49805864</v>
      </c>
      <c r="DG77">
        <f>23.80395797</f>
        <v>23.803957969999999</v>
      </c>
      <c r="DH77">
        <f>24.22980027</f>
        <v>24.229800269999998</v>
      </c>
      <c r="DI77">
        <f>23.81357788</f>
        <v>23.81357788</v>
      </c>
      <c r="DJ77">
        <f>25.61990222</f>
        <v>25.61990222</v>
      </c>
      <c r="DK77">
        <f>23.80186356</f>
        <v>23.801863560000001</v>
      </c>
      <c r="DL77">
        <f>23.78106259</f>
        <v>23.781062590000001</v>
      </c>
      <c r="DM77">
        <f>25.53389151</f>
        <v>25.53389151</v>
      </c>
      <c r="DN77">
        <f>26.15226619</f>
        <v>26.152266189999999</v>
      </c>
      <c r="DO77">
        <f>25.15100224</f>
        <v>25.15100224</v>
      </c>
      <c r="DP77">
        <f>25.14956365</f>
        <v>25.149563650000001</v>
      </c>
      <c r="DQ77">
        <f>24.41005478</f>
        <v>24.410054779999999</v>
      </c>
      <c r="DR77">
        <f>25.48666449</f>
        <v>25.486664489999999</v>
      </c>
      <c r="DS77">
        <f>23.6425267</f>
        <v>23.642526700000001</v>
      </c>
      <c r="DT77">
        <f>25.1726269</f>
        <v>25.172626900000001</v>
      </c>
      <c r="DU77">
        <f>24.8460631</f>
        <v>24.846063099999999</v>
      </c>
      <c r="DV77">
        <f>26.34432575</f>
        <v>26.344325749999999</v>
      </c>
      <c r="DW77">
        <f>25.89073934</f>
        <v>25.89073934</v>
      </c>
      <c r="DX77">
        <f>26.60591065</f>
        <v>26.605910649999998</v>
      </c>
      <c r="DY77">
        <f>25.12942795</f>
        <v>25.12942795</v>
      </c>
      <c r="DZ77">
        <f>25.26467803</f>
        <v>25.264678029999999</v>
      </c>
      <c r="EA77">
        <f>24.48689237</f>
        <v>24.48689237</v>
      </c>
      <c r="EB77">
        <f>22.15039282</f>
        <v>22.15039282</v>
      </c>
      <c r="EC77">
        <f>24.60202887</f>
        <v>24.602028870000002</v>
      </c>
      <c r="ED77">
        <f>23.64093728</f>
        <v>23.640937279999999</v>
      </c>
      <c r="EE77">
        <f>22.70060016</f>
        <v>22.70060016</v>
      </c>
      <c r="EF77">
        <f>22.95766814</f>
        <v>22.957668139999999</v>
      </c>
      <c r="EG77">
        <f>22.10144941</f>
        <v>22.101449410000001</v>
      </c>
      <c r="EH77">
        <f>21.25494205</f>
        <v>21.25494205</v>
      </c>
      <c r="EI77">
        <f>21.81785393</f>
        <v>21.817853929999998</v>
      </c>
      <c r="EJ77">
        <f>20.89249407</f>
        <v>20.892494070000001</v>
      </c>
      <c r="EK77">
        <f>20.00096821</f>
        <v>20.00096821</v>
      </c>
      <c r="EL77">
        <f>21.13287874</f>
        <v>21.132878739999999</v>
      </c>
      <c r="EM77">
        <f>22.28969708</f>
        <v>22.28969708</v>
      </c>
      <c r="EN77">
        <f>22.65331949</f>
        <v>22.653319490000001</v>
      </c>
      <c r="EO77">
        <f>22.86285931</f>
        <v>22.862859310000001</v>
      </c>
      <c r="EP77">
        <f>24.97384487</f>
        <v>24.973844870000001</v>
      </c>
      <c r="EQ77">
        <f>24.89449838</f>
        <v>24.894498380000002</v>
      </c>
      <c r="ER77">
        <f>25.79599583</f>
        <v>25.795995829999999</v>
      </c>
      <c r="ES77">
        <f>25.86988757</f>
        <v>25.869887569999999</v>
      </c>
      <c r="ET77">
        <f>24.63122864</f>
        <v>24.63122864</v>
      </c>
      <c r="EU77">
        <f>24.6974274</f>
        <v>24.697427399999999</v>
      </c>
      <c r="EV77">
        <f>25.67875592</f>
        <v>25.67875592</v>
      </c>
      <c r="EW77">
        <f>26.82627718</f>
        <v>26.826277180000002</v>
      </c>
      <c r="EX77">
        <f>26.1037381</f>
        <v>26.103738100000001</v>
      </c>
      <c r="EY77">
        <f>26.85046466</f>
        <v>26.85046466</v>
      </c>
      <c r="EZ77">
        <f>26.93563506</f>
        <v>26.935635059999999</v>
      </c>
      <c r="FA77">
        <f>29.57409677</f>
        <v>29.574096770000001</v>
      </c>
      <c r="FB77">
        <f>30.73808574</f>
        <v>30.738085739999999</v>
      </c>
      <c r="FC77">
        <f>29.56573778</f>
        <v>29.565737779999999</v>
      </c>
      <c r="FD77">
        <f>30.47317951</f>
        <v>30.473179510000001</v>
      </c>
      <c r="FE77">
        <f>31.70518999</f>
        <v>31.705189990000001</v>
      </c>
      <c r="FF77">
        <f>30.82206743</f>
        <v>30.822067430000001</v>
      </c>
      <c r="FG77">
        <f>29.55154101</f>
        <v>29.551541010000001</v>
      </c>
      <c r="FH77">
        <f>30.99641469</f>
        <v>30.996414690000002</v>
      </c>
      <c r="FI77">
        <f>29.7634862</f>
        <v>29.763486199999999</v>
      </c>
      <c r="FJ77">
        <f>30.2094228</f>
        <v>30.209422799999999</v>
      </c>
      <c r="FK77">
        <f>32.34839995</f>
        <v>32.348399950000001</v>
      </c>
      <c r="FL77">
        <f>27.59619279</f>
        <v>27.59619279</v>
      </c>
      <c r="FM77">
        <f>34.51344789</f>
        <v>34.513447890000002</v>
      </c>
      <c r="FN77">
        <f>33.95922843</f>
        <v>33.959228430000003</v>
      </c>
      <c r="FO77">
        <f>32.49396326</f>
        <v>32.493963260000001</v>
      </c>
      <c r="FP77">
        <f>34.50791719</f>
        <v>34.507917190000001</v>
      </c>
      <c r="FQ77">
        <f>32.83270005</f>
        <v>32.83270005</v>
      </c>
    </row>
    <row r="78" spans="1:173">
      <c r="A78" t="str">
        <f>"    Camden 房地产信托公司"</f>
        <v xml:space="preserve">    Camden 房地产信托公司</v>
      </c>
      <c r="B78" t="str">
        <f>"CPT US Equity"</f>
        <v>CPT US Equity</v>
      </c>
      <c r="C78" t="str">
        <f t="shared" si="27"/>
        <v>F0891</v>
      </c>
      <c r="D78" t="str">
        <f t="shared" si="28"/>
        <v>PRICE_TO_FAD_PS</v>
      </c>
      <c r="E78" t="str">
        <f t="shared" si="29"/>
        <v>动态</v>
      </c>
      <c r="F78">
        <f ca="1">IF(AND(ISNUMBER($F$319),$B$252=1),$F$319,HLOOKUP(INDIRECT(ADDRESS(2,COLUMN())),OFFSET($CL$2,0,0,ROW()-1,84),ROW()-1,FALSE))</f>
        <v>21.545972639999999</v>
      </c>
      <c r="G78">
        <f ca="1">IF(AND(ISNUMBER($G$319),$B$252=1),$G$319,HLOOKUP(INDIRECT(ADDRESS(2,COLUMN())),OFFSET($CL$2,0,0,ROW()-1,84),ROW()-1,FALSE))</f>
        <v>20.75945218</v>
      </c>
      <c r="H78">
        <f ca="1">IF(AND(ISNUMBER($H$319),$B$252=1),$H$319,HLOOKUP(INDIRECT(ADDRESS(2,COLUMN())),OFFSET($CL$2,0,0,ROW()-1,84),ROW()-1,FALSE))</f>
        <v>22.543447260000001</v>
      </c>
      <c r="I78">
        <f ca="1">IF(AND(ISNUMBER($I$319),$B$252=1),$I$319,HLOOKUP(INDIRECT(ADDRESS(2,COLUMN())),OFFSET($CL$2,0,0,ROW()-1,84),ROW()-1,FALSE))</f>
        <v>23.975852060000001</v>
      </c>
      <c r="J78">
        <f ca="1">IF(AND(ISNUMBER($J$319),$B$252=1),$J$319,HLOOKUP(INDIRECT(ADDRESS(2,COLUMN())),OFFSET($CL$2,0,0,ROW()-1,84),ROW()-1,FALSE))</f>
        <v>23.687666490000002</v>
      </c>
      <c r="K78">
        <f ca="1">IF(AND(ISNUMBER($K$319),$B$252=1),$K$319,HLOOKUP(INDIRECT(ADDRESS(2,COLUMN())),OFFSET($CL$2,0,0,ROW()-1,84),ROW()-1,FALSE))</f>
        <v>23.67728627</v>
      </c>
      <c r="L78">
        <f ca="1">IF(AND(ISNUMBER($L$319),$B$252=1),$L$319,HLOOKUP(INDIRECT(ADDRESS(2,COLUMN())),OFFSET($CL$2,0,0,ROW()-1,84),ROW()-1,FALSE))</f>
        <v>23.731782429999999</v>
      </c>
      <c r="M78">
        <f ca="1">IF(AND(ISNUMBER($M$319),$B$252=1),$M$319,HLOOKUP(INDIRECT(ADDRESS(2,COLUMN())),OFFSET($CL$2,0,0,ROW()-1,84),ROW()-1,FALSE))</f>
        <v>23.19315181</v>
      </c>
      <c r="N78">
        <f ca="1">IF(AND(ISNUMBER($N$319),$B$252=1),$N$319,HLOOKUP(INDIRECT(ADDRESS(2,COLUMN())),OFFSET($CL$2,0,0,ROW()-1,84),ROW()-1,FALSE))</f>
        <v>23.250175649999999</v>
      </c>
      <c r="O78">
        <f ca="1">IF(AND(ISNUMBER($O$319),$B$252=1),$O$319,HLOOKUP(INDIRECT(ADDRESS(2,COLUMN())),OFFSET($CL$2,0,0,ROW()-1,84),ROW()-1,FALSE))</f>
        <v>22.164130660000001</v>
      </c>
      <c r="P78">
        <f ca="1">IF(AND(ISNUMBER($P$319),$B$252=1),$P$319,HLOOKUP(INDIRECT(ADDRESS(2,COLUMN())),OFFSET($CL$2,0,0,ROW()-1,84),ROW()-1,FALSE))</f>
        <v>21.493076439999999</v>
      </c>
      <c r="Q78">
        <f ca="1">IF(AND(ISNUMBER($Q$319),$B$252=1),$Q$319,HLOOKUP(INDIRECT(ADDRESS(2,COLUMN())),OFFSET($CL$2,0,0,ROW()-1,84),ROW()-1,FALSE))</f>
        <v>21.240247069999999</v>
      </c>
      <c r="R78">
        <f ca="1">IF(AND(ISNUMBER($R$319),$B$252=1),$R$319,HLOOKUP(INDIRECT(ADDRESS(2,COLUMN())),OFFSET($CL$2,0,0,ROW()-1,84),ROW()-1,FALSE))</f>
        <v>20.75780735</v>
      </c>
      <c r="S78">
        <f ca="1">IF(AND(ISNUMBER($S$319),$B$252=1),$S$319,HLOOKUP(INDIRECT(ADDRESS(2,COLUMN())),OFFSET($CL$2,0,0,ROW()-1,84),ROW()-1,FALSE))</f>
        <v>21.206544489999999</v>
      </c>
      <c r="T78">
        <f ca="1">IF(AND(ISNUMBER($T$319),$B$252=1),$T$319,HLOOKUP(INDIRECT(ADDRESS(2,COLUMN())),OFFSET($CL$2,0,0,ROW()-1,84),ROW()-1,FALSE))</f>
        <v>20.935982549999999</v>
      </c>
      <c r="U78">
        <f ca="1">IF(AND(ISNUMBER($U$319),$B$252=1),$U$319,HLOOKUP(INDIRECT(ADDRESS(2,COLUMN())),OFFSET($CL$2,0,0,ROW()-1,84),ROW()-1,FALSE))</f>
        <v>21.061242700000001</v>
      </c>
      <c r="V78">
        <f ca="1">IF(AND(ISNUMBER($V$319),$B$252=1),$V$319,HLOOKUP(INDIRECT(ADDRESS(2,COLUMN())),OFFSET($CL$2,0,0,ROW()-1,84),ROW()-1,FALSE))</f>
        <v>19.58443518</v>
      </c>
      <c r="W78">
        <f ca="1">IF(AND(ISNUMBER($W$319),$B$252=1),$W$319,HLOOKUP(INDIRECT(ADDRESS(2,COLUMN())),OFFSET($CL$2,0,0,ROW()-1,84),ROW()-1,FALSE))</f>
        <v>20.2637073</v>
      </c>
      <c r="X78">
        <f ca="1">IF(AND(ISNUMBER($X$319),$B$252=1),$X$319,HLOOKUP(INDIRECT(ADDRESS(2,COLUMN())),OFFSET($CL$2,0,0,ROW()-1,84),ROW()-1,FALSE))</f>
        <v>20.835987830000001</v>
      </c>
      <c r="Y78">
        <f ca="1">IF(AND(ISNUMBER($Y$319),$B$252=1),$Y$319,HLOOKUP(INDIRECT(ADDRESS(2,COLUMN())),OFFSET($CL$2,0,0,ROW()-1,84),ROW()-1,FALSE))</f>
        <v>21.744312470000001</v>
      </c>
      <c r="Z78">
        <f ca="1">IF(AND(ISNUMBER($Z$319),$B$252=1),$Z$319,HLOOKUP(INDIRECT(ADDRESS(2,COLUMN())),OFFSET($CL$2,0,0,ROW()-1,84),ROW()-1,FALSE))</f>
        <v>22.195202850000001</v>
      </c>
      <c r="AA78">
        <f ca="1">IF(AND(ISNUMBER($AA$319),$B$252=1),$AA$319,HLOOKUP(INDIRECT(ADDRESS(2,COLUMN())),OFFSET($CL$2,0,0,ROW()-1,84),ROW()-1,FALSE))</f>
        <v>21.905344750000001</v>
      </c>
      <c r="AB78">
        <f ca="1">IF(AND(ISNUMBER($AB$319),$B$252=1),$AB$319,HLOOKUP(INDIRECT(ADDRESS(2,COLUMN())),OFFSET($CL$2,0,0,ROW()-1,84),ROW()-1,FALSE))</f>
        <v>21.456523499999999</v>
      </c>
      <c r="AC78">
        <f ca="1">IF(AND(ISNUMBER($AC$319),$B$252=1),$AC$319,HLOOKUP(INDIRECT(ADDRESS(2,COLUMN())),OFFSET($CL$2,0,0,ROW()-1,84),ROW()-1,FALSE))</f>
        <v>20.328425559999999</v>
      </c>
      <c r="AD78">
        <f ca="1">IF(AND(ISNUMBER($AD$319),$B$252=1),$AD$319,HLOOKUP(INDIRECT(ADDRESS(2,COLUMN())),OFFSET($CL$2,0,0,ROW()-1,84),ROW()-1,FALSE))</f>
        <v>21.174499019999999</v>
      </c>
      <c r="AE78">
        <f ca="1">IF(AND(ISNUMBER($AE$319),$B$252=1),$AE$319,HLOOKUP(INDIRECT(ADDRESS(2,COLUMN())),OFFSET($CL$2,0,0,ROW()-1,84),ROW()-1,FALSE))</f>
        <v>19.314578690000001</v>
      </c>
      <c r="AF78">
        <f ca="1">IF(AND(ISNUMBER($AF$319),$B$252=1),$AF$319,HLOOKUP(INDIRECT(ADDRESS(2,COLUMN())),OFFSET($CL$2,0,0,ROW()-1,84),ROW()-1,FALSE))</f>
        <v>19.71771948</v>
      </c>
      <c r="AG78">
        <f ca="1">IF(AND(ISNUMBER($AG$319),$B$252=1),$AG$319,HLOOKUP(INDIRECT(ADDRESS(2,COLUMN())),OFFSET($CL$2,0,0,ROW()-1,84),ROW()-1,FALSE))</f>
        <v>19.83659433</v>
      </c>
      <c r="AH78">
        <f ca="1">IF(AND(ISNUMBER($AH$319),$B$252=1),$AH$319,HLOOKUP(INDIRECT(ADDRESS(2,COLUMN())),OFFSET($CL$2,0,0,ROW()-1,84),ROW()-1,FALSE))</f>
        <v>19.623858779999999</v>
      </c>
      <c r="AI78">
        <f ca="1">IF(AND(ISNUMBER($AI$319),$B$252=1),$AI$319,HLOOKUP(INDIRECT(ADDRESS(2,COLUMN())),OFFSET($CL$2,0,0,ROW()-1,84),ROW()-1,FALSE))</f>
        <v>18.958425500000001</v>
      </c>
      <c r="AJ78">
        <f ca="1">IF(AND(ISNUMBER($AJ$319),$B$252=1),$AJ$319,HLOOKUP(INDIRECT(ADDRESS(2,COLUMN())),OFFSET($CL$2,0,0,ROW()-1,84),ROW()-1,FALSE))</f>
        <v>18.986687140000001</v>
      </c>
      <c r="AK78">
        <f ca="1">IF(AND(ISNUMBER($AK$319),$B$252=1),$AK$319,HLOOKUP(INDIRECT(ADDRESS(2,COLUMN())),OFFSET($CL$2,0,0,ROW()-1,84),ROW()-1,FALSE))</f>
        <v>18.28963371</v>
      </c>
      <c r="AL78">
        <f ca="1">IF(AND(ISNUMBER($AL$319),$B$252=1),$AL$319,HLOOKUP(INDIRECT(ADDRESS(2,COLUMN())),OFFSET($CL$2,0,0,ROW()-1,84),ROW()-1,FALSE))</f>
        <v>20.219402089999999</v>
      </c>
      <c r="AM78">
        <f ca="1">IF(AND(ISNUMBER($AM$319),$B$252=1),$AM$319,HLOOKUP(INDIRECT(ADDRESS(2,COLUMN())),OFFSET($CL$2,0,0,ROW()-1,84),ROW()-1,FALSE))</f>
        <v>18.860946720000001</v>
      </c>
      <c r="AN78">
        <f ca="1">IF(AND(ISNUMBER($AN$319),$B$252=1),$AN$319,HLOOKUP(INDIRECT(ADDRESS(2,COLUMN())),OFFSET($CL$2,0,0,ROW()-1,84),ROW()-1,FALSE))</f>
        <v>18.79768675</v>
      </c>
      <c r="AO78">
        <f ca="1">IF(AND(ISNUMBER($AO$319),$B$252=1),$AO$319,HLOOKUP(INDIRECT(ADDRESS(2,COLUMN())),OFFSET($CL$2,0,0,ROW()-1,84),ROW()-1,FALSE))</f>
        <v>18.822757020000001</v>
      </c>
      <c r="AP78">
        <f ca="1">IF(AND(ISNUMBER($AP$319),$B$252=1),$AP$319,HLOOKUP(INDIRECT(ADDRESS(2,COLUMN())),OFFSET($CL$2,0,0,ROW()-1,84),ROW()-1,FALSE))</f>
        <v>19.58740019</v>
      </c>
      <c r="AQ78">
        <f ca="1">IF(AND(ISNUMBER($AQ$319),$B$252=1),$AQ$319,HLOOKUP(INDIRECT(ADDRESS(2,COLUMN())),OFFSET($CL$2,0,0,ROW()-1,84),ROW()-1,FALSE))</f>
        <v>18.325824669999999</v>
      </c>
      <c r="AR78">
        <f ca="1">IF(AND(ISNUMBER($AR$319),$B$252=1),$AR$319,HLOOKUP(INDIRECT(ADDRESS(2,COLUMN())),OFFSET($CL$2,0,0,ROW()-1,84),ROW()-1,FALSE))</f>
        <v>19.398334810000001</v>
      </c>
      <c r="AS78">
        <f ca="1">IF(AND(ISNUMBER($AS$319),$B$252=1),$AS$319,HLOOKUP(INDIRECT(ADDRESS(2,COLUMN())),OFFSET($CL$2,0,0,ROW()-1,84),ROW()-1,FALSE))</f>
        <v>18.590175760000001</v>
      </c>
      <c r="AT78">
        <f ca="1">IF(AND(ISNUMBER($AT$319),$B$252=1),$AT$319,HLOOKUP(INDIRECT(ADDRESS(2,COLUMN())),OFFSET($CL$2,0,0,ROW()-1,84),ROW()-1,FALSE))</f>
        <v>19.423672029999999</v>
      </c>
      <c r="AU78">
        <f ca="1">IF(AND(ISNUMBER($AU$319),$B$252=1),$AU$319,HLOOKUP(INDIRECT(ADDRESS(2,COLUMN())),OFFSET($CL$2,0,0,ROW()-1,84),ROW()-1,FALSE))</f>
        <v>19.42113895</v>
      </c>
      <c r="AV78">
        <f ca="1">IF(AND(ISNUMBER($AV$319),$B$252=1),$AV$319,HLOOKUP(INDIRECT(ADDRESS(2,COLUMN())),OFFSET($CL$2,0,0,ROW()-1,84),ROW()-1,FALSE))</f>
        <v>17.359210279999999</v>
      </c>
      <c r="AW78">
        <f ca="1">IF(AND(ISNUMBER($AW$319),$B$252=1),$AW$319,HLOOKUP(INDIRECT(ADDRESS(2,COLUMN())),OFFSET($CL$2,0,0,ROW()-1,84),ROW()-1,FALSE))</f>
        <v>19.095174239999999</v>
      </c>
      <c r="AX78">
        <f ca="1">IF(AND(ISNUMBER($AX$319),$B$252=1),$AX$319,HLOOKUP(INDIRECT(ADDRESS(2,COLUMN())),OFFSET($CL$2,0,0,ROW()-1,84),ROW()-1,FALSE))</f>
        <v>18.46241058</v>
      </c>
      <c r="AY78">
        <f ca="1">IF(AND(ISNUMBER($AY$319),$B$252=1),$AY$319,HLOOKUP(INDIRECT(ADDRESS(2,COLUMN())),OFFSET($CL$2,0,0,ROW()-1,84),ROW()-1,FALSE))</f>
        <v>18.153683149999999</v>
      </c>
      <c r="AZ78">
        <f ca="1">IF(AND(ISNUMBER($AZ$319),$B$252=1),$AZ$319,HLOOKUP(INDIRECT(ADDRESS(2,COLUMN())),OFFSET($CL$2,0,0,ROW()-1,84),ROW()-1,FALSE))</f>
        <v>18.040954419999998</v>
      </c>
      <c r="BA78">
        <f ca="1">IF(AND(ISNUMBER($BA$319),$B$252=1),$BA$319,HLOOKUP(INDIRECT(ADDRESS(2,COLUMN())),OFFSET($CL$2,0,0,ROW()-1,84),ROW()-1,FALSE))</f>
        <v>17.591471640000002</v>
      </c>
      <c r="BB78">
        <f ca="1">IF(AND(ISNUMBER($BB$319),$B$252=1),$BB$319,HLOOKUP(INDIRECT(ADDRESS(2,COLUMN())),OFFSET($CL$2,0,0,ROW()-1,84),ROW()-1,FALSE))</f>
        <v>17.296097249999999</v>
      </c>
      <c r="BC78">
        <f ca="1">IF(AND(ISNUMBER($BC$319),$B$252=1),$BC$319,HLOOKUP(INDIRECT(ADDRESS(2,COLUMN())),OFFSET($CL$2,0,0,ROW()-1,84),ROW()-1,FALSE))</f>
        <v>17.536233360000001</v>
      </c>
      <c r="BD78">
        <f ca="1">IF(AND(ISNUMBER($BD$319),$B$252=1),$BD$319,HLOOKUP(INDIRECT(ADDRESS(2,COLUMN())),OFFSET($CL$2,0,0,ROW()-1,84),ROW()-1,FALSE))</f>
        <v>16.25322259</v>
      </c>
      <c r="BE78">
        <f ca="1">IF(AND(ISNUMBER($BE$319),$B$252=1),$BE$319,HLOOKUP(INDIRECT(ADDRESS(2,COLUMN())),OFFSET($CL$2,0,0,ROW()-1,84),ROW()-1,FALSE))</f>
        <v>14.954437090000001</v>
      </c>
      <c r="BF78">
        <f ca="1">IF(AND(ISNUMBER($BF$319),$B$252=1),$BF$319,HLOOKUP(INDIRECT(ADDRESS(2,COLUMN())),OFFSET($CL$2,0,0,ROW()-1,84),ROW()-1,FALSE))</f>
        <v>15.70994417</v>
      </c>
      <c r="BG78">
        <f ca="1">IF(AND(ISNUMBER($BG$319),$B$252=1),$BG$319,HLOOKUP(INDIRECT(ADDRESS(2,COLUMN())),OFFSET($CL$2,0,0,ROW()-1,84),ROW()-1,FALSE))</f>
        <v>17.413301369999999</v>
      </c>
      <c r="BH78">
        <f ca="1">IF(AND(ISNUMBER($BH$319),$B$252=1),$BH$319,HLOOKUP(INDIRECT(ADDRESS(2,COLUMN())),OFFSET($CL$2,0,0,ROW()-1,84),ROW()-1,FALSE))</f>
        <v>16.664692160000001</v>
      </c>
      <c r="BI78">
        <f ca="1">IF(AND(ISNUMBER($BI$319),$B$252=1),$BI$319,HLOOKUP(INDIRECT(ADDRESS(2,COLUMN())),OFFSET($CL$2,0,0,ROW()-1,84),ROW()-1,FALSE))</f>
        <v>17.360536110000002</v>
      </c>
      <c r="BJ78">
        <f ca="1">IF(AND(ISNUMBER($BJ$319),$B$252=1),$BJ$319,HLOOKUP(INDIRECT(ADDRESS(2,COLUMN())),OFFSET($CL$2,0,0,ROW()-1,84),ROW()-1,FALSE))</f>
        <v>19.818938620000001</v>
      </c>
      <c r="BK78">
        <f ca="1">IF(AND(ISNUMBER($BK$319),$B$252=1),$BK$319,HLOOKUP(INDIRECT(ADDRESS(2,COLUMN())),OFFSET($CL$2,0,0,ROW()-1,84),ROW()-1,FALSE))</f>
        <v>19.425594220000001</v>
      </c>
      <c r="BL78">
        <f ca="1">IF(AND(ISNUMBER($BL$319),$B$252=1),$BL$319,HLOOKUP(INDIRECT(ADDRESS(2,COLUMN())),OFFSET($CL$2,0,0,ROW()-1,84),ROW()-1,FALSE))</f>
        <v>20.2457016</v>
      </c>
      <c r="BM78">
        <f ca="1">IF(AND(ISNUMBER($BM$319),$B$252=1),$BM$319,HLOOKUP(INDIRECT(ADDRESS(2,COLUMN())),OFFSET($CL$2,0,0,ROW()-1,84),ROW()-1,FALSE))</f>
        <v>21.14908381</v>
      </c>
      <c r="BN78">
        <f ca="1">IF(AND(ISNUMBER($BN$319),$B$252=1),$BN$319,HLOOKUP(INDIRECT(ADDRESS(2,COLUMN())),OFFSET($CL$2,0,0,ROW()-1,84),ROW()-1,FALSE))</f>
        <v>20.079058280000002</v>
      </c>
      <c r="BO78">
        <f ca="1">IF(AND(ISNUMBER($BO$319),$B$252=1),$BO$319,HLOOKUP(INDIRECT(ADDRESS(2,COLUMN())),OFFSET($CL$2,0,0,ROW()-1,84),ROW()-1,FALSE))</f>
        <v>21.116389649999999</v>
      </c>
      <c r="BP78">
        <f ca="1">IF(AND(ISNUMBER($BP$319),$B$252=1),$BP$319,HLOOKUP(INDIRECT(ADDRESS(2,COLUMN())),OFFSET($CL$2,0,0,ROW()-1,84),ROW()-1,FALSE))</f>
        <v>21.19274338</v>
      </c>
      <c r="BQ78">
        <f ca="1">IF(AND(ISNUMBER($BQ$319),$B$252=1),$BQ$319,HLOOKUP(INDIRECT(ADDRESS(2,COLUMN())),OFFSET($CL$2,0,0,ROW()-1,84),ROW()-1,FALSE))</f>
        <v>20.832353739999999</v>
      </c>
      <c r="BR78">
        <f ca="1">IF(AND(ISNUMBER($BR$319),$B$252=1),$BR$319,HLOOKUP(INDIRECT(ADDRESS(2,COLUMN())),OFFSET($CL$2,0,0,ROW()-1,84),ROW()-1,FALSE))</f>
        <v>20.957449709999999</v>
      </c>
      <c r="BS78">
        <f ca="1">IF(AND(ISNUMBER($BS$319),$B$252=1),$BS$319,HLOOKUP(INDIRECT(ADDRESS(2,COLUMN())),OFFSET($CL$2,0,0,ROW()-1,84),ROW()-1,FALSE))</f>
        <v>20.935120619999999</v>
      </c>
      <c r="BT78">
        <f ca="1">IF(AND(ISNUMBER($BT$319),$B$252=1),$BT$319,HLOOKUP(INDIRECT(ADDRESS(2,COLUMN())),OFFSET($CL$2,0,0,ROW()-1,84),ROW()-1,FALSE))</f>
        <v>20.571475370000002</v>
      </c>
      <c r="BU78">
        <f ca="1">IF(AND(ISNUMBER($BU$319),$B$252=1),$BU$319,HLOOKUP(INDIRECT(ADDRESS(2,COLUMN())),OFFSET($CL$2,0,0,ROW()-1,84),ROW()-1,FALSE))</f>
        <v>23.39376597</v>
      </c>
      <c r="BV78">
        <f ca="1">IF(AND(ISNUMBER($BV$319),$B$252=1),$BV$319,HLOOKUP(INDIRECT(ADDRESS(2,COLUMN())),OFFSET($CL$2,0,0,ROW()-1,84),ROW()-1,FALSE))</f>
        <v>24.027213759999999</v>
      </c>
      <c r="BW78">
        <f ca="1">IF(AND(ISNUMBER($BW$319),$B$252=1),$BW$319,HLOOKUP(INDIRECT(ADDRESS(2,COLUMN())),OFFSET($CL$2,0,0,ROW()-1,84),ROW()-1,FALSE))</f>
        <v>22.80075102</v>
      </c>
      <c r="BX78">
        <f ca="1">IF(AND(ISNUMBER($BX$319),$B$252=1),$BX$319,HLOOKUP(INDIRECT(ADDRESS(2,COLUMN())),OFFSET($CL$2,0,0,ROW()-1,84),ROW()-1,FALSE))</f>
        <v>26.332729350000001</v>
      </c>
      <c r="BY78">
        <f ca="1">IF(AND(ISNUMBER($BY$319),$B$252=1),$BY$319,HLOOKUP(INDIRECT(ADDRESS(2,COLUMN())),OFFSET($CL$2,0,0,ROW()-1,84),ROW()-1,FALSE))</f>
        <v>27.36808164</v>
      </c>
      <c r="BZ78">
        <f ca="1">IF(AND(ISNUMBER($BZ$319),$B$252=1),$BZ$319,HLOOKUP(INDIRECT(ADDRESS(2,COLUMN())),OFFSET($CL$2,0,0,ROW()-1,84),ROW()-1,FALSE))</f>
        <v>26.591567430000001</v>
      </c>
      <c r="CA78">
        <f ca="1">IF(AND(ISNUMBER($CA$319),$B$252=1),$CA$319,HLOOKUP(INDIRECT(ADDRESS(2,COLUMN())),OFFSET($CL$2,0,0,ROW()-1,84),ROW()-1,FALSE))</f>
        <v>26.312502609999999</v>
      </c>
      <c r="CB78">
        <f ca="1">IF(AND(ISNUMBER($CB$319),$B$252=1),$CB$319,HLOOKUP(INDIRECT(ADDRESS(2,COLUMN())),OFFSET($CL$2,0,0,ROW()-1,84),ROW()-1,FALSE))</f>
        <v>27.373490619999998</v>
      </c>
      <c r="CC78">
        <f ca="1">IF(AND(ISNUMBER($CC$319),$B$252=1),$CC$319,HLOOKUP(INDIRECT(ADDRESS(2,COLUMN())),OFFSET($CL$2,0,0,ROW()-1,84),ROW()-1,FALSE))</f>
        <v>26.414357460000002</v>
      </c>
      <c r="CD78">
        <f ca="1">IF(AND(ISNUMBER($CD$319),$B$252=1),$CD$319,HLOOKUP(INDIRECT(ADDRESS(2,COLUMN())),OFFSET($CL$2,0,0,ROW()-1,84),ROW()-1,FALSE))</f>
        <v>25.535070359999999</v>
      </c>
      <c r="CE78">
        <f ca="1">IF(AND(ISNUMBER($CE$319),$B$252=1),$CE$319,HLOOKUP(INDIRECT(ADDRESS(2,COLUMN())),OFFSET($CL$2,0,0,ROW()-1,84),ROW()-1,FALSE))</f>
        <v>26.822218370000002</v>
      </c>
      <c r="CF78">
        <f ca="1">IF(AND(ISNUMBER($CF$319),$B$252=1),$CF$319,HLOOKUP(INDIRECT(ADDRESS(2,COLUMN())),OFFSET($CL$2,0,0,ROW()-1,84),ROW()-1,FALSE))</f>
        <v>24.442542670000002</v>
      </c>
      <c r="CG78">
        <f ca="1">IF(AND(ISNUMBER($CG$319),$B$252=1),$CG$319,HLOOKUP(INDIRECT(ADDRESS(2,COLUMN())),OFFSET($CL$2,0,0,ROW()-1,84),ROW()-1,FALSE))</f>
        <v>31.178927980000001</v>
      </c>
      <c r="CH78">
        <f ca="1">IF(AND(ISNUMBER($CH$319),$B$252=1),$CH$319,HLOOKUP(INDIRECT(ADDRESS(2,COLUMN())),OFFSET($CL$2,0,0,ROW()-1,84),ROW()-1,FALSE))</f>
        <v>31.295580659999999</v>
      </c>
      <c r="CI78">
        <f ca="1">IF(AND(ISNUMBER($CI$319),$B$252=1),$CI$319,HLOOKUP(INDIRECT(ADDRESS(2,COLUMN())),OFFSET($CL$2,0,0,ROW()-1,84),ROW()-1,FALSE))</f>
        <v>29.685773690000001</v>
      </c>
      <c r="CJ78">
        <f ca="1">IF(AND(ISNUMBER($CJ$319),$B$252=1),$CJ$319,HLOOKUP(INDIRECT(ADDRESS(2,COLUMN())),OFFSET($CL$2,0,0,ROW()-1,84),ROW()-1,FALSE))</f>
        <v>26.87393264</v>
      </c>
      <c r="CK78">
        <f ca="1">IF(AND(ISNUMBER($CK$319),$B$252=1),$CK$319,HLOOKUP(INDIRECT(ADDRESS(2,COLUMN())),OFFSET($CL$2,0,0,ROW()-1,84),ROW()-1,FALSE))</f>
        <v>26.234276189999999</v>
      </c>
      <c r="CL78">
        <f>21.54597264</f>
        <v>21.545972639999999</v>
      </c>
      <c r="CM78">
        <f>20.75945218</f>
        <v>20.75945218</v>
      </c>
      <c r="CN78">
        <f>22.54344726</f>
        <v>22.543447260000001</v>
      </c>
      <c r="CO78">
        <f>23.97585206</f>
        <v>23.975852060000001</v>
      </c>
      <c r="CP78">
        <f>23.68766649</f>
        <v>23.687666490000002</v>
      </c>
      <c r="CQ78">
        <f>23.67728627</f>
        <v>23.67728627</v>
      </c>
      <c r="CR78">
        <f>23.73178243</f>
        <v>23.731782429999999</v>
      </c>
      <c r="CS78">
        <f>23.19315181</f>
        <v>23.19315181</v>
      </c>
      <c r="CT78">
        <f>23.25017565</f>
        <v>23.250175649999999</v>
      </c>
      <c r="CU78">
        <f>22.16413066</f>
        <v>22.164130660000001</v>
      </c>
      <c r="CV78">
        <f>21.49307644</f>
        <v>21.493076439999999</v>
      </c>
      <c r="CW78">
        <f>21.24024707</f>
        <v>21.240247069999999</v>
      </c>
      <c r="CX78">
        <f>20.75780735</f>
        <v>20.75780735</v>
      </c>
      <c r="CY78">
        <f>21.20654449</f>
        <v>21.206544489999999</v>
      </c>
      <c r="CZ78">
        <f>20.93598255</f>
        <v>20.935982549999999</v>
      </c>
      <c r="DA78">
        <f>21.0612427</f>
        <v>21.061242700000001</v>
      </c>
      <c r="DB78">
        <f>19.58443518</f>
        <v>19.58443518</v>
      </c>
      <c r="DC78">
        <f>20.2637073</f>
        <v>20.2637073</v>
      </c>
      <c r="DD78">
        <f>20.83598783</f>
        <v>20.835987830000001</v>
      </c>
      <c r="DE78">
        <f>21.74431247</f>
        <v>21.744312470000001</v>
      </c>
      <c r="DF78">
        <f>22.19520285</f>
        <v>22.195202850000001</v>
      </c>
      <c r="DG78">
        <f>21.90534475</f>
        <v>21.905344750000001</v>
      </c>
      <c r="DH78">
        <f>21.4565235</f>
        <v>21.456523499999999</v>
      </c>
      <c r="DI78">
        <f>20.32842556</f>
        <v>20.328425559999999</v>
      </c>
      <c r="DJ78">
        <f>21.17449902</f>
        <v>21.174499019999999</v>
      </c>
      <c r="DK78">
        <f>19.31457869</f>
        <v>19.314578690000001</v>
      </c>
      <c r="DL78">
        <f>19.71771948</f>
        <v>19.71771948</v>
      </c>
      <c r="DM78">
        <f>19.83659433</f>
        <v>19.83659433</v>
      </c>
      <c r="DN78">
        <f>19.62385878</f>
        <v>19.623858779999999</v>
      </c>
      <c r="DO78">
        <f>18.9584255</f>
        <v>18.958425500000001</v>
      </c>
      <c r="DP78">
        <f>18.98668714</f>
        <v>18.986687140000001</v>
      </c>
      <c r="DQ78">
        <f>18.28963371</f>
        <v>18.28963371</v>
      </c>
      <c r="DR78">
        <f>20.21940209</f>
        <v>20.219402089999999</v>
      </c>
      <c r="DS78">
        <f>18.86094672</f>
        <v>18.860946720000001</v>
      </c>
      <c r="DT78">
        <f>18.79768675</f>
        <v>18.79768675</v>
      </c>
      <c r="DU78">
        <f>18.82275702</f>
        <v>18.822757020000001</v>
      </c>
      <c r="DV78">
        <f>19.58740019</f>
        <v>19.58740019</v>
      </c>
      <c r="DW78">
        <f>18.32582467</f>
        <v>18.325824669999999</v>
      </c>
      <c r="DX78">
        <f>19.39833481</f>
        <v>19.398334810000001</v>
      </c>
      <c r="DY78">
        <f>18.59017576</f>
        <v>18.590175760000001</v>
      </c>
      <c r="DZ78">
        <f>19.42367203</f>
        <v>19.423672029999999</v>
      </c>
      <c r="EA78">
        <f>19.42113895</f>
        <v>19.42113895</v>
      </c>
      <c r="EB78">
        <f>17.35921028</f>
        <v>17.359210279999999</v>
      </c>
      <c r="EC78">
        <f>19.09517424</f>
        <v>19.095174239999999</v>
      </c>
      <c r="ED78">
        <f>18.46241058</f>
        <v>18.46241058</v>
      </c>
      <c r="EE78">
        <f>18.15368315</f>
        <v>18.153683149999999</v>
      </c>
      <c r="EF78">
        <f>18.04095442</f>
        <v>18.040954419999998</v>
      </c>
      <c r="EG78">
        <f>17.59147164</f>
        <v>17.591471640000002</v>
      </c>
      <c r="EH78">
        <f>17.29609725</f>
        <v>17.296097249999999</v>
      </c>
      <c r="EI78">
        <f>17.53623336</f>
        <v>17.536233360000001</v>
      </c>
      <c r="EJ78">
        <f>16.25322259</f>
        <v>16.25322259</v>
      </c>
      <c r="EK78">
        <f>14.95443709</f>
        <v>14.954437090000001</v>
      </c>
      <c r="EL78">
        <f>15.70994417</f>
        <v>15.70994417</v>
      </c>
      <c r="EM78">
        <f>17.41330137</f>
        <v>17.413301369999999</v>
      </c>
      <c r="EN78">
        <f>16.66469216</f>
        <v>16.664692160000001</v>
      </c>
      <c r="EO78">
        <f>17.36053611</f>
        <v>17.360536110000002</v>
      </c>
      <c r="EP78">
        <f>19.81893862</f>
        <v>19.818938620000001</v>
      </c>
      <c r="EQ78">
        <f>19.42559422</f>
        <v>19.425594220000001</v>
      </c>
      <c r="ER78">
        <f>20.2457016</f>
        <v>20.2457016</v>
      </c>
      <c r="ES78">
        <f>21.14908381</f>
        <v>21.14908381</v>
      </c>
      <c r="ET78">
        <f>20.07905828</f>
        <v>20.079058280000002</v>
      </c>
      <c r="EU78">
        <f>21.11638965</f>
        <v>21.116389649999999</v>
      </c>
      <c r="EV78">
        <f>21.19274338</f>
        <v>21.19274338</v>
      </c>
      <c r="EW78">
        <f>20.83235374</f>
        <v>20.832353739999999</v>
      </c>
      <c r="EX78">
        <f>20.95744971</f>
        <v>20.957449709999999</v>
      </c>
      <c r="EY78">
        <f>20.93512062</f>
        <v>20.935120619999999</v>
      </c>
      <c r="EZ78">
        <f>20.57147537</f>
        <v>20.571475370000002</v>
      </c>
      <c r="FA78">
        <f>23.39376597</f>
        <v>23.39376597</v>
      </c>
      <c r="FB78">
        <f>24.02721376</f>
        <v>24.027213759999999</v>
      </c>
      <c r="FC78">
        <f>22.80075102</f>
        <v>22.80075102</v>
      </c>
      <c r="FD78">
        <f>26.33272935</f>
        <v>26.332729350000001</v>
      </c>
      <c r="FE78">
        <f>27.36808164</f>
        <v>27.36808164</v>
      </c>
      <c r="FF78">
        <f>26.59156743</f>
        <v>26.591567430000001</v>
      </c>
      <c r="FG78">
        <f>26.31250261</f>
        <v>26.312502609999999</v>
      </c>
      <c r="FH78">
        <f>27.37349062</f>
        <v>27.373490619999998</v>
      </c>
      <c r="FI78">
        <f>26.41435746</f>
        <v>26.414357460000002</v>
      </c>
      <c r="FJ78">
        <f>25.53507036</f>
        <v>25.535070359999999</v>
      </c>
      <c r="FK78">
        <f>26.82221837</f>
        <v>26.822218370000002</v>
      </c>
      <c r="FL78">
        <f>24.44254267</f>
        <v>24.442542670000002</v>
      </c>
      <c r="FM78">
        <f>31.17892798</f>
        <v>31.178927980000001</v>
      </c>
      <c r="FN78">
        <f>31.29558066</f>
        <v>31.295580659999999</v>
      </c>
      <c r="FO78">
        <f>29.68577369</f>
        <v>29.685773690000001</v>
      </c>
      <c r="FP78">
        <f>26.87393264</f>
        <v>26.87393264</v>
      </c>
      <c r="FQ78">
        <f>26.23427619</f>
        <v>26.234276189999999</v>
      </c>
    </row>
    <row r="79" spans="1:173">
      <c r="A79" t="str">
        <f>"    公寓物业权益信托"</f>
        <v xml:space="preserve">    公寓物业权益信托</v>
      </c>
      <c r="B79" t="str">
        <f>"EQR US Equity"</f>
        <v>EQR US Equity</v>
      </c>
      <c r="C79" t="str">
        <f t="shared" si="27"/>
        <v>F0891</v>
      </c>
      <c r="D79" t="str">
        <f t="shared" si="28"/>
        <v>PRICE_TO_FAD_PS</v>
      </c>
      <c r="E79" t="str">
        <f t="shared" si="29"/>
        <v>动态</v>
      </c>
      <c r="F79">
        <f ca="1">IF(AND(ISNUMBER($F$320),$B$252=1),$F$320,HLOOKUP(INDIRECT(ADDRESS(2,COLUMN())),OFFSET($CL$2,0,0,ROW()-1,84),ROW()-1,FALSE))</f>
        <v>20.385625659999999</v>
      </c>
      <c r="G79">
        <f ca="1">IF(AND(ISNUMBER($G$320),$B$252=1),$G$320,HLOOKUP(INDIRECT(ADDRESS(2,COLUMN())),OFFSET($CL$2,0,0,ROW()-1,84),ROW()-1,FALSE))</f>
        <v>19.307457490000001</v>
      </c>
      <c r="H79">
        <f ca="1">IF(AND(ISNUMBER($H$320),$B$252=1),$H$320,HLOOKUP(INDIRECT(ADDRESS(2,COLUMN())),OFFSET($CL$2,0,0,ROW()-1,84),ROW()-1,FALSE))</f>
        <v>21.154765359999999</v>
      </c>
      <c r="I79">
        <f ca="1">IF(AND(ISNUMBER($I$320),$B$252=1),$I$320,HLOOKUP(INDIRECT(ADDRESS(2,COLUMN())),OFFSET($CL$2,0,0,ROW()-1,84),ROW()-1,FALSE))</f>
        <v>21.89643543</v>
      </c>
      <c r="J79">
        <f ca="1">IF(AND(ISNUMBER($J$320),$B$252=1),$J$320,HLOOKUP(INDIRECT(ADDRESS(2,COLUMN())),OFFSET($CL$2,0,0,ROW()-1,84),ROW()-1,FALSE))</f>
        <v>23.267174480000001</v>
      </c>
      <c r="K79">
        <f ca="1">IF(AND(ISNUMBER($K$320),$B$252=1),$K$320,HLOOKUP(INDIRECT(ADDRESS(2,COLUMN())),OFFSET($CL$2,0,0,ROW()-1,84),ROW()-1,FALSE))</f>
        <v>23.420385450000001</v>
      </c>
      <c r="L79">
        <f ca="1">IF(AND(ISNUMBER($L$320),$B$252=1),$L$320,HLOOKUP(INDIRECT(ADDRESS(2,COLUMN())),OFFSET($CL$2,0,0,ROW()-1,84),ROW()-1,FALSE))</f>
        <v>22.957270479999998</v>
      </c>
      <c r="M79">
        <f ca="1">IF(AND(ISNUMBER($M$320),$B$252=1),$M$320,HLOOKUP(INDIRECT(ADDRESS(2,COLUMN())),OFFSET($CL$2,0,0,ROW()-1,84),ROW()-1,FALSE))</f>
        <v>23.616949600000002</v>
      </c>
      <c r="N79">
        <f ca="1">IF(AND(ISNUMBER($N$320),$B$252=1),$N$320,HLOOKUP(INDIRECT(ADDRESS(2,COLUMN())),OFFSET($CL$2,0,0,ROW()-1,84),ROW()-1,FALSE))</f>
        <v>23.937000600000001</v>
      </c>
      <c r="O79">
        <f ca="1">IF(AND(ISNUMBER($O$320),$B$252=1),$O$320,HLOOKUP(INDIRECT(ADDRESS(2,COLUMN())),OFFSET($CL$2,0,0,ROW()-1,84),ROW()-1,FALSE))</f>
        <v>23.152699810000001</v>
      </c>
      <c r="P79">
        <f ca="1">IF(AND(ISNUMBER($P$320),$B$252=1),$P$320,HLOOKUP(INDIRECT(ADDRESS(2,COLUMN())),OFFSET($CL$2,0,0,ROW()-1,84),ROW()-1,FALSE))</f>
        <v>22.02672265</v>
      </c>
      <c r="Q79">
        <f ca="1">IF(AND(ISNUMBER($Q$320),$B$252=1),$Q$320,HLOOKUP(INDIRECT(ADDRESS(2,COLUMN())),OFFSET($CL$2,0,0,ROW()-1,84),ROW()-1,FALSE))</f>
        <v>21.854136560000001</v>
      </c>
      <c r="R79">
        <f ca="1">IF(AND(ISNUMBER($R$320),$B$252=1),$R$320,HLOOKUP(INDIRECT(ADDRESS(2,COLUMN())),OFFSET($CL$2,0,0,ROW()-1,84),ROW()-1,FALSE))</f>
        <v>21.05550289</v>
      </c>
      <c r="S79">
        <f ca="1">IF(AND(ISNUMBER($S$320),$B$252=1),$S$320,HLOOKUP(INDIRECT(ADDRESS(2,COLUMN())),OFFSET($CL$2,0,0,ROW()-1,84),ROW()-1,FALSE))</f>
        <v>21.25327558</v>
      </c>
      <c r="T79">
        <f ca="1">IF(AND(ISNUMBER($T$320),$B$252=1),$T$320,HLOOKUP(INDIRECT(ADDRESS(2,COLUMN())),OFFSET($CL$2,0,0,ROW()-1,84),ROW()-1,FALSE))</f>
        <v>20.478223509999999</v>
      </c>
      <c r="U79">
        <f ca="1">IF(AND(ISNUMBER($U$320),$B$252=1),$U$320,HLOOKUP(INDIRECT(ADDRESS(2,COLUMN())),OFFSET($CL$2,0,0,ROW()-1,84),ROW()-1,FALSE))</f>
        <v>21.687978690000001</v>
      </c>
      <c r="V79">
        <f ca="1">IF(AND(ISNUMBER($V$320),$B$252=1),$V$320,HLOOKUP(INDIRECT(ADDRESS(2,COLUMN())),OFFSET($CL$2,0,0,ROW()-1,84),ROW()-1,FALSE))</f>
        <v>19.410094019999999</v>
      </c>
      <c r="W79">
        <f ca="1">IF(AND(ISNUMBER($W$320),$B$252=1),$W$320,HLOOKUP(INDIRECT(ADDRESS(2,COLUMN())),OFFSET($CL$2,0,0,ROW()-1,84),ROW()-1,FALSE))</f>
        <v>19.972892949999999</v>
      </c>
      <c r="X79">
        <f ca="1">IF(AND(ISNUMBER($X$320),$B$252=1),$X$320,HLOOKUP(INDIRECT(ADDRESS(2,COLUMN())),OFFSET($CL$2,0,0,ROW()-1,84),ROW()-1,FALSE))</f>
        <v>20.807387909999999</v>
      </c>
      <c r="Y79">
        <f ca="1">IF(AND(ISNUMBER($Y$320),$B$252=1),$Y$320,HLOOKUP(INDIRECT(ADDRESS(2,COLUMN())),OFFSET($CL$2,0,0,ROW()-1,84),ROW()-1,FALSE))</f>
        <v>20.302132480000001</v>
      </c>
      <c r="Z79">
        <f ca="1">IF(AND(ISNUMBER($Z$320),$B$252=1),$Z$320,HLOOKUP(INDIRECT(ADDRESS(2,COLUMN())),OFFSET($CL$2,0,0,ROW()-1,84),ROW()-1,FALSE))</f>
        <v>21.278587739999999</v>
      </c>
      <c r="AA79">
        <f ca="1">IF(AND(ISNUMBER($AA$320),$B$252=1),$AA$320,HLOOKUP(INDIRECT(ADDRESS(2,COLUMN())),OFFSET($CL$2,0,0,ROW()-1,84),ROW()-1,FALSE))</f>
        <v>21.557127869999999</v>
      </c>
      <c r="AB79">
        <f ca="1">IF(AND(ISNUMBER($AB$320),$B$252=1),$AB$320,HLOOKUP(INDIRECT(ADDRESS(2,COLUMN())),OFFSET($CL$2,0,0,ROW()-1,84),ROW()-1,FALSE))</f>
        <v>21.924510210000001</v>
      </c>
      <c r="AC79">
        <f ca="1">IF(AND(ISNUMBER($AC$320),$B$252=1),$AC$320,HLOOKUP(INDIRECT(ADDRESS(2,COLUMN())),OFFSET($CL$2,0,0,ROW()-1,84),ROW()-1,FALSE))</f>
        <v>21.563378270000001</v>
      </c>
      <c r="AD79">
        <f ca="1">IF(AND(ISNUMBER($AD$320),$B$252=1),$AD$320,HLOOKUP(INDIRECT(ADDRESS(2,COLUMN())),OFFSET($CL$2,0,0,ROW()-1,84),ROW()-1,FALSE))</f>
        <v>23.768183799999999</v>
      </c>
      <c r="AE79">
        <f ca="1">IF(AND(ISNUMBER($AE$320),$B$252=1),$AE$320,HLOOKUP(INDIRECT(ADDRESS(2,COLUMN())),OFFSET($CL$2,0,0,ROW()-1,84),ROW()-1,FALSE))</f>
        <v>23.47305029</v>
      </c>
      <c r="AF79">
        <f ca="1">IF(AND(ISNUMBER($AF$320),$B$252=1),$AF$320,HLOOKUP(INDIRECT(ADDRESS(2,COLUMN())),OFFSET($CL$2,0,0,ROW()-1,84),ROW()-1,FALSE))</f>
        <v>24.29235396</v>
      </c>
      <c r="AG79">
        <f ca="1">IF(AND(ISNUMBER($AG$320),$B$252=1),$AG$320,HLOOKUP(INDIRECT(ADDRESS(2,COLUMN())),OFFSET($CL$2,0,0,ROW()-1,84),ROW()-1,FALSE))</f>
        <v>25.71037956</v>
      </c>
      <c r="AH79">
        <f ca="1">IF(AND(ISNUMBER($AH$320),$B$252=1),$AH$320,HLOOKUP(INDIRECT(ADDRESS(2,COLUMN())),OFFSET($CL$2,0,0,ROW()-1,84),ROW()-1,FALSE))</f>
        <v>25.703941740000001</v>
      </c>
      <c r="AI79">
        <f ca="1">IF(AND(ISNUMBER($AI$320),$B$252=1),$AI$320,HLOOKUP(INDIRECT(ADDRESS(2,COLUMN())),OFFSET($CL$2,0,0,ROW()-1,84),ROW()-1,FALSE))</f>
        <v>24.898882180000001</v>
      </c>
      <c r="AJ79">
        <f ca="1">IF(AND(ISNUMBER($AJ$320),$B$252=1),$AJ$320,HLOOKUP(INDIRECT(ADDRESS(2,COLUMN())),OFFSET($CL$2,0,0,ROW()-1,84),ROW()-1,FALSE))</f>
        <v>24.190429770000001</v>
      </c>
      <c r="AK79">
        <f ca="1">IF(AND(ISNUMBER($AK$320),$B$252=1),$AK$320,HLOOKUP(INDIRECT(ADDRESS(2,COLUMN())),OFFSET($CL$2,0,0,ROW()-1,84),ROW()-1,FALSE))</f>
        <v>23.451872760000001</v>
      </c>
      <c r="AL79">
        <f ca="1">IF(AND(ISNUMBER($AL$320),$B$252=1),$AL$320,HLOOKUP(INDIRECT(ADDRESS(2,COLUMN())),OFFSET($CL$2,0,0,ROW()-1,84),ROW()-1,FALSE))</f>
        <v>24.623643529999999</v>
      </c>
      <c r="AM79">
        <f ca="1">IF(AND(ISNUMBER($AM$320),$B$252=1),$AM$320,HLOOKUP(INDIRECT(ADDRESS(2,COLUMN())),OFFSET($CL$2,0,0,ROW()-1,84),ROW()-1,FALSE))</f>
        <v>23.096391740000001</v>
      </c>
      <c r="AN79">
        <f ca="1">IF(AND(ISNUMBER($AN$320),$B$252=1),$AN$320,HLOOKUP(INDIRECT(ADDRESS(2,COLUMN())),OFFSET($CL$2,0,0,ROW()-1,84),ROW()-1,FALSE))</f>
        <v>25.046979759999999</v>
      </c>
      <c r="AO79">
        <f ca="1">IF(AND(ISNUMBER($AO$320),$B$252=1),$AO$320,HLOOKUP(INDIRECT(ADDRESS(2,COLUMN())),OFFSET($CL$2,0,0,ROW()-1,84),ROW()-1,FALSE))</f>
        <v>24.891952700000001</v>
      </c>
      <c r="AP79">
        <f ca="1">IF(AND(ISNUMBER($AP$320),$B$252=1),$AP$320,HLOOKUP(INDIRECT(ADDRESS(2,COLUMN())),OFFSET($CL$2,0,0,ROW()-1,84),ROW()-1,FALSE))</f>
        <v>26.240014049999999</v>
      </c>
      <c r="AQ79">
        <f ca="1">IF(AND(ISNUMBER($AQ$320),$B$252=1),$AQ$320,HLOOKUP(INDIRECT(ADDRESS(2,COLUMN())),OFFSET($CL$2,0,0,ROW()-1,84),ROW()-1,FALSE))</f>
        <v>26.67025873</v>
      </c>
      <c r="AR79">
        <f ca="1">IF(AND(ISNUMBER($AR$320),$B$252=1),$AR$320,HLOOKUP(INDIRECT(ADDRESS(2,COLUMN())),OFFSET($CL$2,0,0,ROW()-1,84),ROW()-1,FALSE))</f>
        <v>26.87107335</v>
      </c>
      <c r="AS79">
        <f ca="1">IF(AND(ISNUMBER($AS$320),$B$252=1),$AS$320,HLOOKUP(INDIRECT(ADDRESS(2,COLUMN())),OFFSET($CL$2,0,0,ROW()-1,84),ROW()-1,FALSE))</f>
        <v>24.873314130000001</v>
      </c>
      <c r="AT79">
        <f ca="1">IF(AND(ISNUMBER($AT$320),$B$252=1),$AT$320,HLOOKUP(INDIRECT(ADDRESS(2,COLUMN())),OFFSET($CL$2,0,0,ROW()-1,84),ROW()-1,FALSE))</f>
        <v>25.346292120000001</v>
      </c>
      <c r="AU79">
        <f ca="1">IF(AND(ISNUMBER($AU$320),$B$252=1),$AU$320,HLOOKUP(INDIRECT(ADDRESS(2,COLUMN())),OFFSET($CL$2,0,0,ROW()-1,84),ROW()-1,FALSE))</f>
        <v>24.888312809999999</v>
      </c>
      <c r="AV79">
        <f ca="1">IF(AND(ISNUMBER($AV$320),$B$252=1),$AV$320,HLOOKUP(INDIRECT(ADDRESS(2,COLUMN())),OFFSET($CL$2,0,0,ROW()-1,84),ROW()-1,FALSE))</f>
        <v>22.033098089999999</v>
      </c>
      <c r="AW79">
        <f ca="1">IF(AND(ISNUMBER($AW$320),$B$252=1),$AW$320,HLOOKUP(INDIRECT(ADDRESS(2,COLUMN())),OFFSET($CL$2,0,0,ROW()-1,84),ROW()-1,FALSE))</f>
        <v>24.630031710000001</v>
      </c>
      <c r="AX79">
        <f ca="1">IF(AND(ISNUMBER($AX$320),$B$252=1),$AX$320,HLOOKUP(INDIRECT(ADDRESS(2,COLUMN())),OFFSET($CL$2,0,0,ROW()-1,84),ROW()-1,FALSE))</f>
        <v>23.955642390000001</v>
      </c>
      <c r="AY79">
        <f ca="1">IF(AND(ISNUMBER($AY$320),$B$252=1),$AY$320,HLOOKUP(INDIRECT(ADDRESS(2,COLUMN())),OFFSET($CL$2,0,0,ROW()-1,84),ROW()-1,FALSE))</f>
        <v>23.344245489999999</v>
      </c>
      <c r="AZ79">
        <f ca="1">IF(AND(ISNUMBER($AZ$320),$B$252=1),$AZ$320,HLOOKUP(INDIRECT(ADDRESS(2,COLUMN())),OFFSET($CL$2,0,0,ROW()-1,84),ROW()-1,FALSE))</f>
        <v>23.567441519999999</v>
      </c>
      <c r="BA79">
        <f ca="1">IF(AND(ISNUMBER($BA$320),$B$252=1),$BA$320,HLOOKUP(INDIRECT(ADDRESS(2,COLUMN())),OFFSET($CL$2,0,0,ROW()-1,84),ROW()-1,FALSE))</f>
        <v>22.66745508</v>
      </c>
      <c r="BB79">
        <f ca="1">IF(AND(ISNUMBER($BB$320),$B$252=1),$BB$320,HLOOKUP(INDIRECT(ADDRESS(2,COLUMN())),OFFSET($CL$2,0,0,ROW()-1,84),ROW()-1,FALSE))</f>
        <v>22.114497310000001</v>
      </c>
      <c r="BC79">
        <f ca="1">IF(AND(ISNUMBER($BC$320),$B$252=1),$BC$320,HLOOKUP(INDIRECT(ADDRESS(2,COLUMN())),OFFSET($CL$2,0,0,ROW()-1,84),ROW()-1,FALSE))</f>
        <v>22.91045956</v>
      </c>
      <c r="BD79">
        <f ca="1">IF(AND(ISNUMBER($BD$320),$B$252=1),$BD$320,HLOOKUP(INDIRECT(ADDRESS(2,COLUMN())),OFFSET($CL$2,0,0,ROW()-1,84),ROW()-1,FALSE))</f>
        <v>21.699696429999999</v>
      </c>
      <c r="BE79">
        <f ca="1">IF(AND(ISNUMBER($BE$320),$B$252=1),$BE$320,HLOOKUP(INDIRECT(ADDRESS(2,COLUMN())),OFFSET($CL$2,0,0,ROW()-1,84),ROW()-1,FALSE))</f>
        <v>20.324363559999998</v>
      </c>
      <c r="BF79">
        <f ca="1">IF(AND(ISNUMBER($BF$320),$B$252=1),$BF$320,HLOOKUP(INDIRECT(ADDRESS(2,COLUMN())),OFFSET($CL$2,0,0,ROW()-1,84),ROW()-1,FALSE))</f>
        <v>20.437746860000001</v>
      </c>
      <c r="BG79">
        <f ca="1">IF(AND(ISNUMBER($BG$320),$B$252=1),$BG$320,HLOOKUP(INDIRECT(ADDRESS(2,COLUMN())),OFFSET($CL$2,0,0,ROW()-1,84),ROW()-1,FALSE))</f>
        <v>20.762910860000002</v>
      </c>
      <c r="BH79">
        <f ca="1">IF(AND(ISNUMBER($BH$320),$B$252=1),$BH$320,HLOOKUP(INDIRECT(ADDRESS(2,COLUMN())),OFFSET($CL$2,0,0,ROW()-1,84),ROW()-1,FALSE))</f>
        <v>21.242726019999999</v>
      </c>
      <c r="BI79">
        <f ca="1">IF(AND(ISNUMBER($BI$320),$B$252=1),$BI$320,HLOOKUP(INDIRECT(ADDRESS(2,COLUMN())),OFFSET($CL$2,0,0,ROW()-1,84),ROW()-1,FALSE))</f>
        <v>20.691972589999999</v>
      </c>
      <c r="BJ79">
        <f ca="1">IF(AND(ISNUMBER($BJ$320),$B$252=1),$BJ$320,HLOOKUP(INDIRECT(ADDRESS(2,COLUMN())),OFFSET($CL$2,0,0,ROW()-1,84),ROW()-1,FALSE))</f>
        <v>22.330901229999998</v>
      </c>
      <c r="BK79">
        <f ca="1">IF(AND(ISNUMBER($BK$320),$B$252=1),$BK$320,HLOOKUP(INDIRECT(ADDRESS(2,COLUMN())),OFFSET($CL$2,0,0,ROW()-1,84),ROW()-1,FALSE))</f>
        <v>23.15235938</v>
      </c>
      <c r="BL79">
        <f ca="1">IF(AND(ISNUMBER($BL$320),$B$252=1),$BL$320,HLOOKUP(INDIRECT(ADDRESS(2,COLUMN())),OFFSET($CL$2,0,0,ROW()-1,84),ROW()-1,FALSE))</f>
        <v>21.480654999999999</v>
      </c>
      <c r="BM79">
        <f ca="1">IF(AND(ISNUMBER($BM$320),$B$252=1),$BM$320,HLOOKUP(INDIRECT(ADDRESS(2,COLUMN())),OFFSET($CL$2,0,0,ROW()-1,84),ROW()-1,FALSE))</f>
        <v>22.054232169999999</v>
      </c>
      <c r="BN79">
        <f ca="1">IF(AND(ISNUMBER($BN$320),$B$252=1),$BN$320,HLOOKUP(INDIRECT(ADDRESS(2,COLUMN())),OFFSET($CL$2,0,0,ROW()-1,84),ROW()-1,FALSE))</f>
        <v>20.91467488</v>
      </c>
      <c r="BO79">
        <f ca="1">IF(AND(ISNUMBER($BO$320),$B$252=1),$BO$320,HLOOKUP(INDIRECT(ADDRESS(2,COLUMN())),OFFSET($CL$2,0,0,ROW()-1,84),ROW()-1,FALSE))</f>
        <v>21.221501750000002</v>
      </c>
      <c r="BP79">
        <f ca="1">IF(AND(ISNUMBER($BP$320),$B$252=1),$BP$320,HLOOKUP(INDIRECT(ADDRESS(2,COLUMN())),OFFSET($CL$2,0,0,ROW()-1,84),ROW()-1,FALSE))</f>
        <v>21.356449529999999</v>
      </c>
      <c r="BQ79">
        <f ca="1">IF(AND(ISNUMBER($BQ$320),$B$252=1),$BQ$320,HLOOKUP(INDIRECT(ADDRESS(2,COLUMN())),OFFSET($CL$2,0,0,ROW()-1,84),ROW()-1,FALSE))</f>
        <v>21.849972820000001</v>
      </c>
      <c r="BR79">
        <f ca="1">IF(AND(ISNUMBER($BR$320),$B$252=1),$BR$320,HLOOKUP(INDIRECT(ADDRESS(2,COLUMN())),OFFSET($CL$2,0,0,ROW()-1,84),ROW()-1,FALSE))</f>
        <v>22.22987101</v>
      </c>
      <c r="BS79">
        <f ca="1">IF(AND(ISNUMBER($BS$320),$B$252=1),$BS$320,HLOOKUP(INDIRECT(ADDRESS(2,COLUMN())),OFFSET($CL$2,0,0,ROW()-1,84),ROW()-1,FALSE))</f>
        <v>22.990756520000001</v>
      </c>
      <c r="BT79">
        <f ca="1">IF(AND(ISNUMBER($BT$320),$B$252=1),$BT$320,HLOOKUP(INDIRECT(ADDRESS(2,COLUMN())),OFFSET($CL$2,0,0,ROW()-1,84),ROW()-1,FALSE))</f>
        <v>23.038812450000002</v>
      </c>
      <c r="BU79">
        <f ca="1">IF(AND(ISNUMBER($BU$320),$B$252=1),$BU$320,HLOOKUP(INDIRECT(ADDRESS(2,COLUMN())),OFFSET($CL$2,0,0,ROW()-1,84),ROW()-1,FALSE))</f>
        <v>25.296467870000001</v>
      </c>
      <c r="BV79">
        <f ca="1">IF(AND(ISNUMBER($BV$320),$B$252=1),$BV$320,HLOOKUP(INDIRECT(ADDRESS(2,COLUMN())),OFFSET($CL$2,0,0,ROW()-1,84),ROW()-1,FALSE))</f>
        <v>26.515221539999999</v>
      </c>
      <c r="BW79">
        <f ca="1">IF(AND(ISNUMBER($BW$320),$B$252=1),$BW$320,HLOOKUP(INDIRECT(ADDRESS(2,COLUMN())),OFFSET($CL$2,0,0,ROW()-1,84),ROW()-1,FALSE))</f>
        <v>26.11734663</v>
      </c>
      <c r="BX79">
        <f ca="1">IF(AND(ISNUMBER($BX$320),$B$252=1),$BX$320,HLOOKUP(INDIRECT(ADDRESS(2,COLUMN())),OFFSET($CL$2,0,0,ROW()-1,84),ROW()-1,FALSE))</f>
        <v>26.43729725</v>
      </c>
      <c r="BY79">
        <f ca="1">IF(AND(ISNUMBER($BY$320),$B$252=1),$BY$320,HLOOKUP(INDIRECT(ADDRESS(2,COLUMN())),OFFSET($CL$2,0,0,ROW()-1,84),ROW()-1,FALSE))</f>
        <v>26.584411500000002</v>
      </c>
      <c r="BZ79">
        <f ca="1">IF(AND(ISNUMBER($BZ$320),$B$252=1),$BZ$320,HLOOKUP(INDIRECT(ADDRESS(2,COLUMN())),OFFSET($CL$2,0,0,ROW()-1,84),ROW()-1,FALSE))</f>
        <v>27.09498451</v>
      </c>
      <c r="CA79">
        <f ca="1">IF(AND(ISNUMBER($CA$320),$B$252=1),$CA$320,HLOOKUP(INDIRECT(ADDRESS(2,COLUMN())),OFFSET($CL$2,0,0,ROW()-1,84),ROW()-1,FALSE))</f>
        <v>25.110485969999999</v>
      </c>
      <c r="CB79">
        <f ca="1">IF(AND(ISNUMBER($CB$320),$B$252=1),$CB$320,HLOOKUP(INDIRECT(ADDRESS(2,COLUMN())),OFFSET($CL$2,0,0,ROW()-1,84),ROW()-1,FALSE))</f>
        <v>26.284574429999999</v>
      </c>
      <c r="CC79">
        <f ca="1">IF(AND(ISNUMBER($CC$320),$B$252=1),$CC$320,HLOOKUP(INDIRECT(ADDRESS(2,COLUMN())),OFFSET($CL$2,0,0,ROW()-1,84),ROW()-1,FALSE))</f>
        <v>25.172280099999998</v>
      </c>
      <c r="CD79">
        <f ca="1">IF(AND(ISNUMBER($CD$320),$B$252=1),$CD$320,HLOOKUP(INDIRECT(ADDRESS(2,COLUMN())),OFFSET($CL$2,0,0,ROW()-1,84),ROW()-1,FALSE))</f>
        <v>24.920019109999998</v>
      </c>
      <c r="CE79">
        <f ca="1">IF(AND(ISNUMBER($CE$320),$B$252=1),$CE$320,HLOOKUP(INDIRECT(ADDRESS(2,COLUMN())),OFFSET($CL$2,0,0,ROW()-1,84),ROW()-1,FALSE))</f>
        <v>26.49586377</v>
      </c>
      <c r="CF79">
        <f ca="1">IF(AND(ISNUMBER($CF$320),$B$252=1),$CF$320,HLOOKUP(INDIRECT(ADDRESS(2,COLUMN())),OFFSET($CL$2,0,0,ROW()-1,84),ROW()-1,FALSE))</f>
        <v>23.420934800000001</v>
      </c>
      <c r="CG79">
        <f ca="1">IF(AND(ISNUMBER($CG$320),$B$252=1),$CG$320,HLOOKUP(INDIRECT(ADDRESS(2,COLUMN())),OFFSET($CL$2,0,0,ROW()-1,84),ROW()-1,FALSE))</f>
        <v>28.319811390000002</v>
      </c>
      <c r="CH79">
        <f ca="1">IF(AND(ISNUMBER($CH$320),$B$252=1),$CH$320,HLOOKUP(INDIRECT(ADDRESS(2,COLUMN())),OFFSET($CL$2,0,0,ROW()-1,84),ROW()-1,FALSE))</f>
        <v>28.616063090000001</v>
      </c>
      <c r="CI79">
        <f ca="1">IF(AND(ISNUMBER($CI$320),$B$252=1),$CI$320,HLOOKUP(INDIRECT(ADDRESS(2,COLUMN())),OFFSET($CL$2,0,0,ROW()-1,84),ROW()-1,FALSE))</f>
        <v>27.77359731</v>
      </c>
      <c r="CJ79">
        <f ca="1">IF(AND(ISNUMBER($CJ$320),$B$252=1),$CJ$320,HLOOKUP(INDIRECT(ADDRESS(2,COLUMN())),OFFSET($CL$2,0,0,ROW()-1,84),ROW()-1,FALSE))</f>
        <v>31.332157949999999</v>
      </c>
      <c r="CK79">
        <f ca="1">IF(AND(ISNUMBER($CK$320),$B$252=1),$CK$320,HLOOKUP(INDIRECT(ADDRESS(2,COLUMN())),OFFSET($CL$2,0,0,ROW()-1,84),ROW()-1,FALSE))</f>
        <v>30.27305703</v>
      </c>
      <c r="CL79">
        <f>20.38562566</f>
        <v>20.385625659999999</v>
      </c>
      <c r="CM79">
        <f>19.30745749</f>
        <v>19.307457490000001</v>
      </c>
      <c r="CN79">
        <f>21.15476536</f>
        <v>21.154765359999999</v>
      </c>
      <c r="CO79">
        <f>21.89643543</f>
        <v>21.89643543</v>
      </c>
      <c r="CP79">
        <f>23.26717448</f>
        <v>23.267174480000001</v>
      </c>
      <c r="CQ79">
        <f>23.42038545</f>
        <v>23.420385450000001</v>
      </c>
      <c r="CR79">
        <f>22.95727048</f>
        <v>22.957270479999998</v>
      </c>
      <c r="CS79">
        <f>23.6169496</f>
        <v>23.616949600000002</v>
      </c>
      <c r="CT79">
        <f>23.9370006</f>
        <v>23.937000600000001</v>
      </c>
      <c r="CU79">
        <f>23.15269981</f>
        <v>23.152699810000001</v>
      </c>
      <c r="CV79">
        <f>22.02672265</f>
        <v>22.02672265</v>
      </c>
      <c r="CW79">
        <f>21.85413656</f>
        <v>21.854136560000001</v>
      </c>
      <c r="CX79">
        <f>21.05550289</f>
        <v>21.05550289</v>
      </c>
      <c r="CY79">
        <f>21.25327558</f>
        <v>21.25327558</v>
      </c>
      <c r="CZ79">
        <f>20.47822351</f>
        <v>20.478223509999999</v>
      </c>
      <c r="DA79">
        <f>21.68797869</f>
        <v>21.687978690000001</v>
      </c>
      <c r="DB79">
        <f>19.41009402</f>
        <v>19.410094019999999</v>
      </c>
      <c r="DC79">
        <f>19.97289295</f>
        <v>19.972892949999999</v>
      </c>
      <c r="DD79">
        <f>20.80738791</f>
        <v>20.807387909999999</v>
      </c>
      <c r="DE79">
        <f>20.30213248</f>
        <v>20.302132480000001</v>
      </c>
      <c r="DF79">
        <f>21.27858774</f>
        <v>21.278587739999999</v>
      </c>
      <c r="DG79">
        <f>21.55712787</f>
        <v>21.557127869999999</v>
      </c>
      <c r="DH79">
        <f>21.92451021</f>
        <v>21.924510210000001</v>
      </c>
      <c r="DI79">
        <f>21.56337827</f>
        <v>21.563378270000001</v>
      </c>
      <c r="DJ79">
        <f>23.7681838</f>
        <v>23.768183799999999</v>
      </c>
      <c r="DK79">
        <f>23.47305029</f>
        <v>23.47305029</v>
      </c>
      <c r="DL79">
        <f>24.29235396</f>
        <v>24.29235396</v>
      </c>
      <c r="DM79">
        <f>25.71037956</f>
        <v>25.71037956</v>
      </c>
      <c r="DN79">
        <f>25.70394174</f>
        <v>25.703941740000001</v>
      </c>
      <c r="DO79">
        <f>24.89888218</f>
        <v>24.898882180000001</v>
      </c>
      <c r="DP79">
        <f>24.19042977</f>
        <v>24.190429770000001</v>
      </c>
      <c r="DQ79">
        <f>23.45187276</f>
        <v>23.451872760000001</v>
      </c>
      <c r="DR79">
        <f>24.62364353</f>
        <v>24.623643529999999</v>
      </c>
      <c r="DS79">
        <f>23.09639174</f>
        <v>23.096391740000001</v>
      </c>
      <c r="DT79">
        <f>25.04697976</f>
        <v>25.046979759999999</v>
      </c>
      <c r="DU79">
        <f>24.8919527</f>
        <v>24.891952700000001</v>
      </c>
      <c r="DV79">
        <f>26.24001405</f>
        <v>26.240014049999999</v>
      </c>
      <c r="DW79">
        <f>26.67025873</f>
        <v>26.67025873</v>
      </c>
      <c r="DX79">
        <f>26.87107335</f>
        <v>26.87107335</v>
      </c>
      <c r="DY79">
        <f>24.87331413</f>
        <v>24.873314130000001</v>
      </c>
      <c r="DZ79">
        <f>25.34629212</f>
        <v>25.346292120000001</v>
      </c>
      <c r="EA79">
        <f>24.88831281</f>
        <v>24.888312809999999</v>
      </c>
      <c r="EB79">
        <f>22.03309809</f>
        <v>22.033098089999999</v>
      </c>
      <c r="EC79">
        <f>24.63003171</f>
        <v>24.630031710000001</v>
      </c>
      <c r="ED79">
        <f>23.95564239</f>
        <v>23.955642390000001</v>
      </c>
      <c r="EE79">
        <f>23.34424549</f>
        <v>23.344245489999999</v>
      </c>
      <c r="EF79">
        <f>23.56744152</f>
        <v>23.567441519999999</v>
      </c>
      <c r="EG79">
        <f>22.66745508</f>
        <v>22.66745508</v>
      </c>
      <c r="EH79">
        <f>22.11449731</f>
        <v>22.114497310000001</v>
      </c>
      <c r="EI79">
        <f>22.91045956</f>
        <v>22.91045956</v>
      </c>
      <c r="EJ79">
        <f>21.69969643</f>
        <v>21.699696429999999</v>
      </c>
      <c r="EK79">
        <f>20.32436356</f>
        <v>20.324363559999998</v>
      </c>
      <c r="EL79">
        <f>20.43774686</f>
        <v>20.437746860000001</v>
      </c>
      <c r="EM79">
        <f>20.76291086</f>
        <v>20.762910860000002</v>
      </c>
      <c r="EN79">
        <f>21.24272602</f>
        <v>21.242726019999999</v>
      </c>
      <c r="EO79">
        <f>20.69197259</f>
        <v>20.691972589999999</v>
      </c>
      <c r="EP79">
        <f>22.33090123</f>
        <v>22.330901229999998</v>
      </c>
      <c r="EQ79">
        <f>23.15235938</f>
        <v>23.15235938</v>
      </c>
      <c r="ER79">
        <f>21.480655</f>
        <v>21.480654999999999</v>
      </c>
      <c r="ES79">
        <f>22.05423217</f>
        <v>22.054232169999999</v>
      </c>
      <c r="ET79">
        <f>20.91467488</f>
        <v>20.91467488</v>
      </c>
      <c r="EU79">
        <f>21.22150175</f>
        <v>21.221501750000002</v>
      </c>
      <c r="EV79">
        <f>21.35644953</f>
        <v>21.356449529999999</v>
      </c>
      <c r="EW79">
        <f>21.84997282</f>
        <v>21.849972820000001</v>
      </c>
      <c r="EX79">
        <f>22.22987101</f>
        <v>22.22987101</v>
      </c>
      <c r="EY79">
        <f>22.99075652</f>
        <v>22.990756520000001</v>
      </c>
      <c r="EZ79">
        <f>23.03881245</f>
        <v>23.038812450000002</v>
      </c>
      <c r="FA79">
        <f>25.29646787</f>
        <v>25.296467870000001</v>
      </c>
      <c r="FB79">
        <f>26.51522154</f>
        <v>26.515221539999999</v>
      </c>
      <c r="FC79">
        <f>26.11734663</f>
        <v>26.11734663</v>
      </c>
      <c r="FD79">
        <f>26.43729725</f>
        <v>26.43729725</v>
      </c>
      <c r="FE79">
        <f>26.5844115</f>
        <v>26.584411500000002</v>
      </c>
      <c r="FF79">
        <f>27.09498451</f>
        <v>27.09498451</v>
      </c>
      <c r="FG79">
        <f>25.11048597</f>
        <v>25.110485969999999</v>
      </c>
      <c r="FH79">
        <f>26.28457443</f>
        <v>26.284574429999999</v>
      </c>
      <c r="FI79">
        <f>25.1722801</f>
        <v>25.172280099999998</v>
      </c>
      <c r="FJ79">
        <f>24.92001911</f>
        <v>24.920019109999998</v>
      </c>
      <c r="FK79">
        <f>26.49586377</f>
        <v>26.49586377</v>
      </c>
      <c r="FL79">
        <f>23.4209348</f>
        <v>23.420934800000001</v>
      </c>
      <c r="FM79">
        <f>28.31981139</f>
        <v>28.319811390000002</v>
      </c>
      <c r="FN79">
        <f>28.61606309</f>
        <v>28.616063090000001</v>
      </c>
      <c r="FO79">
        <f>27.77359731</f>
        <v>27.77359731</v>
      </c>
      <c r="FP79">
        <f>31.33215795</f>
        <v>31.332157949999999</v>
      </c>
      <c r="FQ79">
        <f>30.27305703</f>
        <v>30.27305703</v>
      </c>
    </row>
    <row r="80" spans="1:173">
      <c r="A80" t="str">
        <f>"    埃塞克斯房地产信托公司"</f>
        <v xml:space="preserve">    埃塞克斯房地产信托公司</v>
      </c>
      <c r="B80" t="str">
        <f>"ESS US Equity"</f>
        <v>ESS US Equity</v>
      </c>
      <c r="C80" t="str">
        <f t="shared" si="27"/>
        <v>F0891</v>
      </c>
      <c r="D80" t="str">
        <f t="shared" si="28"/>
        <v>PRICE_TO_FAD_PS</v>
      </c>
      <c r="E80" t="str">
        <f t="shared" si="29"/>
        <v>动态</v>
      </c>
      <c r="F80">
        <f ca="1">IF(AND(ISNUMBER($F$321),$B$252=1),$F$321,HLOOKUP(INDIRECT(ADDRESS(2,COLUMN())),OFFSET($CL$2,0,0,ROW()-1,84),ROW()-1,FALSE))</f>
        <v>20.767237139999999</v>
      </c>
      <c r="G80">
        <f ca="1">IF(AND(ISNUMBER($G$321),$B$252=1),$G$321,HLOOKUP(INDIRECT(ADDRESS(2,COLUMN())),OFFSET($CL$2,0,0,ROW()-1,84),ROW()-1,FALSE))</f>
        <v>19.526698719999999</v>
      </c>
      <c r="H80">
        <f ca="1">IF(AND(ISNUMBER($H$321),$B$252=1),$H$321,HLOOKUP(INDIRECT(ADDRESS(2,COLUMN())),OFFSET($CL$2,0,0,ROW()-1,84),ROW()-1,FALSE))</f>
        <v>20.324935289999999</v>
      </c>
      <c r="I80">
        <f ca="1">IF(AND(ISNUMBER($I$321),$B$252=1),$I$321,HLOOKUP(INDIRECT(ADDRESS(2,COLUMN())),OFFSET($CL$2,0,0,ROW()-1,84),ROW()-1,FALSE))</f>
        <v>21.056870249999999</v>
      </c>
      <c r="J80">
        <f ca="1">IF(AND(ISNUMBER($J$321),$B$252=1),$J$321,HLOOKUP(INDIRECT(ADDRESS(2,COLUMN())),OFFSET($CL$2,0,0,ROW()-1,84),ROW()-1,FALSE))</f>
        <v>21.932641490000002</v>
      </c>
      <c r="K80">
        <f ca="1">IF(AND(ISNUMBER($K$321),$B$252=1),$K$321,HLOOKUP(INDIRECT(ADDRESS(2,COLUMN())),OFFSET($CL$2,0,0,ROW()-1,84),ROW()-1,FALSE))</f>
        <v>23.303709080000001</v>
      </c>
      <c r="L80">
        <f ca="1">IF(AND(ISNUMBER($L$321),$B$252=1),$L$321,HLOOKUP(INDIRECT(ADDRESS(2,COLUMN())),OFFSET($CL$2,0,0,ROW()-1,84),ROW()-1,FALSE))</f>
        <v>22.557791479999999</v>
      </c>
      <c r="M80">
        <f ca="1">IF(AND(ISNUMBER($M$321),$B$252=1),$M$321,HLOOKUP(INDIRECT(ADDRESS(2,COLUMN())),OFFSET($CL$2,0,0,ROW()-1,84),ROW()-1,FALSE))</f>
        <v>23.35637809</v>
      </c>
      <c r="N80">
        <f ca="1">IF(AND(ISNUMBER($N$321),$B$252=1),$N$321,HLOOKUP(INDIRECT(ADDRESS(2,COLUMN())),OFFSET($CL$2,0,0,ROW()-1,84),ROW()-1,FALSE))</f>
        <v>22.981404470000001</v>
      </c>
      <c r="O80">
        <f ca="1">IF(AND(ISNUMBER($O$321),$B$252=1),$O$321,HLOOKUP(INDIRECT(ADDRESS(2,COLUMN())),OFFSET($CL$2,0,0,ROW()-1,84),ROW()-1,FALSE))</f>
        <v>22.592380309999999</v>
      </c>
      <c r="P80">
        <f ca="1">IF(AND(ISNUMBER($P$321),$B$252=1),$P$321,HLOOKUP(INDIRECT(ADDRESS(2,COLUMN())),OFFSET($CL$2,0,0,ROW()-1,84),ROW()-1,FALSE))</f>
        <v>23.027293449999998</v>
      </c>
      <c r="Q80">
        <f ca="1">IF(AND(ISNUMBER($Q$321),$B$252=1),$Q$321,HLOOKUP(INDIRECT(ADDRESS(2,COLUMN())),OFFSET($CL$2,0,0,ROW()-1,84),ROW()-1,FALSE))</f>
        <v>21.911421570000002</v>
      </c>
      <c r="R80">
        <f ca="1">IF(AND(ISNUMBER($R$321),$B$252=1),$R$321,HLOOKUP(INDIRECT(ADDRESS(2,COLUMN())),OFFSET($CL$2,0,0,ROW()-1,84),ROW()-1,FALSE))</f>
        <v>20.751631840000002</v>
      </c>
      <c r="S80">
        <f ca="1">IF(AND(ISNUMBER($S$321),$B$252=1),$S$321,HLOOKUP(INDIRECT(ADDRESS(2,COLUMN())),OFFSET($CL$2,0,0,ROW()-1,84),ROW()-1,FALSE))</f>
        <v>21.269133849999999</v>
      </c>
      <c r="T80">
        <f ca="1">IF(AND(ISNUMBER($T$321),$B$252=1),$T$321,HLOOKUP(INDIRECT(ADDRESS(2,COLUMN())),OFFSET($CL$2,0,0,ROW()-1,84),ROW()-1,FALSE))</f>
        <v>20.326658389999999</v>
      </c>
      <c r="U80">
        <f ca="1">IF(AND(ISNUMBER($U$321),$B$252=1),$U$321,HLOOKUP(INDIRECT(ADDRESS(2,COLUMN())),OFFSET($CL$2,0,0,ROW()-1,84),ROW()-1,FALSE))</f>
        <v>21.069764039999999</v>
      </c>
      <c r="V80">
        <f ca="1">IF(AND(ISNUMBER($V$321),$B$252=1),$V$321,HLOOKUP(INDIRECT(ADDRESS(2,COLUMN())),OFFSET($CL$2,0,0,ROW()-1,84),ROW()-1,FALSE))</f>
        <v>19.890474730000001</v>
      </c>
      <c r="W80">
        <f ca="1">IF(AND(ISNUMBER($W$321),$B$252=1),$W$321,HLOOKUP(INDIRECT(ADDRESS(2,COLUMN())),OFFSET($CL$2,0,0,ROW()-1,84),ROW()-1,FALSE))</f>
        <v>19.72189577</v>
      </c>
      <c r="X80">
        <f ca="1">IF(AND(ISNUMBER($X$321),$B$252=1),$X$321,HLOOKUP(INDIRECT(ADDRESS(2,COLUMN())),OFFSET($CL$2,0,0,ROW()-1,84),ROW()-1,FALSE))</f>
        <v>20.515045950000001</v>
      </c>
      <c r="Y80">
        <f ca="1">IF(AND(ISNUMBER($Y$321),$B$252=1),$Y$321,HLOOKUP(INDIRECT(ADDRESS(2,COLUMN())),OFFSET($CL$2,0,0,ROW()-1,84),ROW()-1,FALSE))</f>
        <v>21.538358049999999</v>
      </c>
      <c r="Z80">
        <f ca="1">IF(AND(ISNUMBER($Z$321),$B$252=1),$Z$321,HLOOKUP(INDIRECT(ADDRESS(2,COLUMN())),OFFSET($CL$2,0,0,ROW()-1,84),ROW()-1,FALSE))</f>
        <v>22.181379039999999</v>
      </c>
      <c r="AA80">
        <f ca="1">IF(AND(ISNUMBER($AA$321),$B$252=1),$AA$321,HLOOKUP(INDIRECT(ADDRESS(2,COLUMN())),OFFSET($CL$2,0,0,ROW()-1,84),ROW()-1,FALSE))</f>
        <v>21.632250490000001</v>
      </c>
      <c r="AB80">
        <f ca="1">IF(AND(ISNUMBER($AB$321),$B$252=1),$AB$321,HLOOKUP(INDIRECT(ADDRESS(2,COLUMN())),OFFSET($CL$2,0,0,ROW()-1,84),ROW()-1,FALSE))</f>
        <v>22.272267249999999</v>
      </c>
      <c r="AC80">
        <f ca="1">IF(AND(ISNUMBER($AC$321),$B$252=1),$AC$321,HLOOKUP(INDIRECT(ADDRESS(2,COLUMN())),OFFSET($CL$2,0,0,ROW()-1,84),ROW()-1,FALSE))</f>
        <v>21.607716029999999</v>
      </c>
      <c r="AD80">
        <f ca="1">IF(AND(ISNUMBER($AD$321),$B$252=1),$AD$321,HLOOKUP(INDIRECT(ADDRESS(2,COLUMN())),OFFSET($CL$2,0,0,ROW()-1,84),ROW()-1,FALSE))</f>
        <v>22.922115999999999</v>
      </c>
      <c r="AE80">
        <f ca="1">IF(AND(ISNUMBER($AE$321),$B$252=1),$AE$321,HLOOKUP(INDIRECT(ADDRESS(2,COLUMN())),OFFSET($CL$2,0,0,ROW()-1,84),ROW()-1,FALSE))</f>
        <v>21.322519509999999</v>
      </c>
      <c r="AF80">
        <f ca="1">IF(AND(ISNUMBER($AF$321),$B$252=1),$AF$321,HLOOKUP(INDIRECT(ADDRESS(2,COLUMN())),OFFSET($CL$2,0,0,ROW()-1,84),ROW()-1,FALSE))</f>
        <v>21.712739540000001</v>
      </c>
      <c r="AG80">
        <f ca="1">IF(AND(ISNUMBER($AG$321),$B$252=1),$AG$321,HLOOKUP(INDIRECT(ADDRESS(2,COLUMN())),OFFSET($CL$2,0,0,ROW()-1,84),ROW()-1,FALSE))</f>
        <v>24.392318400000001</v>
      </c>
      <c r="AH80">
        <f ca="1">IF(AND(ISNUMBER($AH$321),$B$252=1),$AH$321,HLOOKUP(INDIRECT(ADDRESS(2,COLUMN())),OFFSET($CL$2,0,0,ROW()-1,84),ROW()-1,FALSE))</f>
        <v>24.93602357</v>
      </c>
      <c r="AI80">
        <f ca="1">IF(AND(ISNUMBER($AI$321),$B$252=1),$AI$321,HLOOKUP(INDIRECT(ADDRESS(2,COLUMN())),OFFSET($CL$2,0,0,ROW()-1,84),ROW()-1,FALSE))</f>
        <v>23.81774356</v>
      </c>
      <c r="AJ80">
        <f ca="1">IF(AND(ISNUMBER($AJ$321),$B$252=1),$AJ$321,HLOOKUP(INDIRECT(ADDRESS(2,COLUMN())),OFFSET($CL$2,0,0,ROW()-1,84),ROW()-1,FALSE))</f>
        <v>24.139721770000001</v>
      </c>
      <c r="AK80">
        <f ca="1">IF(AND(ISNUMBER($AK$321),$B$252=1),$AK$321,HLOOKUP(INDIRECT(ADDRESS(2,COLUMN())),OFFSET($CL$2,0,0,ROW()-1,84),ROW()-1,FALSE))</f>
        <v>24.642384409999998</v>
      </c>
      <c r="AL80">
        <f ca="1">IF(AND(ISNUMBER($AL$321),$B$252=1),$AL$321,HLOOKUP(INDIRECT(ADDRESS(2,COLUMN())),OFFSET($CL$2,0,0,ROW()-1,84),ROW()-1,FALSE))</f>
        <v>25.82386859</v>
      </c>
      <c r="AM80">
        <f ca="1">IF(AND(ISNUMBER($AM$321),$B$252=1),$AM$321,HLOOKUP(INDIRECT(ADDRESS(2,COLUMN())),OFFSET($CL$2,0,0,ROW()-1,84),ROW()-1,FALSE))</f>
        <v>24.39896881</v>
      </c>
      <c r="AN80">
        <f ca="1">IF(AND(ISNUMBER($AN$321),$B$252=1),$AN$321,HLOOKUP(INDIRECT(ADDRESS(2,COLUMN())),OFFSET($CL$2,0,0,ROW()-1,84),ROW()-1,FALSE))</f>
        <v>26.742592999999999</v>
      </c>
      <c r="AO80">
        <f ca="1">IF(AND(ISNUMBER($AO$321),$B$252=1),$AO$321,HLOOKUP(INDIRECT(ADDRESS(2,COLUMN())),OFFSET($CL$2,0,0,ROW()-1,84),ROW()-1,FALSE))</f>
        <v>26.662108150000002</v>
      </c>
      <c r="AP80">
        <f ca="1">IF(AND(ISNUMBER($AP$321),$B$252=1),$AP$321,HLOOKUP(INDIRECT(ADDRESS(2,COLUMN())),OFFSET($CL$2,0,0,ROW()-1,84),ROW()-1,FALSE))</f>
        <v>27.617114950000001</v>
      </c>
      <c r="AQ80">
        <f ca="1">IF(AND(ISNUMBER($AQ$321),$B$252=1),$AQ$321,HLOOKUP(INDIRECT(ADDRESS(2,COLUMN())),OFFSET($CL$2,0,0,ROW()-1,84),ROW()-1,FALSE))</f>
        <v>27.629663699999998</v>
      </c>
      <c r="AR80">
        <f ca="1">IF(AND(ISNUMBER($AR$321),$B$252=1),$AR$321,HLOOKUP(INDIRECT(ADDRESS(2,COLUMN())),OFFSET($CL$2,0,0,ROW()-1,84),ROW()-1,FALSE))</f>
        <v>28.079330479999999</v>
      </c>
      <c r="AS80">
        <f ca="1">IF(AND(ISNUMBER($AS$321),$B$252=1),$AS$321,HLOOKUP(INDIRECT(ADDRESS(2,COLUMN())),OFFSET($CL$2,0,0,ROW()-1,84),ROW()-1,FALSE))</f>
        <v>25.663303150000001</v>
      </c>
      <c r="AT80">
        <f ca="1">IF(AND(ISNUMBER($AT$321),$B$252=1),$AT$321,HLOOKUP(INDIRECT(ADDRESS(2,COLUMN())),OFFSET($CL$2,0,0,ROW()-1,84),ROW()-1,FALSE))</f>
        <v>25.971767660000001</v>
      </c>
      <c r="AU80">
        <f ca="1">IF(AND(ISNUMBER($AU$321),$B$252=1),$AU$321,HLOOKUP(INDIRECT(ADDRESS(2,COLUMN())),OFFSET($CL$2,0,0,ROW()-1,84),ROW()-1,FALSE))</f>
        <v>25.888364429999999</v>
      </c>
      <c r="AV80">
        <f ca="1">IF(AND(ISNUMBER($AV$321),$B$252=1),$AV$321,HLOOKUP(INDIRECT(ADDRESS(2,COLUMN())),OFFSET($CL$2,0,0,ROW()-1,84),ROW()-1,FALSE))</f>
        <v>22.935889880000001</v>
      </c>
      <c r="AW80">
        <f ca="1">IF(AND(ISNUMBER($AW$321),$B$252=1),$AW$321,HLOOKUP(INDIRECT(ADDRESS(2,COLUMN())),OFFSET($CL$2,0,0,ROW()-1,84),ROW()-1,FALSE))</f>
        <v>25.742832159999999</v>
      </c>
      <c r="AX80">
        <f ca="1">IF(AND(ISNUMBER($AX$321),$B$252=1),$AX$321,HLOOKUP(INDIRECT(ADDRESS(2,COLUMN())),OFFSET($CL$2,0,0,ROW()-1,84),ROW()-1,FALSE))</f>
        <v>25.226511720000001</v>
      </c>
      <c r="AY80">
        <f ca="1">IF(AND(ISNUMBER($AY$321),$B$252=1),$AY$321,HLOOKUP(INDIRECT(ADDRESS(2,COLUMN())),OFFSET($CL$2,0,0,ROW()-1,84),ROW()-1,FALSE))</f>
        <v>24.606394909999999</v>
      </c>
      <c r="AZ80">
        <f ca="1">IF(AND(ISNUMBER($AZ$321),$B$252=1),$AZ$321,HLOOKUP(INDIRECT(ADDRESS(2,COLUMN())),OFFSET($CL$2,0,0,ROW()-1,84),ROW()-1,FALSE))</f>
        <v>25.25960491</v>
      </c>
      <c r="BA80">
        <f ca="1">IF(AND(ISNUMBER($BA$321),$B$252=1),$BA$321,HLOOKUP(INDIRECT(ADDRESS(2,COLUMN())),OFFSET($CL$2,0,0,ROW()-1,84),ROW()-1,FALSE))</f>
        <v>24.184787499999999</v>
      </c>
      <c r="BB80">
        <f ca="1">IF(AND(ISNUMBER($BB$321),$B$252=1),$BB$321,HLOOKUP(INDIRECT(ADDRESS(2,COLUMN())),OFFSET($CL$2,0,0,ROW()-1,84),ROW()-1,FALSE))</f>
        <v>23.73671427</v>
      </c>
      <c r="BC80">
        <f ca="1">IF(AND(ISNUMBER($BC$321),$B$252=1),$BC$321,HLOOKUP(INDIRECT(ADDRESS(2,COLUMN())),OFFSET($CL$2,0,0,ROW()-1,84),ROW()-1,FALSE))</f>
        <v>24.193875930000001</v>
      </c>
      <c r="BD80">
        <f ca="1">IF(AND(ISNUMBER($BD$321),$B$252=1),$BD$321,HLOOKUP(INDIRECT(ADDRESS(2,COLUMN())),OFFSET($CL$2,0,0,ROW()-1,84),ROW()-1,FALSE))</f>
        <v>22.909322159999999</v>
      </c>
      <c r="BE80">
        <f ca="1">IF(AND(ISNUMBER($BE$321),$B$252=1),$BE$321,HLOOKUP(INDIRECT(ADDRESS(2,COLUMN())),OFFSET($CL$2,0,0,ROW()-1,84),ROW()-1,FALSE))</f>
        <v>20.759719789999998</v>
      </c>
      <c r="BF80">
        <f ca="1">IF(AND(ISNUMBER($BF$321),$B$252=1),$BF$321,HLOOKUP(INDIRECT(ADDRESS(2,COLUMN())),OFFSET($CL$2,0,0,ROW()-1,84),ROW()-1,FALSE))</f>
        <v>23.275638709999999</v>
      </c>
      <c r="BG80">
        <f ca="1">IF(AND(ISNUMBER($BG$321),$B$252=1),$BG$321,HLOOKUP(INDIRECT(ADDRESS(2,COLUMN())),OFFSET($CL$2,0,0,ROW()-1,84),ROW()-1,FALSE))</f>
        <v>24.684657349999998</v>
      </c>
      <c r="BH80">
        <f ca="1">IF(AND(ISNUMBER($BH$321),$B$252=1),$BH$321,HLOOKUP(INDIRECT(ADDRESS(2,COLUMN())),OFFSET($CL$2,0,0,ROW()-1,84),ROW()-1,FALSE))</f>
        <v>22.645489999999999</v>
      </c>
      <c r="BI80">
        <f ca="1">IF(AND(ISNUMBER($BI$321),$B$252=1),$BI$321,HLOOKUP(INDIRECT(ADDRESS(2,COLUMN())),OFFSET($CL$2,0,0,ROW()-1,84),ROW()-1,FALSE))</f>
        <v>21.103366099999999</v>
      </c>
      <c r="BJ80">
        <f ca="1">IF(AND(ISNUMBER($BJ$321),$B$252=1),$BJ$321,HLOOKUP(INDIRECT(ADDRESS(2,COLUMN())),OFFSET($CL$2,0,0,ROW()-1,84),ROW()-1,FALSE))</f>
        <v>23.75104262</v>
      </c>
      <c r="BK80">
        <f ca="1">IF(AND(ISNUMBER($BK$321),$B$252=1),$BK$321,HLOOKUP(INDIRECT(ADDRESS(2,COLUMN())),OFFSET($CL$2,0,0,ROW()-1,84),ROW()-1,FALSE))</f>
        <v>23.402044100000001</v>
      </c>
      <c r="BL80">
        <f ca="1">IF(AND(ISNUMBER($BL$321),$B$252=1),$BL$321,HLOOKUP(INDIRECT(ADDRESS(2,COLUMN())),OFFSET($CL$2,0,0,ROW()-1,84),ROW()-1,FALSE))</f>
        <v>23.501478389999999</v>
      </c>
      <c r="BM80">
        <f ca="1">IF(AND(ISNUMBER($BM$321),$B$252=1),$BM$321,HLOOKUP(INDIRECT(ADDRESS(2,COLUMN())),OFFSET($CL$2,0,0,ROW()-1,84),ROW()-1,FALSE))</f>
        <v>23.488018199999999</v>
      </c>
      <c r="BN80">
        <f ca="1">IF(AND(ISNUMBER($BN$321),$B$252=1),$BN$321,HLOOKUP(INDIRECT(ADDRESS(2,COLUMN())),OFFSET($CL$2,0,0,ROW()-1,84),ROW()-1,FALSE))</f>
        <v>22.52038065</v>
      </c>
      <c r="BO80">
        <f ca="1">IF(AND(ISNUMBER($BO$321),$B$252=1),$BO$321,HLOOKUP(INDIRECT(ADDRESS(2,COLUMN())),OFFSET($CL$2,0,0,ROW()-1,84),ROW()-1,FALSE))</f>
        <v>22.844920309999999</v>
      </c>
      <c r="BP80">
        <f ca="1">IF(AND(ISNUMBER($BP$321),$B$252=1),$BP$321,HLOOKUP(INDIRECT(ADDRESS(2,COLUMN())),OFFSET($CL$2,0,0,ROW()-1,84),ROW()-1,FALSE))</f>
        <v>23.57938012</v>
      </c>
      <c r="BQ80">
        <f ca="1">IF(AND(ISNUMBER($BQ$321),$B$252=1),$BQ$321,HLOOKUP(INDIRECT(ADDRESS(2,COLUMN())),OFFSET($CL$2,0,0,ROW()-1,84),ROW()-1,FALSE))</f>
        <v>22.48612365</v>
      </c>
      <c r="BR80">
        <f ca="1">IF(AND(ISNUMBER($BR$321),$B$252=1),$BR$321,HLOOKUP(INDIRECT(ADDRESS(2,COLUMN())),OFFSET($CL$2,0,0,ROW()-1,84),ROW()-1,FALSE))</f>
        <v>22.420808690000001</v>
      </c>
      <c r="BS80">
        <f ca="1">IF(AND(ISNUMBER($BS$321),$B$252=1),$BS$321,HLOOKUP(INDIRECT(ADDRESS(2,COLUMN())),OFFSET($CL$2,0,0,ROW()-1,84),ROW()-1,FALSE))</f>
        <v>23.938510239999999</v>
      </c>
      <c r="BT80">
        <f ca="1">IF(AND(ISNUMBER($BT$321),$B$252=1),$BT$321,HLOOKUP(INDIRECT(ADDRESS(2,COLUMN())),OFFSET($CL$2,0,0,ROW()-1,84),ROW()-1,FALSE))</f>
        <v>23.657631720000001</v>
      </c>
      <c r="BU80">
        <f ca="1">IF(AND(ISNUMBER($BU$321),$B$252=1),$BU$321,HLOOKUP(INDIRECT(ADDRESS(2,COLUMN())),OFFSET($CL$2,0,0,ROW()-1,84),ROW()-1,FALSE))</f>
        <v>27.29441697</v>
      </c>
      <c r="BV80">
        <f ca="1">IF(AND(ISNUMBER($BV$321),$B$252=1),$BV$321,HLOOKUP(INDIRECT(ADDRESS(2,COLUMN())),OFFSET($CL$2,0,0,ROW()-1,84),ROW()-1,FALSE))</f>
        <v>28.260622810000001</v>
      </c>
      <c r="BW80">
        <f ca="1">IF(AND(ISNUMBER($BW$321),$B$252=1),$BW$321,HLOOKUP(INDIRECT(ADDRESS(2,COLUMN())),OFFSET($CL$2,0,0,ROW()-1,84),ROW()-1,FALSE))</f>
        <v>27.642825760000001</v>
      </c>
      <c r="BX80">
        <f ca="1">IF(AND(ISNUMBER($BX$321),$B$252=1),$BX$321,HLOOKUP(INDIRECT(ADDRESS(2,COLUMN())),OFFSET($CL$2,0,0,ROW()-1,84),ROW()-1,FALSE))</f>
        <v>28.58225264</v>
      </c>
      <c r="BY80">
        <f ca="1">IF(AND(ISNUMBER($BY$321),$B$252=1),$BY$321,HLOOKUP(INDIRECT(ADDRESS(2,COLUMN())),OFFSET($CL$2,0,0,ROW()-1,84),ROW()-1,FALSE))</f>
        <v>30.008895720000002</v>
      </c>
      <c r="BZ80">
        <f ca="1">IF(AND(ISNUMBER($BZ$321),$B$252=1),$BZ$321,HLOOKUP(INDIRECT(ADDRESS(2,COLUMN())),OFFSET($CL$2,0,0,ROW()-1,84),ROW()-1,FALSE))</f>
        <v>28.781716719999999</v>
      </c>
      <c r="CA80">
        <f ca="1">IF(AND(ISNUMBER($CA$321),$B$252=1),$CA$321,HLOOKUP(INDIRECT(ADDRESS(2,COLUMN())),OFFSET($CL$2,0,0,ROW()-1,84),ROW()-1,FALSE))</f>
        <v>28.642765229999998</v>
      </c>
      <c r="CB80">
        <f ca="1">IF(AND(ISNUMBER($CB$321),$B$252=1),$CB$321,HLOOKUP(INDIRECT(ADDRESS(2,COLUMN())),OFFSET($CL$2,0,0,ROW()-1,84),ROW()-1,FALSE))</f>
        <v>29.46323447</v>
      </c>
      <c r="CC80">
        <f ca="1">IF(AND(ISNUMBER($CC$321),$B$252=1),$CC$321,HLOOKUP(INDIRECT(ADDRESS(2,COLUMN())),OFFSET($CL$2,0,0,ROW()-1,84),ROW()-1,FALSE))</f>
        <v>28.749160249999999</v>
      </c>
      <c r="CD80">
        <f ca="1">IF(AND(ISNUMBER($CD$321),$B$252=1),$CD$321,HLOOKUP(INDIRECT(ADDRESS(2,COLUMN())),OFFSET($CL$2,0,0,ROW()-1,84),ROW()-1,FALSE))</f>
        <v>26.596417819999999</v>
      </c>
      <c r="CE80">
        <f ca="1">IF(AND(ISNUMBER($CE$321),$B$252=1),$CE$321,HLOOKUP(INDIRECT(ADDRESS(2,COLUMN())),OFFSET($CL$2,0,0,ROW()-1,84),ROW()-1,FALSE))</f>
        <v>28.580388469999999</v>
      </c>
      <c r="CF80">
        <f ca="1">IF(AND(ISNUMBER($CF$321),$B$252=1),$CF$321,HLOOKUP(INDIRECT(ADDRESS(2,COLUMN())),OFFSET($CL$2,0,0,ROW()-1,84),ROW()-1,FALSE))</f>
        <v>24.031870489999999</v>
      </c>
      <c r="CG80">
        <f ca="1">IF(AND(ISNUMBER($CG$321),$B$252=1),$CG$321,HLOOKUP(INDIRECT(ADDRESS(2,COLUMN())),OFFSET($CL$2,0,0,ROW()-1,84),ROW()-1,FALSE))</f>
        <v>28.63311749</v>
      </c>
      <c r="CH80">
        <f ca="1">IF(AND(ISNUMBER($CH$321),$B$252=1),$CH$321,HLOOKUP(INDIRECT(ADDRESS(2,COLUMN())),OFFSET($CL$2,0,0,ROW()-1,84),ROW()-1,FALSE))</f>
        <v>27.996825990000001</v>
      </c>
      <c r="CI80">
        <f ca="1">IF(AND(ISNUMBER($CI$321),$B$252=1),$CI$321,HLOOKUP(INDIRECT(ADDRESS(2,COLUMN())),OFFSET($CL$2,0,0,ROW()-1,84),ROW()-1,FALSE))</f>
        <v>26.985541380000001</v>
      </c>
      <c r="CJ80">
        <f ca="1">IF(AND(ISNUMBER($CJ$321),$B$252=1),$CJ$321,HLOOKUP(INDIRECT(ADDRESS(2,COLUMN())),OFFSET($CL$2,0,0,ROW()-1,84),ROW()-1,FALSE))</f>
        <v>27.66835021</v>
      </c>
      <c r="CK80">
        <f ca="1">IF(AND(ISNUMBER($CK$321),$B$252=1),$CK$321,HLOOKUP(INDIRECT(ADDRESS(2,COLUMN())),OFFSET($CL$2,0,0,ROW()-1,84),ROW()-1,FALSE))</f>
        <v>27.240084920000001</v>
      </c>
      <c r="CL80">
        <f>20.76723714</f>
        <v>20.767237139999999</v>
      </c>
      <c r="CM80">
        <f>19.52669872</f>
        <v>19.526698719999999</v>
      </c>
      <c r="CN80">
        <f>20.32493529</f>
        <v>20.324935289999999</v>
      </c>
      <c r="CO80">
        <f>21.05687025</f>
        <v>21.056870249999999</v>
      </c>
      <c r="CP80">
        <f>21.93264149</f>
        <v>21.932641490000002</v>
      </c>
      <c r="CQ80">
        <f>23.30370908</f>
        <v>23.303709080000001</v>
      </c>
      <c r="CR80">
        <f>22.55779148</f>
        <v>22.557791479999999</v>
      </c>
      <c r="CS80">
        <f>23.35637809</f>
        <v>23.35637809</v>
      </c>
      <c r="CT80">
        <f>22.98140447</f>
        <v>22.981404470000001</v>
      </c>
      <c r="CU80">
        <f>22.59238031</f>
        <v>22.592380309999999</v>
      </c>
      <c r="CV80">
        <f>23.02729345</f>
        <v>23.027293449999998</v>
      </c>
      <c r="CW80">
        <f>21.91142157</f>
        <v>21.911421570000002</v>
      </c>
      <c r="CX80">
        <f>20.75163184</f>
        <v>20.751631840000002</v>
      </c>
      <c r="CY80">
        <f>21.26913385</f>
        <v>21.269133849999999</v>
      </c>
      <c r="CZ80">
        <f>20.32665839</f>
        <v>20.326658389999999</v>
      </c>
      <c r="DA80">
        <f>21.06976404</f>
        <v>21.069764039999999</v>
      </c>
      <c r="DB80">
        <f>19.89047473</f>
        <v>19.890474730000001</v>
      </c>
      <c r="DC80">
        <f>19.72189577</f>
        <v>19.72189577</v>
      </c>
      <c r="DD80">
        <f>20.51504595</f>
        <v>20.515045950000001</v>
      </c>
      <c r="DE80">
        <f>21.53835805</f>
        <v>21.538358049999999</v>
      </c>
      <c r="DF80">
        <f>22.18137904</f>
        <v>22.181379039999999</v>
      </c>
      <c r="DG80">
        <f>21.63225049</f>
        <v>21.632250490000001</v>
      </c>
      <c r="DH80">
        <f>22.27226725</f>
        <v>22.272267249999999</v>
      </c>
      <c r="DI80">
        <f>21.60771603</f>
        <v>21.607716029999999</v>
      </c>
      <c r="DJ80">
        <f>22.922116</f>
        <v>22.922115999999999</v>
      </c>
      <c r="DK80">
        <f>21.32251951</f>
        <v>21.322519509999999</v>
      </c>
      <c r="DL80">
        <f>21.71273954</f>
        <v>21.712739540000001</v>
      </c>
      <c r="DM80">
        <f>24.3923184</f>
        <v>24.392318400000001</v>
      </c>
      <c r="DN80">
        <f>24.93602357</f>
        <v>24.93602357</v>
      </c>
      <c r="DO80">
        <f>23.81774356</f>
        <v>23.81774356</v>
      </c>
      <c r="DP80">
        <f>24.13972177</f>
        <v>24.139721770000001</v>
      </c>
      <c r="DQ80">
        <f>24.64238441</f>
        <v>24.642384409999998</v>
      </c>
      <c r="DR80">
        <f>25.82386859</f>
        <v>25.82386859</v>
      </c>
      <c r="DS80">
        <f>24.39896881</f>
        <v>24.39896881</v>
      </c>
      <c r="DT80">
        <f>26.742593</f>
        <v>26.742592999999999</v>
      </c>
      <c r="DU80">
        <f>26.66210815</f>
        <v>26.662108150000002</v>
      </c>
      <c r="DV80">
        <f>27.61711495</f>
        <v>27.617114950000001</v>
      </c>
      <c r="DW80">
        <f>27.6296637</f>
        <v>27.629663699999998</v>
      </c>
      <c r="DX80">
        <f>28.07933048</f>
        <v>28.079330479999999</v>
      </c>
      <c r="DY80">
        <f>25.66330315</f>
        <v>25.663303150000001</v>
      </c>
      <c r="DZ80">
        <f>25.97176766</f>
        <v>25.971767660000001</v>
      </c>
      <c r="EA80">
        <f>25.88836443</f>
        <v>25.888364429999999</v>
      </c>
      <c r="EB80">
        <f>22.93588988</f>
        <v>22.935889880000001</v>
      </c>
      <c r="EC80">
        <f>25.74283216</f>
        <v>25.742832159999999</v>
      </c>
      <c r="ED80">
        <f>25.22651172</f>
        <v>25.226511720000001</v>
      </c>
      <c r="EE80">
        <f>24.60639491</f>
        <v>24.606394909999999</v>
      </c>
      <c r="EF80">
        <f>25.25960491</f>
        <v>25.25960491</v>
      </c>
      <c r="EG80">
        <f>24.1847875</f>
        <v>24.184787499999999</v>
      </c>
      <c r="EH80">
        <f>23.73671427</f>
        <v>23.73671427</v>
      </c>
      <c r="EI80">
        <f>24.19387593</f>
        <v>24.193875930000001</v>
      </c>
      <c r="EJ80">
        <f>22.90932216</f>
        <v>22.909322159999999</v>
      </c>
      <c r="EK80">
        <f>20.75971979</f>
        <v>20.759719789999998</v>
      </c>
      <c r="EL80">
        <f>23.27563871</f>
        <v>23.275638709999999</v>
      </c>
      <c r="EM80">
        <f>24.68465735</f>
        <v>24.684657349999998</v>
      </c>
      <c r="EN80">
        <f>22.64549</f>
        <v>22.645489999999999</v>
      </c>
      <c r="EO80">
        <f>21.1033661</f>
        <v>21.103366099999999</v>
      </c>
      <c r="EP80">
        <f>23.75104262</f>
        <v>23.75104262</v>
      </c>
      <c r="EQ80">
        <f>23.4020441</f>
        <v>23.402044100000001</v>
      </c>
      <c r="ER80">
        <f>23.50147839</f>
        <v>23.501478389999999</v>
      </c>
      <c r="ES80">
        <f>23.4880182</f>
        <v>23.488018199999999</v>
      </c>
      <c r="ET80">
        <f>22.52038065</f>
        <v>22.52038065</v>
      </c>
      <c r="EU80">
        <f>22.84492031</f>
        <v>22.844920309999999</v>
      </c>
      <c r="EV80">
        <f>23.57938012</f>
        <v>23.57938012</v>
      </c>
      <c r="EW80">
        <f>22.48612365</f>
        <v>22.48612365</v>
      </c>
      <c r="EX80">
        <f>22.42080869</f>
        <v>22.420808690000001</v>
      </c>
      <c r="EY80">
        <f>23.93851024</f>
        <v>23.938510239999999</v>
      </c>
      <c r="EZ80">
        <f>23.65763172</f>
        <v>23.657631720000001</v>
      </c>
      <c r="FA80">
        <f>27.29441697</f>
        <v>27.29441697</v>
      </c>
      <c r="FB80">
        <f>28.26062281</f>
        <v>28.260622810000001</v>
      </c>
      <c r="FC80">
        <f>27.64282576</f>
        <v>27.642825760000001</v>
      </c>
      <c r="FD80">
        <f>28.58225264</f>
        <v>28.58225264</v>
      </c>
      <c r="FE80">
        <f>30.00889572</f>
        <v>30.008895720000002</v>
      </c>
      <c r="FF80">
        <f>28.78171672</f>
        <v>28.781716719999999</v>
      </c>
      <c r="FG80">
        <f>28.64276523</f>
        <v>28.642765229999998</v>
      </c>
      <c r="FH80">
        <f>29.46323447</f>
        <v>29.46323447</v>
      </c>
      <c r="FI80">
        <f>28.74916025</f>
        <v>28.749160249999999</v>
      </c>
      <c r="FJ80">
        <f>26.59641782</f>
        <v>26.596417819999999</v>
      </c>
      <c r="FK80">
        <f>28.58038847</f>
        <v>28.580388469999999</v>
      </c>
      <c r="FL80">
        <f>24.03187049</f>
        <v>24.031870489999999</v>
      </c>
      <c r="FM80">
        <f>28.63311749</f>
        <v>28.63311749</v>
      </c>
      <c r="FN80">
        <f>27.99682599</f>
        <v>27.996825990000001</v>
      </c>
      <c r="FO80">
        <f>26.98554138</f>
        <v>26.985541380000001</v>
      </c>
      <c r="FP80">
        <f>27.66835021</f>
        <v>27.66835021</v>
      </c>
      <c r="FQ80">
        <f>27.24008492</f>
        <v>27.240084920000001</v>
      </c>
    </row>
    <row r="81" spans="1:173">
      <c r="A81" t="str">
        <f>"    Mid-America Apartment Communities股份有限公司"</f>
        <v xml:space="preserve">    Mid-America Apartment Communities股份有限公司</v>
      </c>
      <c r="B81" t="str">
        <f>"MAA US Equity"</f>
        <v>MAA US Equity</v>
      </c>
      <c r="C81" t="str">
        <f t="shared" si="27"/>
        <v>F0891</v>
      </c>
      <c r="D81" t="str">
        <f t="shared" si="28"/>
        <v>PRICE_TO_FAD_PS</v>
      </c>
      <c r="E81" t="str">
        <f t="shared" si="29"/>
        <v>动态</v>
      </c>
      <c r="F81">
        <f ca="1">IF(AND(ISNUMBER($F$322),$B$252=1),$F$322,HLOOKUP(INDIRECT(ADDRESS(2,COLUMN())),OFFSET($CL$2,0,0,ROW()-1,84),ROW()-1,FALSE))</f>
        <v>20.14749784</v>
      </c>
      <c r="G81">
        <f ca="1">IF(AND(ISNUMBER($G$322),$B$252=1),$G$322,HLOOKUP(INDIRECT(ADDRESS(2,COLUMN())),OFFSET($CL$2,0,0,ROW()-1,84),ROW()-1,FALSE))</f>
        <v>19.32556434</v>
      </c>
      <c r="H81">
        <f ca="1">IF(AND(ISNUMBER($H$322),$B$252=1),$H$322,HLOOKUP(INDIRECT(ADDRESS(2,COLUMN())),OFFSET($CL$2,0,0,ROW()-1,84),ROW()-1,FALSE))</f>
        <v>21.476101969999998</v>
      </c>
      <c r="I81">
        <f ca="1">IF(AND(ISNUMBER($I$322),$B$252=1),$I$322,HLOOKUP(INDIRECT(ADDRESS(2,COLUMN())),OFFSET($CL$2,0,0,ROW()-1,84),ROW()-1,FALSE))</f>
        <v>22.644823460000001</v>
      </c>
      <c r="J81">
        <f ca="1">IF(AND(ISNUMBER($J$322),$B$252=1),$J$322,HLOOKUP(INDIRECT(ADDRESS(2,COLUMN())),OFFSET($CL$2,0,0,ROW()-1,84),ROW()-1,FALSE))</f>
        <v>24.246390519999999</v>
      </c>
      <c r="K81">
        <f ca="1">IF(AND(ISNUMBER($K$322),$B$252=1),$K$322,HLOOKUP(INDIRECT(ADDRESS(2,COLUMN())),OFFSET($CL$2,0,0,ROW()-1,84),ROW()-1,FALSE))</f>
        <v>24.225088530000001</v>
      </c>
      <c r="L81">
        <f ca="1">IF(AND(ISNUMBER($L$322),$B$252=1),$L$322,HLOOKUP(INDIRECT(ADDRESS(2,COLUMN())),OFFSET($CL$2,0,0,ROW()-1,84),ROW()-1,FALSE))</f>
        <v>25.297288349999999</v>
      </c>
      <c r="M81">
        <f ca="1">IF(AND(ISNUMBER($M$322),$B$252=1),$M$322,HLOOKUP(INDIRECT(ADDRESS(2,COLUMN())),OFFSET($CL$2,0,0,ROW()-1,84),ROW()-1,FALSE))</f>
        <v>25.372914770000001</v>
      </c>
      <c r="N81">
        <f ca="1">IF(AND(ISNUMBER($N$322),$B$252=1),$N$322,HLOOKUP(INDIRECT(ADDRESS(2,COLUMN())),OFFSET($CL$2,0,0,ROW()-1,84),ROW()-1,FALSE))</f>
        <v>24.674599529999998</v>
      </c>
      <c r="O81">
        <f ca="1">IF(AND(ISNUMBER($O$322),$B$252=1),$O$322,HLOOKUP(INDIRECT(ADDRESS(2,COLUMN())),OFFSET($CL$2,0,0,ROW()-1,84),ROW()-1,FALSE))</f>
        <v>25.115515299999998</v>
      </c>
      <c r="P81">
        <f ca="1">IF(AND(ISNUMBER($P$322),$B$252=1),$P$322,HLOOKUP(INDIRECT(ADDRESS(2,COLUMN())),OFFSET($CL$2,0,0,ROW()-1,84),ROW()-1,FALSE))</f>
        <v>24.453677819999999</v>
      </c>
      <c r="Q81">
        <f ca="1">IF(AND(ISNUMBER($Q$322),$B$252=1),$Q$322,HLOOKUP(INDIRECT(ADDRESS(2,COLUMN())),OFFSET($CL$2,0,0,ROW()-1,84),ROW()-1,FALSE))</f>
        <v>23.798797100000002</v>
      </c>
      <c r="R81">
        <f ca="1">IF(AND(ISNUMBER($R$322),$B$252=1),$R$322,HLOOKUP(INDIRECT(ADDRESS(2,COLUMN())),OFFSET($CL$2,0,0,ROW()-1,84),ROW()-1,FALSE))</f>
        <v>24.40570121</v>
      </c>
      <c r="S81">
        <f ca="1">IF(AND(ISNUMBER($S$322),$B$252=1),$S$322,HLOOKUP(INDIRECT(ADDRESS(2,COLUMN())),OFFSET($CL$2,0,0,ROW()-1,84),ROW()-1,FALSE))</f>
        <v>25.29066585</v>
      </c>
      <c r="T81">
        <f ca="1">IF(AND(ISNUMBER($T$322),$B$252=1),$T$322,HLOOKUP(INDIRECT(ADDRESS(2,COLUMN())),OFFSET($CL$2,0,0,ROW()-1,84),ROW()-1,FALSE))</f>
        <v>23.375340430000001</v>
      </c>
      <c r="U81">
        <f ca="1">IF(AND(ISNUMBER($U$322),$B$252=1),$U$322,HLOOKUP(INDIRECT(ADDRESS(2,COLUMN())),OFFSET($CL$2,0,0,ROW()-1,84),ROW()-1,FALSE))</f>
        <v>24.106512219999999</v>
      </c>
      <c r="V81">
        <f ca="1">IF(AND(ISNUMBER($V$322),$B$252=1),$V$322,HLOOKUP(INDIRECT(ADDRESS(2,COLUMN())),OFFSET($CL$2,0,0,ROW()-1,84),ROW()-1,FALSE))</f>
        <v>21.214695259999999</v>
      </c>
      <c r="W81">
        <f ca="1">IF(AND(ISNUMBER($W$322),$B$252=1),$W$322,HLOOKUP(INDIRECT(ADDRESS(2,COLUMN())),OFFSET($CL$2,0,0,ROW()-1,84),ROW()-1,FALSE))</f>
        <v>21.47400399</v>
      </c>
      <c r="X81">
        <f ca="1">IF(AND(ISNUMBER($X$322),$B$252=1),$X$322,HLOOKUP(INDIRECT(ADDRESS(2,COLUMN())),OFFSET($CL$2,0,0,ROW()-1,84),ROW()-1,FALSE))</f>
        <v>21.761095789999999</v>
      </c>
      <c r="Y81">
        <f ca="1">IF(AND(ISNUMBER($Y$322),$B$252=1),$Y$322,HLOOKUP(INDIRECT(ADDRESS(2,COLUMN())),OFFSET($CL$2,0,0,ROW()-1,84),ROW()-1,FALSE))</f>
        <v>22.491048450000001</v>
      </c>
      <c r="Z81">
        <f ca="1">IF(AND(ISNUMBER($Z$322),$B$252=1),$Z$322,HLOOKUP(INDIRECT(ADDRESS(2,COLUMN())),OFFSET($CL$2,0,0,ROW()-1,84),ROW()-1,FALSE))</f>
        <v>25.369730359999998</v>
      </c>
      <c r="AA81">
        <f ca="1">IF(AND(ISNUMBER($AA$322),$B$252=1),$AA$322,HLOOKUP(INDIRECT(ADDRESS(2,COLUMN())),OFFSET($CL$2,0,0,ROW()-1,84),ROW()-1,FALSE))</f>
        <v>25.460661290000001</v>
      </c>
      <c r="AB81">
        <f ca="1">IF(AND(ISNUMBER($AB$322),$B$252=1),$AB$322,HLOOKUP(INDIRECT(ADDRESS(2,COLUMN())),OFFSET($CL$2,0,0,ROW()-1,84),ROW()-1,FALSE))</f>
        <v>24.33297271</v>
      </c>
      <c r="AC81">
        <f ca="1">IF(AND(ISNUMBER($AC$322),$B$252=1),$AC$322,HLOOKUP(INDIRECT(ADDRESS(2,COLUMN())),OFFSET($CL$2,0,0,ROW()-1,84),ROW()-1,FALSE))</f>
        <v>22.612960659999999</v>
      </c>
      <c r="AD81">
        <f ca="1">IF(AND(ISNUMBER($AD$322),$B$252=1),$AD$322,HLOOKUP(INDIRECT(ADDRESS(2,COLUMN())),OFFSET($CL$2,0,0,ROW()-1,84),ROW()-1,FALSE))</f>
        <v>24.148685709999999</v>
      </c>
      <c r="AE81">
        <f ca="1">IF(AND(ISNUMBER($AE$322),$B$252=1),$AE$322,HLOOKUP(INDIRECT(ADDRESS(2,COLUMN())),OFFSET($CL$2,0,0,ROW()-1,84),ROW()-1,FALSE))</f>
        <v>21.839080330000002</v>
      </c>
      <c r="AF81">
        <f ca="1">IF(AND(ISNUMBER($AF$322),$B$252=1),$AF$322,HLOOKUP(INDIRECT(ADDRESS(2,COLUMN())),OFFSET($CL$2,0,0,ROW()-1,84),ROW()-1,FALSE))</f>
        <v>22.78121544</v>
      </c>
      <c r="AG81">
        <f ca="1">IF(AND(ISNUMBER($AG$322),$B$252=1),$AG$322,HLOOKUP(INDIRECT(ADDRESS(2,COLUMN())),OFFSET($CL$2,0,0,ROW()-1,84),ROW()-1,FALSE))</f>
        <v>22.050332279999999</v>
      </c>
      <c r="AH81">
        <f ca="1">IF(AND(ISNUMBER($AH$322),$B$252=1),$AH$322,HLOOKUP(INDIRECT(ADDRESS(2,COLUMN())),OFFSET($CL$2,0,0,ROW()-1,84),ROW()-1,FALSE))</f>
        <v>21.202948200000002</v>
      </c>
      <c r="AI81">
        <f ca="1">IF(AND(ISNUMBER($AI$322),$B$252=1),$AI$322,HLOOKUP(INDIRECT(ADDRESS(2,COLUMN())),OFFSET($CL$2,0,0,ROW()-1,84),ROW()-1,FALSE))</f>
        <v>20.396106110000002</v>
      </c>
      <c r="AJ81">
        <f ca="1">IF(AND(ISNUMBER($AJ$322),$B$252=1),$AJ$322,HLOOKUP(INDIRECT(ADDRESS(2,COLUMN())),OFFSET($CL$2,0,0,ROW()-1,84),ROW()-1,FALSE))</f>
        <v>19.60123497</v>
      </c>
      <c r="AK81">
        <f ca="1">IF(AND(ISNUMBER($AK$322),$B$252=1),$AK$322,HLOOKUP(INDIRECT(ADDRESS(2,COLUMN())),OFFSET($CL$2,0,0,ROW()-1,84),ROW()-1,FALSE))</f>
        <v>18.250358859999999</v>
      </c>
      <c r="AL81">
        <f ca="1">IF(AND(ISNUMBER($AL$322),$B$252=1),$AL$322,HLOOKUP(INDIRECT(ADDRESS(2,COLUMN())),OFFSET($CL$2,0,0,ROW()-1,84),ROW()-1,FALSE))</f>
        <v>18.656748069999999</v>
      </c>
      <c r="AM81">
        <f ca="1">IF(AND(ISNUMBER($AM$322),$B$252=1),$AM$322,HLOOKUP(INDIRECT(ADDRESS(2,COLUMN())),OFFSET($CL$2,0,0,ROW()-1,84),ROW()-1,FALSE))</f>
        <v>16.908113360000002</v>
      </c>
      <c r="AN81">
        <f ca="1">IF(AND(ISNUMBER($AN$322),$B$252=1),$AN$322,HLOOKUP(INDIRECT(ADDRESS(2,COLUMN())),OFFSET($CL$2,0,0,ROW()-1,84),ROW()-1,FALSE))</f>
        <v>18.36142473</v>
      </c>
      <c r="AO81">
        <f ca="1">IF(AND(ISNUMBER($AO$322),$B$252=1),$AO$322,HLOOKUP(INDIRECT(ADDRESS(2,COLUMN())),OFFSET($CL$2,0,0,ROW()-1,84),ROW()-1,FALSE))</f>
        <v>17.933576370000001</v>
      </c>
      <c r="AP81">
        <f ca="1">IF(AND(ISNUMBER($AP$322),$B$252=1),$AP$322,HLOOKUP(INDIRECT(ADDRESS(2,COLUMN())),OFFSET($CL$2,0,0,ROW()-1,84),ROW()-1,FALSE))</f>
        <v>18.572945260000001</v>
      </c>
      <c r="AQ81">
        <f ca="1">IF(AND(ISNUMBER($AQ$322),$B$252=1),$AQ$322,HLOOKUP(INDIRECT(ADDRESS(2,COLUMN())),OFFSET($CL$2,0,0,ROW()-1,84),ROW()-1,FALSE))</f>
        <v>16.936283620000001</v>
      </c>
      <c r="AR81">
        <f ca="1">IF(AND(ISNUMBER($AR$322),$B$252=1),$AR$322,HLOOKUP(INDIRECT(ADDRESS(2,COLUMN())),OFFSET($CL$2,0,0,ROW()-1,84),ROW()-1,FALSE))</f>
        <v>18.537132840000002</v>
      </c>
      <c r="AS81">
        <f ca="1">IF(AND(ISNUMBER($AS$322),$B$252=1),$AS$322,HLOOKUP(INDIRECT(ADDRESS(2,COLUMN())),OFFSET($CL$2,0,0,ROW()-1,84),ROW()-1,FALSE))</f>
        <v>17.452761979999998</v>
      </c>
      <c r="AT81">
        <f ca="1">IF(AND(ISNUMBER($AT$322),$B$252=1),$AT$322,HLOOKUP(INDIRECT(ADDRESS(2,COLUMN())),OFFSET($CL$2,0,0,ROW()-1,84),ROW()-1,FALSE))</f>
        <v>18.075170870000001</v>
      </c>
      <c r="AU81">
        <f ca="1">IF(AND(ISNUMBER($AU$322),$B$252=1),$AU$322,HLOOKUP(INDIRECT(ADDRESS(2,COLUMN())),OFFSET($CL$2,0,0,ROW()-1,84),ROW()-1,FALSE))</f>
        <v>17.339011320000001</v>
      </c>
      <c r="AV81">
        <f ca="1">IF(AND(ISNUMBER($AV$322),$B$252=1),$AV$322,HLOOKUP(INDIRECT(ADDRESS(2,COLUMN())),OFFSET($CL$2,0,0,ROW()-1,84),ROW()-1,FALSE))</f>
        <v>16.10962486</v>
      </c>
      <c r="AW81">
        <f ca="1">IF(AND(ISNUMBER($AW$322),$B$252=1),$AW$322,HLOOKUP(INDIRECT(ADDRESS(2,COLUMN())),OFFSET($CL$2,0,0,ROW()-1,84),ROW()-1,FALSE))</f>
        <v>17.57622692</v>
      </c>
      <c r="AX81">
        <f ca="1">IF(AND(ISNUMBER($AX$322),$B$252=1),$AX$322,HLOOKUP(INDIRECT(ADDRESS(2,COLUMN())),OFFSET($CL$2,0,0,ROW()-1,84),ROW()-1,FALSE))</f>
        <v>16.992945049999999</v>
      </c>
      <c r="AY81">
        <f ca="1">IF(AND(ISNUMBER($AY$322),$B$252=1),$AY$322,HLOOKUP(INDIRECT(ADDRESS(2,COLUMN())),OFFSET($CL$2,0,0,ROW()-1,84),ROW()-1,FALSE))</f>
        <v>17.753641819999999</v>
      </c>
      <c r="AZ81">
        <f ca="1">IF(AND(ISNUMBER($AZ$322),$B$252=1),$AZ$322,HLOOKUP(INDIRECT(ADDRESS(2,COLUMN())),OFFSET($CL$2,0,0,ROW()-1,84),ROW()-1,FALSE))</f>
        <v>17.11142049</v>
      </c>
      <c r="BA81">
        <f ca="1">IF(AND(ISNUMBER($BA$322),$B$252=1),$BA$322,HLOOKUP(INDIRECT(ADDRESS(2,COLUMN())),OFFSET($CL$2,0,0,ROW()-1,84),ROW()-1,FALSE))</f>
        <v>16.472846400000002</v>
      </c>
      <c r="BB81">
        <f ca="1">IF(AND(ISNUMBER($BB$322),$B$252=1),$BB$322,HLOOKUP(INDIRECT(ADDRESS(2,COLUMN())),OFFSET($CL$2,0,0,ROW()-1,84),ROW()-1,FALSE))</f>
        <v>16.146464089999998</v>
      </c>
      <c r="BC81">
        <f ca="1">IF(AND(ISNUMBER($BC$322),$B$252=1),$BC$322,HLOOKUP(INDIRECT(ADDRESS(2,COLUMN())),OFFSET($CL$2,0,0,ROW()-1,84),ROW()-1,FALSE))</f>
        <v>16.025277880000001</v>
      </c>
      <c r="BD81">
        <f ca="1">IF(AND(ISNUMBER($BD$322),$B$252=1),$BD$322,HLOOKUP(INDIRECT(ADDRESS(2,COLUMN())),OFFSET($CL$2,0,0,ROW()-1,84),ROW()-1,FALSE))</f>
        <v>15.290825460000001</v>
      </c>
      <c r="BE81">
        <f ca="1">IF(AND(ISNUMBER($BE$322),$B$252=1),$BE$322,HLOOKUP(INDIRECT(ADDRESS(2,COLUMN())),OFFSET($CL$2,0,0,ROW()-1,84),ROW()-1,FALSE))</f>
        <v>14.39052895</v>
      </c>
      <c r="BF81">
        <f ca="1">IF(AND(ISNUMBER($BF$322),$B$252=1),$BF$322,HLOOKUP(INDIRECT(ADDRESS(2,COLUMN())),OFFSET($CL$2,0,0,ROW()-1,84),ROW()-1,FALSE))</f>
        <v>18.036976150000001</v>
      </c>
      <c r="BG81">
        <f ca="1">IF(AND(ISNUMBER($BG$322),$B$252=1),$BG$322,HLOOKUP(INDIRECT(ADDRESS(2,COLUMN())),OFFSET($CL$2,0,0,ROW()-1,84),ROW()-1,FALSE))</f>
        <v>19.88139469</v>
      </c>
      <c r="BH81">
        <f ca="1">IF(AND(ISNUMBER($BH$322),$B$252=1),$BH$322,HLOOKUP(INDIRECT(ADDRESS(2,COLUMN())),OFFSET($CL$2,0,0,ROW()-1,84),ROW()-1,FALSE))</f>
        <v>18.713662169999999</v>
      </c>
      <c r="BI81">
        <f ca="1">IF(AND(ISNUMBER($BI$322),$B$252=1),$BI$322,HLOOKUP(INDIRECT(ADDRESS(2,COLUMN())),OFFSET($CL$2,0,0,ROW()-1,84),ROW()-1,FALSE))</f>
        <v>18.88677534</v>
      </c>
      <c r="BJ81">
        <f ca="1">IF(AND(ISNUMBER($BJ$322),$B$252=1),$BJ$322,HLOOKUP(INDIRECT(ADDRESS(2,COLUMN())),OFFSET($CL$2,0,0,ROW()-1,84),ROW()-1,FALSE))</f>
        <v>20.690912650000001</v>
      </c>
      <c r="BK81">
        <f ca="1">IF(AND(ISNUMBER($BK$322),$B$252=1),$BK$322,HLOOKUP(INDIRECT(ADDRESS(2,COLUMN())),OFFSET($CL$2,0,0,ROW()-1,84),ROW()-1,FALSE))</f>
        <v>20.758299780000002</v>
      </c>
      <c r="BL81">
        <f ca="1">IF(AND(ISNUMBER($BL$322),$B$252=1),$BL$322,HLOOKUP(INDIRECT(ADDRESS(2,COLUMN())),OFFSET($CL$2,0,0,ROW()-1,84),ROW()-1,FALSE))</f>
        <v>21.767987510000001</v>
      </c>
      <c r="BM81">
        <f ca="1">IF(AND(ISNUMBER($BM$322),$B$252=1),$BM$322,HLOOKUP(INDIRECT(ADDRESS(2,COLUMN())),OFFSET($CL$2,0,0,ROW()-1,84),ROW()-1,FALSE))</f>
        <v>22.011384159999999</v>
      </c>
      <c r="BN81">
        <f ca="1">IF(AND(ISNUMBER($BN$322),$B$252=1),$BN$322,HLOOKUP(INDIRECT(ADDRESS(2,COLUMN())),OFFSET($CL$2,0,0,ROW()-1,84),ROW()-1,FALSE))</f>
        <v>22.11706955</v>
      </c>
      <c r="BO81">
        <f ca="1">IF(AND(ISNUMBER($BO$322),$B$252=1),$BO$322,HLOOKUP(INDIRECT(ADDRESS(2,COLUMN())),OFFSET($CL$2,0,0,ROW()-1,84),ROW()-1,FALSE))</f>
        <v>23.65112001</v>
      </c>
      <c r="BP81">
        <f ca="1">IF(AND(ISNUMBER($BP$322),$B$252=1),$BP$322,HLOOKUP(INDIRECT(ADDRESS(2,COLUMN())),OFFSET($CL$2,0,0,ROW()-1,84),ROW()-1,FALSE))</f>
        <v>22.264886449999999</v>
      </c>
      <c r="BQ81">
        <f ca="1">IF(AND(ISNUMBER($BQ$322),$B$252=1),$BQ$322,HLOOKUP(INDIRECT(ADDRESS(2,COLUMN())),OFFSET($CL$2,0,0,ROW()-1,84),ROW()-1,FALSE))</f>
        <v>22.05371573</v>
      </c>
      <c r="BR81">
        <f ca="1">IF(AND(ISNUMBER($BR$322),$B$252=1),$BR$322,HLOOKUP(INDIRECT(ADDRESS(2,COLUMN())),OFFSET($CL$2,0,0,ROW()-1,84),ROW()-1,FALSE))</f>
        <v>16.316158810000001</v>
      </c>
      <c r="BS81">
        <f ca="1">IF(AND(ISNUMBER($BS$322),$B$252=1),$BS$322,HLOOKUP(INDIRECT(ADDRESS(2,COLUMN())),OFFSET($CL$2,0,0,ROW()-1,84),ROW()-1,FALSE))</f>
        <v>16.941890829999998</v>
      </c>
      <c r="BT81">
        <f ca="1">IF(AND(ISNUMBER($BT$322),$B$252=1),$BT$322,HLOOKUP(INDIRECT(ADDRESS(2,COLUMN())),OFFSET($CL$2,0,0,ROW()-1,84),ROW()-1,FALSE))</f>
        <v>17.09897836</v>
      </c>
      <c r="BU81">
        <f ca="1">IF(AND(ISNUMBER($BU$322),$B$252=1),$BU$322,HLOOKUP(INDIRECT(ADDRESS(2,COLUMN())),OFFSET($CL$2,0,0,ROW()-1,84),ROW()-1,FALSE))</f>
        <v>18.711806129999999</v>
      </c>
      <c r="BV81">
        <f ca="1">IF(AND(ISNUMBER($BV$322),$B$252=1),$BV$322,HLOOKUP(INDIRECT(ADDRESS(2,COLUMN())),OFFSET($CL$2,0,0,ROW()-1,84),ROW()-1,FALSE))</f>
        <v>19.05026968</v>
      </c>
      <c r="BW81">
        <f ca="1">IF(AND(ISNUMBER($BW$322),$B$252=1),$BW$322,HLOOKUP(INDIRECT(ADDRESS(2,COLUMN())),OFFSET($CL$2,0,0,ROW()-1,84),ROW()-1,FALSE))</f>
        <v>18.777847789999999</v>
      </c>
      <c r="BX81">
        <f ca="1">IF(AND(ISNUMBER($BX$322),$B$252=1),$BX$322,HLOOKUP(INDIRECT(ADDRESS(2,COLUMN())),OFFSET($CL$2,0,0,ROW()-1,84),ROW()-1,FALSE))</f>
        <v>19.750458640000002</v>
      </c>
      <c r="BY81">
        <f ca="1">IF(AND(ISNUMBER($BY$322),$B$252=1),$BY$322,HLOOKUP(INDIRECT(ADDRESS(2,COLUMN())),OFFSET($CL$2,0,0,ROW()-1,84),ROW()-1,FALSE))</f>
        <v>19.949750999999999</v>
      </c>
      <c r="BZ81">
        <f ca="1">IF(AND(ISNUMBER($BZ$322),$B$252=1),$BZ$322,HLOOKUP(INDIRECT(ADDRESS(2,COLUMN())),OFFSET($CL$2,0,0,ROW()-1,84),ROW()-1,FALSE))</f>
        <v>19.64495093</v>
      </c>
      <c r="CA81">
        <f ca="1">IF(AND(ISNUMBER($CA$322),$B$252=1),$CA$322,HLOOKUP(INDIRECT(ADDRESS(2,COLUMN())),OFFSET($CL$2,0,0,ROW()-1,84),ROW()-1,FALSE))</f>
        <v>18.891082090000001</v>
      </c>
      <c r="CB81">
        <f ca="1">IF(AND(ISNUMBER($CB$322),$B$252=1),$CB$322,HLOOKUP(INDIRECT(ADDRESS(2,COLUMN())),OFFSET($CL$2,0,0,ROW()-1,84),ROW()-1,FALSE))</f>
        <v>19.36055743</v>
      </c>
      <c r="CC81">
        <f ca="1">IF(AND(ISNUMBER($CC$322),$B$252=1),$CC$322,HLOOKUP(INDIRECT(ADDRESS(2,COLUMN())),OFFSET($CL$2,0,0,ROW()-1,84),ROW()-1,FALSE))</f>
        <v>18.945601809999999</v>
      </c>
      <c r="CD81">
        <f ca="1">IF(AND(ISNUMBER($CD$322),$B$252=1),$CD$322,HLOOKUP(INDIRECT(ADDRESS(2,COLUMN())),OFFSET($CL$2,0,0,ROW()-1,84),ROW()-1,FALSE))</f>
        <v>17.96218958</v>
      </c>
      <c r="CE81">
        <f ca="1">IF(AND(ISNUMBER($CE$322),$B$252=1),$CE$322,HLOOKUP(INDIRECT(ADDRESS(2,COLUMN())),OFFSET($CL$2,0,0,ROW()-1,84),ROW()-1,FALSE))</f>
        <v>19.554093330000001</v>
      </c>
      <c r="CF81">
        <f ca="1">IF(AND(ISNUMBER($CF$322),$B$252=1),$CF$322,HLOOKUP(INDIRECT(ADDRESS(2,COLUMN())),OFFSET($CL$2,0,0,ROW()-1,84),ROW()-1,FALSE))</f>
        <v>18.870953530000001</v>
      </c>
      <c r="CG81">
        <f ca="1">IF(AND(ISNUMBER($CG$322),$B$252=1),$CG$322,HLOOKUP(INDIRECT(ADDRESS(2,COLUMN())),OFFSET($CL$2,0,0,ROW()-1,84),ROW()-1,FALSE))</f>
        <v>22.773131840000001</v>
      </c>
      <c r="CH81">
        <f ca="1">IF(AND(ISNUMBER($CH$322),$B$252=1),$CH$322,HLOOKUP(INDIRECT(ADDRESS(2,COLUMN())),OFFSET($CL$2,0,0,ROW()-1,84),ROW()-1,FALSE))</f>
        <v>22.55330167</v>
      </c>
      <c r="CI81">
        <f ca="1">IF(AND(ISNUMBER($CI$322),$B$252=1),$CI$322,HLOOKUP(INDIRECT(ADDRESS(2,COLUMN())),OFFSET($CL$2,0,0,ROW()-1,84),ROW()-1,FALSE))</f>
        <v>21.495568070000001</v>
      </c>
      <c r="CJ81">
        <f ca="1">IF(AND(ISNUMBER($CJ$322),$B$252=1),$CJ$322,HLOOKUP(INDIRECT(ADDRESS(2,COLUMN())),OFFSET($CL$2,0,0,ROW()-1,84),ROW()-1,FALSE))</f>
        <v>22.258073589999999</v>
      </c>
      <c r="CK81">
        <f ca="1">IF(AND(ISNUMBER($CK$322),$B$252=1),$CK$322,HLOOKUP(INDIRECT(ADDRESS(2,COLUMN())),OFFSET($CL$2,0,0,ROW()-1,84),ROW()-1,FALSE))</f>
        <v>21.70608635</v>
      </c>
      <c r="CL81">
        <f>20.14749784</f>
        <v>20.14749784</v>
      </c>
      <c r="CM81">
        <f>19.32556434</f>
        <v>19.32556434</v>
      </c>
      <c r="CN81">
        <f>21.47610197</f>
        <v>21.476101969999998</v>
      </c>
      <c r="CO81">
        <f>22.64482346</f>
        <v>22.644823460000001</v>
      </c>
      <c r="CP81">
        <f>24.24639052</f>
        <v>24.246390519999999</v>
      </c>
      <c r="CQ81">
        <f>24.22508853</f>
        <v>24.225088530000001</v>
      </c>
      <c r="CR81">
        <f>25.29728835</f>
        <v>25.297288349999999</v>
      </c>
      <c r="CS81">
        <f>25.37291477</f>
        <v>25.372914770000001</v>
      </c>
      <c r="CT81">
        <f>24.67459953</f>
        <v>24.674599529999998</v>
      </c>
      <c r="CU81">
        <f>25.1155153</f>
        <v>25.115515299999998</v>
      </c>
      <c r="CV81">
        <f>24.45367782</f>
        <v>24.453677819999999</v>
      </c>
      <c r="CW81">
        <f>23.7987971</f>
        <v>23.798797100000002</v>
      </c>
      <c r="CX81">
        <f>24.40570121</f>
        <v>24.40570121</v>
      </c>
      <c r="CY81">
        <f>25.29066585</f>
        <v>25.29066585</v>
      </c>
      <c r="CZ81">
        <f>23.37534043</f>
        <v>23.375340430000001</v>
      </c>
      <c r="DA81">
        <f>24.10651222</f>
        <v>24.106512219999999</v>
      </c>
      <c r="DB81">
        <f>21.21469526</f>
        <v>21.214695259999999</v>
      </c>
      <c r="DC81">
        <f>21.47400399</f>
        <v>21.47400399</v>
      </c>
      <c r="DD81">
        <f>21.76109579</f>
        <v>21.761095789999999</v>
      </c>
      <c r="DE81">
        <f>22.49104845</f>
        <v>22.491048450000001</v>
      </c>
      <c r="DF81">
        <f>25.36973036</f>
        <v>25.369730359999998</v>
      </c>
      <c r="DG81">
        <f>25.46066129</f>
        <v>25.460661290000001</v>
      </c>
      <c r="DH81">
        <f>24.33297271</f>
        <v>24.33297271</v>
      </c>
      <c r="DI81">
        <f>22.61296066</f>
        <v>22.612960659999999</v>
      </c>
      <c r="DJ81">
        <f>24.14868571</f>
        <v>24.148685709999999</v>
      </c>
      <c r="DK81">
        <f>21.83908033</f>
        <v>21.839080330000002</v>
      </c>
      <c r="DL81">
        <f>22.78121544</f>
        <v>22.78121544</v>
      </c>
      <c r="DM81">
        <f>22.05033228</f>
        <v>22.050332279999999</v>
      </c>
      <c r="DN81">
        <f>21.2029482</f>
        <v>21.202948200000002</v>
      </c>
      <c r="DO81">
        <f>20.39610611</f>
        <v>20.396106110000002</v>
      </c>
      <c r="DP81">
        <f>19.60123497</f>
        <v>19.60123497</v>
      </c>
      <c r="DQ81">
        <f>18.25035886</f>
        <v>18.250358859999999</v>
      </c>
      <c r="DR81">
        <f>18.65674807</f>
        <v>18.656748069999999</v>
      </c>
      <c r="DS81">
        <f>16.90811336</f>
        <v>16.908113360000002</v>
      </c>
      <c r="DT81">
        <f>18.36142473</f>
        <v>18.36142473</v>
      </c>
      <c r="DU81">
        <f>17.93357637</f>
        <v>17.933576370000001</v>
      </c>
      <c r="DV81">
        <f>18.57294526</f>
        <v>18.572945260000001</v>
      </c>
      <c r="DW81">
        <f>16.93628362</f>
        <v>16.936283620000001</v>
      </c>
      <c r="DX81">
        <f>18.53713284</f>
        <v>18.537132840000002</v>
      </c>
      <c r="DY81">
        <f>17.45276198</f>
        <v>17.452761979999998</v>
      </c>
      <c r="DZ81">
        <f>18.07517087</f>
        <v>18.075170870000001</v>
      </c>
      <c r="EA81">
        <f>17.33901132</f>
        <v>17.339011320000001</v>
      </c>
      <c r="EB81">
        <f>16.10962486</f>
        <v>16.10962486</v>
      </c>
      <c r="EC81">
        <f>17.57622692</f>
        <v>17.57622692</v>
      </c>
      <c r="ED81">
        <f>16.99294505</f>
        <v>16.992945049999999</v>
      </c>
      <c r="EE81">
        <f>17.75364182</f>
        <v>17.753641819999999</v>
      </c>
      <c r="EF81">
        <f>17.11142049</f>
        <v>17.11142049</v>
      </c>
      <c r="EG81">
        <f>16.4728464</f>
        <v>16.472846400000002</v>
      </c>
      <c r="EH81">
        <f>16.14646409</f>
        <v>16.146464089999998</v>
      </c>
      <c r="EI81">
        <f>16.02527788</f>
        <v>16.025277880000001</v>
      </c>
      <c r="EJ81">
        <f>15.29082546</f>
        <v>15.290825460000001</v>
      </c>
      <c r="EK81">
        <f>14.39052895</f>
        <v>14.39052895</v>
      </c>
      <c r="EL81">
        <f>18.03697615</f>
        <v>18.036976150000001</v>
      </c>
      <c r="EM81">
        <f>19.88139469</f>
        <v>19.88139469</v>
      </c>
      <c r="EN81">
        <f>18.71366217</f>
        <v>18.713662169999999</v>
      </c>
      <c r="EO81">
        <f>18.88677534</f>
        <v>18.88677534</v>
      </c>
      <c r="EP81">
        <f>20.69091265</f>
        <v>20.690912650000001</v>
      </c>
      <c r="EQ81">
        <f>20.75829978</f>
        <v>20.758299780000002</v>
      </c>
      <c r="ER81">
        <f>21.76798751</f>
        <v>21.767987510000001</v>
      </c>
      <c r="ES81">
        <f>22.01138416</f>
        <v>22.011384159999999</v>
      </c>
      <c r="ET81">
        <f>22.11706955</f>
        <v>22.11706955</v>
      </c>
      <c r="EU81">
        <f>23.65112001</f>
        <v>23.65112001</v>
      </c>
      <c r="EV81">
        <f>22.26488645</f>
        <v>22.264886449999999</v>
      </c>
      <c r="EW81">
        <f>22.05371573</f>
        <v>22.05371573</v>
      </c>
      <c r="EX81">
        <f>16.31615881</f>
        <v>16.316158810000001</v>
      </c>
      <c r="EY81">
        <f>16.94189083</f>
        <v>16.941890829999998</v>
      </c>
      <c r="EZ81">
        <f>17.09897836</f>
        <v>17.09897836</v>
      </c>
      <c r="FA81">
        <f>18.71180613</f>
        <v>18.711806129999999</v>
      </c>
      <c r="FB81">
        <f>19.05026968</f>
        <v>19.05026968</v>
      </c>
      <c r="FC81">
        <f>18.77784779</f>
        <v>18.777847789999999</v>
      </c>
      <c r="FD81">
        <f>19.75045864</f>
        <v>19.750458640000002</v>
      </c>
      <c r="FE81">
        <f>19.949751</f>
        <v>19.949750999999999</v>
      </c>
      <c r="FF81">
        <f>19.64495093</f>
        <v>19.64495093</v>
      </c>
      <c r="FG81">
        <f>18.89108209</f>
        <v>18.891082090000001</v>
      </c>
      <c r="FH81">
        <f>19.36055743</f>
        <v>19.36055743</v>
      </c>
      <c r="FI81">
        <f>18.94560181</f>
        <v>18.945601809999999</v>
      </c>
      <c r="FJ81">
        <f>17.96218958</f>
        <v>17.96218958</v>
      </c>
      <c r="FK81">
        <f>19.55409333</f>
        <v>19.554093330000001</v>
      </c>
      <c r="FL81">
        <f>18.87095353</f>
        <v>18.870953530000001</v>
      </c>
      <c r="FM81">
        <f>22.77313184</f>
        <v>22.773131840000001</v>
      </c>
      <c r="FN81">
        <f>22.55330167</f>
        <v>22.55330167</v>
      </c>
      <c r="FO81">
        <f>21.49556807</f>
        <v>21.495568070000001</v>
      </c>
      <c r="FP81">
        <f>22.25807359</f>
        <v>22.258073589999999</v>
      </c>
      <c r="FQ81">
        <f>21.70608635</f>
        <v>21.70608635</v>
      </c>
    </row>
    <row r="82" spans="1:173">
      <c r="A82" t="str">
        <f>"    UDR 公司"</f>
        <v xml:space="preserve">    UDR 公司</v>
      </c>
      <c r="B82" t="str">
        <f>"UDR US Equity"</f>
        <v>UDR US Equity</v>
      </c>
      <c r="C82" t="str">
        <f t="shared" si="27"/>
        <v>F0891</v>
      </c>
      <c r="D82" t="str">
        <f t="shared" si="28"/>
        <v>PRICE_TO_FAD_PS</v>
      </c>
      <c r="E82" t="str">
        <f t="shared" si="29"/>
        <v>动态</v>
      </c>
      <c r="F82">
        <f ca="1">IF(AND(ISNUMBER($F$323),$B$252=1),$F$323,HLOOKUP(INDIRECT(ADDRESS(2,COLUMN())),OFFSET($CL$2,0,0,ROW()-1,84),ROW()-1,FALSE))</f>
        <v>20.654213210000002</v>
      </c>
      <c r="G82">
        <f ca="1">IF(AND(ISNUMBER($G$323),$B$252=1),$G$323,HLOOKUP(INDIRECT(ADDRESS(2,COLUMN())),OFFSET($CL$2,0,0,ROW()-1,84),ROW()-1,FALSE))</f>
        <v>19.61012852</v>
      </c>
      <c r="H82">
        <f ca="1">IF(AND(ISNUMBER($H$323),$B$252=1),$H$323,HLOOKUP(INDIRECT(ADDRESS(2,COLUMN())),OFFSET($CL$2,0,0,ROW()-1,84),ROW()-1,FALSE))</f>
        <v>21.30749539</v>
      </c>
      <c r="I82">
        <f ca="1">IF(AND(ISNUMBER($I$323),$B$252=1),$I$323,HLOOKUP(INDIRECT(ADDRESS(2,COLUMN())),OFFSET($CL$2,0,0,ROW()-1,84),ROW()-1,FALSE))</f>
        <v>22.468237680000001</v>
      </c>
      <c r="J82">
        <f ca="1">IF(AND(ISNUMBER($J$323),$B$252=1),$J$323,HLOOKUP(INDIRECT(ADDRESS(2,COLUMN())),OFFSET($CL$2,0,0,ROW()-1,84),ROW()-1,FALSE))</f>
        <v>23.197565839999999</v>
      </c>
      <c r="K82">
        <f ca="1">IF(AND(ISNUMBER($K$323),$B$252=1),$K$323,HLOOKUP(INDIRECT(ADDRESS(2,COLUMN())),OFFSET($CL$2,0,0,ROW()-1,84),ROW()-1,FALSE))</f>
        <v>22.87906379</v>
      </c>
      <c r="L82">
        <f ca="1">IF(AND(ISNUMBER($L$323),$B$252=1),$L$323,HLOOKUP(INDIRECT(ADDRESS(2,COLUMN())),OFFSET($CL$2,0,0,ROW()-1,84),ROW()-1,FALSE))</f>
        <v>22.430801649999999</v>
      </c>
      <c r="M82">
        <f ca="1">IF(AND(ISNUMBER($M$323),$B$252=1),$M$323,HLOOKUP(INDIRECT(ADDRESS(2,COLUMN())),OFFSET($CL$2,0,0,ROW()-1,84),ROW()-1,FALSE))</f>
        <v>23.170989859999999</v>
      </c>
      <c r="N82">
        <f ca="1">IF(AND(ISNUMBER($N$323),$B$252=1),$N$323,HLOOKUP(INDIRECT(ADDRESS(2,COLUMN())),OFFSET($CL$2,0,0,ROW()-1,84),ROW()-1,FALSE))</f>
        <v>23.33214821</v>
      </c>
      <c r="O82">
        <f ca="1">IF(AND(ISNUMBER($O$323),$B$252=1),$O$323,HLOOKUP(INDIRECT(ADDRESS(2,COLUMN())),OFFSET($CL$2,0,0,ROW()-1,84),ROW()-1,FALSE))</f>
        <v>23.26052228</v>
      </c>
      <c r="P82">
        <f ca="1">IF(AND(ISNUMBER($P$323),$B$252=1),$P$323,HLOOKUP(INDIRECT(ADDRESS(2,COLUMN())),OFFSET($CL$2,0,0,ROW()-1,84),ROW()-1,FALSE))</f>
        <v>23.403292400000002</v>
      </c>
      <c r="Q82">
        <f ca="1">IF(AND(ISNUMBER($Q$323),$B$252=1),$Q$323,HLOOKUP(INDIRECT(ADDRESS(2,COLUMN())),OFFSET($CL$2,0,0,ROW()-1,84),ROW()-1,FALSE))</f>
        <v>22.633487129999999</v>
      </c>
      <c r="R82">
        <f ca="1">IF(AND(ISNUMBER($R$323),$B$252=1),$R$323,HLOOKUP(INDIRECT(ADDRESS(2,COLUMN())),OFFSET($CL$2,0,0,ROW()-1,84),ROW()-1,FALSE))</f>
        <v>21.978849579999999</v>
      </c>
      <c r="S82">
        <f ca="1">IF(AND(ISNUMBER($S$323),$B$252=1),$S$323,HLOOKUP(INDIRECT(ADDRESS(2,COLUMN())),OFFSET($CL$2,0,0,ROW()-1,84),ROW()-1,FALSE))</f>
        <v>22.438170599999999</v>
      </c>
      <c r="T82">
        <f ca="1">IF(AND(ISNUMBER($T$323),$B$252=1),$T$323,HLOOKUP(INDIRECT(ADDRESS(2,COLUMN())),OFFSET($CL$2,0,0,ROW()-1,84),ROW()-1,FALSE))</f>
        <v>21.485316780000002</v>
      </c>
      <c r="U82">
        <f ca="1">IF(AND(ISNUMBER($U$323),$B$252=1),$U$323,HLOOKUP(INDIRECT(ADDRESS(2,COLUMN())),OFFSET($CL$2,0,0,ROW()-1,84),ROW()-1,FALSE))</f>
        <v>22.42587571</v>
      </c>
      <c r="V82">
        <f ca="1">IF(AND(ISNUMBER($V$323),$B$252=1),$V$323,HLOOKUP(INDIRECT(ADDRESS(2,COLUMN())),OFFSET($CL$2,0,0,ROW()-1,84),ROW()-1,FALSE))</f>
        <v>21.31817612</v>
      </c>
      <c r="W82">
        <f ca="1">IF(AND(ISNUMBER($W$323),$B$252=1),$W$323,HLOOKUP(INDIRECT(ADDRESS(2,COLUMN())),OFFSET($CL$2,0,0,ROW()-1,84),ROW()-1,FALSE))</f>
        <v>21.900605729999999</v>
      </c>
      <c r="X82">
        <f ca="1">IF(AND(ISNUMBER($X$323),$B$252=1),$X$323,HLOOKUP(INDIRECT(ADDRESS(2,COLUMN())),OFFSET($CL$2,0,0,ROW()-1,84),ROW()-1,FALSE))</f>
        <v>22.539399490000001</v>
      </c>
      <c r="Y82">
        <f ca="1">IF(AND(ISNUMBER($Y$323),$B$252=1),$Y$323,HLOOKUP(INDIRECT(ADDRESS(2,COLUMN())),OFFSET($CL$2,0,0,ROW()-1,84),ROW()-1,FALSE))</f>
        <v>23.158041799999999</v>
      </c>
      <c r="Z82">
        <f ca="1">IF(AND(ISNUMBER($Z$323),$B$252=1),$Z$323,HLOOKUP(INDIRECT(ADDRESS(2,COLUMN())),OFFSET($CL$2,0,0,ROW()-1,84),ROW()-1,FALSE))</f>
        <v>23.830124269999999</v>
      </c>
      <c r="AA82">
        <f ca="1">IF(AND(ISNUMBER($AA$323),$B$252=1),$AA$323,HLOOKUP(INDIRECT(ADDRESS(2,COLUMN())),OFFSET($CL$2,0,0,ROW()-1,84),ROW()-1,FALSE))</f>
        <v>23.631699919999999</v>
      </c>
      <c r="AB82">
        <f ca="1">IF(AND(ISNUMBER($AB$323),$B$252=1),$AB$323,HLOOKUP(INDIRECT(ADDRESS(2,COLUMN())),OFFSET($CL$2,0,0,ROW()-1,84),ROW()-1,FALSE))</f>
        <v>23.449495299999999</v>
      </c>
      <c r="AC82">
        <f ca="1">IF(AND(ISNUMBER($AC$323),$B$252=1),$AC$323,HLOOKUP(INDIRECT(ADDRESS(2,COLUMN())),OFFSET($CL$2,0,0,ROW()-1,84),ROW()-1,FALSE))</f>
        <v>22.727071219999999</v>
      </c>
      <c r="AD82">
        <f ca="1">IF(AND(ISNUMBER($AD$323),$B$252=1),$AD$323,HLOOKUP(INDIRECT(ADDRESS(2,COLUMN())),OFFSET($CL$2,0,0,ROW()-1,84),ROW()-1,FALSE))</f>
        <v>25.076576580000001</v>
      </c>
      <c r="AE82">
        <f ca="1">IF(AND(ISNUMBER($AE$323),$B$252=1),$AE$323,HLOOKUP(INDIRECT(ADDRESS(2,COLUMN())),OFFSET($CL$2,0,0,ROW()-1,84),ROW()-1,FALSE))</f>
        <v>22.8248347</v>
      </c>
      <c r="AF82">
        <f ca="1">IF(AND(ISNUMBER($AF$323),$B$252=1),$AF$323,HLOOKUP(INDIRECT(ADDRESS(2,COLUMN())),OFFSET($CL$2,0,0,ROW()-1,84),ROW()-1,FALSE))</f>
        <v>23.662565310000002</v>
      </c>
      <c r="AG82">
        <f ca="1">IF(AND(ISNUMBER($AG$323),$B$252=1),$AG$323,HLOOKUP(INDIRECT(ADDRESS(2,COLUMN())),OFFSET($CL$2,0,0,ROW()-1,84),ROW()-1,FALSE))</f>
        <v>24.978999120000001</v>
      </c>
      <c r="AH82">
        <f ca="1">IF(AND(ISNUMBER($AH$323),$B$252=1),$AH$323,HLOOKUP(INDIRECT(ADDRESS(2,COLUMN())),OFFSET($CL$2,0,0,ROW()-1,84),ROW()-1,FALSE))</f>
        <v>25.15450122</v>
      </c>
      <c r="AI82">
        <f ca="1">IF(AND(ISNUMBER($AI$323),$B$252=1),$AI$323,HLOOKUP(INDIRECT(ADDRESS(2,COLUMN())),OFFSET($CL$2,0,0,ROW()-1,84),ROW()-1,FALSE))</f>
        <v>23.48480391</v>
      </c>
      <c r="AJ82">
        <f ca="1">IF(AND(ISNUMBER($AJ$323),$B$252=1),$AJ$323,HLOOKUP(INDIRECT(ADDRESS(2,COLUMN())),OFFSET($CL$2,0,0,ROW()-1,84),ROW()-1,FALSE))</f>
        <v>23.49843409</v>
      </c>
      <c r="AK82" t="str">
        <f ca="1">IF(AND(ISNUMBER($AK$323),$B$252=1),$AK$323,HLOOKUP(INDIRECT(ADDRESS(2,COLUMN())),OFFSET($CL$2,0,0,ROW()-1,84),ROW()-1,FALSE))</f>
        <v/>
      </c>
      <c r="AL82" t="str">
        <f ca="1">IF(AND(ISNUMBER($AL$323),$B$252=1),$AL$323,HLOOKUP(INDIRECT(ADDRESS(2,COLUMN())),OFFSET($CL$2,0,0,ROW()-1,84),ROW()-1,FALSE))</f>
        <v/>
      </c>
      <c r="AM82" t="str">
        <f ca="1">IF(AND(ISNUMBER($AM$323),$B$252=1),$AM$323,HLOOKUP(INDIRECT(ADDRESS(2,COLUMN())),OFFSET($CL$2,0,0,ROW()-1,84),ROW()-1,FALSE))</f>
        <v/>
      </c>
      <c r="AN82" t="str">
        <f ca="1">IF(AND(ISNUMBER($AN$323),$B$252=1),$AN$323,HLOOKUP(INDIRECT(ADDRESS(2,COLUMN())),OFFSET($CL$2,0,0,ROW()-1,84),ROW()-1,FALSE))</f>
        <v/>
      </c>
      <c r="AO82" t="str">
        <f ca="1">IF(AND(ISNUMBER($AO$323),$B$252=1),$AO$323,HLOOKUP(INDIRECT(ADDRESS(2,COLUMN())),OFFSET($CL$2,0,0,ROW()-1,84),ROW()-1,FALSE))</f>
        <v/>
      </c>
      <c r="AP82" t="str">
        <f ca="1">IF(AND(ISNUMBER($AP$323),$B$252=1),$AP$323,HLOOKUP(INDIRECT(ADDRESS(2,COLUMN())),OFFSET($CL$2,0,0,ROW()-1,84),ROW()-1,FALSE))</f>
        <v/>
      </c>
      <c r="AQ82" t="str">
        <f ca="1">IF(AND(ISNUMBER($AQ$323),$B$252=1),$AQ$323,HLOOKUP(INDIRECT(ADDRESS(2,COLUMN())),OFFSET($CL$2,0,0,ROW()-1,84),ROW()-1,FALSE))</f>
        <v/>
      </c>
      <c r="AR82" t="str">
        <f ca="1">IF(AND(ISNUMBER($AR$323),$B$252=1),$AR$323,HLOOKUP(INDIRECT(ADDRESS(2,COLUMN())),OFFSET($CL$2,0,0,ROW()-1,84),ROW()-1,FALSE))</f>
        <v/>
      </c>
      <c r="AS82" t="str">
        <f ca="1">IF(AND(ISNUMBER($AS$323),$B$252=1),$AS$323,HLOOKUP(INDIRECT(ADDRESS(2,COLUMN())),OFFSET($CL$2,0,0,ROW()-1,84),ROW()-1,FALSE))</f>
        <v/>
      </c>
      <c r="AT82" t="str">
        <f ca="1">IF(AND(ISNUMBER($AT$323),$B$252=1),$AT$323,HLOOKUP(INDIRECT(ADDRESS(2,COLUMN())),OFFSET($CL$2,0,0,ROW()-1,84),ROW()-1,FALSE))</f>
        <v/>
      </c>
      <c r="AU82" t="str">
        <f ca="1">IF(AND(ISNUMBER($AU$323),$B$252=1),$AU$323,HLOOKUP(INDIRECT(ADDRESS(2,COLUMN())),OFFSET($CL$2,0,0,ROW()-1,84),ROW()-1,FALSE))</f>
        <v/>
      </c>
      <c r="AV82" t="str">
        <f ca="1">IF(AND(ISNUMBER($AV$323),$B$252=1),$AV$323,HLOOKUP(INDIRECT(ADDRESS(2,COLUMN())),OFFSET($CL$2,0,0,ROW()-1,84),ROW()-1,FALSE))</f>
        <v/>
      </c>
      <c r="AW82" t="str">
        <f ca="1">IF(AND(ISNUMBER($AW$323),$B$252=1),$AW$323,HLOOKUP(INDIRECT(ADDRESS(2,COLUMN())),OFFSET($CL$2,0,0,ROW()-1,84),ROW()-1,FALSE))</f>
        <v/>
      </c>
      <c r="AX82" t="str">
        <f ca="1">IF(AND(ISNUMBER($AX$323),$B$252=1),$AX$323,HLOOKUP(INDIRECT(ADDRESS(2,COLUMN())),OFFSET($CL$2,0,0,ROW()-1,84),ROW()-1,FALSE))</f>
        <v/>
      </c>
      <c r="AY82">
        <f ca="1">IF(AND(ISNUMBER($AY$323),$B$252=1),$AY$323,HLOOKUP(INDIRECT(ADDRESS(2,COLUMN())),OFFSET($CL$2,0,0,ROW()-1,84),ROW()-1,FALSE))</f>
        <v>22.54917206</v>
      </c>
      <c r="AZ82">
        <f ca="1">IF(AND(ISNUMBER($AZ$323),$B$252=1),$AZ$323,HLOOKUP(INDIRECT(ADDRESS(2,COLUMN())),OFFSET($CL$2,0,0,ROW()-1,84),ROW()-1,FALSE))</f>
        <v>21.667360859999999</v>
      </c>
      <c r="BA82">
        <f ca="1">IF(AND(ISNUMBER($BA$323),$B$252=1),$BA$323,HLOOKUP(INDIRECT(ADDRESS(2,COLUMN())),OFFSET($CL$2,0,0,ROW()-1,84),ROW()-1,FALSE))</f>
        <v>20.360390689999999</v>
      </c>
      <c r="BB82">
        <f ca="1">IF(AND(ISNUMBER($BB$323),$B$252=1),$BB$323,HLOOKUP(INDIRECT(ADDRESS(2,COLUMN())),OFFSET($CL$2,0,0,ROW()-1,84),ROW()-1,FALSE))</f>
        <v>20.336770749999999</v>
      </c>
      <c r="BC82">
        <f ca="1">IF(AND(ISNUMBER($BC$323),$B$252=1),$BC$323,HLOOKUP(INDIRECT(ADDRESS(2,COLUMN())),OFFSET($CL$2,0,0,ROW()-1,84),ROW()-1,FALSE))</f>
        <v>20.641189740000002</v>
      </c>
      <c r="BD82">
        <f ca="1">IF(AND(ISNUMBER($BD$323),$B$252=1),$BD$323,HLOOKUP(INDIRECT(ADDRESS(2,COLUMN())),OFFSET($CL$2,0,0,ROW()-1,84),ROW()-1,FALSE))</f>
        <v>19.46557761</v>
      </c>
      <c r="BE82">
        <f ca="1">IF(AND(ISNUMBER($BE$323),$B$252=1),$BE$323,HLOOKUP(INDIRECT(ADDRESS(2,COLUMN())),OFFSET($CL$2,0,0,ROW()-1,84),ROW()-1,FALSE))</f>
        <v>18.673838839999998</v>
      </c>
      <c r="BF82">
        <f ca="1">IF(AND(ISNUMBER($BF$323),$B$252=1),$BF$323,HLOOKUP(INDIRECT(ADDRESS(2,COLUMN())),OFFSET($CL$2,0,0,ROW()-1,84),ROW()-1,FALSE))</f>
        <v>18.353699370000001</v>
      </c>
      <c r="BG82">
        <f ca="1">IF(AND(ISNUMBER($BG$323),$B$252=1),$BG$323,HLOOKUP(INDIRECT(ADDRESS(2,COLUMN())),OFFSET($CL$2,0,0,ROW()-1,84),ROW()-1,FALSE))</f>
        <v>19.568340419999998</v>
      </c>
      <c r="BH82">
        <f ca="1">IF(AND(ISNUMBER($BH$323),$B$252=1),$BH$323,HLOOKUP(INDIRECT(ADDRESS(2,COLUMN())),OFFSET($CL$2,0,0,ROW()-1,84),ROW()-1,FALSE))</f>
        <v>18.692852389999999</v>
      </c>
      <c r="BI82">
        <f ca="1">IF(AND(ISNUMBER($BI$323),$B$252=1),$BI$323,HLOOKUP(INDIRECT(ADDRESS(2,COLUMN())),OFFSET($CL$2,0,0,ROW()-1,84),ROW()-1,FALSE))</f>
        <v>17.956359129999999</v>
      </c>
      <c r="BJ82">
        <f ca="1">IF(AND(ISNUMBER($BJ$323),$B$252=1),$BJ$323,HLOOKUP(INDIRECT(ADDRESS(2,COLUMN())),OFFSET($CL$2,0,0,ROW()-1,84),ROW()-1,FALSE))</f>
        <v>19.903817289999999</v>
      </c>
      <c r="BK82">
        <f ca="1">IF(AND(ISNUMBER($BK$323),$B$252=1),$BK$323,HLOOKUP(INDIRECT(ADDRESS(2,COLUMN())),OFFSET($CL$2,0,0,ROW()-1,84),ROW()-1,FALSE))</f>
        <v>20.26151368</v>
      </c>
      <c r="BL82">
        <f ca="1">IF(AND(ISNUMBER($BL$323),$B$252=1),$BL$323,HLOOKUP(INDIRECT(ADDRESS(2,COLUMN())),OFFSET($CL$2,0,0,ROW()-1,84),ROW()-1,FALSE))</f>
        <v>19.615048959999999</v>
      </c>
      <c r="BM82">
        <f ca="1">IF(AND(ISNUMBER($BM$323),$B$252=1),$BM$323,HLOOKUP(INDIRECT(ADDRESS(2,COLUMN())),OFFSET($CL$2,0,0,ROW()-1,84),ROW()-1,FALSE))</f>
        <v>19.784074830000002</v>
      </c>
      <c r="BN82">
        <f ca="1">IF(AND(ISNUMBER($BN$323),$B$252=1),$BN$323,HLOOKUP(INDIRECT(ADDRESS(2,COLUMN())),OFFSET($CL$2,0,0,ROW()-1,84),ROW()-1,FALSE))</f>
        <v>19.470169649999999</v>
      </c>
      <c r="BO82">
        <f ca="1">IF(AND(ISNUMBER($BO$323),$B$252=1),$BO$323,HLOOKUP(INDIRECT(ADDRESS(2,COLUMN())),OFFSET($CL$2,0,0,ROW()-1,84),ROW()-1,FALSE))</f>
        <v>19.02400828</v>
      </c>
      <c r="BP82">
        <f ca="1">IF(AND(ISNUMBER($BP$323),$B$252=1),$BP$323,HLOOKUP(INDIRECT(ADDRESS(2,COLUMN())),OFFSET($CL$2,0,0,ROW()-1,84),ROW()-1,FALSE))</f>
        <v>19.047927820000002</v>
      </c>
      <c r="BQ82">
        <f ca="1">IF(AND(ISNUMBER($BQ$323),$B$252=1),$BQ$323,HLOOKUP(INDIRECT(ADDRESS(2,COLUMN())),OFFSET($CL$2,0,0,ROW()-1,84),ROW()-1,FALSE))</f>
        <v>18.960222829999999</v>
      </c>
      <c r="BR82">
        <f ca="1">IF(AND(ISNUMBER($BR$323),$B$252=1),$BR$323,HLOOKUP(INDIRECT(ADDRESS(2,COLUMN())),OFFSET($CL$2,0,0,ROW()-1,84),ROW()-1,FALSE))</f>
        <v>18.943508749999999</v>
      </c>
      <c r="BS82">
        <f ca="1">IF(AND(ISNUMBER($BS$323),$B$252=1),$BS$323,HLOOKUP(INDIRECT(ADDRESS(2,COLUMN())),OFFSET($CL$2,0,0,ROW()-1,84),ROW()-1,FALSE))</f>
        <v>19.98083257</v>
      </c>
      <c r="BT82">
        <f ca="1">IF(AND(ISNUMBER($BT$323),$B$252=1),$BT$323,HLOOKUP(INDIRECT(ADDRESS(2,COLUMN())),OFFSET($CL$2,0,0,ROW()-1,84),ROW()-1,FALSE))</f>
        <v>20.43363265</v>
      </c>
      <c r="BU82">
        <f ca="1">IF(AND(ISNUMBER($BU$323),$B$252=1),$BU$323,HLOOKUP(INDIRECT(ADDRESS(2,COLUMN())),OFFSET($CL$2,0,0,ROW()-1,84),ROW()-1,FALSE))</f>
        <v>20.11552902</v>
      </c>
      <c r="BV82">
        <f ca="1">IF(AND(ISNUMBER($BV$323),$B$252=1),$BV$323,HLOOKUP(INDIRECT(ADDRESS(2,COLUMN())),OFFSET($CL$2,0,0,ROW()-1,84),ROW()-1,FALSE))</f>
        <v>21.198979300000001</v>
      </c>
      <c r="BW82">
        <f ca="1">IF(AND(ISNUMBER($BW$323),$B$252=1),$BW$323,HLOOKUP(INDIRECT(ADDRESS(2,COLUMN())),OFFSET($CL$2,0,0,ROW()-1,84),ROW()-1,FALSE))</f>
        <v>20.585555240000001</v>
      </c>
      <c r="BX82">
        <f ca="1">IF(AND(ISNUMBER($BX$323),$B$252=1),$BX$323,HLOOKUP(INDIRECT(ADDRESS(2,COLUMN())),OFFSET($CL$2,0,0,ROW()-1,84),ROW()-1,FALSE))</f>
        <v>19.983359530000001</v>
      </c>
      <c r="BY82">
        <f ca="1">IF(AND(ISNUMBER($BY$323),$B$252=1),$BY$323,HLOOKUP(INDIRECT(ADDRESS(2,COLUMN())),OFFSET($CL$2,0,0,ROW()-1,84),ROW()-1,FALSE))</f>
        <v>20.315129590000002</v>
      </c>
      <c r="BZ82">
        <f ca="1">IF(AND(ISNUMBER($BZ$323),$B$252=1),$BZ$323,HLOOKUP(INDIRECT(ADDRESS(2,COLUMN())),OFFSET($CL$2,0,0,ROW()-1,84),ROW()-1,FALSE))</f>
        <v>20.608321740000001</v>
      </c>
      <c r="CA82">
        <f ca="1">IF(AND(ISNUMBER($CA$323),$B$252=1),$CA$323,HLOOKUP(INDIRECT(ADDRESS(2,COLUMN())),OFFSET($CL$2,0,0,ROW()-1,84),ROW()-1,FALSE))</f>
        <v>19.508416619999998</v>
      </c>
      <c r="CB82">
        <f ca="1">IF(AND(ISNUMBER($CB$323),$B$252=1),$CB$323,HLOOKUP(INDIRECT(ADDRESS(2,COLUMN())),OFFSET($CL$2,0,0,ROW()-1,84),ROW()-1,FALSE))</f>
        <v>20.288129519999998</v>
      </c>
      <c r="CC82">
        <f ca="1">IF(AND(ISNUMBER($CC$323),$B$252=1),$CC$323,HLOOKUP(INDIRECT(ADDRESS(2,COLUMN())),OFFSET($CL$2,0,0,ROW()-1,84),ROW()-1,FALSE))</f>
        <v>19.570793649999999</v>
      </c>
      <c r="CD82">
        <f ca="1">IF(AND(ISNUMBER($CD$323),$B$252=1),$CD$323,HLOOKUP(INDIRECT(ADDRESS(2,COLUMN())),OFFSET($CL$2,0,0,ROW()-1,84),ROW()-1,FALSE))</f>
        <v>18.328974469999999</v>
      </c>
      <c r="CE82">
        <f ca="1">IF(AND(ISNUMBER($CE$323),$B$252=1),$CE$323,HLOOKUP(INDIRECT(ADDRESS(2,COLUMN())),OFFSET($CL$2,0,0,ROW()-1,84),ROW()-1,FALSE))</f>
        <v>19.444312069999999</v>
      </c>
      <c r="CF82">
        <f ca="1">IF(AND(ISNUMBER($CF$323),$B$252=1),$CF$323,HLOOKUP(INDIRECT(ADDRESS(2,COLUMN())),OFFSET($CL$2,0,0,ROW()-1,84),ROW()-1,FALSE))</f>
        <v>17.268233819999999</v>
      </c>
      <c r="CG82">
        <f ca="1">IF(AND(ISNUMBER($CG$323),$B$252=1),$CG$323,HLOOKUP(INDIRECT(ADDRESS(2,COLUMN())),OFFSET($CL$2,0,0,ROW()-1,84),ROW()-1,FALSE))</f>
        <v>21.817283270000001</v>
      </c>
      <c r="CH82">
        <f ca="1">IF(AND(ISNUMBER($CH$323),$B$252=1),$CH$323,HLOOKUP(INDIRECT(ADDRESS(2,COLUMN())),OFFSET($CL$2,0,0,ROW()-1,84),ROW()-1,FALSE))</f>
        <v>21.49055495</v>
      </c>
      <c r="CI82">
        <f ca="1">IF(AND(ISNUMBER($CI$323),$B$252=1),$CI$323,HLOOKUP(INDIRECT(ADDRESS(2,COLUMN())),OFFSET($CL$2,0,0,ROW()-1,84),ROW()-1,FALSE))</f>
        <v>20.052950360000001</v>
      </c>
      <c r="CJ82">
        <f ca="1">IF(AND(ISNUMBER($CJ$323),$B$252=1),$CJ$323,HLOOKUP(INDIRECT(ADDRESS(2,COLUMN())),OFFSET($CL$2,0,0,ROW()-1,84),ROW()-1,FALSE))</f>
        <v>22.192191730000001</v>
      </c>
      <c r="CK82">
        <f ca="1">IF(AND(ISNUMBER($CK$323),$B$252=1),$CK$323,HLOOKUP(INDIRECT(ADDRESS(2,COLUMN())),OFFSET($CL$2,0,0,ROW()-1,84),ROW()-1,FALSE))</f>
        <v>22.04742302</v>
      </c>
      <c r="CL82">
        <f>20.65421321</f>
        <v>20.654213210000002</v>
      </c>
      <c r="CM82">
        <f>19.61012852</f>
        <v>19.61012852</v>
      </c>
      <c r="CN82">
        <f>21.30749539</f>
        <v>21.30749539</v>
      </c>
      <c r="CO82">
        <f>22.46823768</f>
        <v>22.468237680000001</v>
      </c>
      <c r="CP82">
        <f>23.19756584</f>
        <v>23.197565839999999</v>
      </c>
      <c r="CQ82">
        <f>22.87906379</f>
        <v>22.87906379</v>
      </c>
      <c r="CR82">
        <f>22.43080165</f>
        <v>22.430801649999999</v>
      </c>
      <c r="CS82">
        <f>23.17098986</f>
        <v>23.170989859999999</v>
      </c>
      <c r="CT82">
        <f>23.33214821</f>
        <v>23.33214821</v>
      </c>
      <c r="CU82">
        <f>23.26052228</f>
        <v>23.26052228</v>
      </c>
      <c r="CV82">
        <f>23.4032924</f>
        <v>23.403292400000002</v>
      </c>
      <c r="CW82">
        <f>22.63348713</f>
        <v>22.633487129999999</v>
      </c>
      <c r="CX82">
        <f>21.97884958</f>
        <v>21.978849579999999</v>
      </c>
      <c r="CY82">
        <f>22.4381706</f>
        <v>22.438170599999999</v>
      </c>
      <c r="CZ82">
        <f>21.48531678</f>
        <v>21.485316780000002</v>
      </c>
      <c r="DA82">
        <f>22.42587571</f>
        <v>22.42587571</v>
      </c>
      <c r="DB82">
        <f>21.31817612</f>
        <v>21.31817612</v>
      </c>
      <c r="DC82">
        <f>21.90060573</f>
        <v>21.900605729999999</v>
      </c>
      <c r="DD82">
        <f>22.53939949</f>
        <v>22.539399490000001</v>
      </c>
      <c r="DE82">
        <f>23.1580418</f>
        <v>23.158041799999999</v>
      </c>
      <c r="DF82">
        <f>23.83012427</f>
        <v>23.830124269999999</v>
      </c>
      <c r="DG82">
        <f>23.63169992</f>
        <v>23.631699919999999</v>
      </c>
      <c r="DH82">
        <f>23.4494953</f>
        <v>23.449495299999999</v>
      </c>
      <c r="DI82">
        <f>22.72707122</f>
        <v>22.727071219999999</v>
      </c>
      <c r="DJ82">
        <f>25.07657658</f>
        <v>25.076576580000001</v>
      </c>
      <c r="DK82">
        <f>22.8248347</f>
        <v>22.8248347</v>
      </c>
      <c r="DL82">
        <f>23.66256531</f>
        <v>23.662565310000002</v>
      </c>
      <c r="DM82">
        <f>24.97899912</f>
        <v>24.978999120000001</v>
      </c>
      <c r="DN82">
        <f>25.15450122</f>
        <v>25.15450122</v>
      </c>
      <c r="DO82">
        <f>23.48480391</f>
        <v>23.48480391</v>
      </c>
      <c r="DP82">
        <f>23.49843409</f>
        <v>23.49843409</v>
      </c>
      <c r="DQ82" t="str">
        <f>""</f>
        <v/>
      </c>
      <c r="DR82" t="str">
        <f>""</f>
        <v/>
      </c>
      <c r="DS82" t="str">
        <f>""</f>
        <v/>
      </c>
      <c r="DT82" t="str">
        <f>""</f>
        <v/>
      </c>
      <c r="DU82" t="str">
        <f>""</f>
        <v/>
      </c>
      <c r="DV82" t="str">
        <f>""</f>
        <v/>
      </c>
      <c r="DW82" t="str">
        <f>""</f>
        <v/>
      </c>
      <c r="DX82" t="str">
        <f>""</f>
        <v/>
      </c>
      <c r="DY82" t="str">
        <f>""</f>
        <v/>
      </c>
      <c r="DZ82" t="str">
        <f>""</f>
        <v/>
      </c>
      <c r="EA82" t="str">
        <f>""</f>
        <v/>
      </c>
      <c r="EB82" t="str">
        <f>""</f>
        <v/>
      </c>
      <c r="EC82" t="str">
        <f>""</f>
        <v/>
      </c>
      <c r="ED82" t="str">
        <f>""</f>
        <v/>
      </c>
      <c r="EE82">
        <f>22.54917206</f>
        <v>22.54917206</v>
      </c>
      <c r="EF82">
        <f>21.66736086</f>
        <v>21.667360859999999</v>
      </c>
      <c r="EG82">
        <f>20.36039069</f>
        <v>20.360390689999999</v>
      </c>
      <c r="EH82">
        <f>20.33677075</f>
        <v>20.336770749999999</v>
      </c>
      <c r="EI82">
        <f>20.64118974</f>
        <v>20.641189740000002</v>
      </c>
      <c r="EJ82">
        <f>19.46557761</f>
        <v>19.46557761</v>
      </c>
      <c r="EK82">
        <f>18.67383884</f>
        <v>18.673838839999998</v>
      </c>
      <c r="EL82">
        <f>18.35369937</f>
        <v>18.353699370000001</v>
      </c>
      <c r="EM82">
        <f>19.56834042</f>
        <v>19.568340419999998</v>
      </c>
      <c r="EN82">
        <f>18.69285239</f>
        <v>18.692852389999999</v>
      </c>
      <c r="EO82">
        <f>17.95635913</f>
        <v>17.956359129999999</v>
      </c>
      <c r="EP82">
        <f>19.90381729</f>
        <v>19.903817289999999</v>
      </c>
      <c r="EQ82">
        <f>20.26151368</f>
        <v>20.26151368</v>
      </c>
      <c r="ER82">
        <f>19.61504896</f>
        <v>19.615048959999999</v>
      </c>
      <c r="ES82">
        <f>19.78407483</f>
        <v>19.784074830000002</v>
      </c>
      <c r="ET82">
        <f>19.47016965</f>
        <v>19.470169649999999</v>
      </c>
      <c r="EU82">
        <f>19.02400828</f>
        <v>19.02400828</v>
      </c>
      <c r="EV82">
        <f>19.04792782</f>
        <v>19.047927820000002</v>
      </c>
      <c r="EW82">
        <f>18.96022283</f>
        <v>18.960222829999999</v>
      </c>
      <c r="EX82">
        <f>18.94350875</f>
        <v>18.943508749999999</v>
      </c>
      <c r="EY82">
        <f>19.98083257</f>
        <v>19.98083257</v>
      </c>
      <c r="EZ82">
        <f>20.43363265</f>
        <v>20.43363265</v>
      </c>
      <c r="FA82">
        <f>20.11552902</f>
        <v>20.11552902</v>
      </c>
      <c r="FB82">
        <f>21.1989793</f>
        <v>21.198979300000001</v>
      </c>
      <c r="FC82">
        <f>20.58555524</f>
        <v>20.585555240000001</v>
      </c>
      <c r="FD82">
        <f>19.98335953</f>
        <v>19.983359530000001</v>
      </c>
      <c r="FE82">
        <f>20.31512959</f>
        <v>20.315129590000002</v>
      </c>
      <c r="FF82">
        <f>20.60832174</f>
        <v>20.608321740000001</v>
      </c>
      <c r="FG82">
        <f>19.50841662</f>
        <v>19.508416619999998</v>
      </c>
      <c r="FH82">
        <f>20.28812952</f>
        <v>20.288129519999998</v>
      </c>
      <c r="FI82">
        <f>19.57079365</f>
        <v>19.570793649999999</v>
      </c>
      <c r="FJ82">
        <f>18.32897447</f>
        <v>18.328974469999999</v>
      </c>
      <c r="FK82">
        <f>19.44431207</f>
        <v>19.444312069999999</v>
      </c>
      <c r="FL82">
        <f>17.26823382</f>
        <v>17.268233819999999</v>
      </c>
      <c r="FM82">
        <f>21.81728327</f>
        <v>21.817283270000001</v>
      </c>
      <c r="FN82">
        <f>21.49055495</f>
        <v>21.49055495</v>
      </c>
      <c r="FO82">
        <f>20.05295036</f>
        <v>20.052950360000001</v>
      </c>
      <c r="FP82">
        <f>22.19219173</f>
        <v>22.192191730000001</v>
      </c>
      <c r="FQ82">
        <f>22.04742302</f>
        <v>22.04742302</v>
      </c>
    </row>
    <row r="83" spans="1:173">
      <c r="A83" t="str">
        <f>"价格/未来12个月FAD"</f>
        <v>价格/未来12个月FAD</v>
      </c>
      <c r="B83" t="str">
        <f>"BRFREITV Index"</f>
        <v>BRFREITV Index</v>
      </c>
      <c r="E83" t="str">
        <f>"Median"</f>
        <v>Median</v>
      </c>
      <c r="F83">
        <f ca="1">IF(ISERROR(IF(MEDIAN($F$84:$F$91) = 0, "", MEDIAN($F$84:$F$91))), "", (IF(MEDIAN($F$84:$F$91) = 0, "", MEDIAN($F$84:$F$91))))</f>
        <v>19.512486169999999</v>
      </c>
      <c r="G83">
        <f ca="1">IF(ISERROR(IF(MEDIAN($G$84:$G$91) = 0, "", MEDIAN($G$84:$G$91))), "", (IF(MEDIAN($G$84:$G$91) = 0, "", MEDIAN($G$84:$G$91))))</f>
        <v>18.63668389</v>
      </c>
      <c r="H83">
        <f ca="1">IF(ISERROR(IF(MEDIAN($H$84:$H$91) = 0, "", MEDIAN($H$84:$H$91))), "", (IF(MEDIAN($H$84:$H$91) = 0, "", MEDIAN($H$84:$H$91))))</f>
        <v>20.139904250000001</v>
      </c>
      <c r="I83">
        <f ca="1">IF(ISERROR(IF(MEDIAN($I$84:$I$91) = 0, "", MEDIAN($I$84:$I$91))), "", (IF(MEDIAN($I$84:$I$91) = 0, "", MEDIAN($I$84:$I$91))))</f>
        <v>21.4</v>
      </c>
      <c r="J83">
        <f ca="1">IF(ISERROR(IF(MEDIAN($J$84:$J$91) = 0, "", MEDIAN($J$84:$J$91))), "", (IF(MEDIAN($J$84:$J$91) = 0, "", MEDIAN($J$84:$J$91))))</f>
        <v>21.948108040000001</v>
      </c>
      <c r="K83">
        <f ca="1">IF(ISERROR(IF(MEDIAN($K$84:$K$91) = 0, "", MEDIAN($K$84:$K$91))), "", (IF(MEDIAN($K$84:$K$91) = 0, "", MEDIAN($K$84:$K$91))))</f>
        <v>21.718547999999998</v>
      </c>
      <c r="L83">
        <f ca="1">IF(ISERROR(IF(MEDIAN($L$84:$L$91) = 0, "", MEDIAN($L$84:$L$91))), "", (IF(MEDIAN($L$84:$L$91) = 0, "", MEDIAN($L$84:$L$91))))</f>
        <v>21.97253589</v>
      </c>
      <c r="M83">
        <f ca="1">IF(ISERROR(IF(MEDIAN($M$84:$M$91) = 0, "", MEDIAN($M$84:$M$91))), "", (IF(MEDIAN($M$84:$M$91) = 0, "", MEDIAN($M$84:$M$91))))</f>
        <v>22.262814285000001</v>
      </c>
      <c r="N83">
        <f ca="1">IF(ISERROR(IF(MEDIAN($N$84:$N$91) = 0, "", MEDIAN($N$84:$N$91))), "", (IF(MEDIAN($N$84:$N$91) = 0, "", MEDIAN($N$84:$N$91))))</f>
        <v>22.595449954999999</v>
      </c>
      <c r="O83">
        <f ca="1">IF(ISERROR(IF(MEDIAN($O$84:$O$91) = 0, "", MEDIAN($O$84:$O$91))), "", (IF(MEDIAN($O$84:$O$91) = 0, "", MEDIAN($O$84:$O$91))))</f>
        <v>22.272780454999999</v>
      </c>
      <c r="P83">
        <f ca="1">IF(ISERROR(IF(MEDIAN($P$84:$P$91) = 0, "", MEDIAN($P$84:$P$91))), "", (IF(MEDIAN($P$84:$P$91) = 0, "", MEDIAN($P$84:$P$91))))</f>
        <v>22.244535974999998</v>
      </c>
      <c r="Q83">
        <f ca="1">IF(ISERROR(IF(MEDIAN($Q$84:$Q$91) = 0, "", MEDIAN($Q$84:$Q$91))), "", (IF(MEDIAN($Q$84:$Q$91) = 0, "", MEDIAN($Q$84:$Q$91))))</f>
        <v>22.211353604999999</v>
      </c>
      <c r="R83">
        <f ca="1">IF(ISERROR(IF(MEDIAN($R$84:$R$91) = 0, "", MEDIAN($R$84:$R$91))), "", (IF(MEDIAN($R$84:$R$91) = 0, "", MEDIAN($R$84:$R$91))))</f>
        <v>21.460482795000001</v>
      </c>
      <c r="S83">
        <f ca="1">IF(ISERROR(IF(MEDIAN($S$84:$S$91) = 0, "", MEDIAN($S$84:$S$91))), "", (IF(MEDIAN($S$84:$S$91) = 0, "", MEDIAN($S$84:$S$91))))</f>
        <v>22.146920115</v>
      </c>
      <c r="T83">
        <f ca="1">IF(ISERROR(IF(MEDIAN($T$84:$T$91) = 0, "", MEDIAN($T$84:$T$91))), "", (IF(MEDIAN($T$84:$T$91) = 0, "", MEDIAN($T$84:$T$91))))</f>
        <v>20.874148760000001</v>
      </c>
      <c r="U83">
        <f ca="1">IF(ISERROR(IF(MEDIAN($U$84:$U$91) = 0, "", MEDIAN($U$84:$U$91))), "", (IF(MEDIAN($U$84:$U$91) = 0, "", MEDIAN($U$84:$U$91))))</f>
        <v>21.433929105000001</v>
      </c>
      <c r="V83">
        <f ca="1">IF(ISERROR(IF(MEDIAN($V$84:$V$91) = 0, "", MEDIAN($V$84:$V$91))), "", (IF(MEDIAN($V$84:$V$91) = 0, "", MEDIAN($V$84:$V$91))))</f>
        <v>20.040069844999998</v>
      </c>
      <c r="W83">
        <f ca="1">IF(ISERROR(IF(MEDIAN($W$84:$W$91) = 0, "", MEDIAN($W$84:$W$91))), "", (IF(MEDIAN($W$84:$W$91) = 0, "", MEDIAN($W$84:$W$91))))</f>
        <v>20.913843610000001</v>
      </c>
      <c r="X83">
        <f ca="1">IF(ISERROR(IF(MEDIAN($X$84:$X$91) = 0, "", MEDIAN($X$84:$X$91))), "", (IF(MEDIAN($X$84:$X$91) = 0, "", MEDIAN($X$84:$X$91))))</f>
        <v>21.640757465</v>
      </c>
      <c r="Y83">
        <f ca="1">IF(ISERROR(IF(MEDIAN($Y$84:$Y$91) = 0, "", MEDIAN($Y$84:$Y$91))), "", (IF(MEDIAN($Y$84:$Y$91) = 0, "", MEDIAN($Y$84:$Y$91))))</f>
        <v>21.582092055</v>
      </c>
      <c r="Z83">
        <f ca="1">IF(ISERROR(IF(MEDIAN($Z$84:$Z$91) = 0, "", MEDIAN($Z$84:$Z$91))), "", (IF(MEDIAN($Z$84:$Z$91) = 0, "", MEDIAN($Z$84:$Z$91))))</f>
        <v>22.593672919999999</v>
      </c>
      <c r="AA83">
        <f ca="1">IF(ISERROR(IF(MEDIAN($AA$84:$AA$91) = 0, "", MEDIAN($AA$84:$AA$91))), "", (IF(MEDIAN($AA$84:$AA$91) = 0, "", MEDIAN($AA$84:$AA$91))))</f>
        <v>22.194054399999999</v>
      </c>
      <c r="AB83">
        <f ca="1">IF(ISERROR(IF(MEDIAN($AB$84:$AB$91) = 0, "", MEDIAN($AB$84:$AB$91))), "", (IF(MEDIAN($AB$84:$AB$91) = 0, "", MEDIAN($AB$84:$AB$91))))</f>
        <v>21.828900489999999</v>
      </c>
      <c r="AC83">
        <f ca="1">IF(ISERROR(IF(MEDIAN($AC$84:$AC$91) = 0, "", MEDIAN($AC$84:$AC$91))), "", (IF(MEDIAN($AC$84:$AC$91) = 0, "", MEDIAN($AC$84:$AC$91))))</f>
        <v>20.718098900000001</v>
      </c>
      <c r="AD83">
        <f ca="1">IF(ISERROR(IF(MEDIAN($AD$84:$AD$91) = 0, "", MEDIAN($AD$84:$AD$91))), "", (IF(MEDIAN($AD$84:$AD$91) = 0, "", MEDIAN($AD$84:$AD$91))))</f>
        <v>21.616809250000003</v>
      </c>
      <c r="AE83">
        <f ca="1">IF(ISERROR(IF(MEDIAN($AE$84:$AE$91) = 0, "", MEDIAN($AE$84:$AE$91))), "", (IF(MEDIAN($AE$84:$AE$91) = 0, "", MEDIAN($AE$84:$AE$91))))</f>
        <v>19.608249154999999</v>
      </c>
      <c r="AF83">
        <f ca="1">IF(ISERROR(IF(MEDIAN($AF$84:$AF$91) = 0, "", MEDIAN($AF$84:$AF$91))), "", (IF(MEDIAN($AF$84:$AF$91) = 0, "", MEDIAN($AF$84:$AF$91))))</f>
        <v>20.082532385</v>
      </c>
      <c r="AG83">
        <f ca="1">IF(ISERROR(IF(MEDIAN($AG$84:$AG$91) = 0, "", MEDIAN($AG$84:$AG$91))), "", (IF(MEDIAN($AG$84:$AG$91) = 0, "", MEDIAN($AG$84:$AG$91))))</f>
        <v>21.879306755000002</v>
      </c>
      <c r="AH83">
        <f ca="1">IF(ISERROR(IF(MEDIAN($AH$84:$AH$91) = 0, "", MEDIAN($AH$84:$AH$91))), "", (IF(MEDIAN($AH$84:$AH$91) = 0, "", MEDIAN($AH$84:$AH$91))))</f>
        <v>22.757947550000001</v>
      </c>
      <c r="AI83">
        <f ca="1">IF(ISERROR(IF(MEDIAN($AI$84:$AI$91) = 0, "", MEDIAN($AI$84:$AI$91))), "", (IF(MEDIAN($AI$84:$AI$91) = 0, "", MEDIAN($AI$84:$AI$91))))</f>
        <v>21.53480815</v>
      </c>
      <c r="AJ83">
        <f ca="1">IF(ISERROR(IF(MEDIAN($AJ$84:$AJ$91) = 0, "", MEDIAN($AJ$84:$AJ$91))), "", (IF(MEDIAN($AJ$84:$AJ$91) = 0, "", MEDIAN($AJ$84:$AJ$91))))</f>
        <v>21.777754479999999</v>
      </c>
      <c r="AK83">
        <f ca="1">IF(ISERROR(IF(MEDIAN($AK$84:$AK$91) = 0, "", MEDIAN($AK$84:$AK$91))), "", (IF(MEDIAN($AK$84:$AK$91) = 0, "", MEDIAN($AK$84:$AK$91))))</f>
        <v>20.512208260000001</v>
      </c>
      <c r="AL83">
        <f ca="1">IF(ISERROR(IF(MEDIAN($AL$84:$AL$91) = 0, "", MEDIAN($AL$84:$AL$91))), "", (IF(MEDIAN($AL$84:$AL$91) = 0, "", MEDIAN($AL$84:$AL$91))))</f>
        <v>21.776431219999999</v>
      </c>
      <c r="AM83">
        <f ca="1">IF(ISERROR(IF(MEDIAN($AM$84:$AM$91) = 0, "", MEDIAN($AM$84:$AM$91))), "", (IF(MEDIAN($AM$84:$AM$91) = 0, "", MEDIAN($AM$84:$AM$91))))</f>
        <v>20.934011129999998</v>
      </c>
      <c r="AN83">
        <f ca="1">IF(ISERROR(IF(MEDIAN($AN$84:$AN$91) = 0, "", MEDIAN($AN$84:$AN$91))), "", (IF(MEDIAN($AN$84:$AN$91) = 0, "", MEDIAN($AN$84:$AN$91))))</f>
        <v>21.53920652</v>
      </c>
      <c r="AO83">
        <f ca="1">IF(ISERROR(IF(MEDIAN($AO$84:$AO$91) = 0, "", MEDIAN($AO$84:$AO$91))), "", (IF(MEDIAN($AO$84:$AO$91) = 0, "", MEDIAN($AO$84:$AO$91))))</f>
        <v>21.955007309999999</v>
      </c>
      <c r="AP83">
        <f ca="1">IF(ISERROR(IF(MEDIAN($AP$84:$AP$91) = 0, "", MEDIAN($AP$84:$AP$91))), "", (IF(MEDIAN($AP$84:$AP$91) = 0, "", MEDIAN($AP$84:$AP$91))))</f>
        <v>23.180662030000001</v>
      </c>
      <c r="AQ83">
        <f ca="1">IF(ISERROR(IF(MEDIAN($AQ$84:$AQ$91) = 0, "", MEDIAN($AQ$84:$AQ$91))), "", (IF(MEDIAN($AQ$84:$AQ$91) = 0, "", MEDIAN($AQ$84:$AQ$91))))</f>
        <v>21.891241520000001</v>
      </c>
      <c r="AR83">
        <f ca="1">IF(ISERROR(IF(MEDIAN($AR$84:$AR$91) = 0, "", MEDIAN($AR$84:$AR$91))), "", (IF(MEDIAN($AR$84:$AR$91) = 0, "", MEDIAN($AR$84:$AR$91))))</f>
        <v>22.4837895</v>
      </c>
      <c r="AS83">
        <f ca="1">IF(ISERROR(IF(MEDIAN($AS$84:$AS$91) = 0, "", MEDIAN($AS$84:$AS$91))), "", (IF(MEDIAN($AS$84:$AS$91) = 0, "", MEDIAN($AS$84:$AS$91))))</f>
        <v>20.712365590000001</v>
      </c>
      <c r="AT83">
        <f ca="1">IF(ISERROR(IF(MEDIAN($AT$84:$AT$91) = 0, "", MEDIAN($AT$84:$AT$91))), "", (IF(MEDIAN($AT$84:$AT$91) = 0, "", MEDIAN($AT$84:$AT$91))))</f>
        <v>21.02160349</v>
      </c>
      <c r="AU83">
        <f ca="1">IF(ISERROR(IF(MEDIAN($AU$84:$AU$91) = 0, "", MEDIAN($AU$84:$AU$91))), "", (IF(MEDIAN($AU$84:$AU$91) = 0, "", MEDIAN($AU$84:$AU$91))))</f>
        <v>21.10121393</v>
      </c>
      <c r="AV83">
        <f ca="1">IF(ISERROR(IF(MEDIAN($AV$84:$AV$91) = 0, "", MEDIAN($AV$84:$AV$91))), "", (IF(MEDIAN($AV$84:$AV$91) = 0, "", MEDIAN($AV$84:$AV$91))))</f>
        <v>19.221260340000001</v>
      </c>
      <c r="AW83">
        <f ca="1">IF(ISERROR(IF(MEDIAN($AW$84:$AW$91) = 0, "", MEDIAN($AW$84:$AW$91))), "", (IF(MEDIAN($AW$84:$AW$91) = 0, "", MEDIAN($AW$84:$AW$91))))</f>
        <v>21.465077640000001</v>
      </c>
      <c r="AX83">
        <f ca="1">IF(ISERROR(IF(MEDIAN($AX$84:$AX$91) = 0, "", MEDIAN($AX$84:$AX$91))), "", (IF(MEDIAN($AX$84:$AX$91) = 0, "", MEDIAN($AX$84:$AX$91))))</f>
        <v>21.017604769999998</v>
      </c>
      <c r="AY83">
        <f ca="1">IF(ISERROR(IF(MEDIAN($AY$84:$AY$91) = 0, "", MEDIAN($AY$84:$AY$91))), "", (IF(MEDIAN($AY$84:$AY$91) = 0, "", MEDIAN($AY$84:$AY$91))))</f>
        <v>21.05805123</v>
      </c>
      <c r="AZ83">
        <f ca="1">IF(ISERROR(IF(MEDIAN($AZ$84:$AZ$91) = 0, "", MEDIAN($AZ$84:$AZ$91))), "", (IF(MEDIAN($AZ$84:$AZ$91) = 0, "", MEDIAN($AZ$84:$AZ$91))))</f>
        <v>20.326989770000001</v>
      </c>
      <c r="BA83">
        <f ca="1">IF(ISERROR(IF(MEDIAN($BA$84:$BA$91) = 0, "", MEDIAN($BA$84:$BA$91))), "", (IF(MEDIAN($BA$84:$BA$91) = 0, "", MEDIAN($BA$84:$BA$91))))</f>
        <v>19.137084720000001</v>
      </c>
      <c r="BB83">
        <f ca="1">IF(ISERROR(IF(MEDIAN($BB$84:$BB$91) = 0, "", MEDIAN($BB$84:$BB$91))), "", (IF(MEDIAN($BB$84:$BB$91) = 0, "", MEDIAN($BB$84:$BB$91))))</f>
        <v>19.0976702</v>
      </c>
      <c r="BC83">
        <f ca="1">IF(ISERROR(IF(MEDIAN($BC$84:$BC$91) = 0, "", MEDIAN($BC$84:$BC$91))), "", (IF(MEDIAN($BC$84:$BC$91) = 0, "", MEDIAN($BC$84:$BC$91))))</f>
        <v>19.293315960000001</v>
      </c>
      <c r="BD83">
        <f ca="1">IF(ISERROR(IF(MEDIAN($BD$84:$BD$91) = 0, "", MEDIAN($BD$84:$BD$91))), "", (IF(MEDIAN($BD$84:$BD$91) = 0, "", MEDIAN($BD$84:$BD$91))))</f>
        <v>18.319608680000002</v>
      </c>
      <c r="BE83">
        <f ca="1">IF(ISERROR(IF(MEDIAN($BE$84:$BE$91) = 0, "", MEDIAN($BE$84:$BE$91))), "", (IF(MEDIAN($BE$84:$BE$91) = 0, "", MEDIAN($BE$84:$BE$91))))</f>
        <v>17.743161090000001</v>
      </c>
      <c r="BF83">
        <f ca="1">IF(ISERROR(IF(MEDIAN($BF$84:$BF$91) = 0, "", MEDIAN($BF$84:$BF$91))), "", (IF(MEDIAN($BF$84:$BF$91) = 0, "", MEDIAN($BF$84:$BF$91))))</f>
        <v>17.818814740000001</v>
      </c>
      <c r="BG83">
        <f ca="1">IF(ISERROR(IF(MEDIAN($BG$84:$BG$91) = 0, "", MEDIAN($BG$84:$BG$91))), "", (IF(MEDIAN($BG$84:$BG$91) = 0, "", MEDIAN($BG$84:$BG$91))))</f>
        <v>18.87435863</v>
      </c>
      <c r="BH83">
        <f ca="1">IF(ISERROR(IF(MEDIAN($BH$84:$BH$91) = 0, "", MEDIAN($BH$84:$BH$91))), "", (IF(MEDIAN($BH$84:$BH$91) = 0, "", MEDIAN($BH$84:$BH$91))))</f>
        <v>18.32914032</v>
      </c>
      <c r="BI83">
        <f ca="1">IF(ISERROR(IF(MEDIAN($BI$84:$BI$91) = 0, "", MEDIAN($BI$84:$BI$91))), "", (IF(MEDIAN($BI$84:$BI$91) = 0, "", MEDIAN($BI$84:$BI$91))))</f>
        <v>17.594883070000002</v>
      </c>
      <c r="BJ83">
        <f ca="1">IF(ISERROR(IF(MEDIAN($BJ$84:$BJ$91) = 0, "", MEDIAN($BJ$84:$BJ$91))), "", (IF(MEDIAN($BJ$84:$BJ$91) = 0, "", MEDIAN($BJ$84:$BJ$91))))</f>
        <v>19.675217480000001</v>
      </c>
      <c r="BK83">
        <f ca="1">IF(ISERROR(IF(MEDIAN($BK$84:$BK$91) = 0, "", MEDIAN($BK$84:$BK$91))), "", (IF(MEDIAN($BK$84:$BK$91) = 0, "", MEDIAN($BK$84:$BK$91))))</f>
        <v>20.41864224</v>
      </c>
      <c r="BL83">
        <f ca="1">IF(ISERROR(IF(MEDIAN($BL$84:$BL$91) = 0, "", MEDIAN($BL$84:$BL$91))), "", (IF(MEDIAN($BL$84:$BL$91) = 0, "", MEDIAN($BL$84:$BL$91))))</f>
        <v>19.72787353</v>
      </c>
      <c r="BM83">
        <f ca="1">IF(ISERROR(IF(MEDIAN($BM$84:$BM$91) = 0, "", MEDIAN($BM$84:$BM$91))), "", (IF(MEDIAN($BM$84:$BM$91) = 0, "", MEDIAN($BM$84:$BM$91))))</f>
        <v>20.56010805</v>
      </c>
      <c r="BN83">
        <f ca="1">IF(ISERROR(IF(MEDIAN($BN$84:$BN$91) = 0, "", MEDIAN($BN$84:$BN$91))), "", (IF(MEDIAN($BN$84:$BN$91) = 0, "", MEDIAN($BN$84:$BN$91))))</f>
        <v>20.211205329999999</v>
      </c>
      <c r="BO83">
        <f ca="1">IF(ISERROR(IF(MEDIAN($BO$84:$BO$91) = 0, "", MEDIAN($BO$84:$BO$91))), "", (IF(MEDIAN($BO$84:$BO$91) = 0, "", MEDIAN($BO$84:$BO$91))))</f>
        <v>20.330779490000001</v>
      </c>
      <c r="BP83">
        <f ca="1">IF(ISERROR(IF(MEDIAN($BP$84:$BP$91) = 0, "", MEDIAN($BP$84:$BP$91))), "", (IF(MEDIAN($BP$84:$BP$91) = 0, "", MEDIAN($BP$84:$BP$91))))</f>
        <v>20.014467870000001</v>
      </c>
      <c r="BQ83">
        <f ca="1">IF(ISERROR(IF(MEDIAN($BQ$84:$BQ$91) = 0, "", MEDIAN($BQ$84:$BQ$91))), "", (IF(MEDIAN($BQ$84:$BQ$91) = 0, "", MEDIAN($BQ$84:$BQ$91))))</f>
        <v>19.765285420000001</v>
      </c>
      <c r="BR83">
        <f ca="1">IF(ISERROR(IF(MEDIAN($BR$84:$BR$91) = 0, "", MEDIAN($BR$84:$BR$91))), "", (IF(MEDIAN($BR$84:$BR$91) = 0, "", MEDIAN($BR$84:$BR$91))))</f>
        <v>19.286159640000001</v>
      </c>
      <c r="BS83">
        <f ca="1">IF(ISERROR(IF(MEDIAN($BS$84:$BS$91) = 0, "", MEDIAN($BS$84:$BS$91))), "", (IF(MEDIAN($BS$84:$BS$91) = 0, "", MEDIAN($BS$84:$BS$91))))</f>
        <v>20.445189880000001</v>
      </c>
      <c r="BT83">
        <f ca="1">IF(ISERROR(IF(MEDIAN($BT$84:$BT$91) = 0, "", MEDIAN($BT$84:$BT$91))), "", (IF(MEDIAN($BT$84:$BT$91) = 0, "", MEDIAN($BT$84:$BT$91))))</f>
        <v>20.21235351</v>
      </c>
      <c r="BU83">
        <f ca="1">IF(ISERROR(IF(MEDIAN($BU$84:$BU$91) = 0, "", MEDIAN($BU$84:$BU$91))), "", (IF(MEDIAN($BU$84:$BU$91) = 0, "", MEDIAN($BU$84:$BU$91))))</f>
        <v>21.91544734</v>
      </c>
      <c r="BV83">
        <f ca="1">IF(ISERROR(IF(MEDIAN($BV$84:$BV$91) = 0, "", MEDIAN($BV$84:$BV$91))), "", (IF(MEDIAN($BV$84:$BV$91) = 0, "", MEDIAN($BV$84:$BV$91))))</f>
        <v>22.81785648</v>
      </c>
      <c r="BW83">
        <f ca="1">IF(ISERROR(IF(MEDIAN($BW$84:$BW$91) = 0, "", MEDIAN($BW$84:$BW$91))), "", (IF(MEDIAN($BW$84:$BW$91) = 0, "", MEDIAN($BW$84:$BW$91))))</f>
        <v>21.86619774</v>
      </c>
      <c r="BX83">
        <f ca="1">IF(ISERROR(IF(MEDIAN($BX$84:$BX$91) = 0, "", MEDIAN($BX$84:$BX$91))), "", (IF(MEDIAN($BX$84:$BX$91) = 0, "", MEDIAN($BX$84:$BX$91))))</f>
        <v>21.216651630000001</v>
      </c>
      <c r="BY83">
        <f ca="1">IF(ISERROR(IF(MEDIAN($BY$84:$BY$91) = 0, "", MEDIAN($BY$84:$BY$91))), "", (IF(MEDIAN($BY$84:$BY$91) = 0, "", MEDIAN($BY$84:$BY$91))))</f>
        <v>22.147129329999999</v>
      </c>
      <c r="BZ83">
        <f ca="1">IF(ISERROR(IF(MEDIAN($BZ$84:$BZ$91) = 0, "", MEDIAN($BZ$84:$BZ$91))), "", (IF(MEDIAN($BZ$84:$BZ$91) = 0, "", MEDIAN($BZ$84:$BZ$91))))</f>
        <v>22.197726889999998</v>
      </c>
      <c r="CA83">
        <f ca="1">IF(ISERROR(IF(MEDIAN($CA$84:$CA$91) = 0, "", MEDIAN($CA$84:$CA$91))), "", (IF(MEDIAN($CA$84:$CA$91) = 0, "", MEDIAN($CA$84:$CA$91))))</f>
        <v>21.022464880000001</v>
      </c>
      <c r="CB83">
        <f ca="1">IF(ISERROR(IF(MEDIAN($CB$84:$CB$91) = 0, "", MEDIAN($CB$84:$CB$91))), "", (IF(MEDIAN($CB$84:$CB$91) = 0, "", MEDIAN($CB$84:$CB$91))))</f>
        <v>22.109848580000001</v>
      </c>
      <c r="CC83">
        <f ca="1">IF(ISERROR(IF(MEDIAN($CC$84:$CC$91) = 0, "", MEDIAN($CC$84:$CC$91))), "", (IF(MEDIAN($CC$84:$CC$91) = 0, "", MEDIAN($CC$84:$CC$91))))</f>
        <v>20.998650470000001</v>
      </c>
      <c r="CD83">
        <f ca="1">IF(ISERROR(IF(MEDIAN($CD$84:$CD$91) = 0, "", MEDIAN($CD$84:$CD$91))), "", (IF(MEDIAN($CD$84:$CD$91) = 0, "", MEDIAN($CD$84:$CD$91))))</f>
        <v>19.97678084</v>
      </c>
      <c r="CE83">
        <f ca="1">IF(ISERROR(IF(MEDIAN($CE$84:$CE$91) = 0, "", MEDIAN($CE$84:$CE$91))), "", (IF(MEDIAN($CE$84:$CE$91) = 0, "", MEDIAN($CE$84:$CE$91))))</f>
        <v>21.275655159999999</v>
      </c>
      <c r="CF83">
        <f ca="1">IF(ISERROR(IF(MEDIAN($CF$84:$CF$91) = 0, "", MEDIAN($CF$84:$CF$91))), "", (IF(MEDIAN($CF$84:$CF$91) = 0, "", MEDIAN($CF$84:$CF$91))))</f>
        <v>19.763948500000001</v>
      </c>
      <c r="CG83">
        <f ca="1">IF(ISERROR(IF(MEDIAN($CG$84:$CG$91) = 0, "", MEDIAN($CG$84:$CG$91))), "", (IF(MEDIAN($CG$84:$CG$91) = 0, "", MEDIAN($CG$84:$CG$91))))</f>
        <v>24.165500040000001</v>
      </c>
      <c r="CH83">
        <f ca="1">IF(ISERROR(IF(MEDIAN($CH$84:$CH$91) = 0, "", MEDIAN($CH$84:$CH$91))), "", (IF(MEDIAN($CH$84:$CH$91) = 0, "", MEDIAN($CH$84:$CH$91))))</f>
        <v>25.416037459999998</v>
      </c>
      <c r="CI83">
        <f ca="1">IF(ISERROR(IF(MEDIAN($CI$84:$CI$91) = 0, "", MEDIAN($CI$84:$CI$91))), "", (IF(MEDIAN($CI$84:$CI$91) = 0, "", MEDIAN($CI$84:$CI$91))))</f>
        <v>24.381167869999999</v>
      </c>
      <c r="CJ83">
        <f ca="1">IF(ISERROR(IF(MEDIAN($CJ$84:$CJ$91) = 0, "", MEDIAN($CJ$84:$CJ$91))), "", (IF(MEDIAN($CJ$84:$CJ$91) = 0, "", MEDIAN($CJ$84:$CJ$91))))</f>
        <v>25.083753269999999</v>
      </c>
      <c r="CK83">
        <f ca="1">IF(ISERROR(IF(MEDIAN($CK$84:$CK$91) = 0, "", MEDIAN($CK$84:$CK$91))), "", (IF(MEDIAN($CK$84:$CK$91) = 0, "", MEDIAN($CK$84:$CK$91))))</f>
        <v>25.277124860000001</v>
      </c>
      <c r="CL83">
        <f>19.51248617</f>
        <v>19.512486169999999</v>
      </c>
      <c r="CM83">
        <f>18.63668389</f>
        <v>18.63668389</v>
      </c>
      <c r="CN83">
        <f>20.13990425</f>
        <v>20.139904250000001</v>
      </c>
      <c r="CO83">
        <f>21.4</f>
        <v>21.4</v>
      </c>
      <c r="CP83">
        <f>21.94810804</f>
        <v>21.948108040000001</v>
      </c>
      <c r="CQ83">
        <f>21.718548</f>
        <v>21.718547999999998</v>
      </c>
      <c r="CR83">
        <f>21.97253589</f>
        <v>21.97253589</v>
      </c>
      <c r="CS83">
        <f>22.26281428</f>
        <v>22.262814280000001</v>
      </c>
      <c r="CT83">
        <f>22.59544995</f>
        <v>22.595449949999999</v>
      </c>
      <c r="CU83">
        <f>22.27278046</f>
        <v>22.27278046</v>
      </c>
      <c r="CV83">
        <f>22.24453597</f>
        <v>22.244535970000001</v>
      </c>
      <c r="CW83">
        <f>22.21135361</f>
        <v>22.21135361</v>
      </c>
      <c r="CX83">
        <f>21.46048279</f>
        <v>21.46048279</v>
      </c>
      <c r="CY83">
        <f>22.14692011</f>
        <v>22.14692011</v>
      </c>
      <c r="CZ83">
        <f>20.87414876</f>
        <v>20.874148760000001</v>
      </c>
      <c r="DA83">
        <f>21.4339291</f>
        <v>21.4339291</v>
      </c>
      <c r="DB83">
        <f>20.04006984</f>
        <v>20.040069840000001</v>
      </c>
      <c r="DC83">
        <f>20.91384361</f>
        <v>20.913843610000001</v>
      </c>
      <c r="DD83">
        <f>21.64075746</f>
        <v>21.64075746</v>
      </c>
      <c r="DE83">
        <f>21.58209205</f>
        <v>21.58209205</v>
      </c>
      <c r="DF83">
        <f>22.59367292</f>
        <v>22.593672919999999</v>
      </c>
      <c r="DG83">
        <f>22.1940544</f>
        <v>22.194054399999999</v>
      </c>
      <c r="DH83">
        <f>21.82890049</f>
        <v>21.828900489999999</v>
      </c>
      <c r="DI83">
        <f>20.7180989</f>
        <v>20.718098900000001</v>
      </c>
      <c r="DJ83">
        <f>21.61680925</f>
        <v>21.616809249999999</v>
      </c>
      <c r="DK83">
        <f>19.60824916</f>
        <v>19.60824916</v>
      </c>
      <c r="DL83">
        <f>20.08253239</f>
        <v>20.082532390000001</v>
      </c>
      <c r="DM83">
        <f>21.87930675</f>
        <v>21.879306750000001</v>
      </c>
      <c r="DN83">
        <f>22.75794755</f>
        <v>22.757947550000001</v>
      </c>
      <c r="DO83">
        <f>21.53480815</f>
        <v>21.53480815</v>
      </c>
      <c r="DP83">
        <f>21.77775448</f>
        <v>21.777754479999999</v>
      </c>
      <c r="DQ83">
        <f>20.51220826</f>
        <v>20.512208260000001</v>
      </c>
      <c r="DR83">
        <f>21.77643122</f>
        <v>21.776431219999999</v>
      </c>
      <c r="DS83">
        <f>20.93401113</f>
        <v>20.934011129999998</v>
      </c>
      <c r="DT83">
        <f>21.53920652</f>
        <v>21.53920652</v>
      </c>
      <c r="DU83">
        <f>21.95500731</f>
        <v>21.955007309999999</v>
      </c>
      <c r="DV83">
        <f>23.18066203</f>
        <v>23.180662030000001</v>
      </c>
      <c r="DW83">
        <f>21.89124152</f>
        <v>21.891241520000001</v>
      </c>
      <c r="DX83">
        <f>22.4837895</f>
        <v>22.4837895</v>
      </c>
      <c r="DY83">
        <f>20.71236559</f>
        <v>20.712365590000001</v>
      </c>
      <c r="DZ83">
        <f>21.02160349</f>
        <v>21.02160349</v>
      </c>
      <c r="EA83">
        <f>21.10121393</f>
        <v>21.10121393</v>
      </c>
      <c r="EB83">
        <f>19.22126034</f>
        <v>19.221260340000001</v>
      </c>
      <c r="EC83">
        <f>21.46507764</f>
        <v>21.465077640000001</v>
      </c>
      <c r="ED83">
        <f>21.01760477</f>
        <v>21.017604769999998</v>
      </c>
      <c r="EE83">
        <f>21.05805123</f>
        <v>21.05805123</v>
      </c>
      <c r="EF83">
        <f>20.32698977</f>
        <v>20.326989770000001</v>
      </c>
      <c r="EG83">
        <f>19.13708472</f>
        <v>19.137084720000001</v>
      </c>
      <c r="EH83">
        <f>19.0976702</f>
        <v>19.0976702</v>
      </c>
      <c r="EI83">
        <f>19.29331596</f>
        <v>19.293315960000001</v>
      </c>
      <c r="EJ83">
        <f>18.31960868</f>
        <v>18.319608680000002</v>
      </c>
      <c r="EK83">
        <f>17.74316109</f>
        <v>17.743161090000001</v>
      </c>
      <c r="EL83">
        <f>17.81881474</f>
        <v>17.818814740000001</v>
      </c>
      <c r="EM83">
        <f>18.87435863</f>
        <v>18.87435863</v>
      </c>
      <c r="EN83">
        <f>18.32914032</f>
        <v>18.32914032</v>
      </c>
      <c r="EO83">
        <f>17.59488307</f>
        <v>17.594883070000002</v>
      </c>
      <c r="EP83">
        <f>19.67521748</f>
        <v>19.675217480000001</v>
      </c>
      <c r="EQ83">
        <f>20.41864224</f>
        <v>20.41864224</v>
      </c>
      <c r="ER83">
        <f>19.72787353</f>
        <v>19.72787353</v>
      </c>
      <c r="ES83">
        <f>20.56010805</f>
        <v>20.56010805</v>
      </c>
      <c r="ET83">
        <f>20.21120533</f>
        <v>20.211205329999999</v>
      </c>
      <c r="EU83">
        <f>20.33077949</f>
        <v>20.330779490000001</v>
      </c>
      <c r="EV83">
        <f>20.01446787</f>
        <v>20.014467870000001</v>
      </c>
      <c r="EW83">
        <f>19.76528542</f>
        <v>19.765285420000001</v>
      </c>
      <c r="EX83">
        <f>19.28615964</f>
        <v>19.286159640000001</v>
      </c>
      <c r="EY83">
        <f>20.44518988</f>
        <v>20.445189880000001</v>
      </c>
      <c r="EZ83">
        <f>20.21235351</f>
        <v>20.21235351</v>
      </c>
      <c r="FA83">
        <f>21.91544734</f>
        <v>21.91544734</v>
      </c>
      <c r="FB83">
        <f>22.81785648</f>
        <v>22.81785648</v>
      </c>
      <c r="FC83">
        <f>21.86619774</f>
        <v>21.86619774</v>
      </c>
      <c r="FD83">
        <f>21.21665163</f>
        <v>21.216651630000001</v>
      </c>
      <c r="FE83">
        <f>22.14712933</f>
        <v>22.147129329999999</v>
      </c>
      <c r="FF83">
        <f>22.19772689</f>
        <v>22.197726889999998</v>
      </c>
      <c r="FG83">
        <f>21.02246488</f>
        <v>21.022464880000001</v>
      </c>
      <c r="FH83">
        <f>22.10984858</f>
        <v>22.109848580000001</v>
      </c>
      <c r="FI83">
        <f>20.99865047</f>
        <v>20.998650470000001</v>
      </c>
      <c r="FJ83">
        <f>19.97678084</f>
        <v>19.97678084</v>
      </c>
      <c r="FK83">
        <f>21.27565516</f>
        <v>21.275655159999999</v>
      </c>
      <c r="FL83">
        <f>19.7639485</f>
        <v>19.763948500000001</v>
      </c>
      <c r="FM83">
        <f>24.16550004</f>
        <v>24.165500040000001</v>
      </c>
      <c r="FN83">
        <f>25.41603746</f>
        <v>25.416037459999998</v>
      </c>
      <c r="FO83">
        <f>24.38116787</f>
        <v>24.381167869999999</v>
      </c>
      <c r="FP83">
        <f>25.08375327</f>
        <v>25.083753269999999</v>
      </c>
      <c r="FQ83">
        <f>25.27712486</f>
        <v>25.277124860000001</v>
      </c>
    </row>
    <row r="84" spans="1:173">
      <c r="A84" t="str">
        <f>"    Apartment Investment &amp; Managem"</f>
        <v xml:space="preserve">    Apartment Investment &amp; Managem</v>
      </c>
      <c r="B84" t="str">
        <f>"AIV US Equity"</f>
        <v>AIV US Equity</v>
      </c>
      <c r="E84" t="str">
        <f t="shared" ref="E84:E91" si="30">"Expression"</f>
        <v>Expression</v>
      </c>
      <c r="F84">
        <f ca="1">IF(AND($B$252=1,LEN($F$221) * LEN($F$144)&gt;0),$F$221/$F$144,HLOOKUP(INDIRECT(ADDRESS(2,COLUMN())),OFFSET($CL$2,0,0,ROW()-1,84),ROW()-1,FALSE))</f>
        <v>18.53307302</v>
      </c>
      <c r="G84">
        <f ca="1">IF(AND($B$252=1,LEN($G$221) * LEN($G$144)&gt;0),$G$221/$G$144,HLOOKUP(INDIRECT(ADDRESS(2,COLUMN())),OFFSET($CL$2,0,0,ROW()-1,84),ROW()-1,FALSE))</f>
        <v>17.914163080000002</v>
      </c>
      <c r="H84">
        <f ca="1">IF(AND($B$252=1,LEN($H$221) * LEN($H$144)&gt;0),$H$221/$H$144,HLOOKUP(INDIRECT(ADDRESS(2,COLUMN())),OFFSET($CL$2,0,0,ROW()-1,84),ROW()-1,FALSE))</f>
        <v>18.669153510000001</v>
      </c>
      <c r="I84">
        <f ca="1">IF(AND($B$252=1,LEN($I$221) * LEN($I$144)&gt;0),$I$221/$I$144,HLOOKUP(INDIRECT(ADDRESS(2,COLUMN())),OFFSET($CL$2,0,0,ROW()-1,84),ROW()-1,FALSE))</f>
        <v>19.5308311</v>
      </c>
      <c r="J84">
        <f ca="1">IF(AND($B$252=1,LEN($J$221) * LEN($J$144)&gt;0),$J$221/$J$144,HLOOKUP(INDIRECT(ADDRESS(2,COLUMN())),OFFSET($CL$2,0,0,ROW()-1,84),ROW()-1,FALSE))</f>
        <v>19.752362980000001</v>
      </c>
      <c r="K84">
        <f ca="1">IF(AND($B$252=1,LEN($K$221) * LEN($K$144)&gt;0),$K$221/$K$144,HLOOKUP(INDIRECT(ADDRESS(2,COLUMN())),OFFSET($CL$2,0,0,ROW()-1,84),ROW()-1,FALSE))</f>
        <v>19.78905177</v>
      </c>
      <c r="L84">
        <f ca="1">IF(AND($B$252=1,LEN($L$221) * LEN($L$144)&gt;0),$L$221/$L$144,HLOOKUP(INDIRECT(ADDRESS(2,COLUMN())),OFFSET($CL$2,0,0,ROW()-1,84),ROW()-1,FALSE))</f>
        <v>19.837177749999999</v>
      </c>
      <c r="M84">
        <f ca="1">IF(AND($B$252=1,LEN($M$221) * LEN($M$144)&gt;0),$M$221/$M$144,HLOOKUP(INDIRECT(ADDRESS(2,COLUMN())),OFFSET($CL$2,0,0,ROW()-1,84),ROW()-1,FALSE))</f>
        <v>20.559147119999999</v>
      </c>
      <c r="N84">
        <f ca="1">IF(AND($B$252=1,LEN($N$221) * LEN($N$144)&gt;0),$N$221/$N$144,HLOOKUP(INDIRECT(ADDRESS(2,COLUMN())),OFFSET($CL$2,0,0,ROW()-1,84),ROW()-1,FALSE))</f>
        <v>20.324604690000001</v>
      </c>
      <c r="O84">
        <f ca="1">IF(AND($B$252=1,LEN($O$221) * LEN($O$144)&gt;0),$O$221/$O$144,HLOOKUP(INDIRECT(ADDRESS(2,COLUMN())),OFFSET($CL$2,0,0,ROW()-1,84),ROW()-1,FALSE))</f>
        <v>19.7381718</v>
      </c>
      <c r="P84">
        <f ca="1">IF(AND($B$252=1,LEN($P$221) * LEN($P$144)&gt;0),$P$221/$P$144,HLOOKUP(INDIRECT(ADDRESS(2,COLUMN())),OFFSET($CL$2,0,0,ROW()-1,84),ROW()-1,FALSE))</f>
        <v>19.818694959999998</v>
      </c>
      <c r="Q84">
        <f ca="1">IF(AND($B$252=1,LEN($Q$221) * LEN($Q$144)&gt;0),$Q$221/$Q$144,HLOOKUP(INDIRECT(ADDRESS(2,COLUMN())),OFFSET($CL$2,0,0,ROW()-1,84),ROW()-1,FALSE))</f>
        <v>20.135980010000001</v>
      </c>
      <c r="R84">
        <f ca="1">IF(AND($B$252=1,LEN($R$221) * LEN($R$144)&gt;0),$R$221/$R$144,HLOOKUP(INDIRECT(ADDRESS(2,COLUMN())),OFFSET($CL$2,0,0,ROW()-1,84),ROW()-1,FALSE))</f>
        <v>21.19221121</v>
      </c>
      <c r="S84">
        <f ca="1">IF(AND($B$252=1,LEN($S$221) * LEN($S$144)&gt;0),$S$221/$S$144,HLOOKUP(INDIRECT(ADDRESS(2,COLUMN())),OFFSET($CL$2,0,0,ROW()-1,84),ROW()-1,FALSE))</f>
        <v>22.459512060000002</v>
      </c>
      <c r="T84">
        <f ca="1">IF(AND($B$252=1,LEN($T$221) * LEN($T$144)&gt;0),$T$221/$T$144,HLOOKUP(INDIRECT(ADDRESS(2,COLUMN())),OFFSET($CL$2,0,0,ROW()-1,84),ROW()-1,FALSE))</f>
        <v>20.682547530000001</v>
      </c>
      <c r="U84">
        <f ca="1">IF(AND($B$252=1,LEN($U$221) * LEN($U$144)&gt;0),$U$221/$U$144,HLOOKUP(INDIRECT(ADDRESS(2,COLUMN())),OFFSET($CL$2,0,0,ROW()-1,84),ROW()-1,FALSE))</f>
        <v>21.348050730000001</v>
      </c>
      <c r="V84">
        <f ca="1">IF(AND($B$252=1,LEN($V$221) * LEN($V$144)&gt;0),$V$221/$V$144,HLOOKUP(INDIRECT(ADDRESS(2,COLUMN())),OFFSET($CL$2,0,0,ROW()-1,84),ROW()-1,FALSE))</f>
        <v>19.812585179999999</v>
      </c>
      <c r="W84">
        <f ca="1">IF(AND($B$252=1,LEN($W$221) * LEN($W$144)&gt;0),$W$221/$W$144,HLOOKUP(INDIRECT(ADDRESS(2,COLUMN())),OFFSET($CL$2,0,0,ROW()-1,84),ROW()-1,FALSE))</f>
        <v>20.86465952</v>
      </c>
      <c r="X84">
        <f ca="1">IF(AND($B$252=1,LEN($X$221) * LEN($X$144)&gt;0),$X$221/$X$144,HLOOKUP(INDIRECT(ADDRESS(2,COLUMN())),OFFSET($CL$2,0,0,ROW()-1,84),ROW()-1,FALSE))</f>
        <v>21.75313907</v>
      </c>
      <c r="Y84">
        <f ca="1">IF(AND($B$252=1,LEN($Y$221) * LEN($Y$144)&gt;0),$Y$221/$Y$144,HLOOKUP(INDIRECT(ADDRESS(2,COLUMN())),OFFSET($CL$2,0,0,ROW()-1,84),ROW()-1,FALSE))</f>
        <v>21.55534351</v>
      </c>
      <c r="Z84">
        <f ca="1">IF(AND($B$252=1,LEN($Z$221) * LEN($Z$144)&gt;0),$Z$221/$Z$144,HLOOKUP(INDIRECT(ADDRESS(2,COLUMN())),OFFSET($CL$2,0,0,ROW()-1,84),ROW()-1,FALSE))</f>
        <v>22.16202431</v>
      </c>
      <c r="AA84">
        <f ca="1">IF(AND($B$252=1,LEN($AA$221) * LEN($AA$144)&gt;0),$AA$221/$AA$144,HLOOKUP(INDIRECT(ADDRESS(2,COLUMN())),OFFSET($CL$2,0,0,ROW()-1,84),ROW()-1,FALSE))</f>
        <v>21.419757400000002</v>
      </c>
      <c r="AB84">
        <f ca="1">IF(AND($B$252=1,LEN($AB$221) * LEN($AB$144)&gt;0),$AB$221/$AB$144,HLOOKUP(INDIRECT(ADDRESS(2,COLUMN())),OFFSET($CL$2,0,0,ROW()-1,84),ROW()-1,FALSE))</f>
        <v>20.80103239</v>
      </c>
      <c r="AC84">
        <f ca="1">IF(AND($B$252=1,LEN($AC$221) * LEN($AC$144)&gt;0),$AC$221/$AC$144,HLOOKUP(INDIRECT(ADDRESS(2,COLUMN())),OFFSET($CL$2,0,0,ROW()-1,84),ROW()-1,FALSE))</f>
        <v>19.688483560000002</v>
      </c>
      <c r="AD84">
        <f ca="1">IF(AND($B$252=1,LEN($AD$221) * LEN($AD$144)&gt;0),$AD$221/$AD$144,HLOOKUP(INDIRECT(ADDRESS(2,COLUMN())),OFFSET($CL$2,0,0,ROW()-1,84),ROW()-1,FALSE))</f>
        <v>20.378667010000001</v>
      </c>
      <c r="AE84">
        <f ca="1">IF(AND($B$252=1,LEN($AE$221) * LEN($AE$144)&gt;0),$AE$221/$AE$144,HLOOKUP(INDIRECT(ADDRESS(2,COLUMN())),OFFSET($CL$2,0,0,ROW()-1,84),ROW()-1,FALSE))</f>
        <v>17.678133389999999</v>
      </c>
      <c r="AF84">
        <f ca="1">IF(AND($B$252=1,LEN($AF$221) * LEN($AF$144)&gt;0),$AF$221/$AF$144,HLOOKUP(INDIRECT(ADDRESS(2,COLUMN())),OFFSET($CL$2,0,0,ROW()-1,84),ROW()-1,FALSE))</f>
        <v>19.052522669999998</v>
      </c>
      <c r="AG84">
        <f ca="1">IF(AND($B$252=1,LEN($AG$221) * LEN($AG$144)&gt;0),$AG$221/$AG$144,HLOOKUP(INDIRECT(ADDRESS(2,COLUMN())),OFFSET($CL$2,0,0,ROW()-1,84),ROW()-1,FALSE))</f>
        <v>19.52682927</v>
      </c>
      <c r="AH84">
        <f ca="1">IF(AND($B$252=1,LEN($AH$221) * LEN($AH$144)&gt;0),$AH$221/$AH$144,HLOOKUP(INDIRECT(ADDRESS(2,COLUMN())),OFFSET($CL$2,0,0,ROW()-1,84),ROW()-1,FALSE))</f>
        <v>18.728183829999999</v>
      </c>
      <c r="AI84">
        <f ca="1">IF(AND($B$252=1,LEN($AI$221) * LEN($AI$144)&gt;0),$AI$221/$AI$144,HLOOKUP(INDIRECT(ADDRESS(2,COLUMN())),OFFSET($CL$2,0,0,ROW()-1,84),ROW()-1,FALSE))</f>
        <v>18.938982070000002</v>
      </c>
      <c r="AJ84">
        <f ca="1">IF(AND($B$252=1,LEN($AJ$221) * LEN($AJ$144)&gt;0),$AJ$221/$AJ$144,HLOOKUP(INDIRECT(ADDRESS(2,COLUMN())),OFFSET($CL$2,0,0,ROW()-1,84),ROW()-1,FALSE))</f>
        <v>18.252448820000001</v>
      </c>
      <c r="AK84">
        <f ca="1">IF(AND($B$252=1,LEN($AK$221) * LEN($AK$144)&gt;0),$AK$221/$AK$144,HLOOKUP(INDIRECT(ADDRESS(2,COLUMN())),OFFSET($CL$2,0,0,ROW()-1,84),ROW()-1,FALSE))</f>
        <v>18.197530329999999</v>
      </c>
      <c r="AL84">
        <f ca="1">IF(AND($B$252=1,LEN($AL$221) * LEN($AL$144)&gt;0),$AL$221/$AL$144,HLOOKUP(INDIRECT(ADDRESS(2,COLUMN())),OFFSET($CL$2,0,0,ROW()-1,84),ROW()-1,FALSE))</f>
        <v>20.05146268</v>
      </c>
      <c r="AM84">
        <f ca="1">IF(AND($B$252=1,LEN($AM$221) * LEN($AM$144)&gt;0),$AM$221/$AM$144,HLOOKUP(INDIRECT(ADDRESS(2,COLUMN())),OFFSET($CL$2,0,0,ROW()-1,84),ROW()-1,FALSE))</f>
        <v>19.01730044</v>
      </c>
      <c r="AN84">
        <f ca="1">IF(AND($B$252=1,LEN($AN$221) * LEN($AN$144)&gt;0),$AN$221/$AN$144,HLOOKUP(INDIRECT(ADDRESS(2,COLUMN())),OFFSET($CL$2,0,0,ROW()-1,84),ROW()-1,FALSE))</f>
        <v>19.683364050000002</v>
      </c>
      <c r="AO84">
        <f ca="1">IF(AND($B$252=1,LEN($AO$221) * LEN($AO$144)&gt;0),$AO$221/$AO$144,HLOOKUP(INDIRECT(ADDRESS(2,COLUMN())),OFFSET($CL$2,0,0,ROW()-1,84),ROW()-1,FALSE))</f>
        <v>19.835897769999999</v>
      </c>
      <c r="AP84">
        <f ca="1">IF(AND($B$252=1,LEN($AP$221) * LEN($AP$144)&gt;0),$AP$221/$AP$144,HLOOKUP(INDIRECT(ADDRESS(2,COLUMN())),OFFSET($CL$2,0,0,ROW()-1,84),ROW()-1,FALSE))</f>
        <v>20.757325980000001</v>
      </c>
      <c r="AQ84">
        <f ca="1">IF(AND($B$252=1,LEN($AQ$221) * LEN($AQ$144)&gt;0),$AQ$221/$AQ$144,HLOOKUP(INDIRECT(ADDRESS(2,COLUMN())),OFFSET($CL$2,0,0,ROW()-1,84),ROW()-1,FALSE))</f>
        <v>20.114859689999999</v>
      </c>
      <c r="AR84">
        <f ca="1">IF(AND($B$252=1,LEN($AR$221) * LEN($AR$144)&gt;0),$AR$221/$AR$144,HLOOKUP(INDIRECT(ADDRESS(2,COLUMN())),OFFSET($CL$2,0,0,ROW()-1,84),ROW()-1,FALSE))</f>
        <v>21.880516790000001</v>
      </c>
      <c r="AS84">
        <f ca="1">IF(AND($B$252=1,LEN($AS$221) * LEN($AS$144)&gt;0),$AS$221/$AS$144,HLOOKUP(INDIRECT(ADDRESS(2,COLUMN())),OFFSET($CL$2,0,0,ROW()-1,84),ROW()-1,FALSE))</f>
        <v>20.23420479</v>
      </c>
      <c r="AT84">
        <f ca="1">IF(AND($B$252=1,LEN($AT$221) * LEN($AT$144)&gt;0),$AT$221/$AT$144,HLOOKUP(INDIRECT(ADDRESS(2,COLUMN())),OFFSET($CL$2,0,0,ROW()-1,84),ROW()-1,FALSE))</f>
        <v>20.35711573</v>
      </c>
      <c r="AU84">
        <f ca="1">IF(AND($B$252=1,LEN($AU$221) * LEN($AU$144)&gt;0),$AU$221/$AU$144,HLOOKUP(INDIRECT(ADDRESS(2,COLUMN())),OFFSET($CL$2,0,0,ROW()-1,84),ROW()-1,FALSE))</f>
        <v>19.234417520000001</v>
      </c>
      <c r="AV84">
        <f ca="1">IF(AND($B$252=1,LEN($AV$221) * LEN($AV$144)&gt;0),$AV$221/$AV$144,HLOOKUP(INDIRECT(ADDRESS(2,COLUMN())),OFFSET($CL$2,0,0,ROW()-1,84),ROW()-1,FALSE))</f>
        <v>17.317167019999999</v>
      </c>
      <c r="AW84">
        <f ca="1">IF(AND($B$252=1,LEN($AW$221) * LEN($AW$144)&gt;0),$AW$221/$AW$144,HLOOKUP(INDIRECT(ADDRESS(2,COLUMN())),OFFSET($CL$2,0,0,ROW()-1,84),ROW()-1,FALSE))</f>
        <v>18.568336299999999</v>
      </c>
      <c r="AX84">
        <f ca="1">IF(AND($B$252=1,LEN($AX$221) * LEN($AX$144)&gt;0),$AX$221/$AX$144,HLOOKUP(INDIRECT(ADDRESS(2,COLUMN())),OFFSET($CL$2,0,0,ROW()-1,84),ROW()-1,FALSE))</f>
        <v>20.165869879999999</v>
      </c>
      <c r="AY84">
        <f ca="1">IF(AND($B$252=1,LEN($AY$221) * LEN($AY$144)&gt;0),$AY$221/$AY$144,HLOOKUP(INDIRECT(ADDRESS(2,COLUMN())),OFFSET($CL$2,0,0,ROW()-1,84),ROW()-1,FALSE))</f>
        <v>19.443800070000002</v>
      </c>
      <c r="AZ84">
        <f ca="1">IF(AND($B$252=1,LEN($AZ$221) * LEN($AZ$144)&gt;0),$AZ$221/$AZ$144,HLOOKUP(INDIRECT(ADDRESS(2,COLUMN())),OFFSET($CL$2,0,0,ROW()-1,84),ROW()-1,FALSE))</f>
        <v>18.63399995</v>
      </c>
      <c r="BA84">
        <f ca="1">IF(AND($B$252=1,LEN($BA$221) * LEN($BA$144)&gt;0),$BA$221/$BA$144,HLOOKUP(INDIRECT(ADDRESS(2,COLUMN())),OFFSET($CL$2,0,0,ROW()-1,84),ROW()-1,FALSE))</f>
        <v>18.445846209999999</v>
      </c>
      <c r="BB84">
        <f ca="1">IF(AND($B$252=1,LEN($BB$221) * LEN($BB$144)&gt;0),$BB$221/$BB$144,HLOOKUP(INDIRECT(ADDRESS(2,COLUMN())),OFFSET($CL$2,0,0,ROW()-1,84),ROW()-1,FALSE))</f>
        <v>17.41725507</v>
      </c>
      <c r="BC84">
        <f ca="1">IF(AND($B$252=1,LEN($BC$221) * LEN($BC$144)&gt;0),$BC$221/$BC$144,HLOOKUP(INDIRECT(ADDRESS(2,COLUMN())),OFFSET($CL$2,0,0,ROW()-1,84),ROW()-1,FALSE))</f>
        <v>17.200590890000001</v>
      </c>
      <c r="BD84">
        <f ca="1">IF(AND($B$252=1,LEN($BD$221) * LEN($BD$144)&gt;0),$BD$221/$BD$144,HLOOKUP(INDIRECT(ADDRESS(2,COLUMN())),OFFSET($CL$2,0,0,ROW()-1,84),ROW()-1,FALSE))</f>
        <v>15.550188690000001</v>
      </c>
      <c r="BE84">
        <f ca="1">IF(AND($B$252=1,LEN($BE$221) * LEN($BE$144)&gt;0),$BE$221/$BE$144,HLOOKUP(INDIRECT(ADDRESS(2,COLUMN())),OFFSET($CL$2,0,0,ROW()-1,84),ROW()-1,FALSE))</f>
        <v>15.331360950000001</v>
      </c>
      <c r="BF84">
        <f ca="1">IF(AND($B$252=1,LEN($BF$221) * LEN($BF$144)&gt;0),$BF$221/$BF$144,HLOOKUP(INDIRECT(ADDRESS(2,COLUMN())),OFFSET($CL$2,0,0,ROW()-1,84),ROW()-1,FALSE))</f>
        <v>14.144948830000001</v>
      </c>
      <c r="BG84">
        <f ca="1">IF(AND($B$252=1,LEN($BG$221) * LEN($BG$144)&gt;0),$BG$221/$BG$144,HLOOKUP(INDIRECT(ADDRESS(2,COLUMN())),OFFSET($CL$2,0,0,ROW()-1,84),ROW()-1,FALSE))</f>
        <v>16.225764290000001</v>
      </c>
      <c r="BH84">
        <f ca="1">IF(AND($B$252=1,LEN($BH$221) * LEN($BH$144)&gt;0),$BH$221/$BH$144,HLOOKUP(INDIRECT(ADDRESS(2,COLUMN())),OFFSET($CL$2,0,0,ROW()-1,84),ROW()-1,FALSE))</f>
        <v>16.170703360000001</v>
      </c>
      <c r="BI84">
        <f ca="1">IF(AND($B$252=1,LEN($BI$221) * LEN($BI$144)&gt;0),$BI$221/$BI$144,HLOOKUP(INDIRECT(ADDRESS(2,COLUMN())),OFFSET($CL$2,0,0,ROW()-1,84),ROW()-1,FALSE))</f>
        <v>16.048052049999999</v>
      </c>
      <c r="BJ84">
        <f ca="1">IF(AND($B$252=1,LEN($BJ$221) * LEN($BJ$144)&gt;0),$BJ$221/$BJ$144,HLOOKUP(INDIRECT(ADDRESS(2,COLUMN())),OFFSET($CL$2,0,0,ROW()-1,84),ROW()-1,FALSE))</f>
        <v>17.03358248</v>
      </c>
      <c r="BK84">
        <f ca="1">IF(AND($B$252=1,LEN($BK$221) * LEN($BK$144)&gt;0),$BK$221/$BK$144,HLOOKUP(INDIRECT(ADDRESS(2,COLUMN())),OFFSET($CL$2,0,0,ROW()-1,84),ROW()-1,FALSE))</f>
        <v>17.541841439999999</v>
      </c>
      <c r="BL84">
        <f ca="1">IF(AND($B$252=1,LEN($BL$221) * LEN($BL$144)&gt;0),$BL$221/$BL$144,HLOOKUP(INDIRECT(ADDRESS(2,COLUMN())),OFFSET($CL$2,0,0,ROW()-1,84),ROW()-1,FALSE))</f>
        <v>17.828882790000002</v>
      </c>
      <c r="BM84">
        <f ca="1">IF(AND($B$252=1,LEN($BM$221) * LEN($BM$144)&gt;0),$BM$221/$BM$144,HLOOKUP(INDIRECT(ADDRESS(2,COLUMN())),OFFSET($CL$2,0,0,ROW()-1,84),ROW()-1,FALSE))</f>
        <v>18.005545779999999</v>
      </c>
      <c r="BN84">
        <f ca="1">IF(AND($B$252=1,LEN($BN$221) * LEN($BN$144)&gt;0),$BN$221/$BN$144,HLOOKUP(INDIRECT(ADDRESS(2,COLUMN())),OFFSET($CL$2,0,0,ROW()-1,84),ROW()-1,FALSE))</f>
        <v>17.870454939999998</v>
      </c>
      <c r="BO84">
        <f ca="1">IF(AND($B$252=1,LEN($BO$221) * LEN($BO$144)&gt;0),$BO$221/$BO$144,HLOOKUP(INDIRECT(ADDRESS(2,COLUMN())),OFFSET($CL$2,0,0,ROW()-1,84),ROW()-1,FALSE))</f>
        <v>18.013963560000001</v>
      </c>
      <c r="BP84">
        <f ca="1">IF(AND($B$252=1,LEN($BP$221) * LEN($BP$144)&gt;0),$BP$221/$BP$144,HLOOKUP(INDIRECT(ADDRESS(2,COLUMN())),OFFSET($CL$2,0,0,ROW()-1,84),ROW()-1,FALSE))</f>
        <v>16.277626619999999</v>
      </c>
      <c r="BQ84">
        <f ca="1">IF(AND($B$252=1,LEN($BQ$221) * LEN($BQ$144)&gt;0),$BQ$221/$BQ$144,HLOOKUP(INDIRECT(ADDRESS(2,COLUMN())),OFFSET($CL$2,0,0,ROW()-1,84),ROW()-1,FALSE))</f>
        <v>16.350453170000002</v>
      </c>
      <c r="BR84">
        <f ca="1">IF(AND($B$252=1,LEN($BR$221) * LEN($BR$144)&gt;0),$BR$221/$BR$144,HLOOKUP(INDIRECT(ADDRESS(2,COLUMN())),OFFSET($CL$2,0,0,ROW()-1,84),ROW()-1,FALSE))</f>
        <v>15.34517775</v>
      </c>
      <c r="BS84">
        <f ca="1">IF(AND($B$252=1,LEN($BS$221) * LEN($BS$144)&gt;0),$BS$221/$BS$144,HLOOKUP(INDIRECT(ADDRESS(2,COLUMN())),OFFSET($CL$2,0,0,ROW()-1,84),ROW()-1,FALSE))</f>
        <v>17.071657470000002</v>
      </c>
      <c r="BT84">
        <f ca="1">IF(AND($B$252=1,LEN($BT$221) * LEN($BT$144)&gt;0),$BT$221/$BT$144,HLOOKUP(INDIRECT(ADDRESS(2,COLUMN())),OFFSET($CL$2,0,0,ROW()-1,84),ROW()-1,FALSE))</f>
        <v>17.103095010000001</v>
      </c>
      <c r="BU84">
        <f ca="1">IF(AND($B$252=1,LEN($BU$221) * LEN($BU$144)&gt;0),$BU$221/$BU$144,HLOOKUP(INDIRECT(ADDRESS(2,COLUMN())),OFFSET($CL$2,0,0,ROW()-1,84),ROW()-1,FALSE))</f>
        <v>17.691523440000001</v>
      </c>
      <c r="BV84">
        <f ca="1">IF(AND($B$252=1,LEN($BV$221) * LEN($BV$144)&gt;0),$BV$221/$BV$144,HLOOKUP(INDIRECT(ADDRESS(2,COLUMN())),OFFSET($CL$2,0,0,ROW()-1,84),ROW()-1,FALSE))</f>
        <v>18.89262884</v>
      </c>
      <c r="BW84">
        <f ca="1">IF(AND($B$252=1,LEN($BW$221) * LEN($BW$144)&gt;0),$BW$221/$BW$144,HLOOKUP(INDIRECT(ADDRESS(2,COLUMN())),OFFSET($CL$2,0,0,ROW()-1,84),ROW()-1,FALSE))</f>
        <v>19.384514759999998</v>
      </c>
      <c r="BX84">
        <f ca="1">IF(AND($B$252=1,LEN($BX$221) * LEN($BX$144)&gt;0),$BX$221/$BX$144,HLOOKUP(INDIRECT(ADDRESS(2,COLUMN())),OFFSET($CL$2,0,0,ROW()-1,84),ROW()-1,FALSE))</f>
        <v>19.65271254</v>
      </c>
      <c r="BY84">
        <f ca="1">IF(AND($B$252=1,LEN($BY$221) * LEN($BY$144)&gt;0),$BY$221/$BY$144,HLOOKUP(INDIRECT(ADDRESS(2,COLUMN())),OFFSET($CL$2,0,0,ROW()-1,84),ROW()-1,FALSE))</f>
        <v>21.23089122</v>
      </c>
      <c r="BZ84">
        <f ca="1">IF(AND($B$252=1,LEN($BZ$221) * LEN($BZ$144)&gt;0),$BZ$221/$BZ$144,HLOOKUP(INDIRECT(ADDRESS(2,COLUMN())),OFFSET($CL$2,0,0,ROW()-1,84),ROW()-1,FALSE))</f>
        <v>20.962363790000001</v>
      </c>
      <c r="CA84">
        <f ca="1">IF(AND($B$252=1,LEN($CA$221) * LEN($CA$144)&gt;0),$CA$221/$CA$144,HLOOKUP(INDIRECT(ADDRESS(2,COLUMN())),OFFSET($CL$2,0,0,ROW()-1,84),ROW()-1,FALSE))</f>
        <v>20.087563660000001</v>
      </c>
      <c r="CB84">
        <f ca="1">IF(AND($B$252=1,LEN($CB$221) * LEN($CB$144)&gt;0),$CB$221/$CB$144,HLOOKUP(INDIRECT(ADDRESS(2,COLUMN())),OFFSET($CL$2,0,0,ROW()-1,84),ROW()-1,FALSE))</f>
        <v>19.701477690000001</v>
      </c>
      <c r="CC84">
        <f ca="1">IF(AND($B$252=1,LEN($CC$221) * LEN($CC$144)&gt;0),$CC$221/$CC$144,HLOOKUP(INDIRECT(ADDRESS(2,COLUMN())),OFFSET($CL$2,0,0,ROW()-1,84),ROW()-1,FALSE))</f>
        <v>18.505654280000002</v>
      </c>
      <c r="CD84">
        <f ca="1">IF(AND($B$252=1,LEN($CD$221) * LEN($CD$144)&gt;0),$CD$221/$CD$144,HLOOKUP(INDIRECT(ADDRESS(2,COLUMN())),OFFSET($CL$2,0,0,ROW()-1,84),ROW()-1,FALSE))</f>
        <v>17.852795589999999</v>
      </c>
      <c r="CE84">
        <f ca="1">IF(AND($B$252=1,LEN($CE$221) * LEN($CE$144)&gt;0),$CE$221/$CE$144,HLOOKUP(INDIRECT(ADDRESS(2,COLUMN())),OFFSET($CL$2,0,0,ROW()-1,84),ROW()-1,FALSE))</f>
        <v>19.549156979999999</v>
      </c>
      <c r="CF84">
        <f ca="1">IF(AND($B$252=1,LEN($CF$221) * LEN($CF$144)&gt;0),$CF$221/$CF$144,HLOOKUP(INDIRECT(ADDRESS(2,COLUMN())),OFFSET($CL$2,0,0,ROW()-1,84),ROW()-1,FALSE))</f>
        <v>17.674790250000001</v>
      </c>
      <c r="CG84">
        <f ca="1">IF(AND($B$252=1,LEN($CG$221) * LEN($CG$144)&gt;0),$CG$221/$CG$144,HLOOKUP(INDIRECT(ADDRESS(2,COLUMN())),OFFSET($CL$2,0,0,ROW()-1,84),ROW()-1,FALSE))</f>
        <v>20.90963606</v>
      </c>
      <c r="CH84">
        <f ca="1">IF(AND($B$252=1,LEN($CH$221) * LEN($CH$144)&gt;0),$CH$221/$CH$144,HLOOKUP(INDIRECT(ADDRESS(2,COLUMN())),OFFSET($CL$2,0,0,ROW()-1,84),ROW()-1,FALSE))</f>
        <v>22.81508002</v>
      </c>
      <c r="CI84">
        <f ca="1">IF(AND($B$252=1,LEN($CI$221) * LEN($CI$144)&gt;0),$CI$221/$CI$144,HLOOKUP(INDIRECT(ADDRESS(2,COLUMN())),OFFSET($CL$2,0,0,ROW()-1,84),ROW()-1,FALSE))</f>
        <v>20.831497420000002</v>
      </c>
      <c r="CJ84">
        <f ca="1">IF(AND($B$252=1,LEN($CJ$221) * LEN($CJ$144)&gt;0),$CJ$221/$CJ$144,HLOOKUP(INDIRECT(ADDRESS(2,COLUMN())),OFFSET($CL$2,0,0,ROW()-1,84),ROW()-1,FALSE))</f>
        <v>25.083753269999999</v>
      </c>
      <c r="CK84">
        <f ca="1">IF(AND($B$252=1,LEN($CK$221) * LEN($CK$144)&gt;0),$CK$221/$CK$144,HLOOKUP(INDIRECT(ADDRESS(2,COLUMN())),OFFSET($CL$2,0,0,ROW()-1,84),ROW()-1,FALSE))</f>
        <v>25.277124860000001</v>
      </c>
      <c r="CL84">
        <f>18.53307302</f>
        <v>18.53307302</v>
      </c>
      <c r="CM84">
        <f>17.91416308</f>
        <v>17.914163080000002</v>
      </c>
      <c r="CN84">
        <f>18.66915351</f>
        <v>18.669153510000001</v>
      </c>
      <c r="CO84">
        <f>19.5308311</f>
        <v>19.5308311</v>
      </c>
      <c r="CP84">
        <f>19.75236298</f>
        <v>19.752362980000001</v>
      </c>
      <c r="CQ84">
        <f>19.78905177</f>
        <v>19.78905177</v>
      </c>
      <c r="CR84">
        <f>19.83717775</f>
        <v>19.837177749999999</v>
      </c>
      <c r="CS84">
        <f>20.55914712</f>
        <v>20.559147119999999</v>
      </c>
      <c r="CT84">
        <f>20.32460469</f>
        <v>20.324604690000001</v>
      </c>
      <c r="CU84">
        <f>19.7381718</f>
        <v>19.7381718</v>
      </c>
      <c r="CV84">
        <f>19.81869496</f>
        <v>19.818694959999998</v>
      </c>
      <c r="CW84">
        <f>20.13598001</f>
        <v>20.135980010000001</v>
      </c>
      <c r="CX84">
        <f>21.19221121</f>
        <v>21.19221121</v>
      </c>
      <c r="CY84">
        <f>22.45951206</f>
        <v>22.459512060000002</v>
      </c>
      <c r="CZ84">
        <f>20.68254753</f>
        <v>20.682547530000001</v>
      </c>
      <c r="DA84">
        <f>21.34805073</f>
        <v>21.348050730000001</v>
      </c>
      <c r="DB84">
        <f>19.81258518</f>
        <v>19.812585179999999</v>
      </c>
      <c r="DC84">
        <f>20.86465952</f>
        <v>20.86465952</v>
      </c>
      <c r="DD84">
        <f>21.75313907</f>
        <v>21.75313907</v>
      </c>
      <c r="DE84">
        <f>21.55534351</f>
        <v>21.55534351</v>
      </c>
      <c r="DF84">
        <f>22.16202431</f>
        <v>22.16202431</v>
      </c>
      <c r="DG84">
        <f>21.4197574</f>
        <v>21.419757400000002</v>
      </c>
      <c r="DH84">
        <f>20.80103239</f>
        <v>20.80103239</v>
      </c>
      <c r="DI84">
        <f>19.68848356</f>
        <v>19.688483560000002</v>
      </c>
      <c r="DJ84">
        <f>20.37866701</f>
        <v>20.378667010000001</v>
      </c>
      <c r="DK84">
        <f>17.67813339</f>
        <v>17.678133389999999</v>
      </c>
      <c r="DL84">
        <f>19.05252267</f>
        <v>19.052522669999998</v>
      </c>
      <c r="DM84">
        <f>19.52682927</f>
        <v>19.52682927</v>
      </c>
      <c r="DN84">
        <f>18.72818383</f>
        <v>18.728183829999999</v>
      </c>
      <c r="DO84">
        <f>18.93898207</f>
        <v>18.938982070000002</v>
      </c>
      <c r="DP84">
        <f>18.25244882</f>
        <v>18.252448820000001</v>
      </c>
      <c r="DQ84">
        <f>18.19753033</f>
        <v>18.197530329999999</v>
      </c>
      <c r="DR84">
        <f>20.05146268</f>
        <v>20.05146268</v>
      </c>
      <c r="DS84">
        <f>19.01730044</f>
        <v>19.01730044</v>
      </c>
      <c r="DT84">
        <f>19.68336405</f>
        <v>19.683364050000002</v>
      </c>
      <c r="DU84">
        <f>19.83589777</f>
        <v>19.835897769999999</v>
      </c>
      <c r="DV84">
        <f>20.75732598</f>
        <v>20.757325980000001</v>
      </c>
      <c r="DW84">
        <f>20.11485969</f>
        <v>20.114859689999999</v>
      </c>
      <c r="DX84">
        <f>21.88051679</f>
        <v>21.880516790000001</v>
      </c>
      <c r="DY84">
        <f>20.23420479</f>
        <v>20.23420479</v>
      </c>
      <c r="DZ84">
        <f>20.35711573</f>
        <v>20.35711573</v>
      </c>
      <c r="EA84">
        <f>19.23441752</f>
        <v>19.234417520000001</v>
      </c>
      <c r="EB84">
        <f>17.31716702</f>
        <v>17.317167019999999</v>
      </c>
      <c r="EC84">
        <f>18.5683363</f>
        <v>18.568336299999999</v>
      </c>
      <c r="ED84">
        <f>20.16586988</f>
        <v>20.165869879999999</v>
      </c>
      <c r="EE84">
        <f>19.44380007</f>
        <v>19.443800070000002</v>
      </c>
      <c r="EF84">
        <f>18.63399995</f>
        <v>18.63399995</v>
      </c>
      <c r="EG84">
        <f>18.44584621</f>
        <v>18.445846209999999</v>
      </c>
      <c r="EH84">
        <f>17.41725507</f>
        <v>17.41725507</v>
      </c>
      <c r="EI84">
        <f>17.20059089</f>
        <v>17.200590890000001</v>
      </c>
      <c r="EJ84">
        <f>15.55018869</f>
        <v>15.550188690000001</v>
      </c>
      <c r="EK84">
        <f>15.33136095</f>
        <v>15.331360950000001</v>
      </c>
      <c r="EL84">
        <f>14.14494883</f>
        <v>14.144948830000001</v>
      </c>
      <c r="EM84">
        <f>16.22576429</f>
        <v>16.225764290000001</v>
      </c>
      <c r="EN84">
        <f>16.17070336</f>
        <v>16.170703360000001</v>
      </c>
      <c r="EO84">
        <f>16.04805205</f>
        <v>16.048052049999999</v>
      </c>
      <c r="EP84">
        <f>17.03358248</f>
        <v>17.03358248</v>
      </c>
      <c r="EQ84">
        <f>17.54184144</f>
        <v>17.541841439999999</v>
      </c>
      <c r="ER84">
        <f>17.82888279</f>
        <v>17.828882790000002</v>
      </c>
      <c r="ES84">
        <f>18.00554578</f>
        <v>18.005545779999999</v>
      </c>
      <c r="ET84">
        <f>17.87045494</f>
        <v>17.870454939999998</v>
      </c>
      <c r="EU84">
        <f>18.01396356</f>
        <v>18.013963560000001</v>
      </c>
      <c r="EV84">
        <f>16.27762662</f>
        <v>16.277626619999999</v>
      </c>
      <c r="EW84">
        <f>16.35045317</f>
        <v>16.350453170000002</v>
      </c>
      <c r="EX84">
        <f>15.34517775</f>
        <v>15.34517775</v>
      </c>
      <c r="EY84">
        <f>17.07165747</f>
        <v>17.071657470000002</v>
      </c>
      <c r="EZ84">
        <f>17.10309501</f>
        <v>17.103095010000001</v>
      </c>
      <c r="FA84">
        <f>17.69152344</f>
        <v>17.691523440000001</v>
      </c>
      <c r="FB84">
        <f>18.89262884</f>
        <v>18.89262884</v>
      </c>
      <c r="FC84">
        <f>19.38451476</f>
        <v>19.384514759999998</v>
      </c>
      <c r="FD84">
        <f>19.65271254</f>
        <v>19.65271254</v>
      </c>
      <c r="FE84">
        <f>21.23089122</f>
        <v>21.23089122</v>
      </c>
      <c r="FF84">
        <f>20.96236379</f>
        <v>20.962363790000001</v>
      </c>
      <c r="FG84">
        <f>20.08756366</f>
        <v>20.087563660000001</v>
      </c>
      <c r="FH84">
        <f>19.70147769</f>
        <v>19.701477690000001</v>
      </c>
      <c r="FI84">
        <f>18.50565428</f>
        <v>18.505654280000002</v>
      </c>
      <c r="FJ84">
        <f>17.85279559</f>
        <v>17.852795589999999</v>
      </c>
      <c r="FK84">
        <f>19.54915698</f>
        <v>19.549156979999999</v>
      </c>
      <c r="FL84">
        <f>17.67479025</f>
        <v>17.674790250000001</v>
      </c>
      <c r="FM84">
        <f>20.90963606</f>
        <v>20.90963606</v>
      </c>
      <c r="FN84">
        <f>22.81508002</f>
        <v>22.81508002</v>
      </c>
      <c r="FO84">
        <f>20.83149742</f>
        <v>20.831497420000002</v>
      </c>
      <c r="FP84">
        <f>25.08375327</f>
        <v>25.083753269999999</v>
      </c>
      <c r="FQ84">
        <f>25.27712486</f>
        <v>25.277124860000001</v>
      </c>
    </row>
    <row r="85" spans="1:173">
      <c r="A85" t="str">
        <f>"    AvalonBay Communities Inc"</f>
        <v xml:space="preserve">    AvalonBay Communities Inc</v>
      </c>
      <c r="B85" t="str">
        <f>"AVB US Equity"</f>
        <v>AVB US Equity</v>
      </c>
      <c r="E85" t="str">
        <f t="shared" si="30"/>
        <v>Expression</v>
      </c>
      <c r="F85">
        <f ca="1">IF(AND($B$252=1,LEN($F$222) * LEN($F$145)&gt;0),$F$222/$F$145,HLOOKUP(INDIRECT(ADDRESS(2,COLUMN())),OFFSET($CL$2,0,0,ROW()-1,84),ROW()-1,FALSE))</f>
        <v>18.908025810000002</v>
      </c>
      <c r="G85">
        <f ca="1">IF(AND($B$252=1,LEN($G$222) * LEN($G$145)&gt;0),$G$222/$G$145,HLOOKUP(INDIRECT(ADDRESS(2,COLUMN())),OFFSET($CL$2,0,0,ROW()-1,84),ROW()-1,FALSE))</f>
        <v>18.280139089999999</v>
      </c>
      <c r="H85">
        <f ca="1">IF(AND($B$252=1,LEN($H$222) * LEN($H$145)&gt;0),$H$222/$H$145,HLOOKUP(INDIRECT(ADDRESS(2,COLUMN())),OFFSET($CL$2,0,0,ROW()-1,84),ROW()-1,FALSE))</f>
        <v>19.846668180000002</v>
      </c>
      <c r="I85">
        <f ca="1">IF(AND($B$252=1,LEN($I$222) * LEN($I$145)&gt;0),$I$222/$I$145,HLOOKUP(INDIRECT(ADDRESS(2,COLUMN())),OFFSET($CL$2,0,0,ROW()-1,84),ROW()-1,FALSE))</f>
        <v>20.905788609999998</v>
      </c>
      <c r="J85">
        <f ca="1">IF(AND($B$252=1,LEN($J$222) * LEN($J$145)&gt;0),$J$222/$J$145,HLOOKUP(INDIRECT(ADDRESS(2,COLUMN())),OFFSET($CL$2,0,0,ROW()-1,84),ROW()-1,FALSE))</f>
        <v>21.348241590000001</v>
      </c>
      <c r="K85">
        <f ca="1">IF(AND($B$252=1,LEN($K$222) * LEN($K$145)&gt;0),$K$222/$K$145,HLOOKUP(INDIRECT(ADDRESS(2,COLUMN())),OFFSET($CL$2,0,0,ROW()-1,84),ROW()-1,FALSE))</f>
        <v>21.411589719999998</v>
      </c>
      <c r="L85">
        <f ca="1">IF(AND($B$252=1,LEN($L$222) * LEN($L$145)&gt;0),$L$222/$L$145,HLOOKUP(INDIRECT(ADDRESS(2,COLUMN())),OFFSET($CL$2,0,0,ROW()-1,84),ROW()-1,FALSE))</f>
        <v>21.166142709999999</v>
      </c>
      <c r="M85">
        <f ca="1">IF(AND($B$252=1,LEN($M$222) * LEN($M$145)&gt;0),$M$222/$M$145,HLOOKUP(INDIRECT(ADDRESS(2,COLUMN())),OFFSET($CL$2,0,0,ROW()-1,84),ROW()-1,FALSE))</f>
        <v>22.267514540000001</v>
      </c>
      <c r="N85">
        <f ca="1">IF(AND($B$252=1,LEN($N$222) * LEN($N$145)&gt;0),$N$222/$N$145,HLOOKUP(INDIRECT(ADDRESS(2,COLUMN())),OFFSET($CL$2,0,0,ROW()-1,84),ROW()-1,FALSE))</f>
        <v>22.847245470000001</v>
      </c>
      <c r="O85">
        <f ca="1">IF(AND($B$252=1,LEN($O$222) * LEN($O$145)&gt;0),$O$222/$O$145,HLOOKUP(INDIRECT(ADDRESS(2,COLUMN())),OFFSET($CL$2,0,0,ROW()-1,84),ROW()-1,FALSE))</f>
        <v>22.934717750000001</v>
      </c>
      <c r="P85">
        <f ca="1">IF(AND($B$252=1,LEN($P$222) * LEN($P$145)&gt;0),$P$222/$P$145,HLOOKUP(INDIRECT(ADDRESS(2,COLUMN())),OFFSET($CL$2,0,0,ROW()-1,84),ROW()-1,FALSE))</f>
        <v>22.932215419999999</v>
      </c>
      <c r="Q85">
        <f ca="1">IF(AND($B$252=1,LEN($Q$222) * LEN($Q$145)&gt;0),$Q$222/$Q$145,HLOOKUP(INDIRECT(ADDRESS(2,COLUMN())),OFFSET($CL$2,0,0,ROW()-1,84),ROW()-1,FALSE))</f>
        <v>23.019385809999999</v>
      </c>
      <c r="R85">
        <f ca="1">IF(AND($B$252=1,LEN($R$222) * LEN($R$145)&gt;0),$R$222/$R$145,HLOOKUP(INDIRECT(ADDRESS(2,COLUMN())),OFFSET($CL$2,0,0,ROW()-1,84),ROW()-1,FALSE))</f>
        <v>22.21482803</v>
      </c>
      <c r="S85">
        <f ca="1">IF(AND($B$252=1,LEN($S$222) * LEN($S$145)&gt;0),$S$222/$S$145,HLOOKUP(INDIRECT(ADDRESS(2,COLUMN())),OFFSET($CL$2,0,0,ROW()-1,84),ROW()-1,FALSE))</f>
        <v>22.380864639999999</v>
      </c>
      <c r="T85">
        <f ca="1">IF(AND($B$252=1,LEN($T$222) * LEN($T$145)&gt;0),$T$222/$T$145,HLOOKUP(INDIRECT(ADDRESS(2,COLUMN())),OFFSET($CL$2,0,0,ROW()-1,84),ROW()-1,FALSE))</f>
        <v>21.19967325</v>
      </c>
      <c r="U85">
        <f ca="1">IF(AND($B$252=1,LEN($U$222) * LEN($U$145)&gt;0),$U$222/$U$145,HLOOKUP(INDIRECT(ADDRESS(2,COLUMN())),OFFSET($CL$2,0,0,ROW()-1,84),ROW()-1,FALSE))</f>
        <v>21.728198209999999</v>
      </c>
      <c r="V85">
        <f ca="1">IF(AND($B$252=1,LEN($V$222) * LEN($V$145)&gt;0),$V$222/$V$145,HLOOKUP(INDIRECT(ADDRESS(2,COLUMN())),OFFSET($CL$2,0,0,ROW()-1,84),ROW()-1,FALSE))</f>
        <v>20.150358990000001</v>
      </c>
      <c r="W85">
        <f ca="1">IF(AND($B$252=1,LEN($W$222) * LEN($W$145)&gt;0),$W$222/$W$145,HLOOKUP(INDIRECT(ADDRESS(2,COLUMN())),OFFSET($CL$2,0,0,ROW()-1,84),ROW()-1,FALSE))</f>
        <v>21.110106999999999</v>
      </c>
      <c r="X85">
        <f ca="1">IF(AND($B$252=1,LEN($X$222) * LEN($X$145)&gt;0),$X$222/$X$145,HLOOKUP(INDIRECT(ADDRESS(2,COLUMN())),OFFSET($CL$2,0,0,ROW()-1,84),ROW()-1,FALSE))</f>
        <v>21.79278231</v>
      </c>
      <c r="Y85">
        <f ca="1">IF(AND($B$252=1,LEN($Y$222) * LEN($Y$145)&gt;0),$Y$222/$Y$145,HLOOKUP(INDIRECT(ADDRESS(2,COLUMN())),OFFSET($CL$2,0,0,ROW()-1,84),ROW()-1,FALSE))</f>
        <v>21.608840600000001</v>
      </c>
      <c r="Z85">
        <f ca="1">IF(AND($B$252=1,LEN($Z$222) * LEN($Z$145)&gt;0),$Z$222/$Z$145,HLOOKUP(INDIRECT(ADDRESS(2,COLUMN())),OFFSET($CL$2,0,0,ROW()-1,84),ROW()-1,FALSE))</f>
        <v>22.86178576</v>
      </c>
      <c r="AA85">
        <f ca="1">IF(AND($B$252=1,LEN($AA$222) * LEN($AA$145)&gt;0),$AA$222/$AA$145,HLOOKUP(INDIRECT(ADDRESS(2,COLUMN())),OFFSET($CL$2,0,0,ROW()-1,84),ROW()-1,FALSE))</f>
        <v>22.231114609999999</v>
      </c>
      <c r="AB85">
        <f ca="1">IF(AND($B$252=1,LEN($AB$222) * LEN($AB$145)&gt;0),$AB$222/$AB$145,HLOOKUP(INDIRECT(ADDRESS(2,COLUMN())),OFFSET($CL$2,0,0,ROW()-1,84),ROW()-1,FALSE))</f>
        <v>22.378987939999998</v>
      </c>
      <c r="AC85">
        <f ca="1">IF(AND($B$252=1,LEN($AC$222) * LEN($AC$145)&gt;0),$AC$222/$AC$145,HLOOKUP(INDIRECT(ADDRESS(2,COLUMN())),OFFSET($CL$2,0,0,ROW()-1,84),ROW()-1,FALSE))</f>
        <v>22.27761418</v>
      </c>
      <c r="AD85">
        <f ca="1">IF(AND($B$252=1,LEN($AD$222) * LEN($AD$145)&gt;0),$AD$222/$AD$145,HLOOKUP(INDIRECT(ADDRESS(2,COLUMN())),OFFSET($CL$2,0,0,ROW()-1,84),ROW()-1,FALSE))</f>
        <v>23.803042959999999</v>
      </c>
      <c r="AE85">
        <f ca="1">IF(AND($B$252=1,LEN($AE$222) * LEN($AE$145)&gt;0),$AE$222/$AE$145,HLOOKUP(INDIRECT(ADDRESS(2,COLUMN())),OFFSET($CL$2,0,0,ROW()-1,84),ROW()-1,FALSE))</f>
        <v>21.78220134</v>
      </c>
      <c r="AF85">
        <f ca="1">IF(AND($B$252=1,LEN($AF$222) * LEN($AF$145)&gt;0),$AF$222/$AF$145,HLOOKUP(INDIRECT(ADDRESS(2,COLUMN())),OFFSET($CL$2,0,0,ROW()-1,84),ROW()-1,FALSE))</f>
        <v>21.917161839999999</v>
      </c>
      <c r="AG85">
        <f ca="1">IF(AND($B$252=1,LEN($AG$222) * LEN($AG$145)&gt;0),$AG$222/$AG$145,HLOOKUP(INDIRECT(ADDRESS(2,COLUMN())),OFFSET($CL$2,0,0,ROW()-1,84),ROW()-1,FALSE))</f>
        <v>23.900571129999999</v>
      </c>
      <c r="AH85">
        <f ca="1">IF(AND($B$252=1,LEN($AH$222) * LEN($AH$145)&gt;0),$AH$222/$AH$145,HLOOKUP(INDIRECT(ADDRESS(2,COLUMN())),OFFSET($CL$2,0,0,ROW()-1,84),ROW()-1,FALSE))</f>
        <v>23.878304839999998</v>
      </c>
      <c r="AI85">
        <f ca="1">IF(AND($B$252=1,LEN($AI$222) * LEN($AI$145)&gt;0),$AI$222/$AI$145,HLOOKUP(INDIRECT(ADDRESS(2,COLUMN())),OFFSET($CL$2,0,0,ROW()-1,84),ROW()-1,FALSE))</f>
        <v>23.116628769999998</v>
      </c>
      <c r="AJ85">
        <f ca="1">IF(AND($B$252=1,LEN($AJ$222) * LEN($AJ$145)&gt;0),$AJ$222/$AJ$145,HLOOKUP(INDIRECT(ADDRESS(2,COLUMN())),OFFSET($CL$2,0,0,ROW()-1,84),ROW()-1,FALSE))</f>
        <v>23.450656370000001</v>
      </c>
      <c r="AK85">
        <f ca="1">IF(AND($B$252=1,LEN($AK$222) * LEN($AK$145)&gt;0),$AK$222/$AK$145,HLOOKUP(INDIRECT(ADDRESS(2,COLUMN())),OFFSET($CL$2,0,0,ROW()-1,84),ROW()-1,FALSE))</f>
        <v>22.272367060000001</v>
      </c>
      <c r="AL85">
        <f ca="1">IF(AND($B$252=1,LEN($AL$222) * LEN($AL$145)&gt;0),$AL$222/$AL$145,HLOOKUP(INDIRECT(ADDRESS(2,COLUMN())),OFFSET($CL$2,0,0,ROW()-1,84),ROW()-1,FALSE))</f>
        <v>23.5634744</v>
      </c>
      <c r="AM85">
        <f ca="1">IF(AND($B$252=1,LEN($AM$222) * LEN($AM$145)&gt;0),$AM$222/$AM$145,HLOOKUP(INDIRECT(ADDRESS(2,COLUMN())),OFFSET($CL$2,0,0,ROW()-1,84),ROW()-1,FALSE))</f>
        <v>21.975949480000001</v>
      </c>
      <c r="AN85">
        <f ca="1">IF(AND($B$252=1,LEN($AN$222) * LEN($AN$145)&gt;0),$AN$222/$AN$145,HLOOKUP(INDIRECT(ADDRESS(2,COLUMN())),OFFSET($CL$2,0,0,ROW()-1,84),ROW()-1,FALSE))</f>
        <v>23.012373610000001</v>
      </c>
      <c r="AO85">
        <f ca="1">IF(AND($B$252=1,LEN($AO$222) * LEN($AO$145)&gt;0),$AO$222/$AO$145,HLOOKUP(INDIRECT(ADDRESS(2,COLUMN())),OFFSET($CL$2,0,0,ROW()-1,84),ROW()-1,FALSE))</f>
        <v>22.841433139999999</v>
      </c>
      <c r="AP85">
        <f ca="1">IF(AND($B$252=1,LEN($AP$222) * LEN($AP$145)&gt;0),$AP$222/$AP$145,HLOOKUP(INDIRECT(ADDRESS(2,COLUMN())),OFFSET($CL$2,0,0,ROW()-1,84),ROW()-1,FALSE))</f>
        <v>24.61565672</v>
      </c>
      <c r="AQ85">
        <f ca="1">IF(AND($B$252=1,LEN($AQ$222) * LEN($AQ$145)&gt;0),$AQ$222/$AQ$145,HLOOKUP(INDIRECT(ADDRESS(2,COLUMN())),OFFSET($CL$2,0,0,ROW()-1,84),ROW()-1,FALSE))</f>
        <v>24.102005569999999</v>
      </c>
      <c r="AR85">
        <f ca="1">IF(AND($B$252=1,LEN($AR$222) * LEN($AR$145)&gt;0),$AR$222/$AR$145,HLOOKUP(INDIRECT(ADDRESS(2,COLUMN())),OFFSET($CL$2,0,0,ROW()-1,84),ROW()-1,FALSE))</f>
        <v>24.886762279999999</v>
      </c>
      <c r="AS85">
        <f ca="1">IF(AND($B$252=1,LEN($AS$222) * LEN($AS$145)&gt;0),$AS$222/$AS$145,HLOOKUP(INDIRECT(ADDRESS(2,COLUMN())),OFFSET($CL$2,0,0,ROW()-1,84),ROW()-1,FALSE))</f>
        <v>23.556805069999999</v>
      </c>
      <c r="AT85">
        <f ca="1">IF(AND($B$252=1,LEN($AT$222) * LEN($AT$145)&gt;0),$AT$222/$AT$145,HLOOKUP(INDIRECT(ADDRESS(2,COLUMN())),OFFSET($CL$2,0,0,ROW()-1,84),ROW()-1,FALSE))</f>
        <v>23.386564830000001</v>
      </c>
      <c r="AU85">
        <f ca="1">IF(AND($B$252=1,LEN($AU$222) * LEN($AU$145)&gt;0),$AU$222/$AU$145,HLOOKUP(INDIRECT(ADDRESS(2,COLUMN())),OFFSET($CL$2,0,0,ROW()-1,84),ROW()-1,FALSE))</f>
        <v>22.950138379999999</v>
      </c>
      <c r="AV85">
        <f ca="1">IF(AND($B$252=1,LEN($AV$222) * LEN($AV$145)&gt;0),$AV$222/$AV$145,HLOOKUP(INDIRECT(ADDRESS(2,COLUMN())),OFFSET($CL$2,0,0,ROW()-1,84),ROW()-1,FALSE))</f>
        <v>21.123867050000001</v>
      </c>
      <c r="AW85">
        <f ca="1">IF(AND($B$252=1,LEN($AW$222) * LEN($AW$145)&gt;0),$AW$222/$AW$145,HLOOKUP(INDIRECT(ADDRESS(2,COLUMN())),OFFSET($CL$2,0,0,ROW()-1,84),ROW()-1,FALSE))</f>
        <v>23.071998409999999</v>
      </c>
      <c r="AX85">
        <f ca="1">IF(AND($B$252=1,LEN($AX$222) * LEN($AX$145)&gt;0),$AX$222/$AX$145,HLOOKUP(INDIRECT(ADDRESS(2,COLUMN())),OFFSET($CL$2,0,0,ROW()-1,84),ROW()-1,FALSE))</f>
        <v>22.485392010000002</v>
      </c>
      <c r="AY85">
        <f ca="1">IF(AND($B$252=1,LEN($AY$222) * LEN($AY$145)&gt;0),$AY$222/$AY$145,HLOOKUP(INDIRECT(ADDRESS(2,COLUMN())),OFFSET($CL$2,0,0,ROW()-1,84),ROW()-1,FALSE))</f>
        <v>21.772661200000002</v>
      </c>
      <c r="AZ85">
        <f ca="1">IF(AND($B$252=1,LEN($AZ$222) * LEN($AZ$145)&gt;0),$AZ$222/$AZ$145,HLOOKUP(INDIRECT(ADDRESS(2,COLUMN())),OFFSET($CL$2,0,0,ROW()-1,84),ROW()-1,FALSE))</f>
        <v>21.960133930000001</v>
      </c>
      <c r="BA85">
        <f ca="1">IF(AND($B$252=1,LEN($BA$222) * LEN($BA$145)&gt;0),$BA$222/$BA$145,HLOOKUP(INDIRECT(ADDRESS(2,COLUMN())),OFFSET($CL$2,0,0,ROW()-1,84),ROW()-1,FALSE))</f>
        <v>21.296097159999999</v>
      </c>
      <c r="BB85">
        <f ca="1">IF(AND($B$252=1,LEN($BB$222) * LEN($BB$145)&gt;0),$BB$222/$BB$145,HLOOKUP(INDIRECT(ADDRESS(2,COLUMN())),OFFSET($CL$2,0,0,ROW()-1,84),ROW()-1,FALSE))</f>
        <v>20.449604770000001</v>
      </c>
      <c r="BC85">
        <f ca="1">IF(AND($B$252=1,LEN($BC$222) * LEN($BC$145)&gt;0),$BC$222/$BC$145,HLOOKUP(INDIRECT(ADDRESS(2,COLUMN())),OFFSET($CL$2,0,0,ROW()-1,84),ROW()-1,FALSE))</f>
        <v>20.234958989999999</v>
      </c>
      <c r="BD85">
        <f ca="1">IF(AND($B$252=1,LEN($BD$222) * LEN($BD$145)&gt;0),$BD$222/$BD$145,HLOOKUP(INDIRECT(ADDRESS(2,COLUMN())),OFFSET($CL$2,0,0,ROW()-1,84),ROW()-1,FALSE))</f>
        <v>19.370701589999999</v>
      </c>
      <c r="BE85">
        <f ca="1">IF(AND($B$252=1,LEN($BE$222) * LEN($BE$145)&gt;0),$BE$222/$BE$145,HLOOKUP(INDIRECT(ADDRESS(2,COLUMN())),OFFSET($CL$2,0,0,ROW()-1,84),ROW()-1,FALSE))</f>
        <v>18.54297365</v>
      </c>
      <c r="BF85">
        <f ca="1">IF(AND($B$252=1,LEN($BF$222) * LEN($BF$145)&gt;0),$BF$222/$BF$145,HLOOKUP(INDIRECT(ADDRESS(2,COLUMN())),OFFSET($CL$2,0,0,ROW()-1,84),ROW()-1,FALSE))</f>
        <v>19.113973189999999</v>
      </c>
      <c r="BG85">
        <f ca="1">IF(AND($B$252=1,LEN($BG$222) * LEN($BG$145)&gt;0),$BG$222/$BG$145,HLOOKUP(INDIRECT(ADDRESS(2,COLUMN())),OFFSET($CL$2,0,0,ROW()-1,84),ROW()-1,FALSE))</f>
        <v>20.228595259999999</v>
      </c>
      <c r="BH85">
        <f ca="1">IF(AND($B$252=1,LEN($BH$222) * LEN($BH$145)&gt;0),$BH$222/$BH$145,HLOOKUP(INDIRECT(ADDRESS(2,COLUMN())),OFFSET($CL$2,0,0,ROW()-1,84),ROW()-1,FALSE))</f>
        <v>20.6546193</v>
      </c>
      <c r="BI85">
        <f ca="1">IF(AND($B$252=1,LEN($BI$222) * LEN($BI$145)&gt;0),$BI$222/$BI$145,HLOOKUP(INDIRECT(ADDRESS(2,COLUMN())),OFFSET($CL$2,0,0,ROW()-1,84),ROW()-1,FALSE))</f>
        <v>20.28491215</v>
      </c>
      <c r="BJ85">
        <f ca="1">IF(AND($B$252=1,LEN($BJ$222) * LEN($BJ$145)&gt;0),$BJ$222/$BJ$145,HLOOKUP(INDIRECT(ADDRESS(2,COLUMN())),OFFSET($CL$2,0,0,ROW()-1,84),ROW()-1,FALSE))</f>
        <v>22.64342495</v>
      </c>
      <c r="BK85">
        <f ca="1">IF(AND($B$252=1,LEN($BK$222) * LEN($BK$145)&gt;0),$BK$222/$BK$145,HLOOKUP(INDIRECT(ADDRESS(2,COLUMN())),OFFSET($CL$2,0,0,ROW()-1,84),ROW()-1,FALSE))</f>
        <v>23.17349218</v>
      </c>
      <c r="BL85">
        <f ca="1">IF(AND($B$252=1,LEN($BL$222) * LEN($BL$145)&gt;0),$BL$222/$BL$145,HLOOKUP(INDIRECT(ADDRESS(2,COLUMN())),OFFSET($CL$2,0,0,ROW()-1,84),ROW()-1,FALSE))</f>
        <v>23.048980910000001</v>
      </c>
      <c r="BM85">
        <f ca="1">IF(AND($B$252=1,LEN($BM$222) * LEN($BM$145)&gt;0),$BM$222/$BM$145,HLOOKUP(INDIRECT(ADDRESS(2,COLUMN())),OFFSET($CL$2,0,0,ROW()-1,84),ROW()-1,FALSE))</f>
        <v>23.894879769999999</v>
      </c>
      <c r="BN85">
        <f ca="1">IF(AND($B$252=1,LEN($BN$222) * LEN($BN$145)&gt;0),$BN$222/$BN$145,HLOOKUP(INDIRECT(ADDRESS(2,COLUMN())),OFFSET($CL$2,0,0,ROW()-1,84),ROW()-1,FALSE))</f>
        <v>23.006375930000001</v>
      </c>
      <c r="BO85">
        <f ca="1">IF(AND($B$252=1,LEN($BO$222) * LEN($BO$145)&gt;0),$BO$222/$BO$145,HLOOKUP(INDIRECT(ADDRESS(2,COLUMN())),OFFSET($CL$2,0,0,ROW()-1,84),ROW()-1,FALSE))</f>
        <v>22.73432583</v>
      </c>
      <c r="BP85">
        <f ca="1">IF(AND($B$252=1,LEN($BP$222) * LEN($BP$145)&gt;0),$BP$222/$BP$145,HLOOKUP(INDIRECT(ADDRESS(2,COLUMN())),OFFSET($CL$2,0,0,ROW()-1,84),ROW()-1,FALSE))</f>
        <v>22.86281396</v>
      </c>
      <c r="BQ85">
        <f ca="1">IF(AND($B$252=1,LEN($BQ$222) * LEN($BQ$145)&gt;0),$BQ$222/$BQ$145,HLOOKUP(INDIRECT(ADDRESS(2,COLUMN())),OFFSET($CL$2,0,0,ROW()-1,84),ROW()-1,FALSE))</f>
        <v>23.321293430000001</v>
      </c>
      <c r="BR85">
        <f ca="1">IF(AND($B$252=1,LEN($BR$222) * LEN($BR$145)&gt;0),$BR$222/$BR$145,HLOOKUP(INDIRECT(ADDRESS(2,COLUMN())),OFFSET($CL$2,0,0,ROW()-1,84),ROW()-1,FALSE))</f>
        <v>22.62106751</v>
      </c>
      <c r="BS85">
        <f ca="1">IF(AND($B$252=1,LEN($BS$222) * LEN($BS$145)&gt;0),$BS$222/$BS$145,HLOOKUP(INDIRECT(ADDRESS(2,COLUMN())),OFFSET($CL$2,0,0,ROW()-1,84),ROW()-1,FALSE))</f>
        <v>23.459521420000002</v>
      </c>
      <c r="BT85">
        <f ca="1">IF(AND($B$252=1,LEN($BT$222) * LEN($BT$145)&gt;0),$BT$222/$BT$145,HLOOKUP(INDIRECT(ADDRESS(2,COLUMN())),OFFSET($CL$2,0,0,ROW()-1,84),ROW()-1,FALSE))</f>
        <v>23.909488899999999</v>
      </c>
      <c r="BU85">
        <f ca="1">IF(AND($B$252=1,LEN($BU$222) * LEN($BU$145)&gt;0),$BU$222/$BU$145,HLOOKUP(INDIRECT(ADDRESS(2,COLUMN())),OFFSET($CL$2,0,0,ROW()-1,84),ROW()-1,FALSE))</f>
        <v>25.08908469</v>
      </c>
      <c r="BV85">
        <f ca="1">IF(AND($B$252=1,LEN($BV$222) * LEN($BV$145)&gt;0),$BV$222/$BV$145,HLOOKUP(INDIRECT(ADDRESS(2,COLUMN())),OFFSET($CL$2,0,0,ROW()-1,84),ROW()-1,FALSE))</f>
        <v>26.643003319999998</v>
      </c>
      <c r="BW85">
        <f ca="1">IF(AND($B$252=1,LEN($BW$222) * LEN($BW$145)&gt;0),$BW$222/$BW$145,HLOOKUP(INDIRECT(ADDRESS(2,COLUMN())),OFFSET($CL$2,0,0,ROW()-1,84),ROW()-1,FALSE))</f>
        <v>25.922404650000001</v>
      </c>
      <c r="BX85">
        <f ca="1">IF(AND($B$252=1,LEN($BX$222) * LEN($BX$145)&gt;0),$BX$222/$BX$145,HLOOKUP(INDIRECT(ADDRESS(2,COLUMN())),OFFSET($CL$2,0,0,ROW()-1,84),ROW()-1,FALSE))</f>
        <v>25.860071749999999</v>
      </c>
      <c r="BY85">
        <f ca="1">IF(AND($B$252=1,LEN($BY$222) * LEN($BY$145)&gt;0),$BY$222/$BY$145,HLOOKUP(INDIRECT(ADDRESS(2,COLUMN())),OFFSET($CL$2,0,0,ROW()-1,84),ROW()-1,FALSE))</f>
        <v>26.857459299999999</v>
      </c>
      <c r="BZ85">
        <f ca="1">IF(AND($B$252=1,LEN($BZ$222) * LEN($BZ$145)&gt;0),$BZ$222/$BZ$145,HLOOKUP(INDIRECT(ADDRESS(2,COLUMN())),OFFSET($CL$2,0,0,ROW()-1,84),ROW()-1,FALSE))</f>
        <v>26.894885989999999</v>
      </c>
      <c r="CA85">
        <f ca="1">IF(AND($B$252=1,LEN($CA$222) * LEN($CA$145)&gt;0),$CA$222/$CA$145,HLOOKUP(INDIRECT(ADDRESS(2,COLUMN())),OFFSET($CL$2,0,0,ROW()-1,84),ROW()-1,FALSE))</f>
        <v>24.94988665</v>
      </c>
      <c r="CB85">
        <f ca="1">IF(AND($B$252=1,LEN($CB$222) * LEN($CB$145)&gt;0),$CB$222/$CB$145,HLOOKUP(INDIRECT(ADDRESS(2,COLUMN())),OFFSET($CL$2,0,0,ROW()-1,84),ROW()-1,FALSE))</f>
        <v>26.172499500000001</v>
      </c>
      <c r="CC85">
        <f ca="1">IF(AND($B$252=1,LEN($CC$222) * LEN($CC$145)&gt;0),$CC$222/$CC$145,HLOOKUP(INDIRECT(ADDRESS(2,COLUMN())),OFFSET($CL$2,0,0,ROW()-1,84),ROW()-1,FALSE))</f>
        <v>25.03354418</v>
      </c>
      <c r="CD85">
        <f ca="1">IF(AND($B$252=1,LEN($CD$222) * LEN($CD$145)&gt;0),$CD$222/$CD$145,HLOOKUP(INDIRECT(ADDRESS(2,COLUMN())),OFFSET($CL$2,0,0,ROW()-1,84),ROW()-1,FALSE))</f>
        <v>24.087124970000001</v>
      </c>
      <c r="CE85">
        <f ca="1">IF(AND($B$252=1,LEN($CE$222) * LEN($CE$145)&gt;0),$CE$222/$CE$145,HLOOKUP(INDIRECT(ADDRESS(2,COLUMN())),OFFSET($CL$2,0,0,ROW()-1,84),ROW()-1,FALSE))</f>
        <v>25.840412600000001</v>
      </c>
      <c r="CF85">
        <f ca="1">IF(AND($B$252=1,LEN($CF$222) * LEN($CF$145)&gt;0),$CF$222/$CF$145,HLOOKUP(INDIRECT(ADDRESS(2,COLUMN())),OFFSET($CL$2,0,0,ROW()-1,84),ROW()-1,FALSE))</f>
        <v>22.653689539999998</v>
      </c>
      <c r="CG85">
        <f ca="1">IF(AND($B$252=1,LEN($CG$222) * LEN($CG$145)&gt;0),$CG$222/$CG$145,HLOOKUP(INDIRECT(ADDRESS(2,COLUMN())),OFFSET($CL$2,0,0,ROW()-1,84),ROW()-1,FALSE))</f>
        <v>27.48987674</v>
      </c>
      <c r="CH85">
        <f ca="1">IF(AND($B$252=1,LEN($CH$222) * LEN($CH$145)&gt;0),$CH$222/$CH$145,HLOOKUP(INDIRECT(ADDRESS(2,COLUMN())),OFFSET($CL$2,0,0,ROW()-1,84),ROW()-1,FALSE))</f>
        <v>27.76735102</v>
      </c>
      <c r="CI85">
        <f ca="1">IF(AND($B$252=1,LEN($CI$222) * LEN($CI$145)&gt;0),$CI$222/$CI$145,HLOOKUP(INDIRECT(ADDRESS(2,COLUMN())),OFFSET($CL$2,0,0,ROW()-1,84),ROW()-1,FALSE))</f>
        <v>26.691323570000002</v>
      </c>
      <c r="CJ85">
        <f ca="1">IF(AND($B$252=1,LEN($CJ$222) * LEN($CJ$145)&gt;0),$CJ$222/$CJ$145,HLOOKUP(INDIRECT(ADDRESS(2,COLUMN())),OFFSET($CL$2,0,0,ROW()-1,84),ROW()-1,FALSE))</f>
        <v>28.397468960000001</v>
      </c>
      <c r="CK85">
        <f ca="1">IF(AND($B$252=1,LEN($CK$222) * LEN($CK$145)&gt;0),$CK$222/$CK$145,HLOOKUP(INDIRECT(ADDRESS(2,COLUMN())),OFFSET($CL$2,0,0,ROW()-1,84),ROW()-1,FALSE))</f>
        <v>27.54268398</v>
      </c>
      <c r="CL85">
        <f>18.90802581</f>
        <v>18.908025810000002</v>
      </c>
      <c r="CM85">
        <f>18.28013909</f>
        <v>18.280139089999999</v>
      </c>
      <c r="CN85">
        <f>19.84666818</f>
        <v>19.846668180000002</v>
      </c>
      <c r="CO85">
        <f>20.90578861</f>
        <v>20.905788609999998</v>
      </c>
      <c r="CP85">
        <f>21.34824159</f>
        <v>21.348241590000001</v>
      </c>
      <c r="CQ85">
        <f>21.41158972</f>
        <v>21.411589719999998</v>
      </c>
      <c r="CR85">
        <f>21.16614271</f>
        <v>21.166142709999999</v>
      </c>
      <c r="CS85">
        <f>22.26751454</f>
        <v>22.267514540000001</v>
      </c>
      <c r="CT85">
        <f>22.84724547</f>
        <v>22.847245470000001</v>
      </c>
      <c r="CU85">
        <f>22.93471775</f>
        <v>22.934717750000001</v>
      </c>
      <c r="CV85">
        <f>22.93221542</f>
        <v>22.932215419999999</v>
      </c>
      <c r="CW85">
        <f>23.01938581</f>
        <v>23.019385809999999</v>
      </c>
      <c r="CX85">
        <f>22.21482803</f>
        <v>22.21482803</v>
      </c>
      <c r="CY85">
        <f>22.38086464</f>
        <v>22.380864639999999</v>
      </c>
      <c r="CZ85">
        <f>21.19967325</f>
        <v>21.19967325</v>
      </c>
      <c r="DA85">
        <f>21.72819821</f>
        <v>21.728198209999999</v>
      </c>
      <c r="DB85">
        <f>20.15035899</f>
        <v>20.150358990000001</v>
      </c>
      <c r="DC85">
        <f>21.110107</f>
        <v>21.110106999999999</v>
      </c>
      <c r="DD85">
        <f>21.79278231</f>
        <v>21.79278231</v>
      </c>
      <c r="DE85">
        <f>21.6088406</f>
        <v>21.608840600000001</v>
      </c>
      <c r="DF85">
        <f>22.86178576</f>
        <v>22.86178576</v>
      </c>
      <c r="DG85">
        <f>22.23111461</f>
        <v>22.231114609999999</v>
      </c>
      <c r="DH85">
        <f>22.37898794</f>
        <v>22.378987939999998</v>
      </c>
      <c r="DI85">
        <f>22.27761418</f>
        <v>22.27761418</v>
      </c>
      <c r="DJ85">
        <f>23.80304296</f>
        <v>23.803042959999999</v>
      </c>
      <c r="DK85">
        <f>21.78220134</f>
        <v>21.78220134</v>
      </c>
      <c r="DL85">
        <f>21.91716184</f>
        <v>21.917161839999999</v>
      </c>
      <c r="DM85">
        <f>23.90057113</f>
        <v>23.900571129999999</v>
      </c>
      <c r="DN85">
        <f>23.87830484</f>
        <v>23.878304839999998</v>
      </c>
      <c r="DO85">
        <f>23.11662877</f>
        <v>23.116628769999998</v>
      </c>
      <c r="DP85">
        <f>23.45065637</f>
        <v>23.450656370000001</v>
      </c>
      <c r="DQ85">
        <f>22.27236706</f>
        <v>22.272367060000001</v>
      </c>
      <c r="DR85">
        <f>23.5634744</f>
        <v>23.5634744</v>
      </c>
      <c r="DS85">
        <f>21.97594948</f>
        <v>21.975949480000001</v>
      </c>
      <c r="DT85">
        <f>23.01237361</f>
        <v>23.012373610000001</v>
      </c>
      <c r="DU85">
        <f>22.84143314</f>
        <v>22.841433139999999</v>
      </c>
      <c r="DV85">
        <f>24.61565672</f>
        <v>24.61565672</v>
      </c>
      <c r="DW85">
        <f>24.10200557</f>
        <v>24.102005569999999</v>
      </c>
      <c r="DX85">
        <f>24.88676228</f>
        <v>24.886762279999999</v>
      </c>
      <c r="DY85">
        <f>23.55680507</f>
        <v>23.556805069999999</v>
      </c>
      <c r="DZ85">
        <f>23.38656483</f>
        <v>23.386564830000001</v>
      </c>
      <c r="EA85">
        <f>22.95013838</f>
        <v>22.950138379999999</v>
      </c>
      <c r="EB85">
        <f>21.12386705</f>
        <v>21.123867050000001</v>
      </c>
      <c r="EC85">
        <f>23.07199841</f>
        <v>23.071998409999999</v>
      </c>
      <c r="ED85">
        <f>22.48539201</f>
        <v>22.485392010000002</v>
      </c>
      <c r="EE85">
        <f>21.7726612</f>
        <v>21.772661200000002</v>
      </c>
      <c r="EF85">
        <f>21.96013393</f>
        <v>21.960133930000001</v>
      </c>
      <c r="EG85">
        <f>21.29609716</f>
        <v>21.296097159999999</v>
      </c>
      <c r="EH85">
        <f>20.44960477</f>
        <v>20.449604770000001</v>
      </c>
      <c r="EI85">
        <f>20.23495899</f>
        <v>20.234958989999999</v>
      </c>
      <c r="EJ85">
        <f>19.37070159</f>
        <v>19.370701589999999</v>
      </c>
      <c r="EK85">
        <f>18.54297365</f>
        <v>18.54297365</v>
      </c>
      <c r="EL85">
        <f>19.11397319</f>
        <v>19.113973189999999</v>
      </c>
      <c r="EM85">
        <f>20.22859526</f>
        <v>20.228595259999999</v>
      </c>
      <c r="EN85">
        <f>20.6546193</f>
        <v>20.6546193</v>
      </c>
      <c r="EO85">
        <f>20.28491215</f>
        <v>20.28491215</v>
      </c>
      <c r="EP85">
        <f>22.64342495</f>
        <v>22.64342495</v>
      </c>
      <c r="EQ85">
        <f>23.17349218</f>
        <v>23.17349218</v>
      </c>
      <c r="ER85">
        <f>23.04898091</f>
        <v>23.048980910000001</v>
      </c>
      <c r="ES85">
        <f>23.89487977</f>
        <v>23.894879769999999</v>
      </c>
      <c r="ET85">
        <f>23.00637593</f>
        <v>23.006375930000001</v>
      </c>
      <c r="EU85">
        <f>22.73432583</f>
        <v>22.73432583</v>
      </c>
      <c r="EV85">
        <f>22.86281396</f>
        <v>22.86281396</v>
      </c>
      <c r="EW85">
        <f>23.32129343</f>
        <v>23.321293430000001</v>
      </c>
      <c r="EX85">
        <f>22.62106751</f>
        <v>22.62106751</v>
      </c>
      <c r="EY85">
        <f>23.45952142</f>
        <v>23.459521420000002</v>
      </c>
      <c r="EZ85">
        <f>23.9094889</f>
        <v>23.909488899999999</v>
      </c>
      <c r="FA85">
        <f>25.08908469</f>
        <v>25.08908469</v>
      </c>
      <c r="FB85">
        <f>26.64300332</f>
        <v>26.643003319999998</v>
      </c>
      <c r="FC85">
        <f>25.92240465</f>
        <v>25.922404650000001</v>
      </c>
      <c r="FD85">
        <f>25.86007175</f>
        <v>25.860071749999999</v>
      </c>
      <c r="FE85">
        <f>26.8574593</f>
        <v>26.857459299999999</v>
      </c>
      <c r="FF85">
        <f>26.89488599</f>
        <v>26.894885989999999</v>
      </c>
      <c r="FG85">
        <f>24.94988665</f>
        <v>24.94988665</v>
      </c>
      <c r="FH85">
        <f>26.1724995</f>
        <v>26.172499500000001</v>
      </c>
      <c r="FI85">
        <f>25.03354418</f>
        <v>25.03354418</v>
      </c>
      <c r="FJ85">
        <f>24.08712497</f>
        <v>24.087124970000001</v>
      </c>
      <c r="FK85">
        <f>25.8404126</f>
        <v>25.840412600000001</v>
      </c>
      <c r="FL85">
        <f>22.65368954</f>
        <v>22.653689539999998</v>
      </c>
      <c r="FM85">
        <f>27.48987674</f>
        <v>27.48987674</v>
      </c>
      <c r="FN85">
        <f>27.76735102</f>
        <v>27.76735102</v>
      </c>
      <c r="FO85">
        <f>26.69132357</f>
        <v>26.691323570000002</v>
      </c>
      <c r="FP85">
        <f>28.39746896</f>
        <v>28.397468960000001</v>
      </c>
      <c r="FQ85">
        <f>27.54268398</f>
        <v>27.54268398</v>
      </c>
    </row>
    <row r="86" spans="1:173">
      <c r="A86" t="str">
        <f>"    Camden Property Trust"</f>
        <v xml:space="preserve">    Camden Property Trust</v>
      </c>
      <c r="B86" t="str">
        <f>"CPT US Equity"</f>
        <v>CPT US Equity</v>
      </c>
      <c r="E86" t="str">
        <f t="shared" si="30"/>
        <v>Expression</v>
      </c>
      <c r="F86">
        <f ca="1">IF(AND($B$252=1,LEN($F$223) * LEN($F$146)&gt;0),$F$223/$F$146,HLOOKUP(INDIRECT(ADDRESS(2,COLUMN())),OFFSET($CL$2,0,0,ROW()-1,84),ROW()-1,FALSE))</f>
        <v>20.040657849999999</v>
      </c>
      <c r="G86">
        <f ca="1">IF(AND($B$252=1,LEN($G$223) * LEN($G$146)&gt;0),$G$223/$G$146,HLOOKUP(INDIRECT(ADDRESS(2,COLUMN())),OFFSET($CL$2,0,0,ROW()-1,84),ROW()-1,FALSE))</f>
        <v>19.370162319999999</v>
      </c>
      <c r="H86">
        <f ca="1">IF(AND($B$252=1,LEN($H$223) * LEN($H$146)&gt;0),$H$223/$H$146,HLOOKUP(INDIRECT(ADDRESS(2,COLUMN())),OFFSET($CL$2,0,0,ROW()-1,84),ROW()-1,FALSE))</f>
        <v>20.805106670000001</v>
      </c>
      <c r="I86">
        <f ca="1">IF(AND($B$252=1,LEN($I$223) * LEN($I$146)&gt;0),$I$223/$I$146,HLOOKUP(INDIRECT(ADDRESS(2,COLUMN())),OFFSET($CL$2,0,0,ROW()-1,84),ROW()-1,FALSE))</f>
        <v>22.409931839999999</v>
      </c>
      <c r="J86">
        <f ca="1">IF(AND($B$252=1,LEN($J$223) * LEN($J$146)&gt;0),$J$223/$J$146,HLOOKUP(INDIRECT(ADDRESS(2,COLUMN())),OFFSET($CL$2,0,0,ROW()-1,84),ROW()-1,FALSE))</f>
        <v>22.278031200000001</v>
      </c>
      <c r="K86">
        <f ca="1">IF(AND($B$252=1,LEN($K$223) * LEN($K$146)&gt;0),$K$223/$K$146,HLOOKUP(INDIRECT(ADDRESS(2,COLUMN())),OFFSET($CL$2,0,0,ROW()-1,84),ROW()-1,FALSE))</f>
        <v>22.62256077</v>
      </c>
      <c r="L86">
        <f ca="1">IF(AND($B$252=1,LEN($L$223) * LEN($L$146)&gt;0),$L$223/$L$146,HLOOKUP(INDIRECT(ADDRESS(2,COLUMN())),OFFSET($CL$2,0,0,ROW()-1,84),ROW()-1,FALSE))</f>
        <v>22.546844180000001</v>
      </c>
      <c r="M86">
        <f ca="1">IF(AND($B$252=1,LEN($M$223) * LEN($M$146)&gt;0),$M$223/$M$146,HLOOKUP(INDIRECT(ADDRESS(2,COLUMN())),OFFSET($CL$2,0,0,ROW()-1,84),ROW()-1,FALSE))</f>
        <v>22.258114030000002</v>
      </c>
      <c r="N86">
        <f ca="1">IF(AND($B$252=1,LEN($N$223) * LEN($N$146)&gt;0),$N$223/$N$146,HLOOKUP(INDIRECT(ADDRESS(2,COLUMN())),OFFSET($CL$2,0,0,ROW()-1,84),ROW()-1,FALSE))</f>
        <v>22.339473330000001</v>
      </c>
      <c r="O86">
        <f ca="1">IF(AND($B$252=1,LEN($O$223) * LEN($O$146)&gt;0),$O$223/$O$146,HLOOKUP(INDIRECT(ADDRESS(2,COLUMN())),OFFSET($CL$2,0,0,ROW()-1,84),ROW()-1,FALSE))</f>
        <v>21.482225849999999</v>
      </c>
      <c r="P86">
        <f ca="1">IF(AND($B$252=1,LEN($P$223) * LEN($P$146)&gt;0),$P$223/$P$146,HLOOKUP(INDIRECT(ADDRESS(2,COLUMN())),OFFSET($CL$2,0,0,ROW()-1,84),ROW()-1,FALSE))</f>
        <v>21.037799100000001</v>
      </c>
      <c r="Q86">
        <f ca="1">IF(AND($B$252=1,LEN($Q$223) * LEN($Q$146)&gt;0),$Q$223/$Q$146,HLOOKUP(INDIRECT(ADDRESS(2,COLUMN())),OFFSET($CL$2,0,0,ROW()-1,84),ROW()-1,FALSE))</f>
        <v>20.543093209999999</v>
      </c>
      <c r="R86">
        <f ca="1">IF(AND($B$252=1,LEN($R$223) * LEN($R$146)&gt;0),$R$223/$R$146,HLOOKUP(INDIRECT(ADDRESS(2,COLUMN())),OFFSET($CL$2,0,0,ROW()-1,84),ROW()-1,FALSE))</f>
        <v>20.757175100000001</v>
      </c>
      <c r="S86">
        <f ca="1">IF(AND($B$252=1,LEN($S$223) * LEN($S$146)&gt;0),$S$223/$S$146,HLOOKUP(INDIRECT(ADDRESS(2,COLUMN())),OFFSET($CL$2,0,0,ROW()-1,84),ROW()-1,FALSE))</f>
        <v>21.912975589999999</v>
      </c>
      <c r="T86">
        <f ca="1">IF(AND($B$252=1,LEN($T$223) * LEN($T$146)&gt;0),$T$223/$T$146,HLOOKUP(INDIRECT(ADDRESS(2,COLUMN())),OFFSET($CL$2,0,0,ROW()-1,84),ROW()-1,FALSE))</f>
        <v>21.06574999</v>
      </c>
      <c r="U86">
        <f ca="1">IF(AND($B$252=1,LEN($U$223) * LEN($U$146)&gt;0),$U$223/$U$146,HLOOKUP(INDIRECT(ADDRESS(2,COLUMN())),OFFSET($CL$2,0,0,ROW()-1,84),ROW()-1,FALSE))</f>
        <v>21.235160390000001</v>
      </c>
      <c r="V86">
        <f ca="1">IF(AND($B$252=1,LEN($V$223) * LEN($V$146)&gt;0),$V$223/$V$146,HLOOKUP(INDIRECT(ADDRESS(2,COLUMN())),OFFSET($CL$2,0,0,ROW()-1,84),ROW()-1,FALSE))</f>
        <v>19.994772040000001</v>
      </c>
      <c r="W86">
        <f ca="1">IF(AND($B$252=1,LEN($W$223) * LEN($W$146)&gt;0),$W$223/$W$146,HLOOKUP(INDIRECT(ADDRESS(2,COLUMN())),OFFSET($CL$2,0,0,ROW()-1,84),ROW()-1,FALSE))</f>
        <v>20.963027700000001</v>
      </c>
      <c r="X86">
        <f ca="1">IF(AND($B$252=1,LEN($X$223) * LEN($X$146)&gt;0),$X$223/$X$146,HLOOKUP(INDIRECT(ADDRESS(2,COLUMN())),OFFSET($CL$2,0,0,ROW()-1,84),ROW()-1,FALSE))</f>
        <v>21.528375860000001</v>
      </c>
      <c r="Y86">
        <f ca="1">IF(AND($B$252=1,LEN($Y$223) * LEN($Y$146)&gt;0),$Y$223/$Y$146,HLOOKUP(INDIRECT(ADDRESS(2,COLUMN())),OFFSET($CL$2,0,0,ROW()-1,84),ROW()-1,FALSE))</f>
        <v>22.57846189</v>
      </c>
      <c r="Z86">
        <f ca="1">IF(AND($B$252=1,LEN($Z$223) * LEN($Z$146)&gt;0),$Z$223/$Z$146,HLOOKUP(INDIRECT(ADDRESS(2,COLUMN())),OFFSET($CL$2,0,0,ROW()-1,84),ROW()-1,FALSE))</f>
        <v>23.121378329999999</v>
      </c>
      <c r="AA86">
        <f ca="1">IF(AND($B$252=1,LEN($AA$223) * LEN($AA$146)&gt;0),$AA$223/$AA$146,HLOOKUP(INDIRECT(ADDRESS(2,COLUMN())),OFFSET($CL$2,0,0,ROW()-1,84),ROW()-1,FALSE))</f>
        <v>22.747374480000001</v>
      </c>
      <c r="AB86">
        <f ca="1">IF(AND($B$252=1,LEN($AB$223) * LEN($AB$146)&gt;0),$AB$223/$AB$146,HLOOKUP(INDIRECT(ADDRESS(2,COLUMN())),OFFSET($CL$2,0,0,ROW()-1,84),ROW()-1,FALSE))</f>
        <v>21.738775489999998</v>
      </c>
      <c r="AC86">
        <f ca="1">IF(AND($B$252=1,LEN($AC$223) * LEN($AC$146)&gt;0),$AC$223/$AC$146,HLOOKUP(INDIRECT(ADDRESS(2,COLUMN())),OFFSET($CL$2,0,0,ROW()-1,84),ROW()-1,FALSE))</f>
        <v>19.462213219999999</v>
      </c>
      <c r="AD86">
        <f ca="1">IF(AND($B$252=1,LEN($AD$223) * LEN($AD$146)&gt;0),$AD$223/$AD$146,HLOOKUP(INDIRECT(ADDRESS(2,COLUMN())),OFFSET($CL$2,0,0,ROW()-1,84),ROW()-1,FALSE))</f>
        <v>20.18828474</v>
      </c>
      <c r="AE86">
        <f ca="1">IF(AND($B$252=1,LEN($AE$223) * LEN($AE$146)&gt;0),$AE$223/$AE$146,HLOOKUP(INDIRECT(ADDRESS(2,COLUMN())),OFFSET($CL$2,0,0,ROW()-1,84),ROW()-1,FALSE))</f>
        <v>18.01038501</v>
      </c>
      <c r="AF86">
        <f ca="1">IF(AND($B$252=1,LEN($AF$223) * LEN($AF$146)&gt;0),$AF$223/$AF$146,HLOOKUP(INDIRECT(ADDRESS(2,COLUMN())),OFFSET($CL$2,0,0,ROW()-1,84),ROW()-1,FALSE))</f>
        <v>18.592664450000001</v>
      </c>
      <c r="AG86">
        <f ca="1">IF(AND($B$252=1,LEN($AG$223) * LEN($AG$146)&gt;0),$AG$223/$AG$146,HLOOKUP(INDIRECT(ADDRESS(2,COLUMN())),OFFSET($CL$2,0,0,ROW()-1,84),ROW()-1,FALSE))</f>
        <v>18.99529819</v>
      </c>
      <c r="AH86">
        <f ca="1">IF(AND($B$252=1,LEN($AH$223) * LEN($AH$146)&gt;0),$AH$223/$AH$146,HLOOKUP(INDIRECT(ADDRESS(2,COLUMN())),OFFSET($CL$2,0,0,ROW()-1,84),ROW()-1,FALSE))</f>
        <v>18.91884662</v>
      </c>
      <c r="AI86">
        <f ca="1">IF(AND($B$252=1,LEN($AI$223) * LEN($AI$146)&gt;0),$AI$223/$AI$146,HLOOKUP(INDIRECT(ADDRESS(2,COLUMN())),OFFSET($CL$2,0,0,ROW()-1,84),ROW()-1,FALSE))</f>
        <v>18.04468842</v>
      </c>
      <c r="AJ86">
        <f ca="1">IF(AND($B$252=1,LEN($AJ$223) * LEN($AJ$146)&gt;0),$AJ$223/$AJ$146,HLOOKUP(INDIRECT(ADDRESS(2,COLUMN())),OFFSET($CL$2,0,0,ROW()-1,84),ROW()-1,FALSE))</f>
        <v>18.195812549999999</v>
      </c>
      <c r="AK86">
        <f ca="1">IF(AND($B$252=1,LEN($AK$223) * LEN($AK$146)&gt;0),$AK$223/$AK$146,HLOOKUP(INDIRECT(ADDRESS(2,COLUMN())),OFFSET($CL$2,0,0,ROW()-1,84),ROW()-1,FALSE))</f>
        <v>17.83186946</v>
      </c>
      <c r="AL86">
        <f ca="1">IF(AND($B$252=1,LEN($AL$223) * LEN($AL$146)&gt;0),$AL$223/$AL$146,HLOOKUP(INDIRECT(ADDRESS(2,COLUMN())),OFFSET($CL$2,0,0,ROW()-1,84),ROW()-1,FALSE))</f>
        <v>19.723426190000001</v>
      </c>
      <c r="AM86">
        <f ca="1">IF(AND($B$252=1,LEN($AM$223) * LEN($AM$146)&gt;0),$AM$223/$AM$146,HLOOKUP(INDIRECT(ADDRESS(2,COLUMN())),OFFSET($CL$2,0,0,ROW()-1,84),ROW()-1,FALSE))</f>
        <v>18.52710974</v>
      </c>
      <c r="AN86">
        <f ca="1">IF(AND($B$252=1,LEN($AN$223) * LEN($AN$146)&gt;0),$AN$223/$AN$146,HLOOKUP(INDIRECT(ADDRESS(2,COLUMN())),OFFSET($CL$2,0,0,ROW()-1,84),ROW()-1,FALSE))</f>
        <v>18.833153280000001</v>
      </c>
      <c r="AO86">
        <f ca="1">IF(AND($B$252=1,LEN($AO$223) * LEN($AO$146)&gt;0),$AO$223/$AO$146,HLOOKUP(INDIRECT(ADDRESS(2,COLUMN())),OFFSET($CL$2,0,0,ROW()-1,84),ROW()-1,FALSE))</f>
        <v>19.228045699999999</v>
      </c>
      <c r="AP86">
        <f ca="1">IF(AND($B$252=1,LEN($AP$223) * LEN($AP$146)&gt;0),$AP$223/$AP$146,HLOOKUP(INDIRECT(ADDRESS(2,COLUMN())),OFFSET($CL$2,0,0,ROW()-1,84),ROW()-1,FALSE))</f>
        <v>20.24982473</v>
      </c>
      <c r="AQ86">
        <f ca="1">IF(AND($B$252=1,LEN($AQ$223) * LEN($AQ$146)&gt;0),$AQ$223/$AQ$146,HLOOKUP(INDIRECT(ADDRESS(2,COLUMN())),OFFSET($CL$2,0,0,ROW()-1,84),ROW()-1,FALSE))</f>
        <v>18.820101910000002</v>
      </c>
      <c r="AR86">
        <f ca="1">IF(AND($B$252=1,LEN($AR$223) * LEN($AR$146)&gt;0),$AR$223/$AR$146,HLOOKUP(INDIRECT(ADDRESS(2,COLUMN())),OFFSET($CL$2,0,0,ROW()-1,84),ROW()-1,FALSE))</f>
        <v>19.94287615</v>
      </c>
      <c r="AS86">
        <f ca="1">IF(AND($B$252=1,LEN($AS$223) * LEN($AS$146)&gt;0),$AS$223/$AS$146,HLOOKUP(INDIRECT(ADDRESS(2,COLUMN())),OFFSET($CL$2,0,0,ROW()-1,84),ROW()-1,FALSE))</f>
        <v>18.769700050000001</v>
      </c>
      <c r="AT86">
        <f ca="1">IF(AND($B$252=1,LEN($AT$223) * LEN($AT$146)&gt;0),$AT$223/$AT$146,HLOOKUP(INDIRECT(ADDRESS(2,COLUMN())),OFFSET($CL$2,0,0,ROW()-1,84),ROW()-1,FALSE))</f>
        <v>19.623338360000002</v>
      </c>
      <c r="AU86">
        <f ca="1">IF(AND($B$252=1,LEN($AU$223) * LEN($AU$146)&gt;0),$AU$223/$AU$146,HLOOKUP(INDIRECT(ADDRESS(2,COLUMN())),OFFSET($CL$2,0,0,ROW()-1,84),ROW()-1,FALSE))</f>
        <v>20.05591695</v>
      </c>
      <c r="AV86">
        <f ca="1">IF(AND($B$252=1,LEN($AV$223) * LEN($AV$146)&gt;0),$AV$223/$AV$146,HLOOKUP(INDIRECT(ADDRESS(2,COLUMN())),OFFSET($CL$2,0,0,ROW()-1,84),ROW()-1,FALSE))</f>
        <v>18.014049010000001</v>
      </c>
      <c r="AW86">
        <f ca="1">IF(AND($B$252=1,LEN($AW$223) * LEN($AW$146)&gt;0),$AW$223/$AW$146,HLOOKUP(INDIRECT(ADDRESS(2,COLUMN())),OFFSET($CL$2,0,0,ROW()-1,84),ROW()-1,FALSE))</f>
        <v>19.850569029999999</v>
      </c>
      <c r="AX86">
        <f ca="1">IF(AND($B$252=1,LEN($AX$223) * LEN($AX$146)&gt;0),$AX$223/$AX$146,HLOOKUP(INDIRECT(ADDRESS(2,COLUMN())),OFFSET($CL$2,0,0,ROW()-1,84),ROW()-1,FALSE))</f>
        <v>19.31211918</v>
      </c>
      <c r="AY86">
        <f ca="1">IF(AND($B$252=1,LEN($AY$223) * LEN($AY$146)&gt;0),$AY$223/$AY$146,HLOOKUP(INDIRECT(ADDRESS(2,COLUMN())),OFFSET($CL$2,0,0,ROW()-1,84),ROW()-1,FALSE))</f>
        <v>19.384977200000002</v>
      </c>
      <c r="AZ86">
        <f ca="1">IF(AND($B$252=1,LEN($AZ$223) * LEN($AZ$146)&gt;0),$AZ$223/$AZ$146,HLOOKUP(INDIRECT(ADDRESS(2,COLUMN())),OFFSET($CL$2,0,0,ROW()-1,84),ROW()-1,FALSE))</f>
        <v>19.310682320000002</v>
      </c>
      <c r="BA86">
        <f ca="1">IF(AND($B$252=1,LEN($BA$223) * LEN($BA$146)&gt;0),$BA$223/$BA$146,HLOOKUP(INDIRECT(ADDRESS(2,COLUMN())),OFFSET($CL$2,0,0,ROW()-1,84),ROW()-1,FALSE))</f>
        <v>18.751591380000001</v>
      </c>
      <c r="BB86">
        <f ca="1">IF(AND($B$252=1,LEN($BB$223) * LEN($BB$146)&gt;0),$BB$223/$BB$146,HLOOKUP(INDIRECT(ADDRESS(2,COLUMN())),OFFSET($CL$2,0,0,ROW()-1,84),ROW()-1,FALSE))</f>
        <v>18.19988687</v>
      </c>
      <c r="BC86">
        <f ca="1">IF(AND($B$252=1,LEN($BC$223) * LEN($BC$146)&gt;0),$BC$223/$BC$146,HLOOKUP(INDIRECT(ADDRESS(2,COLUMN())),OFFSET($CL$2,0,0,ROW()-1,84),ROW()-1,FALSE))</f>
        <v>18.28838786</v>
      </c>
      <c r="BD86">
        <f ca="1">IF(AND($B$252=1,LEN($BD$223) * LEN($BD$146)&gt;0),$BD$223/$BD$146,HLOOKUP(INDIRECT(ADDRESS(2,COLUMN())),OFFSET($CL$2,0,0,ROW()-1,84),ROW()-1,FALSE))</f>
        <v>16.896642669999999</v>
      </c>
      <c r="BE86">
        <f ca="1">IF(AND($B$252=1,LEN($BE$223) * LEN($BE$146)&gt;0),$BE$223/$BE$146,HLOOKUP(INDIRECT(ADDRESS(2,COLUMN())),OFFSET($CL$2,0,0,ROW()-1,84),ROW()-1,FALSE))</f>
        <v>15.27800161</v>
      </c>
      <c r="BF86">
        <f ca="1">IF(AND($B$252=1,LEN($BF$223) * LEN($BF$146)&gt;0),$BF$223/$BF$146,HLOOKUP(INDIRECT(ADDRESS(2,COLUMN())),OFFSET($CL$2,0,0,ROW()-1,84),ROW()-1,FALSE))</f>
        <v>15.55162767</v>
      </c>
      <c r="BG86">
        <f ca="1">IF(AND($B$252=1,LEN($BG$223) * LEN($BG$146)&gt;0),$BG$223/$BG$146,HLOOKUP(INDIRECT(ADDRESS(2,COLUMN())),OFFSET($CL$2,0,0,ROW()-1,84),ROW()-1,FALSE))</f>
        <v>17.26423694</v>
      </c>
      <c r="BH86">
        <f ca="1">IF(AND($B$252=1,LEN($BH$223) * LEN($BH$146)&gt;0),$BH$223/$BH$146,HLOOKUP(INDIRECT(ADDRESS(2,COLUMN())),OFFSET($CL$2,0,0,ROW()-1,84),ROW()-1,FALSE))</f>
        <v>16.58551623</v>
      </c>
      <c r="BI86">
        <f ca="1">IF(AND($B$252=1,LEN($BI$223) * LEN($BI$146)&gt;0),$BI$223/$BI$146,HLOOKUP(INDIRECT(ADDRESS(2,COLUMN())),OFFSET($CL$2,0,0,ROW()-1,84),ROW()-1,FALSE))</f>
        <v>16.784813209999999</v>
      </c>
      <c r="BJ86">
        <f ca="1">IF(AND($B$252=1,LEN($BJ$223) * LEN($BJ$146)&gt;0),$BJ$223/$BJ$146,HLOOKUP(INDIRECT(ADDRESS(2,COLUMN())),OFFSET($CL$2,0,0,ROW()-1,84),ROW()-1,FALSE))</f>
        <v>19.303719699999998</v>
      </c>
      <c r="BK86">
        <f ca="1">IF(AND($B$252=1,LEN($BK$223) * LEN($BK$146)&gt;0),$BK$223/$BK$146,HLOOKUP(INDIRECT(ADDRESS(2,COLUMN())),OFFSET($CL$2,0,0,ROW()-1,84),ROW()-1,FALSE))</f>
        <v>19.18047176</v>
      </c>
      <c r="BL86">
        <f ca="1">IF(AND($B$252=1,LEN($BL$223) * LEN($BL$146)&gt;0),$BL$223/$BL$146,HLOOKUP(INDIRECT(ADDRESS(2,COLUMN())),OFFSET($CL$2,0,0,ROW()-1,84),ROW()-1,FALSE))</f>
        <v>19.330783619999998</v>
      </c>
      <c r="BM86">
        <f ca="1">IF(AND($B$252=1,LEN($BM$223) * LEN($BM$146)&gt;0),$BM$223/$BM$146,HLOOKUP(INDIRECT(ADDRESS(2,COLUMN())),OFFSET($CL$2,0,0,ROW()-1,84),ROW()-1,FALSE))</f>
        <v>20.56010805</v>
      </c>
      <c r="BN86">
        <f ca="1">IF(AND($B$252=1,LEN($BN$223) * LEN($BN$146)&gt;0),$BN$223/$BN$146,HLOOKUP(INDIRECT(ADDRESS(2,COLUMN())),OFFSET($CL$2,0,0,ROW()-1,84),ROW()-1,FALSE))</f>
        <v>20.211205329999999</v>
      </c>
      <c r="BO86">
        <f ca="1">IF(AND($B$252=1,LEN($BO$223) * LEN($BO$146)&gt;0),$BO$223/$BO$146,HLOOKUP(INDIRECT(ADDRESS(2,COLUMN())),OFFSET($CL$2,0,0,ROW()-1,84),ROW()-1,FALSE))</f>
        <v>20.330779490000001</v>
      </c>
      <c r="BP86">
        <f ca="1">IF(AND($B$252=1,LEN($BP$223) * LEN($BP$146)&gt;0),$BP$223/$BP$146,HLOOKUP(INDIRECT(ADDRESS(2,COLUMN())),OFFSET($CL$2,0,0,ROW()-1,84),ROW()-1,FALSE))</f>
        <v>20.014467870000001</v>
      </c>
      <c r="BQ86">
        <f ca="1">IF(AND($B$252=1,LEN($BQ$223) * LEN($BQ$146)&gt;0),$BQ$223/$BQ$146,HLOOKUP(INDIRECT(ADDRESS(2,COLUMN())),OFFSET($CL$2,0,0,ROW()-1,84),ROW()-1,FALSE))</f>
        <v>19.765285420000001</v>
      </c>
      <c r="BR86">
        <f ca="1">IF(AND($B$252=1,LEN($BR$223) * LEN($BR$146)&gt;0),$BR$223/$BR$146,HLOOKUP(INDIRECT(ADDRESS(2,COLUMN())),OFFSET($CL$2,0,0,ROW()-1,84),ROW()-1,FALSE))</f>
        <v>19.286159640000001</v>
      </c>
      <c r="BS86">
        <f ca="1">IF(AND($B$252=1,LEN($BS$223) * LEN($BS$146)&gt;0),$BS$223/$BS$146,HLOOKUP(INDIRECT(ADDRESS(2,COLUMN())),OFFSET($CL$2,0,0,ROW()-1,84),ROW()-1,FALSE))</f>
        <v>20.445189880000001</v>
      </c>
      <c r="BT86">
        <f ca="1">IF(AND($B$252=1,LEN($BT$223) * LEN($BT$146)&gt;0),$BT$223/$BT$146,HLOOKUP(INDIRECT(ADDRESS(2,COLUMN())),OFFSET($CL$2,0,0,ROW()-1,84),ROW()-1,FALSE))</f>
        <v>20.21235351</v>
      </c>
      <c r="BU86">
        <f ca="1">IF(AND($B$252=1,LEN($BU$223) * LEN($BU$146)&gt;0),$BU$223/$BU$146,HLOOKUP(INDIRECT(ADDRESS(2,COLUMN())),OFFSET($CL$2,0,0,ROW()-1,84),ROW()-1,FALSE))</f>
        <v>21.91544734</v>
      </c>
      <c r="BV86">
        <f ca="1">IF(AND($B$252=1,LEN($BV$223) * LEN($BV$146)&gt;0),$BV$223/$BV$146,HLOOKUP(INDIRECT(ADDRESS(2,COLUMN())),OFFSET($CL$2,0,0,ROW()-1,84),ROW()-1,FALSE))</f>
        <v>22.81785648</v>
      </c>
      <c r="BW86">
        <f ca="1">IF(AND($B$252=1,LEN($BW$223) * LEN($BW$146)&gt;0),$BW$223/$BW$146,HLOOKUP(INDIRECT(ADDRESS(2,COLUMN())),OFFSET($CL$2,0,0,ROW()-1,84),ROW()-1,FALSE))</f>
        <v>21.86619774</v>
      </c>
      <c r="BX86">
        <f ca="1">IF(AND($B$252=1,LEN($BX$223) * LEN($BX$146)&gt;0),$BX$223/$BX$146,HLOOKUP(INDIRECT(ADDRESS(2,COLUMN())),OFFSET($CL$2,0,0,ROW()-1,84),ROW()-1,FALSE))</f>
        <v>21.216651630000001</v>
      </c>
      <c r="BY86">
        <f ca="1">IF(AND($B$252=1,LEN($BY$223) * LEN($BY$146)&gt;0),$BY$223/$BY$146,HLOOKUP(INDIRECT(ADDRESS(2,COLUMN())),OFFSET($CL$2,0,0,ROW()-1,84),ROW()-1,FALSE))</f>
        <v>22.147129329999999</v>
      </c>
      <c r="BZ86">
        <f ca="1">IF(AND($B$252=1,LEN($BZ$223) * LEN($BZ$146)&gt;0),$BZ$223/$BZ$146,HLOOKUP(INDIRECT(ADDRESS(2,COLUMN())),OFFSET($CL$2,0,0,ROW()-1,84),ROW()-1,FALSE))</f>
        <v>22.197726889999998</v>
      </c>
      <c r="CA86">
        <f ca="1">IF(AND($B$252=1,LEN($CA$223) * LEN($CA$146)&gt;0),$CA$223/$CA$146,HLOOKUP(INDIRECT(ADDRESS(2,COLUMN())),OFFSET($CL$2,0,0,ROW()-1,84),ROW()-1,FALSE))</f>
        <v>21.022464880000001</v>
      </c>
      <c r="CB86">
        <f ca="1">IF(AND($B$252=1,LEN($CB$223) * LEN($CB$146)&gt;0),$CB$223/$CB$146,HLOOKUP(INDIRECT(ADDRESS(2,COLUMN())),OFFSET($CL$2,0,0,ROW()-1,84),ROW()-1,FALSE))</f>
        <v>22.109848580000001</v>
      </c>
      <c r="CC86">
        <f ca="1">IF(AND($B$252=1,LEN($CC$223) * LEN($CC$146)&gt;0),$CC$223/$CC$146,HLOOKUP(INDIRECT(ADDRESS(2,COLUMN())),OFFSET($CL$2,0,0,ROW()-1,84),ROW()-1,FALSE))</f>
        <v>20.998650470000001</v>
      </c>
      <c r="CD86">
        <f ca="1">IF(AND($B$252=1,LEN($CD$223) * LEN($CD$146)&gt;0),$CD$223/$CD$146,HLOOKUP(INDIRECT(ADDRESS(2,COLUMN())),OFFSET($CL$2,0,0,ROW()-1,84),ROW()-1,FALSE))</f>
        <v>19.97678084</v>
      </c>
      <c r="CE86">
        <f ca="1">IF(AND($B$252=1,LEN($CE$223) * LEN($CE$146)&gt;0),$CE$223/$CE$146,HLOOKUP(INDIRECT(ADDRESS(2,COLUMN())),OFFSET($CL$2,0,0,ROW()-1,84),ROW()-1,FALSE))</f>
        <v>21.275655159999999</v>
      </c>
      <c r="CF86">
        <f ca="1">IF(AND($B$252=1,LEN($CF$223) * LEN($CF$146)&gt;0),$CF$223/$CF$146,HLOOKUP(INDIRECT(ADDRESS(2,COLUMN())),OFFSET($CL$2,0,0,ROW()-1,84),ROW()-1,FALSE))</f>
        <v>19.763948500000001</v>
      </c>
      <c r="CG86">
        <f ca="1">IF(AND($B$252=1,LEN($CG$223) * LEN($CG$146)&gt;0),$CG$223/$CG$146,HLOOKUP(INDIRECT(ADDRESS(2,COLUMN())),OFFSET($CL$2,0,0,ROW()-1,84),ROW()-1,FALSE))</f>
        <v>24.165500040000001</v>
      </c>
      <c r="CH86">
        <f ca="1">IF(AND($B$252=1,LEN($CH$223) * LEN($CH$146)&gt;0),$CH$223/$CH$146,HLOOKUP(INDIRECT(ADDRESS(2,COLUMN())),OFFSET($CL$2,0,0,ROW()-1,84),ROW()-1,FALSE))</f>
        <v>25.416037459999998</v>
      </c>
      <c r="CI86">
        <f ca="1">IF(AND($B$252=1,LEN($CI$223) * LEN($CI$146)&gt;0),$CI$223/$CI$146,HLOOKUP(INDIRECT(ADDRESS(2,COLUMN())),OFFSET($CL$2,0,0,ROW()-1,84),ROW()-1,FALSE))</f>
        <v>24.381167869999999</v>
      </c>
      <c r="CJ86">
        <f ca="1">IF(AND($B$252=1,LEN($CJ$223) * LEN($CJ$146)&gt;0),$CJ$223/$CJ$146,HLOOKUP(INDIRECT(ADDRESS(2,COLUMN())),OFFSET($CL$2,0,0,ROW()-1,84),ROW()-1,FALSE))</f>
        <v>24.78576584</v>
      </c>
      <c r="CK86">
        <f ca="1">IF(AND($B$252=1,LEN($CK$223) * LEN($CK$146)&gt;0),$CK$223/$CK$146,HLOOKUP(INDIRECT(ADDRESS(2,COLUMN())),OFFSET($CL$2,0,0,ROW()-1,84),ROW()-1,FALSE))</f>
        <v>25.197888760000001</v>
      </c>
      <c r="CL86">
        <f>20.04065785</f>
        <v>20.040657849999999</v>
      </c>
      <c r="CM86">
        <f>19.37016232</f>
        <v>19.370162319999999</v>
      </c>
      <c r="CN86">
        <f>20.80510667</f>
        <v>20.805106670000001</v>
      </c>
      <c r="CO86">
        <f>22.40993184</f>
        <v>22.409931839999999</v>
      </c>
      <c r="CP86">
        <f>22.2780312</f>
        <v>22.278031200000001</v>
      </c>
      <c r="CQ86">
        <f>22.62256077</f>
        <v>22.62256077</v>
      </c>
      <c r="CR86">
        <f>22.54684418</f>
        <v>22.546844180000001</v>
      </c>
      <c r="CS86">
        <f>22.25811403</f>
        <v>22.258114030000002</v>
      </c>
      <c r="CT86">
        <f>22.33947333</f>
        <v>22.339473330000001</v>
      </c>
      <c r="CU86">
        <f>21.48222585</f>
        <v>21.482225849999999</v>
      </c>
      <c r="CV86">
        <f>21.0377991</f>
        <v>21.037799100000001</v>
      </c>
      <c r="CW86">
        <f>20.54309321</f>
        <v>20.543093209999999</v>
      </c>
      <c r="CX86">
        <f>20.7571751</f>
        <v>20.757175100000001</v>
      </c>
      <c r="CY86">
        <f>21.91297559</f>
        <v>21.912975589999999</v>
      </c>
      <c r="CZ86">
        <f>21.06574999</f>
        <v>21.06574999</v>
      </c>
      <c r="DA86">
        <f>21.23516039</f>
        <v>21.235160390000001</v>
      </c>
      <c r="DB86">
        <f>19.99477204</f>
        <v>19.994772040000001</v>
      </c>
      <c r="DC86">
        <f>20.9630277</f>
        <v>20.963027700000001</v>
      </c>
      <c r="DD86">
        <f>21.52837586</f>
        <v>21.528375860000001</v>
      </c>
      <c r="DE86">
        <f>22.57846189</f>
        <v>22.57846189</v>
      </c>
      <c r="DF86">
        <f>23.12137833</f>
        <v>23.121378329999999</v>
      </c>
      <c r="DG86">
        <f>22.74737448</f>
        <v>22.747374480000001</v>
      </c>
      <c r="DH86">
        <f>21.73877549</f>
        <v>21.738775489999998</v>
      </c>
      <c r="DI86">
        <f>19.46221322</f>
        <v>19.462213219999999</v>
      </c>
      <c r="DJ86">
        <f>20.18828474</f>
        <v>20.18828474</v>
      </c>
      <c r="DK86">
        <f>18.01038501</f>
        <v>18.01038501</v>
      </c>
      <c r="DL86">
        <f>18.59266445</f>
        <v>18.592664450000001</v>
      </c>
      <c r="DM86">
        <f>18.99529819</f>
        <v>18.99529819</v>
      </c>
      <c r="DN86">
        <f>18.91884662</f>
        <v>18.91884662</v>
      </c>
      <c r="DO86">
        <f>18.04468842</f>
        <v>18.04468842</v>
      </c>
      <c r="DP86">
        <f>18.19581255</f>
        <v>18.195812549999999</v>
      </c>
      <c r="DQ86">
        <f>17.83186946</f>
        <v>17.83186946</v>
      </c>
      <c r="DR86">
        <f>19.72342619</f>
        <v>19.723426190000001</v>
      </c>
      <c r="DS86">
        <f>18.52710974</f>
        <v>18.52710974</v>
      </c>
      <c r="DT86">
        <f>18.83315328</f>
        <v>18.833153280000001</v>
      </c>
      <c r="DU86">
        <f>19.2280457</f>
        <v>19.228045699999999</v>
      </c>
      <c r="DV86">
        <f>20.24982473</f>
        <v>20.24982473</v>
      </c>
      <c r="DW86">
        <f>18.82010191</f>
        <v>18.820101910000002</v>
      </c>
      <c r="DX86">
        <f>19.94287615</f>
        <v>19.94287615</v>
      </c>
      <c r="DY86">
        <f>18.76970005</f>
        <v>18.769700050000001</v>
      </c>
      <c r="DZ86">
        <f>19.62333836</f>
        <v>19.623338360000002</v>
      </c>
      <c r="EA86">
        <f>20.05591695</f>
        <v>20.05591695</v>
      </c>
      <c r="EB86">
        <f>18.01404901</f>
        <v>18.014049010000001</v>
      </c>
      <c r="EC86">
        <f>19.85056903</f>
        <v>19.850569029999999</v>
      </c>
      <c r="ED86">
        <f>19.31211918</f>
        <v>19.31211918</v>
      </c>
      <c r="EE86">
        <f>19.3849772</f>
        <v>19.384977200000002</v>
      </c>
      <c r="EF86">
        <f>19.31068232</f>
        <v>19.310682320000002</v>
      </c>
      <c r="EG86">
        <f>18.75159138</f>
        <v>18.751591380000001</v>
      </c>
      <c r="EH86">
        <f>18.19988687</f>
        <v>18.19988687</v>
      </c>
      <c r="EI86">
        <f>18.28838786</f>
        <v>18.28838786</v>
      </c>
      <c r="EJ86">
        <f>16.89664267</f>
        <v>16.896642669999999</v>
      </c>
      <c r="EK86">
        <f>15.27800161</f>
        <v>15.27800161</v>
      </c>
      <c r="EL86">
        <f>15.55162767</f>
        <v>15.55162767</v>
      </c>
      <c r="EM86">
        <f>17.26423694</f>
        <v>17.26423694</v>
      </c>
      <c r="EN86">
        <f>16.58551623</f>
        <v>16.58551623</v>
      </c>
      <c r="EO86">
        <f>16.78481321</f>
        <v>16.784813209999999</v>
      </c>
      <c r="EP86">
        <f>19.3037197</f>
        <v>19.303719699999998</v>
      </c>
      <c r="EQ86">
        <f>19.18047176</f>
        <v>19.18047176</v>
      </c>
      <c r="ER86">
        <f>19.33078362</f>
        <v>19.330783619999998</v>
      </c>
      <c r="ES86">
        <f>20.56010805</f>
        <v>20.56010805</v>
      </c>
      <c r="ET86">
        <f>20.21120533</f>
        <v>20.211205329999999</v>
      </c>
      <c r="EU86">
        <f>20.33077949</f>
        <v>20.330779490000001</v>
      </c>
      <c r="EV86">
        <f>20.01446787</f>
        <v>20.014467870000001</v>
      </c>
      <c r="EW86">
        <f>19.76528542</f>
        <v>19.765285420000001</v>
      </c>
      <c r="EX86">
        <f>19.28615964</f>
        <v>19.286159640000001</v>
      </c>
      <c r="EY86">
        <f>20.44518988</f>
        <v>20.445189880000001</v>
      </c>
      <c r="EZ86">
        <f>20.21235351</f>
        <v>20.21235351</v>
      </c>
      <c r="FA86">
        <f>21.91544734</f>
        <v>21.91544734</v>
      </c>
      <c r="FB86">
        <f>22.81785648</f>
        <v>22.81785648</v>
      </c>
      <c r="FC86">
        <f>21.86619774</f>
        <v>21.86619774</v>
      </c>
      <c r="FD86">
        <f>21.21665163</f>
        <v>21.216651630000001</v>
      </c>
      <c r="FE86">
        <f>22.14712933</f>
        <v>22.147129329999999</v>
      </c>
      <c r="FF86">
        <f>22.19772689</f>
        <v>22.197726889999998</v>
      </c>
      <c r="FG86">
        <f>21.02246488</f>
        <v>21.022464880000001</v>
      </c>
      <c r="FH86">
        <f>22.10984858</f>
        <v>22.109848580000001</v>
      </c>
      <c r="FI86">
        <f>20.99865047</f>
        <v>20.998650470000001</v>
      </c>
      <c r="FJ86">
        <f>19.97678084</f>
        <v>19.97678084</v>
      </c>
      <c r="FK86">
        <f>21.27565516</f>
        <v>21.275655159999999</v>
      </c>
      <c r="FL86">
        <f>19.7639485</f>
        <v>19.763948500000001</v>
      </c>
      <c r="FM86">
        <f>24.16550004</f>
        <v>24.165500040000001</v>
      </c>
      <c r="FN86">
        <f>25.41603746</f>
        <v>25.416037459999998</v>
      </c>
      <c r="FO86">
        <f>24.38116787</f>
        <v>24.381167869999999</v>
      </c>
      <c r="FP86">
        <f>24.78576584</f>
        <v>24.78576584</v>
      </c>
      <c r="FQ86">
        <f>25.19788876</f>
        <v>25.197888760000001</v>
      </c>
    </row>
    <row r="87" spans="1:173">
      <c r="A87" t="str">
        <f>"    Equity Residential"</f>
        <v xml:space="preserve">    Equity Residential</v>
      </c>
      <c r="B87" t="str">
        <f>"EQR US Equity"</f>
        <v>EQR US Equity</v>
      </c>
      <c r="E87" t="str">
        <f t="shared" si="30"/>
        <v>Expression</v>
      </c>
      <c r="F87">
        <f ca="1">IF(AND($B$252=1,LEN($F$224) * LEN($F$147)&gt;0),$F$224/$F$147,HLOOKUP(INDIRECT(ADDRESS(2,COLUMN())),OFFSET($CL$2,0,0,ROW()-1,84),ROW()-1,FALSE))</f>
        <v>20.910605929999999</v>
      </c>
      <c r="G87">
        <f ca="1">IF(AND($B$252=1,LEN($G$224) * LEN($G$147)&gt;0),$G$224/$G$147,HLOOKUP(INDIRECT(ADDRESS(2,COLUMN())),OFFSET($CL$2,0,0,ROW()-1,84),ROW()-1,FALSE))</f>
        <v>19.692471050000002</v>
      </c>
      <c r="H87">
        <f ca="1">IF(AND($B$252=1,LEN($H$224) * LEN($H$147)&gt;0),$H$224/$H$147,HLOOKUP(INDIRECT(ADDRESS(2,COLUMN())),OFFSET($CL$2,0,0,ROW()-1,84),ROW()-1,FALSE))</f>
        <v>21.50715555</v>
      </c>
      <c r="I87">
        <f ca="1">IF(AND($B$252=1,LEN($I$224) * LEN($I$147)&gt;0),$I$224/$I$147,HLOOKUP(INDIRECT(ADDRESS(2,COLUMN())),OFFSET($CL$2,0,0,ROW()-1,84),ROW()-1,FALSE))</f>
        <v>22.27383863</v>
      </c>
      <c r="J87">
        <f ca="1">IF(AND($B$252=1,LEN($J$224) * LEN($J$147)&gt;0),$J$224/$J$147,HLOOKUP(INDIRECT(ADDRESS(2,COLUMN())),OFFSET($CL$2,0,0,ROW()-1,84),ROW()-1,FALSE))</f>
        <v>23.57185995</v>
      </c>
      <c r="K87">
        <f ca="1">IF(AND($B$252=1,LEN($K$224) * LEN($K$147)&gt;0),$K$224/$K$147,HLOOKUP(INDIRECT(ADDRESS(2,COLUMN())),OFFSET($CL$2,0,0,ROW()-1,84),ROW()-1,FALSE))</f>
        <v>23.626777010000001</v>
      </c>
      <c r="L87">
        <f ca="1">IF(AND($B$252=1,LEN($L$224) * LEN($L$147)&gt;0),$L$224/$L$147,HLOOKUP(INDIRECT(ADDRESS(2,COLUMN())),OFFSET($CL$2,0,0,ROW()-1,84),ROW()-1,FALSE))</f>
        <v>23.098887619999999</v>
      </c>
      <c r="M87">
        <f ca="1">IF(AND($B$252=1,LEN($M$224) * LEN($M$147)&gt;0),$M$224/$M$147,HLOOKUP(INDIRECT(ADDRESS(2,COLUMN())),OFFSET($CL$2,0,0,ROW()-1,84),ROW()-1,FALSE))</f>
        <v>23.578363379999999</v>
      </c>
      <c r="N87">
        <f ca="1">IF(AND($B$252=1,LEN($N$224) * LEN($N$147)&gt;0),$N$224/$N$147,HLOOKUP(INDIRECT(ADDRESS(2,COLUMN())),OFFSET($CL$2,0,0,ROW()-1,84),ROW()-1,FALSE))</f>
        <v>24.229426969999999</v>
      </c>
      <c r="O87">
        <f ca="1">IF(AND($B$252=1,LEN($O$224) * LEN($O$147)&gt;0),$O$224/$O$147,HLOOKUP(INDIRECT(ADDRESS(2,COLUMN())),OFFSET($CL$2,0,0,ROW()-1,84),ROW()-1,FALSE))</f>
        <v>23.397902970000001</v>
      </c>
      <c r="P87">
        <f ca="1">IF(AND($B$252=1,LEN($P$224) * LEN($P$147)&gt;0),$P$224/$P$147,HLOOKUP(INDIRECT(ADDRESS(2,COLUMN())),OFFSET($CL$2,0,0,ROW()-1,84),ROW()-1,FALSE))</f>
        <v>23.250854539999999</v>
      </c>
      <c r="Q87">
        <f ca="1">IF(AND($B$252=1,LEN($Q$224) * LEN($Q$147)&gt;0),$Q$224/$Q$147,HLOOKUP(INDIRECT(ADDRESS(2,COLUMN())),OFFSET($CL$2,0,0,ROW()-1,84),ROW()-1,FALSE))</f>
        <v>23.016862759999999</v>
      </c>
      <c r="R87">
        <f ca="1">IF(AND($B$252=1,LEN($R$224) * LEN($R$147)&gt;0),$R$224/$R$147,HLOOKUP(INDIRECT(ADDRESS(2,COLUMN())),OFFSET($CL$2,0,0,ROW()-1,84),ROW()-1,FALSE))</f>
        <v>22.468177300000001</v>
      </c>
      <c r="S87">
        <f ca="1">IF(AND($B$252=1,LEN($S$224) * LEN($S$147)&gt;0),$S$224/$S$147,HLOOKUP(INDIRECT(ADDRESS(2,COLUMN())),OFFSET($CL$2,0,0,ROW()-1,84),ROW()-1,FALSE))</f>
        <v>22.695246770000001</v>
      </c>
      <c r="T87">
        <f ca="1">IF(AND($B$252=1,LEN($T$224) * LEN($T$147)&gt;0),$T$224/$T$147,HLOOKUP(INDIRECT(ADDRESS(2,COLUMN())),OFFSET($CL$2,0,0,ROW()-1,84),ROW()-1,FALSE))</f>
        <v>21.456007419999999</v>
      </c>
      <c r="U87">
        <f ca="1">IF(AND($B$252=1,LEN($U$224) * LEN($U$147)&gt;0),$U$224/$U$147,HLOOKUP(INDIRECT(ADDRESS(2,COLUMN())),OFFSET($CL$2,0,0,ROW()-1,84),ROW()-1,FALSE))</f>
        <v>22.774239210000001</v>
      </c>
      <c r="V87">
        <f ca="1">IF(AND($B$252=1,LEN($V$224) * LEN($V$147)&gt;0),$V$224/$V$147,HLOOKUP(INDIRECT(ADDRESS(2,COLUMN())),OFFSET($CL$2,0,0,ROW()-1,84),ROW()-1,FALSE))</f>
        <v>21.38894483</v>
      </c>
      <c r="W87">
        <f ca="1">IF(AND($B$252=1,LEN($W$224) * LEN($W$147)&gt;0),$W$224/$W$147,HLOOKUP(INDIRECT(ADDRESS(2,COLUMN())),OFFSET($CL$2,0,0,ROW()-1,84),ROW()-1,FALSE))</f>
        <v>22.034157759999999</v>
      </c>
      <c r="X87">
        <f ca="1">IF(AND($B$252=1,LEN($X$224) * LEN($X$147)&gt;0),$X$224/$X$147,HLOOKUP(INDIRECT(ADDRESS(2,COLUMN())),OFFSET($CL$2,0,0,ROW()-1,84),ROW()-1,FALSE))</f>
        <v>22.995531719999999</v>
      </c>
      <c r="Y87">
        <f ca="1">IF(AND($B$252=1,LEN($Y$224) * LEN($Y$147)&gt;0),$Y$224/$Y$147,HLOOKUP(INDIRECT(ADDRESS(2,COLUMN())),OFFSET($CL$2,0,0,ROW()-1,84),ROW()-1,FALSE))</f>
        <v>23.110081940000001</v>
      </c>
      <c r="Z87">
        <f ca="1">IF(AND($B$252=1,LEN($Z$224) * LEN($Z$147)&gt;0),$Z$224/$Z$147,HLOOKUP(INDIRECT(ADDRESS(2,COLUMN())),OFFSET($CL$2,0,0,ROW()-1,84),ROW()-1,FALSE))</f>
        <v>24.066932900000001</v>
      </c>
      <c r="AA87">
        <f ca="1">IF(AND($B$252=1,LEN($AA$224) * LEN($AA$147)&gt;0),$AA$224/$AA$147,HLOOKUP(INDIRECT(ADDRESS(2,COLUMN())),OFFSET($CL$2,0,0,ROW()-1,84),ROW()-1,FALSE))</f>
        <v>23.861528310000001</v>
      </c>
      <c r="AB87">
        <f ca="1">IF(AND($B$252=1,LEN($AB$224) * LEN($AB$147)&gt;0),$AB$224/$AB$147,HLOOKUP(INDIRECT(ADDRESS(2,COLUMN())),OFFSET($CL$2,0,0,ROW()-1,84),ROW()-1,FALSE))</f>
        <v>23.878576349999999</v>
      </c>
      <c r="AC87">
        <f ca="1">IF(AND($B$252=1,LEN($AC$224) * LEN($AC$147)&gt;0),$AC$224/$AC$147,HLOOKUP(INDIRECT(ADDRESS(2,COLUMN())),OFFSET($CL$2,0,0,ROW()-1,84),ROW()-1,FALSE))</f>
        <v>23.618703150000002</v>
      </c>
      <c r="AD87">
        <f ca="1">IF(AND($B$252=1,LEN($AD$224) * LEN($AD$147)&gt;0),$AD$224/$AD$147,HLOOKUP(INDIRECT(ADDRESS(2,COLUMN())),OFFSET($CL$2,0,0,ROW()-1,84),ROW()-1,FALSE))</f>
        <v>25.786934550000002</v>
      </c>
      <c r="AE87">
        <f ca="1">IF(AND($B$252=1,LEN($AE$224) * LEN($AE$147)&gt;0),$AE$224/$AE$147,HLOOKUP(INDIRECT(ADDRESS(2,COLUMN())),OFFSET($CL$2,0,0,ROW()-1,84),ROW()-1,FALSE))</f>
        <v>25.550507270000001</v>
      </c>
      <c r="AF87">
        <f ca="1">IF(AND($B$252=1,LEN($AF$224) * LEN($AF$147)&gt;0),$AF$224/$AF$147,HLOOKUP(INDIRECT(ADDRESS(2,COLUMN())),OFFSET($CL$2,0,0,ROW()-1,84),ROW()-1,FALSE))</f>
        <v>25.302213590000001</v>
      </c>
      <c r="AG87">
        <f ca="1">IF(AND($B$252=1,LEN($AG$224) * LEN($AG$147)&gt;0),$AG$224/$AG$147,HLOOKUP(INDIRECT(ADDRESS(2,COLUMN())),OFFSET($CL$2,0,0,ROW()-1,84),ROW()-1,FALSE))</f>
        <v>26.971900829999999</v>
      </c>
      <c r="AH87">
        <f ca="1">IF(AND($B$252=1,LEN($AH$224) * LEN($AH$147)&gt;0),$AH$224/$AH$147,HLOOKUP(INDIRECT(ADDRESS(2,COLUMN())),OFFSET($CL$2,0,0,ROW()-1,84),ROW()-1,FALSE))</f>
        <v>25.947639859999999</v>
      </c>
      <c r="AI87">
        <f ca="1">IF(AND($B$252=1,LEN($AI$224) * LEN($AI$147)&gt;0),$AI$224/$AI$147,HLOOKUP(INDIRECT(ADDRESS(2,COLUMN())),OFFSET($CL$2,0,0,ROW()-1,84),ROW()-1,FALSE))</f>
        <v>24.840107069999998</v>
      </c>
      <c r="AJ87">
        <f ca="1">IF(AND($B$252=1,LEN($AJ$224) * LEN($AJ$147)&gt;0),$AJ$224/$AJ$147,HLOOKUP(INDIRECT(ADDRESS(2,COLUMN())),OFFSET($CL$2,0,0,ROW()-1,84),ROW()-1,FALSE))</f>
        <v>22.793371350000001</v>
      </c>
      <c r="AK87">
        <f ca="1">IF(AND($B$252=1,LEN($AK$224) * LEN($AK$147)&gt;0),$AK$224/$AK$147,HLOOKUP(INDIRECT(ADDRESS(2,COLUMN())),OFFSET($CL$2,0,0,ROW()-1,84),ROW()-1,FALSE))</f>
        <v>22.189874320000001</v>
      </c>
      <c r="AL87">
        <f ca="1">IF(AND($B$252=1,LEN($AL$224) * LEN($AL$147)&gt;0),$AL$224/$AL$147,HLOOKUP(INDIRECT(ADDRESS(2,COLUMN())),OFFSET($CL$2,0,0,ROW()-1,84),ROW()-1,FALSE))</f>
        <v>23.752335630000001</v>
      </c>
      <c r="AM87">
        <f ca="1">IF(AND($B$252=1,LEN($AM$224) * LEN($AM$147)&gt;0),$AM$224/$AM$147,HLOOKUP(INDIRECT(ADDRESS(2,COLUMN())),OFFSET($CL$2,0,0,ROW()-1,84),ROW()-1,FALSE))</f>
        <v>22.766553120000001</v>
      </c>
      <c r="AN87">
        <f ca="1">IF(AND($B$252=1,LEN($AN$224) * LEN($AN$147)&gt;0),$AN$224/$AN$147,HLOOKUP(INDIRECT(ADDRESS(2,COLUMN())),OFFSET($CL$2,0,0,ROW()-1,84),ROW()-1,FALSE))</f>
        <v>24.133725259999999</v>
      </c>
      <c r="AO87">
        <f ca="1">IF(AND($B$252=1,LEN($AO$224) * LEN($AO$147)&gt;0),$AO$224/$AO$147,HLOOKUP(INDIRECT(ADDRESS(2,COLUMN())),OFFSET($CL$2,0,0,ROW()-1,84),ROW()-1,FALSE))</f>
        <v>24.503022569999999</v>
      </c>
      <c r="AP87">
        <f ca="1">IF(AND($B$252=1,LEN($AP$224) * LEN($AP$147)&gt;0),$AP$224/$AP$147,HLOOKUP(INDIRECT(ADDRESS(2,COLUMN())),OFFSET($CL$2,0,0,ROW()-1,84),ROW()-1,FALSE))</f>
        <v>27.321167590000002</v>
      </c>
      <c r="AQ87">
        <f ca="1">IF(AND($B$252=1,LEN($AQ$224) * LEN($AQ$147)&gt;0),$AQ$224/$AQ$147,HLOOKUP(INDIRECT(ADDRESS(2,COLUMN())),OFFSET($CL$2,0,0,ROW()-1,84),ROW()-1,FALSE))</f>
        <v>26.51245411</v>
      </c>
      <c r="AR87">
        <f ca="1">IF(AND($B$252=1,LEN($AR$224) * LEN($AR$147)&gt;0),$AR$224/$AR$147,HLOOKUP(INDIRECT(ADDRESS(2,COLUMN())),OFFSET($CL$2,0,0,ROW()-1,84),ROW()-1,FALSE))</f>
        <v>26.732432840000001</v>
      </c>
      <c r="AS87">
        <f ca="1">IF(AND($B$252=1,LEN($AS$224) * LEN($AS$147)&gt;0),$AS$224/$AS$147,HLOOKUP(INDIRECT(ADDRESS(2,COLUMN())),OFFSET($CL$2,0,0,ROW()-1,84),ROW()-1,FALSE))</f>
        <v>24.585900070000001</v>
      </c>
      <c r="AT87">
        <f ca="1">IF(AND($B$252=1,LEN($AT$224) * LEN($AT$147)&gt;0),$AT$224/$AT$147,HLOOKUP(INDIRECT(ADDRESS(2,COLUMN())),OFFSET($CL$2,0,0,ROW()-1,84),ROW()-1,FALSE))</f>
        <v>24.641979930000002</v>
      </c>
      <c r="AU87">
        <f ca="1">IF(AND($B$252=1,LEN($AU$224) * LEN($AU$147)&gt;0),$AU$224/$AU$147,HLOOKUP(INDIRECT(ADDRESS(2,COLUMN())),OFFSET($CL$2,0,0,ROW()-1,84),ROW()-1,FALSE))</f>
        <v>24.23554047</v>
      </c>
      <c r="AV87">
        <f ca="1">IF(AND($B$252=1,LEN($AV$224) * LEN($AV$147)&gt;0),$AV$224/$AV$147,HLOOKUP(INDIRECT(ADDRESS(2,COLUMN())),OFFSET($CL$2,0,0,ROW()-1,84),ROW()-1,FALSE))</f>
        <v>21.456019860000001</v>
      </c>
      <c r="AW87">
        <f ca="1">IF(AND($B$252=1,LEN($AW$224) * LEN($AW$147)&gt;0),$AW$224/$AW$147,HLOOKUP(INDIRECT(ADDRESS(2,COLUMN())),OFFSET($CL$2,0,0,ROW()-1,84),ROW()-1,FALSE))</f>
        <v>22.598674129999999</v>
      </c>
      <c r="AX87">
        <f ca="1">IF(AND($B$252=1,LEN($AX$224) * LEN($AX$147)&gt;0),$AX$224/$AX$147,HLOOKUP(INDIRECT(ADDRESS(2,COLUMN())),OFFSET($CL$2,0,0,ROW()-1,84),ROW()-1,FALSE))</f>
        <v>22.065998669999999</v>
      </c>
      <c r="AY87">
        <f ca="1">IF(AND($B$252=1,LEN($AY$224) * LEN($AY$147)&gt;0),$AY$224/$AY$147,HLOOKUP(INDIRECT(ADDRESS(2,COLUMN())),OFFSET($CL$2,0,0,ROW()-1,84),ROW()-1,FALSE))</f>
        <v>21.730424769999999</v>
      </c>
      <c r="AZ87">
        <f ca="1">IF(AND($B$252=1,LEN($AZ$224) * LEN($AZ$147)&gt;0),$AZ$224/$AZ$147,HLOOKUP(INDIRECT(ADDRESS(2,COLUMN())),OFFSET($CL$2,0,0,ROW()-1,84),ROW()-1,FALSE))</f>
        <v>21.626161360000001</v>
      </c>
      <c r="BA87">
        <f ca="1">IF(AND($B$252=1,LEN($BA$224) * LEN($BA$147)&gt;0),$BA$224/$BA$147,HLOOKUP(INDIRECT(ADDRESS(2,COLUMN())),OFFSET($CL$2,0,0,ROW()-1,84),ROW()-1,FALSE))</f>
        <v>20.79477752</v>
      </c>
      <c r="BB87">
        <f ca="1">IF(AND($B$252=1,LEN($BB$224) * LEN($BB$147)&gt;0),$BB$224/$BB$147,HLOOKUP(INDIRECT(ADDRESS(2,COLUMN())),OFFSET($CL$2,0,0,ROW()-1,84),ROW()-1,FALSE))</f>
        <v>20.278613249999999</v>
      </c>
      <c r="BC87">
        <f ca="1">IF(AND($B$252=1,LEN($BC$224) * LEN($BC$147)&gt;0),$BC$224/$BC$147,HLOOKUP(INDIRECT(ADDRESS(2,COLUMN())),OFFSET($CL$2,0,0,ROW()-1,84),ROW()-1,FALSE))</f>
        <v>20.589753649999999</v>
      </c>
      <c r="BD87">
        <f ca="1">IF(AND($B$252=1,LEN($BD$224) * LEN($BD$147)&gt;0),$BD$224/$BD$147,HLOOKUP(INDIRECT(ADDRESS(2,COLUMN())),OFFSET($CL$2,0,0,ROW()-1,84),ROW()-1,FALSE))</f>
        <v>19.46488781</v>
      </c>
      <c r="BE87">
        <f ca="1">IF(AND($B$252=1,LEN($BE$224) * LEN($BE$147)&gt;0),$BE$224/$BE$147,HLOOKUP(INDIRECT(ADDRESS(2,COLUMN())),OFFSET($CL$2,0,0,ROW()-1,84),ROW()-1,FALSE))</f>
        <v>18.104712039999999</v>
      </c>
      <c r="BF87">
        <f ca="1">IF(AND($B$252=1,LEN($BF$224) * LEN($BF$147)&gt;0),$BF$224/$BF$147,HLOOKUP(INDIRECT(ADDRESS(2,COLUMN())),OFFSET($CL$2,0,0,ROW()-1,84),ROW()-1,FALSE))</f>
        <v>18.24280774</v>
      </c>
      <c r="BG87">
        <f ca="1">IF(AND($B$252=1,LEN($BG$224) * LEN($BG$147)&gt;0),$BG$224/$BG$147,HLOOKUP(INDIRECT(ADDRESS(2,COLUMN())),OFFSET($CL$2,0,0,ROW()-1,84),ROW()-1,FALSE))</f>
        <v>18.87435863</v>
      </c>
      <c r="BH87">
        <f ca="1">IF(AND($B$252=1,LEN($BH$224) * LEN($BH$147)&gt;0),$BH$224/$BH$147,HLOOKUP(INDIRECT(ADDRESS(2,COLUMN())),OFFSET($CL$2,0,0,ROW()-1,84),ROW()-1,FALSE))</f>
        <v>19.582720269999999</v>
      </c>
      <c r="BI87">
        <f ca="1">IF(AND($B$252=1,LEN($BI$224) * LEN($BI$147)&gt;0),$BI$224/$BI$147,HLOOKUP(INDIRECT(ADDRESS(2,COLUMN())),OFFSET($CL$2,0,0,ROW()-1,84),ROW()-1,FALSE))</f>
        <v>19.177294440000001</v>
      </c>
      <c r="BJ87">
        <f ca="1">IF(AND($B$252=1,LEN($BJ$224) * LEN($BJ$147)&gt;0),$BJ$224/$BJ$147,HLOOKUP(INDIRECT(ADDRESS(2,COLUMN())),OFFSET($CL$2,0,0,ROW()-1,84),ROW()-1,FALSE))</f>
        <v>20.917438870000002</v>
      </c>
      <c r="BK87">
        <f ca="1">IF(AND($B$252=1,LEN($BK$224) * LEN($BK$147)&gt;0),$BK$224/$BK$147,HLOOKUP(INDIRECT(ADDRESS(2,COLUMN())),OFFSET($CL$2,0,0,ROW()-1,84),ROW()-1,FALSE))</f>
        <v>21.98537893</v>
      </c>
      <c r="BL87">
        <f ca="1">IF(AND($B$252=1,LEN($BL$224) * LEN($BL$147)&gt;0),$BL$224/$BL$147,HLOOKUP(INDIRECT(ADDRESS(2,COLUMN())),OFFSET($CL$2,0,0,ROW()-1,84),ROW()-1,FALSE))</f>
        <v>21.679317090000001</v>
      </c>
      <c r="BM87">
        <f ca="1">IF(AND($B$252=1,LEN($BM$224) * LEN($BM$147)&gt;0),$BM$224/$BM$147,HLOOKUP(INDIRECT(ADDRESS(2,COLUMN())),OFFSET($CL$2,0,0,ROW()-1,84),ROW()-1,FALSE))</f>
        <v>22.586895940000002</v>
      </c>
      <c r="BN87">
        <f ca="1">IF(AND($B$252=1,LEN($BN$224) * LEN($BN$147)&gt;0),$BN$224/$BN$147,HLOOKUP(INDIRECT(ADDRESS(2,COLUMN())),OFFSET($CL$2,0,0,ROW()-1,84),ROW()-1,FALSE))</f>
        <v>21.16486724</v>
      </c>
      <c r="BO87">
        <f ca="1">IF(AND($B$252=1,LEN($BO$224) * LEN($BO$147)&gt;0),$BO$224/$BO$147,HLOOKUP(INDIRECT(ADDRESS(2,COLUMN())),OFFSET($CL$2,0,0,ROW()-1,84),ROW()-1,FALSE))</f>
        <v>21.396852129999999</v>
      </c>
      <c r="BP87">
        <f ca="1">IF(AND($B$252=1,LEN($BP$224) * LEN($BP$147)&gt;0),$BP$224/$BP$147,HLOOKUP(INDIRECT(ADDRESS(2,COLUMN())),OFFSET($CL$2,0,0,ROW()-1,84),ROW()-1,FALSE))</f>
        <v>20.409855239999999</v>
      </c>
      <c r="BQ87">
        <f ca="1">IF(AND($B$252=1,LEN($BQ$224) * LEN($BQ$147)&gt;0),$BQ$224/$BQ$147,HLOOKUP(INDIRECT(ADDRESS(2,COLUMN())),OFFSET($CL$2,0,0,ROW()-1,84),ROW()-1,FALSE))</f>
        <v>20.82690187</v>
      </c>
      <c r="BR87">
        <f ca="1">IF(AND($B$252=1,LEN($BR$224) * LEN($BR$147)&gt;0),$BR$224/$BR$147,HLOOKUP(INDIRECT(ADDRESS(2,COLUMN())),OFFSET($CL$2,0,0,ROW()-1,84),ROW()-1,FALSE))</f>
        <v>20.396120509999999</v>
      </c>
      <c r="BS87">
        <f ca="1">IF(AND($B$252=1,LEN($BS$224) * LEN($BS$147)&gt;0),$BS$224/$BS$147,HLOOKUP(INDIRECT(ADDRESS(2,COLUMN())),OFFSET($CL$2,0,0,ROW()-1,84),ROW()-1,FALSE))</f>
        <v>21.718726409999999</v>
      </c>
      <c r="BT87">
        <f ca="1">IF(AND($B$252=1,LEN($BT$224) * LEN($BT$147)&gt;0),$BT$224/$BT$147,HLOOKUP(INDIRECT(ADDRESS(2,COLUMN())),OFFSET($CL$2,0,0,ROW()-1,84),ROW()-1,FALSE))</f>
        <v>21.94699988</v>
      </c>
      <c r="BU87">
        <f ca="1">IF(AND($B$252=1,LEN($BU$224) * LEN($BU$147)&gt;0),$BU$224/$BU$147,HLOOKUP(INDIRECT(ADDRESS(2,COLUMN())),OFFSET($CL$2,0,0,ROW()-1,84),ROW()-1,FALSE))</f>
        <v>22.963291049999999</v>
      </c>
      <c r="BV87">
        <f ca="1">IF(AND($B$252=1,LEN($BV$224) * LEN($BV$147)&gt;0),$BV$224/$BV$147,HLOOKUP(INDIRECT(ADDRESS(2,COLUMN())),OFFSET($CL$2,0,0,ROW()-1,84),ROW()-1,FALSE))</f>
        <v>24.29454303</v>
      </c>
      <c r="BW87">
        <f ca="1">IF(AND($B$252=1,LEN($BW$224) * LEN($BW$147)&gt;0),$BW$224/$BW$147,HLOOKUP(INDIRECT(ADDRESS(2,COLUMN())),OFFSET($CL$2,0,0,ROW()-1,84),ROW()-1,FALSE))</f>
        <v>24.211946940000001</v>
      </c>
      <c r="BX87">
        <f ca="1">IF(AND($B$252=1,LEN($BX$224) * LEN($BX$147)&gt;0),$BX$224/$BX$147,HLOOKUP(INDIRECT(ADDRESS(2,COLUMN())),OFFSET($CL$2,0,0,ROW()-1,84),ROW()-1,FALSE))</f>
        <v>23.833336710000001</v>
      </c>
      <c r="BY87">
        <f ca="1">IF(AND($B$252=1,LEN($BY$224) * LEN($BY$147)&gt;0),$BY$224/$BY$147,HLOOKUP(INDIRECT(ADDRESS(2,COLUMN())),OFFSET($CL$2,0,0,ROW()-1,84),ROW()-1,FALSE))</f>
        <v>23.987650110000001</v>
      </c>
      <c r="BZ87">
        <f ca="1">IF(AND($B$252=1,LEN($BZ$224) * LEN($BZ$147)&gt;0),$BZ$224/$BZ$147,HLOOKUP(INDIRECT(ADDRESS(2,COLUMN())),OFFSET($CL$2,0,0,ROW()-1,84),ROW()-1,FALSE))</f>
        <v>24.989873549999999</v>
      </c>
      <c r="CA87">
        <f ca="1">IF(AND($B$252=1,LEN($CA$224) * LEN($CA$147)&gt;0),$CA$224/$CA$147,HLOOKUP(INDIRECT(ADDRESS(2,COLUMN())),OFFSET($CL$2,0,0,ROW()-1,84),ROW()-1,FALSE))</f>
        <v>22.670983809999999</v>
      </c>
      <c r="CB87">
        <f ca="1">IF(AND($B$252=1,LEN($CB$224) * LEN($CB$147)&gt;0),$CB$224/$CB$147,HLOOKUP(INDIRECT(ADDRESS(2,COLUMN())),OFFSET($CL$2,0,0,ROW()-1,84),ROW()-1,FALSE))</f>
        <v>23.561902920000001</v>
      </c>
      <c r="CC87">
        <f ca="1">IF(AND($B$252=1,LEN($CC$224) * LEN($CC$147)&gt;0),$CC$224/$CC$147,HLOOKUP(INDIRECT(ADDRESS(2,COLUMN())),OFFSET($CL$2,0,0,ROW()-1,84),ROW()-1,FALSE))</f>
        <v>22.89441991</v>
      </c>
      <c r="CD87">
        <f ca="1">IF(AND($B$252=1,LEN($CD$224) * LEN($CD$147)&gt;0),$CD$224/$CD$147,HLOOKUP(INDIRECT(ADDRESS(2,COLUMN())),OFFSET($CL$2,0,0,ROW()-1,84),ROW()-1,FALSE))</f>
        <v>21.879721400000001</v>
      </c>
      <c r="CE87">
        <f ca="1">IF(AND($B$252=1,LEN($CE$224) * LEN($CE$147)&gt;0),$CE$224/$CE$147,HLOOKUP(INDIRECT(ADDRESS(2,COLUMN())),OFFSET($CL$2,0,0,ROW()-1,84),ROW()-1,FALSE))</f>
        <v>23.550016490000001</v>
      </c>
      <c r="CF87">
        <f ca="1">IF(AND($B$252=1,LEN($CF$224) * LEN($CF$147)&gt;0),$CF$224/$CF$147,HLOOKUP(INDIRECT(ADDRESS(2,COLUMN())),OFFSET($CL$2,0,0,ROW()-1,84),ROW()-1,FALSE))</f>
        <v>21.051136360000001</v>
      </c>
      <c r="CG87">
        <f ca="1">IF(AND($B$252=1,LEN($CG$224) * LEN($CG$147)&gt;0),$CG$224/$CG$147,HLOOKUP(INDIRECT(ADDRESS(2,COLUMN())),OFFSET($CL$2,0,0,ROW()-1,84),ROW()-1,FALSE))</f>
        <v>25.076010889999999</v>
      </c>
      <c r="CH87">
        <f ca="1">IF(AND($B$252=1,LEN($CH$224) * LEN($CH$147)&gt;0),$CH$224/$CH$147,HLOOKUP(INDIRECT(ADDRESS(2,COLUMN())),OFFSET($CL$2,0,0,ROW()-1,84),ROW()-1,FALSE))</f>
        <v>25.911557009999999</v>
      </c>
      <c r="CI87">
        <f ca="1">IF(AND($B$252=1,LEN($CI$224) * LEN($CI$147)&gt;0),$CI$224/$CI$147,HLOOKUP(INDIRECT(ADDRESS(2,COLUMN())),OFFSET($CL$2,0,0,ROW()-1,84),ROW()-1,FALSE))</f>
        <v>25.05868954</v>
      </c>
      <c r="CJ87">
        <f ca="1">IF(AND($B$252=1,LEN($CJ$224) * LEN($CJ$147)&gt;0),$CJ$224/$CJ$147,HLOOKUP(INDIRECT(ADDRESS(2,COLUMN())),OFFSET($CL$2,0,0,ROW()-1,84),ROW()-1,FALSE))</f>
        <v>25.966662889999998</v>
      </c>
      <c r="CK87">
        <f ca="1">IF(AND($B$252=1,LEN($CK$224) * LEN($CK$147)&gt;0),$CK$224/$CK$147,HLOOKUP(INDIRECT(ADDRESS(2,COLUMN())),OFFSET($CL$2,0,0,ROW()-1,84),ROW()-1,FALSE))</f>
        <v>25.67127108</v>
      </c>
      <c r="CL87">
        <f>20.91060593</f>
        <v>20.910605929999999</v>
      </c>
      <c r="CM87">
        <f>19.69247105</f>
        <v>19.692471050000002</v>
      </c>
      <c r="CN87">
        <f>21.50715555</f>
        <v>21.50715555</v>
      </c>
      <c r="CO87">
        <f>22.27383863</f>
        <v>22.27383863</v>
      </c>
      <c r="CP87">
        <f>23.57185995</f>
        <v>23.57185995</v>
      </c>
      <c r="CQ87">
        <f>23.62677701</f>
        <v>23.626777010000001</v>
      </c>
      <c r="CR87">
        <f>23.09888762</f>
        <v>23.098887619999999</v>
      </c>
      <c r="CS87">
        <f>23.57836338</f>
        <v>23.578363379999999</v>
      </c>
      <c r="CT87">
        <f>24.22942697</f>
        <v>24.229426969999999</v>
      </c>
      <c r="CU87">
        <f>23.39790297</f>
        <v>23.397902970000001</v>
      </c>
      <c r="CV87">
        <f>23.25085454</f>
        <v>23.250854539999999</v>
      </c>
      <c r="CW87">
        <f>23.01686276</f>
        <v>23.016862759999999</v>
      </c>
      <c r="CX87">
        <f>22.4681773</f>
        <v>22.468177300000001</v>
      </c>
      <c r="CY87">
        <f>22.69524677</f>
        <v>22.695246770000001</v>
      </c>
      <c r="CZ87">
        <f>21.45600742</f>
        <v>21.456007419999999</v>
      </c>
      <c r="DA87">
        <f>22.77423921</f>
        <v>22.774239210000001</v>
      </c>
      <c r="DB87">
        <f>21.38894483</f>
        <v>21.38894483</v>
      </c>
      <c r="DC87">
        <f>22.03415776</f>
        <v>22.034157759999999</v>
      </c>
      <c r="DD87">
        <f>22.99553172</f>
        <v>22.995531719999999</v>
      </c>
      <c r="DE87">
        <f>23.11008194</f>
        <v>23.110081940000001</v>
      </c>
      <c r="DF87">
        <f>24.0669329</f>
        <v>24.066932900000001</v>
      </c>
      <c r="DG87">
        <f>23.86152831</f>
        <v>23.861528310000001</v>
      </c>
      <c r="DH87">
        <f>23.87857635</f>
        <v>23.878576349999999</v>
      </c>
      <c r="DI87">
        <f>23.61870315</f>
        <v>23.618703150000002</v>
      </c>
      <c r="DJ87">
        <f>25.78693455</f>
        <v>25.786934550000002</v>
      </c>
      <c r="DK87">
        <f>25.55050727</f>
        <v>25.550507270000001</v>
      </c>
      <c r="DL87">
        <f>25.30221359</f>
        <v>25.302213590000001</v>
      </c>
      <c r="DM87">
        <f>26.97190083</f>
        <v>26.971900829999999</v>
      </c>
      <c r="DN87">
        <f>25.94763986</f>
        <v>25.947639859999999</v>
      </c>
      <c r="DO87">
        <f>24.84010707</f>
        <v>24.840107069999998</v>
      </c>
      <c r="DP87">
        <f>22.79337135</f>
        <v>22.793371350000001</v>
      </c>
      <c r="DQ87">
        <f>22.18987432</f>
        <v>22.189874320000001</v>
      </c>
      <c r="DR87">
        <f>23.75233563</f>
        <v>23.752335630000001</v>
      </c>
      <c r="DS87">
        <f>22.76655312</f>
        <v>22.766553120000001</v>
      </c>
      <c r="DT87">
        <f>24.13372526</f>
        <v>24.133725259999999</v>
      </c>
      <c r="DU87">
        <f>24.50302257</f>
        <v>24.503022569999999</v>
      </c>
      <c r="DV87">
        <f>27.32116759</f>
        <v>27.321167590000002</v>
      </c>
      <c r="DW87">
        <f>26.51245411</f>
        <v>26.51245411</v>
      </c>
      <c r="DX87">
        <f>26.73243284</f>
        <v>26.732432840000001</v>
      </c>
      <c r="DY87">
        <f>24.58590007</f>
        <v>24.585900070000001</v>
      </c>
      <c r="DZ87">
        <f>24.64197993</f>
        <v>24.641979930000002</v>
      </c>
      <c r="EA87">
        <f>24.23554047</f>
        <v>24.23554047</v>
      </c>
      <c r="EB87">
        <f>21.45601986</f>
        <v>21.456019860000001</v>
      </c>
      <c r="EC87">
        <f>22.59867413</f>
        <v>22.598674129999999</v>
      </c>
      <c r="ED87">
        <f>22.06599867</f>
        <v>22.065998669999999</v>
      </c>
      <c r="EE87">
        <f>21.73042477</f>
        <v>21.730424769999999</v>
      </c>
      <c r="EF87">
        <f>21.62616136</f>
        <v>21.626161360000001</v>
      </c>
      <c r="EG87">
        <f>20.79477752</f>
        <v>20.79477752</v>
      </c>
      <c r="EH87">
        <f>20.27861325</f>
        <v>20.278613249999999</v>
      </c>
      <c r="EI87">
        <f>20.58975365</f>
        <v>20.589753649999999</v>
      </c>
      <c r="EJ87">
        <f>19.46488781</f>
        <v>19.46488781</v>
      </c>
      <c r="EK87">
        <f>18.10471204</f>
        <v>18.104712039999999</v>
      </c>
      <c r="EL87">
        <f>18.24280774</f>
        <v>18.24280774</v>
      </c>
      <c r="EM87">
        <f>18.87435863</f>
        <v>18.87435863</v>
      </c>
      <c r="EN87">
        <f>19.58272027</f>
        <v>19.582720269999999</v>
      </c>
      <c r="EO87">
        <f>19.17729444</f>
        <v>19.177294440000001</v>
      </c>
      <c r="EP87">
        <f>20.91743887</f>
        <v>20.917438870000002</v>
      </c>
      <c r="EQ87">
        <f>21.98537893</f>
        <v>21.98537893</v>
      </c>
      <c r="ER87">
        <f>21.67931709</f>
        <v>21.679317090000001</v>
      </c>
      <c r="ES87">
        <f>22.58689594</f>
        <v>22.586895940000002</v>
      </c>
      <c r="ET87">
        <f>21.16486724</f>
        <v>21.16486724</v>
      </c>
      <c r="EU87">
        <f>21.39685213</f>
        <v>21.396852129999999</v>
      </c>
      <c r="EV87">
        <f>20.40985524</f>
        <v>20.409855239999999</v>
      </c>
      <c r="EW87">
        <f>20.82690187</f>
        <v>20.82690187</v>
      </c>
      <c r="EX87">
        <f>20.39612051</f>
        <v>20.396120509999999</v>
      </c>
      <c r="EY87">
        <f>21.71872641</f>
        <v>21.718726409999999</v>
      </c>
      <c r="EZ87">
        <f>21.94699988</f>
        <v>21.94699988</v>
      </c>
      <c r="FA87">
        <f>22.96329105</f>
        <v>22.963291049999999</v>
      </c>
      <c r="FB87">
        <f>24.29454303</f>
        <v>24.29454303</v>
      </c>
      <c r="FC87">
        <f>24.21194694</f>
        <v>24.211946940000001</v>
      </c>
      <c r="FD87">
        <f>23.83333671</f>
        <v>23.833336710000001</v>
      </c>
      <c r="FE87">
        <f>23.98765011</f>
        <v>23.987650110000001</v>
      </c>
      <c r="FF87">
        <f>24.98987355</f>
        <v>24.989873549999999</v>
      </c>
      <c r="FG87">
        <f>22.67098381</f>
        <v>22.670983809999999</v>
      </c>
      <c r="FH87">
        <f>23.56190292</f>
        <v>23.561902920000001</v>
      </c>
      <c r="FI87">
        <f>22.89441991</f>
        <v>22.89441991</v>
      </c>
      <c r="FJ87">
        <f>21.8797214</f>
        <v>21.879721400000001</v>
      </c>
      <c r="FK87">
        <f>23.55001649</f>
        <v>23.550016490000001</v>
      </c>
      <c r="FL87">
        <f>21.05113636</f>
        <v>21.051136360000001</v>
      </c>
      <c r="FM87">
        <f>25.07601089</f>
        <v>25.076010889999999</v>
      </c>
      <c r="FN87">
        <f>25.91155701</f>
        <v>25.911557009999999</v>
      </c>
      <c r="FO87">
        <f>25.05868954</f>
        <v>25.05868954</v>
      </c>
      <c r="FP87">
        <f>25.96666289</f>
        <v>25.966662889999998</v>
      </c>
      <c r="FQ87">
        <f>25.67127108</f>
        <v>25.67127108</v>
      </c>
    </row>
    <row r="88" spans="1:173">
      <c r="A88" t="str">
        <f>"    Essex Property Trust Inc"</f>
        <v xml:space="preserve">    Essex Property Trust Inc</v>
      </c>
      <c r="B88" t="str">
        <f>"ESS US Equity"</f>
        <v>ESS US Equity</v>
      </c>
      <c r="E88" t="str">
        <f t="shared" si="30"/>
        <v>Expression</v>
      </c>
      <c r="F88">
        <f ca="1">IF(AND($B$252=1,LEN($F$225) * LEN($F$148)&gt;0),$F$225/$F$148,HLOOKUP(INDIRECT(ADDRESS(2,COLUMN())),OFFSET($CL$2,0,0,ROW()-1,84),ROW()-1,FALSE))</f>
        <v>20.783467250000001</v>
      </c>
      <c r="G88">
        <f ca="1">IF(AND($B$252=1,LEN($G$225) * LEN($G$148)&gt;0),$G$225/$G$148,HLOOKUP(INDIRECT(ADDRESS(2,COLUMN())),OFFSET($CL$2,0,0,ROW()-1,84),ROW()-1,FALSE))</f>
        <v>19.643089549999999</v>
      </c>
      <c r="H88">
        <f ca="1">IF(AND($B$252=1,LEN($H$225) * LEN($H$148)&gt;0),$H$225/$H$148,HLOOKUP(INDIRECT(ADDRESS(2,COLUMN())),OFFSET($CL$2,0,0,ROW()-1,84),ROW()-1,FALSE))</f>
        <v>20.48791993</v>
      </c>
      <c r="I88">
        <f ca="1">IF(AND($B$252=1,LEN($I$225) * LEN($I$148)&gt;0),$I$225/$I$148,HLOOKUP(INDIRECT(ADDRESS(2,COLUMN())),OFFSET($CL$2,0,0,ROW()-1,84),ROW()-1,FALSE))</f>
        <v>21.453204159999999</v>
      </c>
      <c r="J88">
        <f ca="1">IF(AND($B$252=1,LEN($J$225) * LEN($J$148)&gt;0),$J$225/$J$148,HLOOKUP(INDIRECT(ADDRESS(2,COLUMN())),OFFSET($CL$2,0,0,ROW()-1,84),ROW()-1,FALSE))</f>
        <v>21.992754210000001</v>
      </c>
      <c r="K88">
        <f ca="1">IF(AND($B$252=1,LEN($K$225) * LEN($K$148)&gt;0),$K$225/$K$148,HLOOKUP(INDIRECT(ADDRESS(2,COLUMN())),OFFSET($CL$2,0,0,ROW()-1,84),ROW()-1,FALSE))</f>
        <v>23.283846619999998</v>
      </c>
      <c r="L88">
        <f ca="1">IF(AND($B$252=1,LEN($L$225) * LEN($L$148)&gt;0),$L$225/$L$148,HLOOKUP(INDIRECT(ADDRESS(2,COLUMN())),OFFSET($CL$2,0,0,ROW()-1,84),ROW()-1,FALSE))</f>
        <v>22.634263690000001</v>
      </c>
      <c r="M88">
        <f ca="1">IF(AND($B$252=1,LEN($M$225) * LEN($M$148)&gt;0),$M$225/$M$148,HLOOKUP(INDIRECT(ADDRESS(2,COLUMN())),OFFSET($CL$2,0,0,ROW()-1,84),ROW()-1,FALSE))</f>
        <v>23.833590510000001</v>
      </c>
      <c r="N88">
        <f ca="1">IF(AND($B$252=1,LEN($N$225) * LEN($N$148)&gt;0),$N$225/$N$148,HLOOKUP(INDIRECT(ADDRESS(2,COLUMN())),OFFSET($CL$2,0,0,ROW()-1,84),ROW()-1,FALSE))</f>
        <v>23.604621420000001</v>
      </c>
      <c r="O88">
        <f ca="1">IF(AND($B$252=1,LEN($O$225) * LEN($O$148)&gt;0),$O$225/$O$148,HLOOKUP(INDIRECT(ADDRESS(2,COLUMN())),OFFSET($CL$2,0,0,ROW()-1,84),ROW()-1,FALSE))</f>
        <v>23.44252586</v>
      </c>
      <c r="P88">
        <f ca="1">IF(AND($B$252=1,LEN($P$225) * LEN($P$148)&gt;0),$P$225/$P$148,HLOOKUP(INDIRECT(ADDRESS(2,COLUMN())),OFFSET($CL$2,0,0,ROW()-1,84),ROW()-1,FALSE))</f>
        <v>23.539787799999999</v>
      </c>
      <c r="Q88">
        <f ca="1">IF(AND($B$252=1,LEN($Q$225) * LEN($Q$148)&gt;0),$Q$225/$Q$148,HLOOKUP(INDIRECT(ADDRESS(2,COLUMN())),OFFSET($CL$2,0,0,ROW()-1,84),ROW()-1,FALSE))</f>
        <v>22.490499700000001</v>
      </c>
      <c r="R88">
        <f ca="1">IF(AND($B$252=1,LEN($R$225) * LEN($R$148)&gt;0),$R$225/$R$148,HLOOKUP(INDIRECT(ADDRESS(2,COLUMN())),OFFSET($CL$2,0,0,ROW()-1,84),ROW()-1,FALSE))</f>
        <v>21.356885900000002</v>
      </c>
      <c r="S88">
        <f ca="1">IF(AND($B$252=1,LEN($S$225) * LEN($S$148)&gt;0),$S$225/$S$148,HLOOKUP(INDIRECT(ADDRESS(2,COLUMN())),OFFSET($CL$2,0,0,ROW()-1,84),ROW()-1,FALSE))</f>
        <v>21.753607720000002</v>
      </c>
      <c r="T88">
        <f ca="1">IF(AND($B$252=1,LEN($T$225) * LEN($T$148)&gt;0),$T$225/$T$148,HLOOKUP(INDIRECT(ADDRESS(2,COLUMN())),OFFSET($CL$2,0,0,ROW()-1,84),ROW()-1,FALSE))</f>
        <v>20.681012939999999</v>
      </c>
      <c r="U88">
        <f ca="1">IF(AND($B$252=1,LEN($U$225) * LEN($U$148)&gt;0),$U$225/$U$148,HLOOKUP(INDIRECT(ADDRESS(2,COLUMN())),OFFSET($CL$2,0,0,ROW()-1,84),ROW()-1,FALSE))</f>
        <v>21.519807480000001</v>
      </c>
      <c r="V88">
        <f ca="1">IF(AND($B$252=1,LEN($V$225) * LEN($V$148)&gt;0),$V$225/$V$148,HLOOKUP(INDIRECT(ADDRESS(2,COLUMN())),OFFSET($CL$2,0,0,ROW()-1,84),ROW()-1,FALSE))</f>
        <v>20.068428959999999</v>
      </c>
      <c r="W88">
        <f ca="1">IF(AND($B$252=1,LEN($W$225) * LEN($W$148)&gt;0),$W$225/$W$148,HLOOKUP(INDIRECT(ADDRESS(2,COLUMN())),OFFSET($CL$2,0,0,ROW()-1,84),ROW()-1,FALSE))</f>
        <v>19.997319239999999</v>
      </c>
      <c r="X88">
        <f ca="1">IF(AND($B$252=1,LEN($X$225) * LEN($X$148)&gt;0),$X$225/$X$148,HLOOKUP(INDIRECT(ADDRESS(2,COLUMN())),OFFSET($CL$2,0,0,ROW()-1,84),ROW()-1,FALSE))</f>
        <v>20.955562350000001</v>
      </c>
      <c r="Y88">
        <f ca="1">IF(AND($B$252=1,LEN($Y$225) * LEN($Y$148)&gt;0),$Y$225/$Y$148,HLOOKUP(INDIRECT(ADDRESS(2,COLUMN())),OFFSET($CL$2,0,0,ROW()-1,84),ROW()-1,FALSE))</f>
        <v>21.492792250000001</v>
      </c>
      <c r="Z88">
        <f ca="1">IF(AND($B$252=1,LEN($Z$225) * LEN($Z$148)&gt;0),$Z$225/$Z$148,HLOOKUP(INDIRECT(ADDRESS(2,COLUMN())),OFFSET($CL$2,0,0,ROW()-1,84),ROW()-1,FALSE))</f>
        <v>22.325560079999999</v>
      </c>
      <c r="AA88">
        <f ca="1">IF(AND($B$252=1,LEN($AA$225) * LEN($AA$148)&gt;0),$AA$225/$AA$148,HLOOKUP(INDIRECT(ADDRESS(2,COLUMN())),OFFSET($CL$2,0,0,ROW()-1,84),ROW()-1,FALSE))</f>
        <v>21.937185530000001</v>
      </c>
      <c r="AB88">
        <f ca="1">IF(AND($B$252=1,LEN($AB$225) * LEN($AB$148)&gt;0),$AB$225/$AB$148,HLOOKUP(INDIRECT(ADDRESS(2,COLUMN())),OFFSET($CL$2,0,0,ROW()-1,84),ROW()-1,FALSE))</f>
        <v>21.919025489999999</v>
      </c>
      <c r="AC88">
        <f ca="1">IF(AND($B$252=1,LEN($AC$225) * LEN($AC$148)&gt;0),$AC$225/$AC$148,HLOOKUP(INDIRECT(ADDRESS(2,COLUMN())),OFFSET($CL$2,0,0,ROW()-1,84),ROW()-1,FALSE))</f>
        <v>21.35665783</v>
      </c>
      <c r="AD88">
        <f ca="1">IF(AND($B$252=1,LEN($AD$225) * LEN($AD$148)&gt;0),$AD$225/$AD$148,HLOOKUP(INDIRECT(ADDRESS(2,COLUMN())),OFFSET($CL$2,0,0,ROW()-1,84),ROW()-1,FALSE))</f>
        <v>22.854951490000001</v>
      </c>
      <c r="AE88">
        <f ca="1">IF(AND($B$252=1,LEN($AE$225) * LEN($AE$148)&gt;0),$AE$225/$AE$148,HLOOKUP(INDIRECT(ADDRESS(2,COLUMN())),OFFSET($CL$2,0,0,ROW()-1,84),ROW()-1,FALSE))</f>
        <v>20.474870639999999</v>
      </c>
      <c r="AF88">
        <f ca="1">IF(AND($B$252=1,LEN($AF$225) * LEN($AF$148)&gt;0),$AF$225/$AF$148,HLOOKUP(INDIRECT(ADDRESS(2,COLUMN())),OFFSET($CL$2,0,0,ROW()-1,84),ROW()-1,FALSE))</f>
        <v>21.112542099999999</v>
      </c>
      <c r="AG88">
        <f ca="1">IF(AND($B$252=1,LEN($AG$225) * LEN($AG$148)&gt;0),$AG$225/$AG$148,HLOOKUP(INDIRECT(ADDRESS(2,COLUMN())),OFFSET($CL$2,0,0,ROW()-1,84),ROW()-1,FALSE))</f>
        <v>23.729804739999999</v>
      </c>
      <c r="AH88">
        <f ca="1">IF(AND($B$252=1,LEN($AH$225) * LEN($AH$148)&gt;0),$AH$225/$AH$148,HLOOKUP(INDIRECT(ADDRESS(2,COLUMN())),OFFSET($CL$2,0,0,ROW()-1,84),ROW()-1,FALSE))</f>
        <v>23.068944250000001</v>
      </c>
      <c r="AI88">
        <f ca="1">IF(AND($B$252=1,LEN($AI$225) * LEN($AI$148)&gt;0),$AI$225/$AI$148,HLOOKUP(INDIRECT(ADDRESS(2,COLUMN())),OFFSET($CL$2,0,0,ROW()-1,84),ROW()-1,FALSE))</f>
        <v>22.539948750000001</v>
      </c>
      <c r="AJ88">
        <f ca="1">IF(AND($B$252=1,LEN($AJ$225) * LEN($AJ$148)&gt;0),$AJ$225/$AJ$148,HLOOKUP(INDIRECT(ADDRESS(2,COLUMN())),OFFSET($CL$2,0,0,ROW()-1,84),ROW()-1,FALSE))</f>
        <v>23.32878912</v>
      </c>
      <c r="AK88">
        <f ca="1">IF(AND($B$252=1,LEN($AK$225) * LEN($AK$148)&gt;0),$AK$225/$AK$148,HLOOKUP(INDIRECT(ADDRESS(2,COLUMN())),OFFSET($CL$2,0,0,ROW()-1,84),ROW()-1,FALSE))</f>
        <v>22.95888485</v>
      </c>
      <c r="AL88">
        <f ca="1">IF(AND($B$252=1,LEN($AL$225) * LEN($AL$148)&gt;0),$AL$225/$AL$148,HLOOKUP(INDIRECT(ADDRESS(2,COLUMN())),OFFSET($CL$2,0,0,ROW()-1,84),ROW()-1,FALSE))</f>
        <v>24.748909869999999</v>
      </c>
      <c r="AM88">
        <f ca="1">IF(AND($B$252=1,LEN($AM$225) * LEN($AM$148)&gt;0),$AM$225/$AM$148,HLOOKUP(INDIRECT(ADDRESS(2,COLUMN())),OFFSET($CL$2,0,0,ROW()-1,84),ROW()-1,FALSE))</f>
        <v>23.607486049999999</v>
      </c>
      <c r="AN88">
        <f ca="1">IF(AND($B$252=1,LEN($AN$225) * LEN($AN$148)&gt;0),$AN$225/$AN$148,HLOOKUP(INDIRECT(ADDRESS(2,COLUMN())),OFFSET($CL$2,0,0,ROW()-1,84),ROW()-1,FALSE))</f>
        <v>25.050332470000001</v>
      </c>
      <c r="AO88">
        <f ca="1">IF(AND($B$252=1,LEN($AO$225) * LEN($AO$148)&gt;0),$AO$225/$AO$148,HLOOKUP(INDIRECT(ADDRESS(2,COLUMN())),OFFSET($CL$2,0,0,ROW()-1,84),ROW()-1,FALSE))</f>
        <v>25.288853509999999</v>
      </c>
      <c r="AP88">
        <f ca="1">IF(AND($B$252=1,LEN($AP$225) * LEN($AP$148)&gt;0),$AP$225/$AP$148,HLOOKUP(INDIRECT(ADDRESS(2,COLUMN())),OFFSET($CL$2,0,0,ROW()-1,84),ROW()-1,FALSE))</f>
        <v>26.64215141</v>
      </c>
      <c r="AQ88">
        <f ca="1">IF(AND($B$252=1,LEN($AQ$225) * LEN($AQ$148)&gt;0),$AQ$225/$AQ$148,HLOOKUP(INDIRECT(ADDRESS(2,COLUMN())),OFFSET($CL$2,0,0,ROW()-1,84),ROW()-1,FALSE))</f>
        <v>26.201918630000002</v>
      </c>
      <c r="AR88">
        <f ca="1">IF(AND($B$252=1,LEN($AR$225) * LEN($AR$148)&gt;0),$AR$225/$AR$148,HLOOKUP(INDIRECT(ADDRESS(2,COLUMN())),OFFSET($CL$2,0,0,ROW()-1,84),ROW()-1,FALSE))</f>
        <v>26.97601873</v>
      </c>
      <c r="AS88">
        <f ca="1">IF(AND($B$252=1,LEN($AS$225) * LEN($AS$148)&gt;0),$AS$225/$AS$148,HLOOKUP(INDIRECT(ADDRESS(2,COLUMN())),OFFSET($CL$2,0,0,ROW()-1,84),ROW()-1,FALSE))</f>
        <v>24.733628639999999</v>
      </c>
      <c r="AT88">
        <f ca="1">IF(AND($B$252=1,LEN($AT$225) * LEN($AT$148)&gt;0),$AT$225/$AT$148,HLOOKUP(INDIRECT(ADDRESS(2,COLUMN())),OFFSET($CL$2,0,0,ROW()-1,84),ROW()-1,FALSE))</f>
        <v>24.687412909999999</v>
      </c>
      <c r="AU88">
        <f ca="1">IF(AND($B$252=1,LEN($AU$225) * LEN($AU$148)&gt;0),$AU$225/$AU$148,HLOOKUP(INDIRECT(ADDRESS(2,COLUMN())),OFFSET($CL$2,0,0,ROW()-1,84),ROW()-1,FALSE))</f>
        <v>24.989756880000002</v>
      </c>
      <c r="AV88">
        <f ca="1">IF(AND($B$252=1,LEN($AV$225) * LEN($AV$148)&gt;0),$AV$225/$AV$148,HLOOKUP(INDIRECT(ADDRESS(2,COLUMN())),OFFSET($CL$2,0,0,ROW()-1,84),ROW()-1,FALSE))</f>
        <v>22.272197779999999</v>
      </c>
      <c r="AW88">
        <f ca="1">IF(AND($B$252=1,LEN($AW$225) * LEN($AW$148)&gt;0),$AW$225/$AW$148,HLOOKUP(INDIRECT(ADDRESS(2,COLUMN())),OFFSET($CL$2,0,0,ROW()-1,84),ROW()-1,FALSE))</f>
        <v>24.149390919999998</v>
      </c>
      <c r="AX88">
        <f ca="1">IF(AND($B$252=1,LEN($AX$225) * LEN($AX$148)&gt;0),$AX$225/$AX$148,HLOOKUP(INDIRECT(ADDRESS(2,COLUMN())),OFFSET($CL$2,0,0,ROW()-1,84),ROW()-1,FALSE))</f>
        <v>24.324515760000001</v>
      </c>
      <c r="AY88">
        <f ca="1">IF(AND($B$252=1,LEN($AY$225) * LEN($AY$148)&gt;0),$AY$225/$AY$148,HLOOKUP(INDIRECT(ADDRESS(2,COLUMN())),OFFSET($CL$2,0,0,ROW()-1,84),ROW()-1,FALSE))</f>
        <v>23.86625604</v>
      </c>
      <c r="AZ88">
        <f ca="1">IF(AND($B$252=1,LEN($AZ$225) * LEN($AZ$148)&gt;0),$AZ$225/$AZ$148,HLOOKUP(INDIRECT(ADDRESS(2,COLUMN())),OFFSET($CL$2,0,0,ROW()-1,84),ROW()-1,FALSE))</f>
        <v>23.84541278</v>
      </c>
      <c r="BA88">
        <f ca="1">IF(AND($B$252=1,LEN($BA$225) * LEN($BA$148)&gt;0),$BA$225/$BA$148,HLOOKUP(INDIRECT(ADDRESS(2,COLUMN())),OFFSET($CL$2,0,0,ROW()-1,84),ROW()-1,FALSE))</f>
        <v>22.576463669999999</v>
      </c>
      <c r="BB88">
        <f ca="1">IF(AND($B$252=1,LEN($BB$225) * LEN($BB$148)&gt;0),$BB$225/$BB$148,HLOOKUP(INDIRECT(ADDRESS(2,COLUMN())),OFFSET($CL$2,0,0,ROW()-1,84),ROW()-1,FALSE))</f>
        <v>22.125779300000001</v>
      </c>
      <c r="BC88">
        <f ca="1">IF(AND($B$252=1,LEN($BC$225) * LEN($BC$148)&gt;0),$BC$225/$BC$148,HLOOKUP(INDIRECT(ADDRESS(2,COLUMN())),OFFSET($CL$2,0,0,ROW()-1,84),ROW()-1,FALSE))</f>
        <v>21.993423409999998</v>
      </c>
      <c r="BD88">
        <f ca="1">IF(AND($B$252=1,LEN($BD$225) * LEN($BD$148)&gt;0),$BD$225/$BD$148,HLOOKUP(INDIRECT(ADDRESS(2,COLUMN())),OFFSET($CL$2,0,0,ROW()-1,84),ROW()-1,FALSE))</f>
        <v>21.091317530000001</v>
      </c>
      <c r="BE88">
        <f ca="1">IF(AND($B$252=1,LEN($BE$225) * LEN($BE$148)&gt;0),$BE$225/$BE$148,HLOOKUP(INDIRECT(ADDRESS(2,COLUMN())),OFFSET($CL$2,0,0,ROW()-1,84),ROW()-1,FALSE))</f>
        <v>19.374915619999999</v>
      </c>
      <c r="BF88">
        <f ca="1">IF(AND($B$252=1,LEN($BF$225) * LEN($BF$148)&gt;0),$BF$225/$BF$148,HLOOKUP(INDIRECT(ADDRESS(2,COLUMN())),OFFSET($CL$2,0,0,ROW()-1,84),ROW()-1,FALSE))</f>
        <v>20.320969860000002</v>
      </c>
      <c r="BG88">
        <f ca="1">IF(AND($B$252=1,LEN($BG$225) * LEN($BG$148)&gt;0),$BG$225/$BG$148,HLOOKUP(INDIRECT(ADDRESS(2,COLUMN())),OFFSET($CL$2,0,0,ROW()-1,84),ROW()-1,FALSE))</f>
        <v>21.7023279</v>
      </c>
      <c r="BH88">
        <f ca="1">IF(AND($B$252=1,LEN($BH$225) * LEN($BH$148)&gt;0),$BH$225/$BH$148,HLOOKUP(INDIRECT(ADDRESS(2,COLUMN())),OFFSET($CL$2,0,0,ROW()-1,84),ROW()-1,FALSE))</f>
        <v>20.091279979999999</v>
      </c>
      <c r="BI88">
        <f ca="1">IF(AND($B$252=1,LEN($BI$225) * LEN($BI$148)&gt;0),$BI$225/$BI$148,HLOOKUP(INDIRECT(ADDRESS(2,COLUMN())),OFFSET($CL$2,0,0,ROW()-1,84),ROW()-1,FALSE))</f>
        <v>19.63196134</v>
      </c>
      <c r="BJ88">
        <f ca="1">IF(AND($B$252=1,LEN($BJ$225) * LEN($BJ$148)&gt;0),$BJ$225/$BJ$148,HLOOKUP(INDIRECT(ADDRESS(2,COLUMN())),OFFSET($CL$2,0,0,ROW()-1,84),ROW()-1,FALSE))</f>
        <v>22.25001155</v>
      </c>
      <c r="BK88">
        <f ca="1">IF(AND($B$252=1,LEN($BK$225) * LEN($BK$148)&gt;0),$BK$225/$BK$148,HLOOKUP(INDIRECT(ADDRESS(2,COLUMN())),OFFSET($CL$2,0,0,ROW()-1,84),ROW()-1,FALSE))</f>
        <v>22.046923379999999</v>
      </c>
      <c r="BL88">
        <f ca="1">IF(AND($B$252=1,LEN($BL$225) * LEN($BL$148)&gt;0),$BL$225/$BL$148,HLOOKUP(INDIRECT(ADDRESS(2,COLUMN())),OFFSET($CL$2,0,0,ROW()-1,84),ROW()-1,FALSE))</f>
        <v>21.946786379999999</v>
      </c>
      <c r="BM88">
        <f ca="1">IF(AND($B$252=1,LEN($BM$225) * LEN($BM$148)&gt;0),$BM$225/$BM$148,HLOOKUP(INDIRECT(ADDRESS(2,COLUMN())),OFFSET($CL$2,0,0,ROW()-1,84),ROW()-1,FALSE))</f>
        <v>22.215551820000002</v>
      </c>
      <c r="BN88">
        <f ca="1">IF(AND($B$252=1,LEN($BN$225) * LEN($BN$148)&gt;0),$BN$225/$BN$148,HLOOKUP(INDIRECT(ADDRESS(2,COLUMN())),OFFSET($CL$2,0,0,ROW()-1,84),ROW()-1,FALSE))</f>
        <v>21.476498580000001</v>
      </c>
      <c r="BO88">
        <f ca="1">IF(AND($B$252=1,LEN($BO$225) * LEN($BO$148)&gt;0),$BO$225/$BO$148,HLOOKUP(INDIRECT(ADDRESS(2,COLUMN())),OFFSET($CL$2,0,0,ROW()-1,84),ROW()-1,FALSE))</f>
        <v>21.456028969999998</v>
      </c>
      <c r="BP88">
        <f ca="1">IF(AND($B$252=1,LEN($BP$225) * LEN($BP$148)&gt;0),$BP$225/$BP$148,HLOOKUP(INDIRECT(ADDRESS(2,COLUMN())),OFFSET($CL$2,0,0,ROW()-1,84),ROW()-1,FALSE))</f>
        <v>22.450952600000001</v>
      </c>
      <c r="BQ88">
        <f ca="1">IF(AND($B$252=1,LEN($BQ$225) * LEN($BQ$148)&gt;0),$BQ$225/$BQ$148,HLOOKUP(INDIRECT(ADDRESS(2,COLUMN())),OFFSET($CL$2,0,0,ROW()-1,84),ROW()-1,FALSE))</f>
        <v>21.652148239999999</v>
      </c>
      <c r="BR88">
        <f ca="1">IF(AND($B$252=1,LEN($BR$225) * LEN($BR$148)&gt;0),$BR$225/$BR$148,HLOOKUP(INDIRECT(ADDRESS(2,COLUMN())),OFFSET($CL$2,0,0,ROW()-1,84),ROW()-1,FALSE))</f>
        <v>20.863774209999999</v>
      </c>
      <c r="BS88">
        <f ca="1">IF(AND($B$252=1,LEN($BS$225) * LEN($BS$148)&gt;0),$BS$225/$BS$148,HLOOKUP(INDIRECT(ADDRESS(2,COLUMN())),OFFSET($CL$2,0,0,ROW()-1,84),ROW()-1,FALSE))</f>
        <v>22.617468349999999</v>
      </c>
      <c r="BT88">
        <f ca="1">IF(AND($B$252=1,LEN($BT$225) * LEN($BT$148)&gt;0),$BT$225/$BT$148,HLOOKUP(INDIRECT(ADDRESS(2,COLUMN())),OFFSET($CL$2,0,0,ROW()-1,84),ROW()-1,FALSE))</f>
        <v>22.567895889999999</v>
      </c>
      <c r="BU88">
        <f ca="1">IF(AND($B$252=1,LEN($BU$225) * LEN($BU$148)&gt;0),$BU$225/$BU$148,HLOOKUP(INDIRECT(ADDRESS(2,COLUMN())),OFFSET($CL$2,0,0,ROW()-1,84),ROW()-1,FALSE))</f>
        <v>24.99826058</v>
      </c>
      <c r="BV88">
        <f ca="1">IF(AND($B$252=1,LEN($BV$225) * LEN($BV$148)&gt;0),$BV$225/$BV$148,HLOOKUP(INDIRECT(ADDRESS(2,COLUMN())),OFFSET($CL$2,0,0,ROW()-1,84),ROW()-1,FALSE))</f>
        <v>24.342632139999999</v>
      </c>
      <c r="BW88">
        <f ca="1">IF(AND($B$252=1,LEN($BW$225) * LEN($BW$148)&gt;0),$BW$225/$BW$148,HLOOKUP(INDIRECT(ADDRESS(2,COLUMN())),OFFSET($CL$2,0,0,ROW()-1,84),ROW()-1,FALSE))</f>
        <v>23.813693740000001</v>
      </c>
      <c r="BX88">
        <f ca="1">IF(AND($B$252=1,LEN($BX$225) * LEN($BX$148)&gt;0),$BX$225/$BX$148,HLOOKUP(INDIRECT(ADDRESS(2,COLUMN())),OFFSET($CL$2,0,0,ROW()-1,84),ROW()-1,FALSE))</f>
        <v>23.46583854</v>
      </c>
      <c r="BY88">
        <f ca="1">IF(AND($B$252=1,LEN($BY$225) * LEN($BY$148)&gt;0),$BY$225/$BY$148,HLOOKUP(INDIRECT(ADDRESS(2,COLUMN())),OFFSET($CL$2,0,0,ROW()-1,84),ROW()-1,FALSE))</f>
        <v>26.54990557</v>
      </c>
      <c r="BZ88">
        <f ca="1">IF(AND($B$252=1,LEN($BZ$225) * LEN($BZ$148)&gt;0),$BZ$225/$BZ$148,HLOOKUP(INDIRECT(ADDRESS(2,COLUMN())),OFFSET($CL$2,0,0,ROW()-1,84),ROW()-1,FALSE))</f>
        <v>25.92935189</v>
      </c>
      <c r="CA88">
        <f ca="1">IF(AND($B$252=1,LEN($CA$225) * LEN($CA$148)&gt;0),$CA$225/$CA$148,HLOOKUP(INDIRECT(ADDRESS(2,COLUMN())),OFFSET($CL$2,0,0,ROW()-1,84),ROW()-1,FALSE))</f>
        <v>22.801025989999999</v>
      </c>
      <c r="CB88">
        <f ca="1">IF(AND($B$252=1,LEN($CB$225) * LEN($CB$148)&gt;0),$CB$225/$CB$148,HLOOKUP(INDIRECT(ADDRESS(2,COLUMN())),OFFSET($CL$2,0,0,ROW()-1,84),ROW()-1,FALSE))</f>
        <v>23.924784469999999</v>
      </c>
      <c r="CC88">
        <f ca="1">IF(AND($B$252=1,LEN($CC$225) * LEN($CC$148)&gt;0),$CC$225/$CC$148,HLOOKUP(INDIRECT(ADDRESS(2,COLUMN())),OFFSET($CL$2,0,0,ROW()-1,84),ROW()-1,FALSE))</f>
        <v>24.047578300000001</v>
      </c>
      <c r="CD88">
        <f ca="1">IF(AND($B$252=1,LEN($CD$225) * LEN($CD$148)&gt;0),$CD$225/$CD$148,HLOOKUP(INDIRECT(ADDRESS(2,COLUMN())),OFFSET($CL$2,0,0,ROW()-1,84),ROW()-1,FALSE))</f>
        <v>23.00271583</v>
      </c>
      <c r="CE88">
        <f ca="1">IF(AND($B$252=1,LEN($CE$225) * LEN($CE$148)&gt;0),$CE$225/$CE$148,HLOOKUP(INDIRECT(ADDRESS(2,COLUMN())),OFFSET($CL$2,0,0,ROW()-1,84),ROW()-1,FALSE))</f>
        <v>24.630359139999999</v>
      </c>
      <c r="CF88">
        <f ca="1">IF(AND($B$252=1,LEN($CF$225) * LEN($CF$148)&gt;0),$CF$225/$CF$148,HLOOKUP(INDIRECT(ADDRESS(2,COLUMN())),OFFSET($CL$2,0,0,ROW()-1,84),ROW()-1,FALSE))</f>
        <v>21.175744210000001</v>
      </c>
      <c r="CG88">
        <f ca="1">IF(AND($B$252=1,LEN($CG$225) * LEN($CG$148)&gt;0),$CG$225/$CG$148,HLOOKUP(INDIRECT(ADDRESS(2,COLUMN())),OFFSET($CL$2,0,0,ROW()-1,84),ROW()-1,FALSE))</f>
        <v>25.68576796</v>
      </c>
      <c r="CH88">
        <f ca="1">IF(AND($B$252=1,LEN($CH$225) * LEN($CH$148)&gt;0),$CH$225/$CH$148,HLOOKUP(INDIRECT(ADDRESS(2,COLUMN())),OFFSET($CL$2,0,0,ROW()-1,84),ROW()-1,FALSE))</f>
        <v>26.290325660000001</v>
      </c>
      <c r="CI88">
        <f ca="1">IF(AND($B$252=1,LEN($CI$225) * LEN($CI$148)&gt;0),$CI$225/$CI$148,HLOOKUP(INDIRECT(ADDRESS(2,COLUMN())),OFFSET($CL$2,0,0,ROW()-1,84),ROW()-1,FALSE))</f>
        <v>25.734196879999999</v>
      </c>
      <c r="CJ88">
        <f ca="1">IF(AND($B$252=1,LEN($CJ$225) * LEN($CJ$148)&gt;0),$CJ$225/$CJ$148,HLOOKUP(INDIRECT(ADDRESS(2,COLUMN())),OFFSET($CL$2,0,0,ROW()-1,84),ROW()-1,FALSE))</f>
        <v>26.594737250000001</v>
      </c>
      <c r="CK88">
        <f ca="1">IF(AND($B$252=1,LEN($CK$225) * LEN($CK$148)&gt;0),$CK$225/$CK$148,HLOOKUP(INDIRECT(ADDRESS(2,COLUMN())),OFFSET($CL$2,0,0,ROW()-1,84),ROW()-1,FALSE))</f>
        <v>27.078815779999999</v>
      </c>
      <c r="CL88">
        <f>20.78346725</f>
        <v>20.783467250000001</v>
      </c>
      <c r="CM88">
        <f>19.64308955</f>
        <v>19.643089549999999</v>
      </c>
      <c r="CN88">
        <f>20.48791993</f>
        <v>20.48791993</v>
      </c>
      <c r="CO88">
        <f>21.45320416</f>
        <v>21.453204159999999</v>
      </c>
      <c r="CP88">
        <f>21.99275421</f>
        <v>21.992754210000001</v>
      </c>
      <c r="CQ88">
        <f>23.28384662</f>
        <v>23.283846619999998</v>
      </c>
      <c r="CR88">
        <f>22.63426369</f>
        <v>22.634263690000001</v>
      </c>
      <c r="CS88">
        <f>23.83359051</f>
        <v>23.833590510000001</v>
      </c>
      <c r="CT88">
        <f>23.60462142</f>
        <v>23.604621420000001</v>
      </c>
      <c r="CU88">
        <f>23.44252586</f>
        <v>23.44252586</v>
      </c>
      <c r="CV88">
        <f>23.5397878</f>
        <v>23.539787799999999</v>
      </c>
      <c r="CW88">
        <f>22.4904997</f>
        <v>22.490499700000001</v>
      </c>
      <c r="CX88">
        <f>21.3568859</f>
        <v>21.356885900000002</v>
      </c>
      <c r="CY88">
        <f>21.75360772</f>
        <v>21.753607720000002</v>
      </c>
      <c r="CZ88">
        <f>20.68101294</f>
        <v>20.681012939999999</v>
      </c>
      <c r="DA88">
        <f>21.51980748</f>
        <v>21.519807480000001</v>
      </c>
      <c r="DB88">
        <f>20.06842896</f>
        <v>20.068428959999999</v>
      </c>
      <c r="DC88">
        <f>19.99731924</f>
        <v>19.997319239999999</v>
      </c>
      <c r="DD88">
        <f>20.95556235</f>
        <v>20.955562350000001</v>
      </c>
      <c r="DE88">
        <f>21.49279225</f>
        <v>21.492792250000001</v>
      </c>
      <c r="DF88">
        <f>22.32556008</f>
        <v>22.325560079999999</v>
      </c>
      <c r="DG88">
        <f>21.93718553</f>
        <v>21.937185530000001</v>
      </c>
      <c r="DH88">
        <f>21.91902549</f>
        <v>21.919025489999999</v>
      </c>
      <c r="DI88">
        <f>21.35665783</f>
        <v>21.35665783</v>
      </c>
      <c r="DJ88">
        <f>22.85495149</f>
        <v>22.854951490000001</v>
      </c>
      <c r="DK88">
        <f>20.47487064</f>
        <v>20.474870639999999</v>
      </c>
      <c r="DL88">
        <f>21.1125421</f>
        <v>21.112542099999999</v>
      </c>
      <c r="DM88">
        <f>23.72980474</f>
        <v>23.729804739999999</v>
      </c>
      <c r="DN88">
        <f>23.06894425</f>
        <v>23.068944250000001</v>
      </c>
      <c r="DO88">
        <f>22.53994875</f>
        <v>22.539948750000001</v>
      </c>
      <c r="DP88">
        <f>23.32878912</f>
        <v>23.32878912</v>
      </c>
      <c r="DQ88">
        <f>22.95888485</f>
        <v>22.95888485</v>
      </c>
      <c r="DR88">
        <f>24.74890987</f>
        <v>24.748909869999999</v>
      </c>
      <c r="DS88">
        <f>23.60748605</f>
        <v>23.607486049999999</v>
      </c>
      <c r="DT88">
        <f>25.05033247</f>
        <v>25.050332470000001</v>
      </c>
      <c r="DU88">
        <f>25.28885351</f>
        <v>25.288853509999999</v>
      </c>
      <c r="DV88">
        <f>26.64215141</f>
        <v>26.64215141</v>
      </c>
      <c r="DW88">
        <f>26.20191863</f>
        <v>26.201918630000002</v>
      </c>
      <c r="DX88">
        <f>26.97601873</f>
        <v>26.97601873</v>
      </c>
      <c r="DY88">
        <f>24.73362864</f>
        <v>24.733628639999999</v>
      </c>
      <c r="DZ88">
        <f>24.68741291</f>
        <v>24.687412909999999</v>
      </c>
      <c r="EA88">
        <f>24.98975688</f>
        <v>24.989756880000002</v>
      </c>
      <c r="EB88">
        <f>22.27219778</f>
        <v>22.272197779999999</v>
      </c>
      <c r="EC88">
        <f>24.14939092</f>
        <v>24.149390919999998</v>
      </c>
      <c r="ED88">
        <f>24.32451576</f>
        <v>24.324515760000001</v>
      </c>
      <c r="EE88">
        <f>23.86625604</f>
        <v>23.86625604</v>
      </c>
      <c r="EF88">
        <f>23.84541278</f>
        <v>23.84541278</v>
      </c>
      <c r="EG88">
        <f>22.57646367</f>
        <v>22.576463669999999</v>
      </c>
      <c r="EH88">
        <f>22.1257793</f>
        <v>22.125779300000001</v>
      </c>
      <c r="EI88">
        <f>21.99342341</f>
        <v>21.993423409999998</v>
      </c>
      <c r="EJ88">
        <f>21.09131753</f>
        <v>21.091317530000001</v>
      </c>
      <c r="EK88">
        <f>19.37491562</f>
        <v>19.374915619999999</v>
      </c>
      <c r="EL88">
        <f>20.32096986</f>
        <v>20.320969860000002</v>
      </c>
      <c r="EM88">
        <f>21.7023279</f>
        <v>21.7023279</v>
      </c>
      <c r="EN88">
        <f>20.09127998</f>
        <v>20.091279979999999</v>
      </c>
      <c r="EO88">
        <f>19.63196134</f>
        <v>19.63196134</v>
      </c>
      <c r="EP88">
        <f>22.25001155</f>
        <v>22.25001155</v>
      </c>
      <c r="EQ88">
        <f>22.04692338</f>
        <v>22.046923379999999</v>
      </c>
      <c r="ER88">
        <f>21.94678638</f>
        <v>21.946786379999999</v>
      </c>
      <c r="ES88">
        <f>22.21555182</f>
        <v>22.215551820000002</v>
      </c>
      <c r="ET88">
        <f>21.47649858</f>
        <v>21.476498580000001</v>
      </c>
      <c r="EU88">
        <f>21.45602897</f>
        <v>21.456028969999998</v>
      </c>
      <c r="EV88">
        <f>22.4509526</f>
        <v>22.450952600000001</v>
      </c>
      <c r="EW88">
        <f>21.65214824</f>
        <v>21.652148239999999</v>
      </c>
      <c r="EX88">
        <f>20.86377421</f>
        <v>20.863774209999999</v>
      </c>
      <c r="EY88">
        <f>22.61746835</f>
        <v>22.617468349999999</v>
      </c>
      <c r="EZ88">
        <f>22.56789589</f>
        <v>22.567895889999999</v>
      </c>
      <c r="FA88">
        <f>24.99826058</f>
        <v>24.99826058</v>
      </c>
      <c r="FB88">
        <f>24.34263214</f>
        <v>24.342632139999999</v>
      </c>
      <c r="FC88">
        <f>23.81369374</f>
        <v>23.813693740000001</v>
      </c>
      <c r="FD88">
        <f>23.46583854</f>
        <v>23.46583854</v>
      </c>
      <c r="FE88">
        <f>26.54990557</f>
        <v>26.54990557</v>
      </c>
      <c r="FF88">
        <f>25.92935189</f>
        <v>25.92935189</v>
      </c>
      <c r="FG88">
        <f>22.80102599</f>
        <v>22.801025989999999</v>
      </c>
      <c r="FH88">
        <f>23.92478447</f>
        <v>23.924784469999999</v>
      </c>
      <c r="FI88">
        <f>24.0475783</f>
        <v>24.047578300000001</v>
      </c>
      <c r="FJ88">
        <f>23.00271583</f>
        <v>23.00271583</v>
      </c>
      <c r="FK88">
        <f>24.63035914</f>
        <v>24.630359139999999</v>
      </c>
      <c r="FL88">
        <f>21.17574421</f>
        <v>21.175744210000001</v>
      </c>
      <c r="FM88">
        <f>25.68576796</f>
        <v>25.68576796</v>
      </c>
      <c r="FN88">
        <f>26.29032566</f>
        <v>26.290325660000001</v>
      </c>
      <c r="FO88">
        <f>25.73419688</f>
        <v>25.734196879999999</v>
      </c>
      <c r="FP88">
        <f>26.59473725</f>
        <v>26.594737250000001</v>
      </c>
      <c r="FQ88">
        <f>27.07881578</f>
        <v>27.078815779999999</v>
      </c>
    </row>
    <row r="89" spans="1:173">
      <c r="A89" t="str">
        <f>"    Mid-America Apartment Communit"</f>
        <v xml:space="preserve">    Mid-America Apartment Communit</v>
      </c>
      <c r="B89" t="str">
        <f>"MAA US Equity"</f>
        <v>MAA US Equity</v>
      </c>
      <c r="E89" t="str">
        <f t="shared" si="30"/>
        <v>Expression</v>
      </c>
      <c r="F89">
        <f ca="1">IF(AND($B$252=1,LEN($F$226) * LEN($F$149)&gt;0),$F$226/$F$149,HLOOKUP(INDIRECT(ADDRESS(2,COLUMN())),OFFSET($CL$2,0,0,ROW()-1,84),ROW()-1,FALSE))</f>
        <v>16.125861860000001</v>
      </c>
      <c r="G89">
        <f ca="1">IF(AND($B$252=1,LEN($G$226) * LEN($G$149)&gt;0),$G$226/$G$149,HLOOKUP(INDIRECT(ADDRESS(2,COLUMN())),OFFSET($CL$2,0,0,ROW()-1,84),ROW()-1,FALSE))</f>
        <v>15.425386209999999</v>
      </c>
      <c r="H89">
        <f ca="1">IF(AND($B$252=1,LEN($H$226) * LEN($H$149)&gt;0),$H$226/$H$149,HLOOKUP(INDIRECT(ADDRESS(2,COLUMN())),OFFSET($CL$2,0,0,ROW()-1,84),ROW()-1,FALSE))</f>
        <v>17.036511579999999</v>
      </c>
      <c r="I89">
        <f ca="1">IF(AND($B$252=1,LEN($I$226) * LEN($I$149)&gt;0),$I$226/$I$149,HLOOKUP(INDIRECT(ADDRESS(2,COLUMN())),OFFSET($CL$2,0,0,ROW()-1,84),ROW()-1,FALSE))</f>
        <v>17.905982909999999</v>
      </c>
      <c r="J89">
        <f ca="1">IF(AND($B$252=1,LEN($J$226) * LEN($J$149)&gt;0),$J$226/$J$149,HLOOKUP(INDIRECT(ADDRESS(2,COLUMN())),OFFSET($CL$2,0,0,ROW()-1,84),ROW()-1,FALSE))</f>
        <v>17.99602556</v>
      </c>
      <c r="K89">
        <f ca="1">IF(AND($B$252=1,LEN($K$226) * LEN($K$149)&gt;0),$K$226/$K$149,HLOOKUP(INDIRECT(ADDRESS(2,COLUMN())),OFFSET($CL$2,0,0,ROW()-1,84),ROW()-1,FALSE))</f>
        <v>18.060836170000002</v>
      </c>
      <c r="L89">
        <f ca="1">IF(AND($B$252=1,LEN($L$226) * LEN($L$149)&gt;0),$L$226/$L$149,HLOOKUP(INDIRECT(ADDRESS(2,COLUMN())),OFFSET($CL$2,0,0,ROW()-1,84),ROW()-1,FALSE))</f>
        <v>18.880890340000001</v>
      </c>
      <c r="M89">
        <f ca="1">IF(AND($B$252=1,LEN($M$226) * LEN($M$149)&gt;0),$M$226/$M$149,HLOOKUP(INDIRECT(ADDRESS(2,COLUMN())),OFFSET($CL$2,0,0,ROW()-1,84),ROW()-1,FALSE))</f>
        <v>19.063694330000001</v>
      </c>
      <c r="N89">
        <f ca="1">IF(AND($B$252=1,LEN($N$226) * LEN($N$149)&gt;0),$N$226/$N$149,HLOOKUP(INDIRECT(ADDRESS(2,COLUMN())),OFFSET($CL$2,0,0,ROW()-1,84),ROW()-1,FALSE))</f>
        <v>18.614192849999998</v>
      </c>
      <c r="O89">
        <f ca="1">IF(AND($B$252=1,LEN($O$226) * LEN($O$149)&gt;0),$O$226/$O$149,HLOOKUP(INDIRECT(ADDRESS(2,COLUMN())),OFFSET($CL$2,0,0,ROW()-1,84),ROW()-1,FALSE))</f>
        <v>19.061228180000001</v>
      </c>
      <c r="P89">
        <f ca="1">IF(AND($B$252=1,LEN($P$226) * LEN($P$149)&gt;0),$P$226/$P$149,HLOOKUP(INDIRECT(ADDRESS(2,COLUMN())),OFFSET($CL$2,0,0,ROW()-1,84),ROW()-1,FALSE))</f>
        <v>18.552730499999999</v>
      </c>
      <c r="Q89">
        <f ca="1">IF(AND($B$252=1,LEN($Q$226) * LEN($Q$149)&gt;0),$Q$226/$Q$149,HLOOKUP(INDIRECT(ADDRESS(2,COLUMN())),OFFSET($CL$2,0,0,ROW()-1,84),ROW()-1,FALSE))</f>
        <v>18.352157200000001</v>
      </c>
      <c r="R89">
        <f ca="1">IF(AND($B$252=1,LEN($R$226) * LEN($R$149)&gt;0),$R$226/$R$149,HLOOKUP(INDIRECT(ADDRESS(2,COLUMN())),OFFSET($CL$2,0,0,ROW()-1,84),ROW()-1,FALSE))</f>
        <v>18.99285948</v>
      </c>
      <c r="S89">
        <f ca="1">IF(AND($B$252=1,LEN($S$226) * LEN($S$149)&gt;0),$S$226/$S$149,HLOOKUP(INDIRECT(ADDRESS(2,COLUMN())),OFFSET($CL$2,0,0,ROW()-1,84),ROW()-1,FALSE))</f>
        <v>19.28892531</v>
      </c>
      <c r="T89">
        <f ca="1">IF(AND($B$252=1,LEN($T$226) * LEN($T$149)&gt;0),$T$226/$T$149,HLOOKUP(INDIRECT(ADDRESS(2,COLUMN())),OFFSET($CL$2,0,0,ROW()-1,84),ROW()-1,FALSE))</f>
        <v>17.754350469999999</v>
      </c>
      <c r="U89">
        <f ca="1">IF(AND($B$252=1,LEN($U$226) * LEN($U$149)&gt;0),$U$226/$U$149,HLOOKUP(INDIRECT(ADDRESS(2,COLUMN())),OFFSET($CL$2,0,0,ROW()-1,84),ROW()-1,FALSE))</f>
        <v>18.47198642</v>
      </c>
      <c r="V89">
        <f ca="1">IF(AND($B$252=1,LEN($V$226) * LEN($V$149)&gt;0),$V$226/$V$149,HLOOKUP(INDIRECT(ADDRESS(2,COLUMN())),OFFSET($CL$2,0,0,ROW()-1,84),ROW()-1,FALSE))</f>
        <v>17.010676650000001</v>
      </c>
      <c r="W89">
        <f ca="1">IF(AND($B$252=1,LEN($W$226) * LEN($W$149)&gt;0),$W$226/$W$149,HLOOKUP(INDIRECT(ADDRESS(2,COLUMN())),OFFSET($CL$2,0,0,ROW()-1,84),ROW()-1,FALSE))</f>
        <v>17.243312150000001</v>
      </c>
      <c r="X89">
        <f ca="1">IF(AND($B$252=1,LEN($X$226) * LEN($X$149)&gt;0),$X$226/$X$149,HLOOKUP(INDIRECT(ADDRESS(2,COLUMN())),OFFSET($CL$2,0,0,ROW()-1,84),ROW()-1,FALSE))</f>
        <v>17.683913449999999</v>
      </c>
      <c r="Y89">
        <f ca="1">IF(AND($B$252=1,LEN($Y$226) * LEN($Y$149)&gt;0),$Y$226/$Y$149,HLOOKUP(INDIRECT(ADDRESS(2,COLUMN())),OFFSET($CL$2,0,0,ROW()-1,84),ROW()-1,FALSE))</f>
        <v>17.77308653</v>
      </c>
      <c r="Z89">
        <f ca="1">IF(AND($B$252=1,LEN($Z$226) * LEN($Z$149)&gt;0),$Z$226/$Z$149,HLOOKUP(INDIRECT(ADDRESS(2,COLUMN())),OFFSET($CL$2,0,0,ROW()-1,84),ROW()-1,FALSE))</f>
        <v>19.572134170000002</v>
      </c>
      <c r="AA89">
        <f ca="1">IF(AND($B$252=1,LEN($AA$226) * LEN($AA$149)&gt;0),$AA$226/$AA$149,HLOOKUP(INDIRECT(ADDRESS(2,COLUMN())),OFFSET($CL$2,0,0,ROW()-1,84),ROW()-1,FALSE))</f>
        <v>19.828890099999999</v>
      </c>
      <c r="AB89">
        <f ca="1">IF(AND($B$252=1,LEN($AB$226) * LEN($AB$149)&gt;0),$AB$226/$AB$149,HLOOKUP(INDIRECT(ADDRESS(2,COLUMN())),OFFSET($CL$2,0,0,ROW()-1,84),ROW()-1,FALSE))</f>
        <v>19.286394059999999</v>
      </c>
      <c r="AC89">
        <f ca="1">IF(AND($B$252=1,LEN($AC$226) * LEN($AC$149)&gt;0),$AC$226/$AC$149,HLOOKUP(INDIRECT(ADDRESS(2,COLUMN())),OFFSET($CL$2,0,0,ROW()-1,84),ROW()-1,FALSE))</f>
        <v>18.15844079</v>
      </c>
      <c r="AD89">
        <f ca="1">IF(AND($B$252=1,LEN($AD$226) * LEN($AD$149)&gt;0),$AD$226/$AD$149,HLOOKUP(INDIRECT(ADDRESS(2,COLUMN())),OFFSET($CL$2,0,0,ROW()-1,84),ROW()-1,FALSE))</f>
        <v>19.533004300000002</v>
      </c>
      <c r="AE89">
        <f ca="1">IF(AND($B$252=1,LEN($AE$226) * LEN($AE$149)&gt;0),$AE$226/$AE$149,HLOOKUP(INDIRECT(ADDRESS(2,COLUMN())),OFFSET($CL$2,0,0,ROW()-1,84),ROW()-1,FALSE))</f>
        <v>17.335278240000001</v>
      </c>
      <c r="AF89">
        <f ca="1">IF(AND($B$252=1,LEN($AF$226) * LEN($AF$149)&gt;0),$AF$226/$AF$149,HLOOKUP(INDIRECT(ADDRESS(2,COLUMN())),OFFSET($CL$2,0,0,ROW()-1,84),ROW()-1,FALSE))</f>
        <v>18.08135995</v>
      </c>
      <c r="AG89">
        <f ca="1">IF(AND($B$252=1,LEN($AG$226) * LEN($AG$149)&gt;0),$AG$226/$AG$149,HLOOKUP(INDIRECT(ADDRESS(2,COLUMN())),OFFSET($CL$2,0,0,ROW()-1,84),ROW()-1,FALSE))</f>
        <v>17.54443586</v>
      </c>
      <c r="AH89">
        <f ca="1">IF(AND($B$252=1,LEN($AH$226) * LEN($AH$149)&gt;0),$AH$226/$AH$149,HLOOKUP(INDIRECT(ADDRESS(2,COLUMN())),OFFSET($CL$2,0,0,ROW()-1,84),ROW()-1,FALSE))</f>
        <v>17.247782820000001</v>
      </c>
      <c r="AI89">
        <f ca="1">IF(AND($B$252=1,LEN($AI$226) * LEN($AI$149)&gt;0),$AI$226/$AI$149,HLOOKUP(INDIRECT(ADDRESS(2,COLUMN())),OFFSET($CL$2,0,0,ROW()-1,84),ROW()-1,FALSE))</f>
        <v>16.84846821</v>
      </c>
      <c r="AJ89">
        <f ca="1">IF(AND($B$252=1,LEN($AJ$226) * LEN($AJ$149)&gt;0),$AJ$226/$AJ$149,HLOOKUP(INDIRECT(ADDRESS(2,COLUMN())),OFFSET($CL$2,0,0,ROW()-1,84),ROW()-1,FALSE))</f>
        <v>16.719962779999999</v>
      </c>
      <c r="AK89">
        <f ca="1">IF(AND($B$252=1,LEN($AK$226) * LEN($AK$149)&gt;0),$AK$226/$AK$149,HLOOKUP(INDIRECT(ADDRESS(2,COLUMN())),OFFSET($CL$2,0,0,ROW()-1,84),ROW()-1,FALSE))</f>
        <v>16.206088489999999</v>
      </c>
      <c r="AL89">
        <f ca="1">IF(AND($B$252=1,LEN($AL$226) * LEN($AL$149)&gt;0),$AL$226/$AL$149,HLOOKUP(INDIRECT(ADDRESS(2,COLUMN())),OFFSET($CL$2,0,0,ROW()-1,84),ROW()-1,FALSE))</f>
        <v>16.636282090000002</v>
      </c>
      <c r="AM89">
        <f ca="1">IF(AND($B$252=1,LEN($AM$226) * LEN($AM$149)&gt;0),$AM$226/$AM$149,HLOOKUP(INDIRECT(ADDRESS(2,COLUMN())),OFFSET($CL$2,0,0,ROW()-1,84),ROW()-1,FALSE))</f>
        <v>15.29381517</v>
      </c>
      <c r="AN89">
        <f ca="1">IF(AND($B$252=1,LEN($AN$226) * LEN($AN$149)&gt;0),$AN$226/$AN$149,HLOOKUP(INDIRECT(ADDRESS(2,COLUMN())),OFFSET($CL$2,0,0,ROW()-1,84),ROW()-1,FALSE))</f>
        <v>16.129434119999999</v>
      </c>
      <c r="AO89">
        <f ca="1">IF(AND($B$252=1,LEN($AO$226) * LEN($AO$149)&gt;0),$AO$226/$AO$149,HLOOKUP(INDIRECT(ADDRESS(2,COLUMN())),OFFSET($CL$2,0,0,ROW()-1,84),ROW()-1,FALSE))</f>
        <v>15.88147283</v>
      </c>
      <c r="AP89">
        <f ca="1">IF(AND($B$252=1,LEN($AP$226) * LEN($AP$149)&gt;0),$AP$226/$AP$149,HLOOKUP(INDIRECT(ADDRESS(2,COLUMN())),OFFSET($CL$2,0,0,ROW()-1,84),ROW()-1,FALSE))</f>
        <v>16.483204709999999</v>
      </c>
      <c r="AQ89">
        <f ca="1">IF(AND($B$252=1,LEN($AQ$226) * LEN($AQ$149)&gt;0),$AQ$226/$AQ$149,HLOOKUP(INDIRECT(ADDRESS(2,COLUMN())),OFFSET($CL$2,0,0,ROW()-1,84),ROW()-1,FALSE))</f>
        <v>15.75098876</v>
      </c>
      <c r="AR89">
        <f ca="1">IF(AND($B$252=1,LEN($AR$226) * LEN($AR$149)&gt;0),$AR$226/$AR$149,HLOOKUP(INDIRECT(ADDRESS(2,COLUMN())),OFFSET($CL$2,0,0,ROW()-1,84),ROW()-1,FALSE))</f>
        <v>17.445796399999999</v>
      </c>
      <c r="AS89">
        <f ca="1">IF(AND($B$252=1,LEN($AS$226) * LEN($AS$149)&gt;0),$AS$226/$AS$149,HLOOKUP(INDIRECT(ADDRESS(2,COLUMN())),OFFSET($CL$2,0,0,ROW()-1,84),ROW()-1,FALSE))</f>
        <v>16.621411080000001</v>
      </c>
      <c r="AT89">
        <f ca="1">IF(AND($B$252=1,LEN($AT$226) * LEN($AT$149)&gt;0),$AT$226/$AT$149,HLOOKUP(INDIRECT(ADDRESS(2,COLUMN())),OFFSET($CL$2,0,0,ROW()-1,84),ROW()-1,FALSE))</f>
        <v>16.34958911</v>
      </c>
      <c r="AU89">
        <f ca="1">IF(AND($B$252=1,LEN($AU$226) * LEN($AU$149)&gt;0),$AU$226/$AU$149,HLOOKUP(INDIRECT(ADDRESS(2,COLUMN())),OFFSET($CL$2,0,0,ROW()-1,84),ROW()-1,FALSE))</f>
        <v>15.77916141</v>
      </c>
      <c r="AV89">
        <f ca="1">IF(AND($B$252=1,LEN($AV$226) * LEN($AV$149)&gt;0),$AV$226/$AV$149,HLOOKUP(INDIRECT(ADDRESS(2,COLUMN())),OFFSET($CL$2,0,0,ROW()-1,84),ROW()-1,FALSE))</f>
        <v>14.56470824</v>
      </c>
      <c r="AW89">
        <f ca="1">IF(AND($B$252=1,LEN($AW$226) * LEN($AW$149)&gt;0),$AW$226/$AW$149,HLOOKUP(INDIRECT(ADDRESS(2,COLUMN())),OFFSET($CL$2,0,0,ROW()-1,84),ROW()-1,FALSE))</f>
        <v>16.09978662</v>
      </c>
      <c r="AX89">
        <f ca="1">IF(AND($B$252=1,LEN($AX$226) * LEN($AX$149)&gt;0),$AX$226/$AX$149,HLOOKUP(INDIRECT(ADDRESS(2,COLUMN())),OFFSET($CL$2,0,0,ROW()-1,84),ROW()-1,FALSE))</f>
        <v>15.56835749</v>
      </c>
      <c r="AY89">
        <f ca="1">IF(AND($B$252=1,LEN($AY$226) * LEN($AY$149)&gt;0),$AY$226/$AY$149,HLOOKUP(INDIRECT(ADDRESS(2,COLUMN())),OFFSET($CL$2,0,0,ROW()-1,84),ROW()-1,FALSE))</f>
        <v>16.364624899999999</v>
      </c>
      <c r="AZ89">
        <f ca="1">IF(AND($B$252=1,LEN($AZ$226) * LEN($AZ$149)&gt;0),$AZ$226/$AZ$149,HLOOKUP(INDIRECT(ADDRESS(2,COLUMN())),OFFSET($CL$2,0,0,ROW()-1,84),ROW()-1,FALSE))</f>
        <v>16.550894289999999</v>
      </c>
      <c r="BA89">
        <f ca="1">IF(AND($B$252=1,LEN($BA$226) * LEN($BA$149)&gt;0),$BA$226/$BA$149,HLOOKUP(INDIRECT(ADDRESS(2,COLUMN())),OFFSET($CL$2,0,0,ROW()-1,84),ROW()-1,FALSE))</f>
        <v>16.083957099999999</v>
      </c>
      <c r="BB89">
        <f ca="1">IF(AND($B$252=1,LEN($BB$226) * LEN($BB$149)&gt;0),$BB$226/$BB$149,HLOOKUP(INDIRECT(ADDRESS(2,COLUMN())),OFFSET($CL$2,0,0,ROW()-1,84),ROW()-1,FALSE))</f>
        <v>15.988118160000001</v>
      </c>
      <c r="BC89">
        <f ca="1">IF(AND($B$252=1,LEN($BC$226) * LEN($BC$149)&gt;0),$BC$226/$BC$149,HLOOKUP(INDIRECT(ADDRESS(2,COLUMN())),OFFSET($CL$2,0,0,ROW()-1,84),ROW()-1,FALSE))</f>
        <v>15.515732959999999</v>
      </c>
      <c r="BD89">
        <f ca="1">IF(AND($B$252=1,LEN($BD$226) * LEN($BD$149)&gt;0),$BD$226/$BD$149,HLOOKUP(INDIRECT(ADDRESS(2,COLUMN())),OFFSET($CL$2,0,0,ROW()-1,84),ROW()-1,FALSE))</f>
        <v>14.562274370000001</v>
      </c>
      <c r="BE89">
        <f ca="1">IF(AND($B$252=1,LEN($BE$226) * LEN($BE$149)&gt;0),$BE$226/$BE$149,HLOOKUP(INDIRECT(ADDRESS(2,COLUMN())),OFFSET($CL$2,0,0,ROW()-1,84),ROW()-1,FALSE))</f>
        <v>13.695603159999999</v>
      </c>
      <c r="BF89">
        <f ca="1">IF(AND($B$252=1,LEN($BF$226) * LEN($BF$149)&gt;0),$BF$226/$BF$149,HLOOKUP(INDIRECT(ADDRESS(2,COLUMN())),OFFSET($CL$2,0,0,ROW()-1,84),ROW()-1,FALSE))</f>
        <v>13.515863299999999</v>
      </c>
      <c r="BG89">
        <f ca="1">IF(AND($B$252=1,LEN($BG$226) * LEN($BG$149)&gt;0),$BG$226/$BG$149,HLOOKUP(INDIRECT(ADDRESS(2,COLUMN())),OFFSET($CL$2,0,0,ROW()-1,84),ROW()-1,FALSE))</f>
        <v>14.597978489999999</v>
      </c>
      <c r="BH89">
        <f ca="1">IF(AND($B$252=1,LEN($BH$226) * LEN($BH$149)&gt;0),$BH$226/$BH$149,HLOOKUP(INDIRECT(ADDRESS(2,COLUMN())),OFFSET($CL$2,0,0,ROW()-1,84),ROW()-1,FALSE))</f>
        <v>13.88186775</v>
      </c>
      <c r="BI89">
        <f ca="1">IF(AND($B$252=1,LEN($BI$226) * LEN($BI$149)&gt;0),$BI$226/$BI$149,HLOOKUP(INDIRECT(ADDRESS(2,COLUMN())),OFFSET($CL$2,0,0,ROW()-1,84),ROW()-1,FALSE))</f>
        <v>13.758242729999999</v>
      </c>
      <c r="BJ89">
        <f ca="1">IF(AND($B$252=1,LEN($BJ$226) * LEN($BJ$149)&gt;0),$BJ$226/$BJ$149,HLOOKUP(INDIRECT(ADDRESS(2,COLUMN())),OFFSET($CL$2,0,0,ROW()-1,84),ROW()-1,FALSE))</f>
        <v>15.28398458</v>
      </c>
      <c r="BK89">
        <f ca="1">IF(AND($B$252=1,LEN($BK$226) * LEN($BK$149)&gt;0),$BK$226/$BK$149,HLOOKUP(INDIRECT(ADDRESS(2,COLUMN())),OFFSET($CL$2,0,0,ROW()-1,84),ROW()-1,FALSE))</f>
        <v>15.400820149999999</v>
      </c>
      <c r="BL89">
        <f ca="1">IF(AND($B$252=1,LEN($BL$226) * LEN($BL$149)&gt;0),$BL$226/$BL$149,HLOOKUP(INDIRECT(ADDRESS(2,COLUMN())),OFFSET($CL$2,0,0,ROW()-1,84),ROW()-1,FALSE))</f>
        <v>15.48421724</v>
      </c>
      <c r="BM89">
        <f ca="1">IF(AND($B$252=1,LEN($BM$226) * LEN($BM$149)&gt;0),$BM$226/$BM$149,HLOOKUP(INDIRECT(ADDRESS(2,COLUMN())),OFFSET($CL$2,0,0,ROW()-1,84),ROW()-1,FALSE))</f>
        <v>15.78216434</v>
      </c>
      <c r="BN89">
        <f ca="1">IF(AND($B$252=1,LEN($BN$226) * LEN($BN$149)&gt;0),$BN$226/$BN$149,HLOOKUP(INDIRECT(ADDRESS(2,COLUMN())),OFFSET($CL$2,0,0,ROW()-1,84),ROW()-1,FALSE))</f>
        <v>15.95337346</v>
      </c>
      <c r="BO89">
        <f ca="1">IF(AND($B$252=1,LEN($BO$226) * LEN($BO$149)&gt;0),$BO$226/$BO$149,HLOOKUP(INDIRECT(ADDRESS(2,COLUMN())),OFFSET($CL$2,0,0,ROW()-1,84),ROW()-1,FALSE))</f>
        <v>16.21078881</v>
      </c>
      <c r="BP89">
        <f ca="1">IF(AND($B$252=1,LEN($BP$226) * LEN($BP$149)&gt;0),$BP$226/$BP$149,HLOOKUP(INDIRECT(ADDRESS(2,COLUMN())),OFFSET($CL$2,0,0,ROW()-1,84),ROW()-1,FALSE))</f>
        <v>15.434817000000001</v>
      </c>
      <c r="BQ89">
        <f ca="1">IF(AND($B$252=1,LEN($BQ$226) * LEN($BQ$149)&gt;0),$BQ$226/$BQ$149,HLOOKUP(INDIRECT(ADDRESS(2,COLUMN())),OFFSET($CL$2,0,0,ROW()-1,84),ROW()-1,FALSE))</f>
        <v>15.398335319999999</v>
      </c>
      <c r="BR89">
        <f ca="1">IF(AND($B$252=1,LEN($BR$226) * LEN($BR$149)&gt;0),$BR$226/$BR$149,HLOOKUP(INDIRECT(ADDRESS(2,COLUMN())),OFFSET($CL$2,0,0,ROW()-1,84),ROW()-1,FALSE))</f>
        <v>14.91158806</v>
      </c>
      <c r="BS89">
        <f ca="1">IF(AND($B$252=1,LEN($BS$226) * LEN($BS$149)&gt;0),$BS$226/$BS$149,HLOOKUP(INDIRECT(ADDRESS(2,COLUMN())),OFFSET($CL$2,0,0,ROW()-1,84),ROW()-1,FALSE))</f>
        <v>15.891200169999999</v>
      </c>
      <c r="BT89">
        <f ca="1">IF(AND($B$252=1,LEN($BT$226) * LEN($BT$149)&gt;0),$BT$226/$BT$149,HLOOKUP(INDIRECT(ADDRESS(2,COLUMN())),OFFSET($CL$2,0,0,ROW()-1,84),ROW()-1,FALSE))</f>
        <v>16.142758239999999</v>
      </c>
      <c r="BU89">
        <f ca="1">IF(AND($B$252=1,LEN($BU$226) * LEN($BU$149)&gt;0),$BU$226/$BU$149,HLOOKUP(INDIRECT(ADDRESS(2,COLUMN())),OFFSET($CL$2,0,0,ROW()-1,84),ROW()-1,FALSE))</f>
        <v>16.93094292</v>
      </c>
      <c r="BV89">
        <f ca="1">IF(AND($B$252=1,LEN($BV$226) * LEN($BV$149)&gt;0),$BV$226/$BV$149,HLOOKUP(INDIRECT(ADDRESS(2,COLUMN())),OFFSET($CL$2,0,0,ROW()-1,84),ROW()-1,FALSE))</f>
        <v>17.68636854</v>
      </c>
      <c r="BW89">
        <f ca="1">IF(AND($B$252=1,LEN($BW$226) * LEN($BW$149)&gt;0),$BW$226/$BW$149,HLOOKUP(INDIRECT(ADDRESS(2,COLUMN())),OFFSET($CL$2,0,0,ROW()-1,84),ROW()-1,FALSE))</f>
        <v>17.593419279999999</v>
      </c>
      <c r="BX89">
        <f ca="1">IF(AND($B$252=1,LEN($BX$226) * LEN($BX$149)&gt;0),$BX$226/$BX$149,HLOOKUP(INDIRECT(ADDRESS(2,COLUMN())),OFFSET($CL$2,0,0,ROW()-1,84),ROW()-1,FALSE))</f>
        <v>17.444281969999999</v>
      </c>
      <c r="BY89">
        <f ca="1">IF(AND($B$252=1,LEN($BY$226) * LEN($BY$149)&gt;0),$BY$226/$BY$149,HLOOKUP(INDIRECT(ADDRESS(2,COLUMN())),OFFSET($CL$2,0,0,ROW()-1,84),ROW()-1,FALSE))</f>
        <v>17.824271070000002</v>
      </c>
      <c r="BZ89">
        <f ca="1">IF(AND($B$252=1,LEN($BZ$226) * LEN($BZ$149)&gt;0),$BZ$226/$BZ$149,HLOOKUP(INDIRECT(ADDRESS(2,COLUMN())),OFFSET($CL$2,0,0,ROW()-1,84),ROW()-1,FALSE))</f>
        <v>17.8260325</v>
      </c>
      <c r="CA89">
        <f ca="1">IF(AND($B$252=1,LEN($CA$226) * LEN($CA$149)&gt;0),$CA$226/$CA$149,HLOOKUP(INDIRECT(ADDRESS(2,COLUMN())),OFFSET($CL$2,0,0,ROW()-1,84),ROW()-1,FALSE))</f>
        <v>16.71347261</v>
      </c>
      <c r="CB89">
        <f ca="1">IF(AND($B$252=1,LEN($CB$226) * LEN($CB$149)&gt;0),$CB$226/$CB$149,HLOOKUP(INDIRECT(ADDRESS(2,COLUMN())),OFFSET($CL$2,0,0,ROW()-1,84),ROW()-1,FALSE))</f>
        <v>17.350686920000001</v>
      </c>
      <c r="CC89">
        <f ca="1">IF(AND($B$252=1,LEN($CC$226) * LEN($CC$149)&gt;0),$CC$226/$CC$149,HLOOKUP(INDIRECT(ADDRESS(2,COLUMN())),OFFSET($CL$2,0,0,ROW()-1,84),ROW()-1,FALSE))</f>
        <v>17.16520307</v>
      </c>
      <c r="CD89">
        <f ca="1">IF(AND($B$252=1,LEN($CD$226) * LEN($CD$149)&gt;0),$CD$226/$CD$149,HLOOKUP(INDIRECT(ADDRESS(2,COLUMN())),OFFSET($CL$2,0,0,ROW()-1,84),ROW()-1,FALSE))</f>
        <v>15.87002747</v>
      </c>
      <c r="CE89">
        <f ca="1">IF(AND($B$252=1,LEN($CE$226) * LEN($CE$149)&gt;0),$CE$226/$CE$149,HLOOKUP(INDIRECT(ADDRESS(2,COLUMN())),OFFSET($CL$2,0,0,ROW()-1,84),ROW()-1,FALSE))</f>
        <v>17.519600759999999</v>
      </c>
      <c r="CF89">
        <f ca="1">IF(AND($B$252=1,LEN($CF$226) * LEN($CF$149)&gt;0),$CF$226/$CF$149,HLOOKUP(INDIRECT(ADDRESS(2,COLUMN())),OFFSET($CL$2,0,0,ROW()-1,84),ROW()-1,FALSE))</f>
        <v>17.006495340000001</v>
      </c>
      <c r="CG89">
        <f ca="1">IF(AND($B$252=1,LEN($CG$226) * LEN($CG$149)&gt;0),$CG$226/$CG$149,HLOOKUP(INDIRECT(ADDRESS(2,COLUMN())),OFFSET($CL$2,0,0,ROW()-1,84),ROW()-1,FALSE))</f>
        <v>20.354315440000001</v>
      </c>
      <c r="CH89">
        <f ca="1">IF(AND($B$252=1,LEN($CH$226) * LEN($CH$149)&gt;0),$CH$226/$CH$149,HLOOKUP(INDIRECT(ADDRESS(2,COLUMN())),OFFSET($CL$2,0,0,ROW()-1,84),ROW()-1,FALSE))</f>
        <v>20.200406059999999</v>
      </c>
      <c r="CI89">
        <f ca="1">IF(AND($B$252=1,LEN($CI$226) * LEN($CI$149)&gt;0),$CI$226/$CI$149,HLOOKUP(INDIRECT(ADDRESS(2,COLUMN())),OFFSET($CL$2,0,0,ROW()-1,84),ROW()-1,FALSE))</f>
        <v>19.335458599999999</v>
      </c>
      <c r="CJ89">
        <f ca="1">IF(AND($B$252=1,LEN($CJ$226) * LEN($CJ$149)&gt;0),$CJ$226/$CJ$149,HLOOKUP(INDIRECT(ADDRESS(2,COLUMN())),OFFSET($CL$2,0,0,ROW()-1,84),ROW()-1,FALSE))</f>
        <v>19.6832928</v>
      </c>
      <c r="CK89">
        <f ca="1">IF(AND($B$252=1,LEN($CK$226) * LEN($CK$149)&gt;0),$CK$226/$CK$149,HLOOKUP(INDIRECT(ADDRESS(2,COLUMN())),OFFSET($CL$2,0,0,ROW()-1,84),ROW()-1,FALSE))</f>
        <v>19.65520334</v>
      </c>
      <c r="CL89">
        <f>16.12586186</f>
        <v>16.125861860000001</v>
      </c>
      <c r="CM89">
        <f>15.42538621</f>
        <v>15.425386209999999</v>
      </c>
      <c r="CN89">
        <f>17.03651158</f>
        <v>17.036511579999999</v>
      </c>
      <c r="CO89">
        <f>17.90598291</f>
        <v>17.905982909999999</v>
      </c>
      <c r="CP89">
        <f>17.99602556</f>
        <v>17.99602556</v>
      </c>
      <c r="CQ89">
        <f>18.06083617</f>
        <v>18.060836170000002</v>
      </c>
      <c r="CR89">
        <f>18.88089034</f>
        <v>18.880890340000001</v>
      </c>
      <c r="CS89">
        <f>19.06369433</f>
        <v>19.063694330000001</v>
      </c>
      <c r="CT89">
        <f>18.61419285</f>
        <v>18.614192849999998</v>
      </c>
      <c r="CU89">
        <f>19.06122818</f>
        <v>19.061228180000001</v>
      </c>
      <c r="CV89">
        <f>18.5527305</f>
        <v>18.552730499999999</v>
      </c>
      <c r="CW89">
        <f>18.3521572</f>
        <v>18.352157200000001</v>
      </c>
      <c r="CX89">
        <f>18.99285948</f>
        <v>18.99285948</v>
      </c>
      <c r="CY89">
        <f>19.28892531</f>
        <v>19.28892531</v>
      </c>
      <c r="CZ89">
        <f>17.75435047</f>
        <v>17.754350469999999</v>
      </c>
      <c r="DA89">
        <f>18.47198642</f>
        <v>18.47198642</v>
      </c>
      <c r="DB89">
        <f>17.01067665</f>
        <v>17.010676650000001</v>
      </c>
      <c r="DC89">
        <f>17.24331215</f>
        <v>17.243312150000001</v>
      </c>
      <c r="DD89">
        <f>17.68391345</f>
        <v>17.683913449999999</v>
      </c>
      <c r="DE89">
        <f>17.77308653</f>
        <v>17.77308653</v>
      </c>
      <c r="DF89">
        <f>19.57213417</f>
        <v>19.572134170000002</v>
      </c>
      <c r="DG89">
        <f>19.8288901</f>
        <v>19.828890099999999</v>
      </c>
      <c r="DH89">
        <f>19.28639406</f>
        <v>19.286394059999999</v>
      </c>
      <c r="DI89">
        <f>18.15844079</f>
        <v>18.15844079</v>
      </c>
      <c r="DJ89">
        <f>19.5330043</f>
        <v>19.533004300000002</v>
      </c>
      <c r="DK89">
        <f>17.33527824</f>
        <v>17.335278240000001</v>
      </c>
      <c r="DL89">
        <f>18.08135995</f>
        <v>18.08135995</v>
      </c>
      <c r="DM89">
        <f>17.54443586</f>
        <v>17.54443586</v>
      </c>
      <c r="DN89">
        <f>17.24778282</f>
        <v>17.247782820000001</v>
      </c>
      <c r="DO89">
        <f>16.84846821</f>
        <v>16.84846821</v>
      </c>
      <c r="DP89">
        <f>16.71996278</f>
        <v>16.719962779999999</v>
      </c>
      <c r="DQ89">
        <f>16.20608849</f>
        <v>16.206088489999999</v>
      </c>
      <c r="DR89">
        <f>16.63628209</f>
        <v>16.636282090000002</v>
      </c>
      <c r="DS89">
        <f>15.29381517</f>
        <v>15.29381517</v>
      </c>
      <c r="DT89">
        <f>16.12943412</f>
        <v>16.129434119999999</v>
      </c>
      <c r="DU89">
        <f>15.88147283</f>
        <v>15.88147283</v>
      </c>
      <c r="DV89">
        <f>16.48320471</f>
        <v>16.483204709999999</v>
      </c>
      <c r="DW89">
        <f>15.75098876</f>
        <v>15.75098876</v>
      </c>
      <c r="DX89">
        <f>17.4457964</f>
        <v>17.445796399999999</v>
      </c>
      <c r="DY89">
        <f>16.62141108</f>
        <v>16.621411080000001</v>
      </c>
      <c r="DZ89">
        <f>16.34958911</f>
        <v>16.34958911</v>
      </c>
      <c r="EA89">
        <f>15.77916141</f>
        <v>15.77916141</v>
      </c>
      <c r="EB89">
        <f>14.56470824</f>
        <v>14.56470824</v>
      </c>
      <c r="EC89">
        <f>16.09978662</f>
        <v>16.09978662</v>
      </c>
      <c r="ED89">
        <f>15.56835749</f>
        <v>15.56835749</v>
      </c>
      <c r="EE89">
        <f>16.3646249</f>
        <v>16.364624899999999</v>
      </c>
      <c r="EF89">
        <f>16.55089429</f>
        <v>16.550894289999999</v>
      </c>
      <c r="EG89">
        <f>16.0839571</f>
        <v>16.083957099999999</v>
      </c>
      <c r="EH89">
        <f>15.98811816</f>
        <v>15.988118160000001</v>
      </c>
      <c r="EI89">
        <f>15.51573296</f>
        <v>15.515732959999999</v>
      </c>
      <c r="EJ89">
        <f>14.56227437</f>
        <v>14.562274370000001</v>
      </c>
      <c r="EK89">
        <f>13.69560316</f>
        <v>13.695603159999999</v>
      </c>
      <c r="EL89">
        <f>13.5158633</f>
        <v>13.515863299999999</v>
      </c>
      <c r="EM89">
        <f>14.59797849</f>
        <v>14.597978489999999</v>
      </c>
      <c r="EN89">
        <f>13.88186775</f>
        <v>13.88186775</v>
      </c>
      <c r="EO89">
        <f>13.75824273</f>
        <v>13.758242729999999</v>
      </c>
      <c r="EP89">
        <f>15.28398458</f>
        <v>15.28398458</v>
      </c>
      <c r="EQ89">
        <f>15.40082015</f>
        <v>15.400820149999999</v>
      </c>
      <c r="ER89">
        <f>15.48421724</f>
        <v>15.48421724</v>
      </c>
      <c r="ES89">
        <f>15.78216434</f>
        <v>15.78216434</v>
      </c>
      <c r="ET89">
        <f>15.95337346</f>
        <v>15.95337346</v>
      </c>
      <c r="EU89">
        <f>16.21078881</f>
        <v>16.21078881</v>
      </c>
      <c r="EV89">
        <f>15.434817</f>
        <v>15.434817000000001</v>
      </c>
      <c r="EW89">
        <f>15.39833532</f>
        <v>15.398335319999999</v>
      </c>
      <c r="EX89">
        <f>14.91158806</f>
        <v>14.91158806</v>
      </c>
      <c r="EY89">
        <f>15.89120017</f>
        <v>15.891200169999999</v>
      </c>
      <c r="EZ89">
        <f>16.14275824</f>
        <v>16.142758239999999</v>
      </c>
      <c r="FA89">
        <f>16.93094292</f>
        <v>16.93094292</v>
      </c>
      <c r="FB89">
        <f>17.68636854</f>
        <v>17.68636854</v>
      </c>
      <c r="FC89">
        <f>17.59341928</f>
        <v>17.593419279999999</v>
      </c>
      <c r="FD89">
        <f>17.44428197</f>
        <v>17.444281969999999</v>
      </c>
      <c r="FE89">
        <f>17.82427107</f>
        <v>17.824271070000002</v>
      </c>
      <c r="FF89">
        <f>17.8260325</f>
        <v>17.8260325</v>
      </c>
      <c r="FG89">
        <f>16.71347261</f>
        <v>16.71347261</v>
      </c>
      <c r="FH89">
        <f>17.35068692</f>
        <v>17.350686920000001</v>
      </c>
      <c r="FI89">
        <f>17.16520307</f>
        <v>17.16520307</v>
      </c>
      <c r="FJ89">
        <f>15.87002747</f>
        <v>15.87002747</v>
      </c>
      <c r="FK89">
        <f>17.51960076</f>
        <v>17.519600759999999</v>
      </c>
      <c r="FL89">
        <f>17.00649534</f>
        <v>17.006495340000001</v>
      </c>
      <c r="FM89">
        <f>20.35431544</f>
        <v>20.354315440000001</v>
      </c>
      <c r="FN89">
        <f>20.20040606</f>
        <v>20.200406059999999</v>
      </c>
      <c r="FO89">
        <f>19.3354586</f>
        <v>19.335458599999999</v>
      </c>
      <c r="FP89">
        <f>19.6832928</f>
        <v>19.6832928</v>
      </c>
      <c r="FQ89">
        <f>19.65520334</f>
        <v>19.65520334</v>
      </c>
    </row>
    <row r="90" spans="1:173">
      <c r="A90" t="str">
        <f>"    Monogram Residential Trust Inc"</f>
        <v xml:space="preserve">    Monogram Residential Trust Inc</v>
      </c>
      <c r="B90" t="str">
        <f>"MORE US Equity"</f>
        <v>MORE US Equity</v>
      </c>
      <c r="E90" t="str">
        <f t="shared" si="30"/>
        <v>Expression</v>
      </c>
      <c r="F90" t="str">
        <f ca="1">IF(AND($B$252=1,LEN($F$227) * LEN($F$150)&gt;0),$F$227/$F$150,HLOOKUP(INDIRECT(ADDRESS(2,COLUMN())),OFFSET($CL$2,0,0,ROW()-1,84),ROW()-1,FALSE))</f>
        <v/>
      </c>
      <c r="G90" t="str">
        <f ca="1">IF(AND($B$252=1,LEN($G$227) * LEN($G$150)&gt;0),$G$227/$G$150,HLOOKUP(INDIRECT(ADDRESS(2,COLUMN())),OFFSET($CL$2,0,0,ROW()-1,84),ROW()-1,FALSE))</f>
        <v/>
      </c>
      <c r="H90" t="str">
        <f ca="1">IF(AND($B$252=1,LEN($H$227) * LEN($H$150)&gt;0),$H$227/$H$150,HLOOKUP(INDIRECT(ADDRESS(2,COLUMN())),OFFSET($CL$2,0,0,ROW()-1,84),ROW()-1,FALSE))</f>
        <v/>
      </c>
      <c r="I90" t="str">
        <f ca="1">IF(AND($B$252=1,LEN($I$227) * LEN($I$150)&gt;0),$I$227/$I$150,HLOOKUP(INDIRECT(ADDRESS(2,COLUMN())),OFFSET($CL$2,0,0,ROW()-1,84),ROW()-1,FALSE))</f>
        <v/>
      </c>
      <c r="J90" t="str">
        <f ca="1">IF(AND($B$252=1,LEN($J$227) * LEN($J$150)&gt;0),$J$227/$J$150,HLOOKUP(INDIRECT(ADDRESS(2,COLUMN())),OFFSET($CL$2,0,0,ROW()-1,84),ROW()-1,FALSE))</f>
        <v/>
      </c>
      <c r="K90" t="str">
        <f ca="1">IF(AND($B$252=1,LEN($K$227) * LEN($K$150)&gt;0),$K$227/$K$150,HLOOKUP(INDIRECT(ADDRESS(2,COLUMN())),OFFSET($CL$2,0,0,ROW()-1,84),ROW()-1,FALSE))</f>
        <v/>
      </c>
      <c r="L90">
        <f ca="1">IF(AND($B$252=1,LEN($L$227) * LEN($L$150)&gt;0),$L$227/$L$150,HLOOKUP(INDIRECT(ADDRESS(2,COLUMN())),OFFSET($CL$2,0,0,ROW()-1,84),ROW()-1,FALSE))</f>
        <v>26.351648350000001</v>
      </c>
      <c r="M90">
        <f ca="1">IF(AND($B$252=1,LEN($M$227) * LEN($M$150)&gt;0),$M$227/$M$150,HLOOKUP(INDIRECT(ADDRESS(2,COLUMN())),OFFSET($CL$2,0,0,ROW()-1,84),ROW()-1,FALSE))</f>
        <v>26.24436566</v>
      </c>
      <c r="N90">
        <f ca="1">IF(AND($B$252=1,LEN($N$227) * LEN($N$150)&gt;0),$N$227/$N$150,HLOOKUP(INDIRECT(ADDRESS(2,COLUMN())),OFFSET($CL$2,0,0,ROW()-1,84),ROW()-1,FALSE))</f>
        <v>27.108194789999999</v>
      </c>
      <c r="O90">
        <f ca="1">IF(AND($B$252=1,LEN($O$227) * LEN($O$150)&gt;0),$O$227/$O$150,HLOOKUP(INDIRECT(ADDRESS(2,COLUMN())),OFFSET($CL$2,0,0,ROW()-1,84),ROW()-1,FALSE))</f>
        <v>22.245131730000001</v>
      </c>
      <c r="P90">
        <f ca="1">IF(AND($B$252=1,LEN($P$227) * LEN($P$150)&gt;0),$P$227/$P$150,HLOOKUP(INDIRECT(ADDRESS(2,COLUMN())),OFFSET($CL$2,0,0,ROW()-1,84),ROW()-1,FALSE))</f>
        <v>22.284754270000001</v>
      </c>
      <c r="Q90">
        <f ca="1">IF(AND($B$252=1,LEN($Q$227) * LEN($Q$150)&gt;0),$Q$227/$Q$150,HLOOKUP(INDIRECT(ADDRESS(2,COLUMN())),OFFSET($CL$2,0,0,ROW()-1,84),ROW()-1,FALSE))</f>
        <v>24.423715479999998</v>
      </c>
      <c r="R90">
        <f ca="1">IF(AND($B$252=1,LEN($R$227) * LEN($R$150)&gt;0),$R$227/$R$150,HLOOKUP(INDIRECT(ADDRESS(2,COLUMN())),OFFSET($CL$2,0,0,ROW()-1,84),ROW()-1,FALSE))</f>
        <v>24.053076000000001</v>
      </c>
      <c r="S90">
        <f ca="1">IF(AND($B$252=1,LEN($S$227) * LEN($S$150)&gt;0),$S$227/$S$150,HLOOKUP(INDIRECT(ADDRESS(2,COLUMN())),OFFSET($CL$2,0,0,ROW()-1,84),ROW()-1,FALSE))</f>
        <v>25.338836140000002</v>
      </c>
      <c r="T90">
        <f ca="1">IF(AND($B$252=1,LEN($T$227) * LEN($T$150)&gt;0),$T$227/$T$150,HLOOKUP(INDIRECT(ADDRESS(2,COLUMN())),OFFSET($CL$2,0,0,ROW()-1,84),ROW()-1,FALSE))</f>
        <v>24.270512400000001</v>
      </c>
      <c r="U90">
        <f ca="1">IF(AND($B$252=1,LEN($U$227) * LEN($U$150)&gt;0),$U$227/$U$150,HLOOKUP(INDIRECT(ADDRESS(2,COLUMN())),OFFSET($CL$2,0,0,ROW()-1,84),ROW()-1,FALSE))</f>
        <v>24.98845266</v>
      </c>
      <c r="V90">
        <f ca="1">IF(AND($B$252=1,LEN($V$227) * LEN($V$150)&gt;0),$V$227/$V$150,HLOOKUP(INDIRECT(ADDRESS(2,COLUMN())),OFFSET($CL$2,0,0,ROW()-1,84),ROW()-1,FALSE))</f>
        <v>24.977998960000001</v>
      </c>
      <c r="W90">
        <f ca="1">IF(AND($B$252=1,LEN($W$227) * LEN($W$150)&gt;0),$W$227/$W$150,HLOOKUP(INDIRECT(ADDRESS(2,COLUMN())),OFFSET($CL$2,0,0,ROW()-1,84),ROW()-1,FALSE))</f>
        <v>24.810040770000001</v>
      </c>
      <c r="X90">
        <f ca="1">IF(AND($B$252=1,LEN($X$227) * LEN($X$150)&gt;0),$X$227/$X$150,HLOOKUP(INDIRECT(ADDRESS(2,COLUMN())),OFFSET($CL$2,0,0,ROW()-1,84),ROW()-1,FALSE))</f>
        <v>25.03529412</v>
      </c>
      <c r="Y90">
        <f ca="1">IF(AND($B$252=1,LEN($Y$227) * LEN($Y$150)&gt;0),$Y$227/$Y$150,HLOOKUP(INDIRECT(ADDRESS(2,COLUMN())),OFFSET($CL$2,0,0,ROW()-1,84),ROW()-1,FALSE))</f>
        <v>25.2479798</v>
      </c>
      <c r="Z90">
        <f ca="1">IF(AND($B$252=1,LEN($Z$227) * LEN($Z$150)&gt;0),$Z$227/$Z$150,HLOOKUP(INDIRECT(ADDRESS(2,COLUMN())),OFFSET($CL$2,0,0,ROW()-1,84),ROW()-1,FALSE))</f>
        <v>24.469261490000001</v>
      </c>
      <c r="AA90">
        <f ca="1">IF(AND($B$252=1,LEN($AA$227) * LEN($AA$150)&gt;0),$AA$227/$AA$150,HLOOKUP(INDIRECT(ADDRESS(2,COLUMN())),OFFSET($CL$2,0,0,ROW()-1,84),ROW()-1,FALSE))</f>
        <v>23.294387669999999</v>
      </c>
      <c r="AB90">
        <f ca="1">IF(AND($B$252=1,LEN($AB$227) * LEN($AB$150)&gt;0),$AB$227/$AB$150,HLOOKUP(INDIRECT(ADDRESS(2,COLUMN())),OFFSET($CL$2,0,0,ROW()-1,84),ROW()-1,FALSE))</f>
        <v>26.185243809999999</v>
      </c>
      <c r="AC90">
        <f ca="1">IF(AND($B$252=1,LEN($AC$227) * LEN($AC$150)&gt;0),$AC$227/$AC$150,HLOOKUP(INDIRECT(ADDRESS(2,COLUMN())),OFFSET($CL$2,0,0,ROW()-1,84),ROW()-1,FALSE))</f>
        <v>20.283407050000001</v>
      </c>
      <c r="AD90">
        <f ca="1">IF(AND($B$252=1,LEN($AD$227) * LEN($AD$150)&gt;0),$AD$227/$AD$150,HLOOKUP(INDIRECT(ADDRESS(2,COLUMN())),OFFSET($CL$2,0,0,ROW()-1,84),ROW()-1,FALSE))</f>
        <v>20.023801110000001</v>
      </c>
      <c r="AE90">
        <f ca="1">IF(AND($B$252=1,LEN($AE$227) * LEN($AE$150)&gt;0),$AE$227/$AE$150,HLOOKUP(INDIRECT(ADDRESS(2,COLUMN())),OFFSET($CL$2,0,0,ROW()-1,84),ROW()-1,FALSE))</f>
        <v>18.74162767</v>
      </c>
      <c r="AF90">
        <f ca="1">IF(AND($B$252=1,LEN($AF$227) * LEN($AF$150)&gt;0),$AF$227/$AF$150,HLOOKUP(INDIRECT(ADDRESS(2,COLUMN())),OFFSET($CL$2,0,0,ROW()-1,84),ROW()-1,FALSE))</f>
        <v>18.343027230000001</v>
      </c>
      <c r="AG90">
        <f ca="1">IF(AND($B$252=1,LEN($AG$227) * LEN($AG$150)&gt;0),$AG$227/$AG$150,HLOOKUP(INDIRECT(ADDRESS(2,COLUMN())),OFFSET($CL$2,0,0,ROW()-1,84),ROW()-1,FALSE))</f>
        <v>20.765957449999998</v>
      </c>
      <c r="AH90" t="str">
        <f ca="1">IF(AND($B$252=1,LEN($AH$227) * LEN($AH$150)&gt;0),$AH$227/$AH$150,HLOOKUP(INDIRECT(ADDRESS(2,COLUMN())),OFFSET($CL$2,0,0,ROW()-1,84),ROW()-1,FALSE))</f>
        <v/>
      </c>
      <c r="AI90" t="str">
        <f ca="1">IF(AND($B$252=1,LEN($AI$227) * LEN($AI$150)&gt;0),$AI$227/$AI$150,HLOOKUP(INDIRECT(ADDRESS(2,COLUMN())),OFFSET($CL$2,0,0,ROW()-1,84),ROW()-1,FALSE))</f>
        <v/>
      </c>
      <c r="AJ90" t="str">
        <f ca="1">IF(AND($B$252=1,LEN($AJ$227) * LEN($AJ$150)&gt;0),$AJ$227/$AJ$150,HLOOKUP(INDIRECT(ADDRESS(2,COLUMN())),OFFSET($CL$2,0,0,ROW()-1,84),ROW()-1,FALSE))</f>
        <v/>
      </c>
      <c r="AK90" t="str">
        <f ca="1">IF(AND($B$252=1,LEN($AK$227) * LEN($AK$150)&gt;0),$AK$227/$AK$150,HLOOKUP(INDIRECT(ADDRESS(2,COLUMN())),OFFSET($CL$2,0,0,ROW()-1,84),ROW()-1,FALSE))</f>
        <v/>
      </c>
      <c r="AL90" t="str">
        <f ca="1">IF(AND($B$252=1,LEN($AL$227) * LEN($AL$150)&gt;0),$AL$227/$AL$150,HLOOKUP(INDIRECT(ADDRESS(2,COLUMN())),OFFSET($CL$2,0,0,ROW()-1,84),ROW()-1,FALSE))</f>
        <v/>
      </c>
      <c r="AM90" t="str">
        <f ca="1">IF(AND($B$252=1,LEN($AM$227) * LEN($AM$150)&gt;0),$AM$227/$AM$150,HLOOKUP(INDIRECT(ADDRESS(2,COLUMN())),OFFSET($CL$2,0,0,ROW()-1,84),ROW()-1,FALSE))</f>
        <v/>
      </c>
      <c r="AN90" t="str">
        <f ca="1">IF(AND($B$252=1,LEN($AN$227) * LEN($AN$150)&gt;0),$AN$227/$AN$150,HLOOKUP(INDIRECT(ADDRESS(2,COLUMN())),OFFSET($CL$2,0,0,ROW()-1,84),ROW()-1,FALSE))</f>
        <v/>
      </c>
      <c r="AO90" t="str">
        <f ca="1">IF(AND($B$252=1,LEN($AO$227) * LEN($AO$150)&gt;0),$AO$227/$AO$150,HLOOKUP(INDIRECT(ADDRESS(2,COLUMN())),OFFSET($CL$2,0,0,ROW()-1,84),ROW()-1,FALSE))</f>
        <v/>
      </c>
      <c r="AP90" t="str">
        <f ca="1">IF(AND($B$252=1,LEN($AP$227) * LEN($AP$150)&gt;0),$AP$227/$AP$150,HLOOKUP(INDIRECT(ADDRESS(2,COLUMN())),OFFSET($CL$2,0,0,ROW()-1,84),ROW()-1,FALSE))</f>
        <v/>
      </c>
      <c r="AQ90" t="str">
        <f ca="1">IF(AND($B$252=1,LEN($AQ$227) * LEN($AQ$150)&gt;0),$AQ$227/$AQ$150,HLOOKUP(INDIRECT(ADDRESS(2,COLUMN())),OFFSET($CL$2,0,0,ROW()-1,84),ROW()-1,FALSE))</f>
        <v/>
      </c>
      <c r="AR90" t="str">
        <f ca="1">IF(AND($B$252=1,LEN($AR$227) * LEN($AR$150)&gt;0),$AR$227/$AR$150,HLOOKUP(INDIRECT(ADDRESS(2,COLUMN())),OFFSET($CL$2,0,0,ROW()-1,84),ROW()-1,FALSE))</f>
        <v/>
      </c>
      <c r="AS90" t="str">
        <f ca="1">IF(AND($B$252=1,LEN($AS$227) * LEN($AS$150)&gt;0),$AS$227/$AS$150,HLOOKUP(INDIRECT(ADDRESS(2,COLUMN())),OFFSET($CL$2,0,0,ROW()-1,84),ROW()-1,FALSE))</f>
        <v/>
      </c>
      <c r="AT90" t="str">
        <f ca="1">IF(AND($B$252=1,LEN($AT$227) * LEN($AT$150)&gt;0),$AT$227/$AT$150,HLOOKUP(INDIRECT(ADDRESS(2,COLUMN())),OFFSET($CL$2,0,0,ROW()-1,84),ROW()-1,FALSE))</f>
        <v/>
      </c>
      <c r="AU90" t="str">
        <f ca="1">IF(AND($B$252=1,LEN($AU$227) * LEN($AU$150)&gt;0),$AU$227/$AU$150,HLOOKUP(INDIRECT(ADDRESS(2,COLUMN())),OFFSET($CL$2,0,0,ROW()-1,84),ROW()-1,FALSE))</f>
        <v/>
      </c>
      <c r="AV90" t="str">
        <f ca="1">IF(AND($B$252=1,LEN($AV$227) * LEN($AV$150)&gt;0),$AV$227/$AV$150,HLOOKUP(INDIRECT(ADDRESS(2,COLUMN())),OFFSET($CL$2,0,0,ROW()-1,84),ROW()-1,FALSE))</f>
        <v/>
      </c>
      <c r="AW90" t="str">
        <f ca="1">IF(AND($B$252=1,LEN($AW$227) * LEN($AW$150)&gt;0),$AW$227/$AW$150,HLOOKUP(INDIRECT(ADDRESS(2,COLUMN())),OFFSET($CL$2,0,0,ROW()-1,84),ROW()-1,FALSE))</f>
        <v/>
      </c>
      <c r="AX90" t="str">
        <f ca="1">IF(AND($B$252=1,LEN($AX$227) * LEN($AX$150)&gt;0),$AX$227/$AX$150,HLOOKUP(INDIRECT(ADDRESS(2,COLUMN())),OFFSET($CL$2,0,0,ROW()-1,84),ROW()-1,FALSE))</f>
        <v/>
      </c>
      <c r="AY90" t="str">
        <f ca="1">IF(AND($B$252=1,LEN($AY$227) * LEN($AY$150)&gt;0),$AY$227/$AY$150,HLOOKUP(INDIRECT(ADDRESS(2,COLUMN())),OFFSET($CL$2,0,0,ROW()-1,84),ROW()-1,FALSE))</f>
        <v/>
      </c>
      <c r="AZ90" t="str">
        <f ca="1">IF(AND($B$252=1,LEN($AZ$227) * LEN($AZ$150)&gt;0),$AZ$227/$AZ$150,HLOOKUP(INDIRECT(ADDRESS(2,COLUMN())),OFFSET($CL$2,0,0,ROW()-1,84),ROW()-1,FALSE))</f>
        <v/>
      </c>
      <c r="BA90" t="str">
        <f ca="1">IF(AND($B$252=1,LEN($BA$227) * LEN($BA$150)&gt;0),$BA$227/$BA$150,HLOOKUP(INDIRECT(ADDRESS(2,COLUMN())),OFFSET($CL$2,0,0,ROW()-1,84),ROW()-1,FALSE))</f>
        <v/>
      </c>
      <c r="BB90" t="str">
        <f ca="1">IF(AND($B$252=1,LEN($BB$227) * LEN($BB$150)&gt;0),$BB$227/$BB$150,HLOOKUP(INDIRECT(ADDRESS(2,COLUMN())),OFFSET($CL$2,0,0,ROW()-1,84),ROW()-1,FALSE))</f>
        <v/>
      </c>
      <c r="BC90" t="str">
        <f ca="1">IF(AND($B$252=1,LEN($BC$227) * LEN($BC$150)&gt;0),$BC$227/$BC$150,HLOOKUP(INDIRECT(ADDRESS(2,COLUMN())),OFFSET($CL$2,0,0,ROW()-1,84),ROW()-1,FALSE))</f>
        <v/>
      </c>
      <c r="BD90" t="str">
        <f ca="1">IF(AND($B$252=1,LEN($BD$227) * LEN($BD$150)&gt;0),$BD$227/$BD$150,HLOOKUP(INDIRECT(ADDRESS(2,COLUMN())),OFFSET($CL$2,0,0,ROW()-1,84),ROW()-1,FALSE))</f>
        <v/>
      </c>
      <c r="BE90" t="str">
        <f ca="1">IF(AND($B$252=1,LEN($BE$227) * LEN($BE$150)&gt;0),$BE$227/$BE$150,HLOOKUP(INDIRECT(ADDRESS(2,COLUMN())),OFFSET($CL$2,0,0,ROW()-1,84),ROW()-1,FALSE))</f>
        <v/>
      </c>
      <c r="BF90" t="str">
        <f ca="1">IF(AND($B$252=1,LEN($BF$227) * LEN($BF$150)&gt;0),$BF$227/$BF$150,HLOOKUP(INDIRECT(ADDRESS(2,COLUMN())),OFFSET($CL$2,0,0,ROW()-1,84),ROW()-1,FALSE))</f>
        <v/>
      </c>
      <c r="BG90" t="str">
        <f ca="1">IF(AND($B$252=1,LEN($BG$227) * LEN($BG$150)&gt;0),$BG$227/$BG$150,HLOOKUP(INDIRECT(ADDRESS(2,COLUMN())),OFFSET($CL$2,0,0,ROW()-1,84),ROW()-1,FALSE))</f>
        <v/>
      </c>
      <c r="BH90" t="str">
        <f ca="1">IF(AND($B$252=1,LEN($BH$227) * LEN($BH$150)&gt;0),$BH$227/$BH$150,HLOOKUP(INDIRECT(ADDRESS(2,COLUMN())),OFFSET($CL$2,0,0,ROW()-1,84),ROW()-1,FALSE))</f>
        <v/>
      </c>
      <c r="BI90" t="str">
        <f ca="1">IF(AND($B$252=1,LEN($BI$227) * LEN($BI$150)&gt;0),$BI$227/$BI$150,HLOOKUP(INDIRECT(ADDRESS(2,COLUMN())),OFFSET($CL$2,0,0,ROW()-1,84),ROW()-1,FALSE))</f>
        <v/>
      </c>
      <c r="BJ90" t="str">
        <f ca="1">IF(AND($B$252=1,LEN($BJ$227) * LEN($BJ$150)&gt;0),$BJ$227/$BJ$150,HLOOKUP(INDIRECT(ADDRESS(2,COLUMN())),OFFSET($CL$2,0,0,ROW()-1,84),ROW()-1,FALSE))</f>
        <v/>
      </c>
      <c r="BK90" t="str">
        <f ca="1">IF(AND($B$252=1,LEN($BK$227) * LEN($BK$150)&gt;0),$BK$227/$BK$150,HLOOKUP(INDIRECT(ADDRESS(2,COLUMN())),OFFSET($CL$2,0,0,ROW()-1,84),ROW()-1,FALSE))</f>
        <v/>
      </c>
      <c r="BL90" t="str">
        <f ca="1">IF(AND($B$252=1,LEN($BL$227) * LEN($BL$150)&gt;0),$BL$227/$BL$150,HLOOKUP(INDIRECT(ADDRESS(2,COLUMN())),OFFSET($CL$2,0,0,ROW()-1,84),ROW()-1,FALSE))</f>
        <v/>
      </c>
      <c r="BM90" t="str">
        <f ca="1">IF(AND($B$252=1,LEN($BM$227) * LEN($BM$150)&gt;0),$BM$227/$BM$150,HLOOKUP(INDIRECT(ADDRESS(2,COLUMN())),OFFSET($CL$2,0,0,ROW()-1,84),ROW()-1,FALSE))</f>
        <v/>
      </c>
      <c r="BN90" t="str">
        <f ca="1">IF(AND($B$252=1,LEN($BN$227) * LEN($BN$150)&gt;0),$BN$227/$BN$150,HLOOKUP(INDIRECT(ADDRESS(2,COLUMN())),OFFSET($CL$2,0,0,ROW()-1,84),ROW()-1,FALSE))</f>
        <v/>
      </c>
      <c r="BO90" t="str">
        <f ca="1">IF(AND($B$252=1,LEN($BO$227) * LEN($BO$150)&gt;0),$BO$227/$BO$150,HLOOKUP(INDIRECT(ADDRESS(2,COLUMN())),OFFSET($CL$2,0,0,ROW()-1,84),ROW()-1,FALSE))</f>
        <v/>
      </c>
      <c r="BP90" t="str">
        <f ca="1">IF(AND($B$252=1,LEN($BP$227) * LEN($BP$150)&gt;0),$BP$227/$BP$150,HLOOKUP(INDIRECT(ADDRESS(2,COLUMN())),OFFSET($CL$2,0,0,ROW()-1,84),ROW()-1,FALSE))</f>
        <v/>
      </c>
      <c r="BQ90" t="str">
        <f ca="1">IF(AND($B$252=1,LEN($BQ$227) * LEN($BQ$150)&gt;0),$BQ$227/$BQ$150,HLOOKUP(INDIRECT(ADDRESS(2,COLUMN())),OFFSET($CL$2,0,0,ROW()-1,84),ROW()-1,FALSE))</f>
        <v/>
      </c>
      <c r="BR90" t="str">
        <f ca="1">IF(AND($B$252=1,LEN($BR$227) * LEN($BR$150)&gt;0),$BR$227/$BR$150,HLOOKUP(INDIRECT(ADDRESS(2,COLUMN())),OFFSET($CL$2,0,0,ROW()-1,84),ROW()-1,FALSE))</f>
        <v/>
      </c>
      <c r="BS90" t="str">
        <f ca="1">IF(AND($B$252=1,LEN($BS$227) * LEN($BS$150)&gt;0),$BS$227/$BS$150,HLOOKUP(INDIRECT(ADDRESS(2,COLUMN())),OFFSET($CL$2,0,0,ROW()-1,84),ROW()-1,FALSE))</f>
        <v/>
      </c>
      <c r="BT90" t="str">
        <f ca="1">IF(AND($B$252=1,LEN($BT$227) * LEN($BT$150)&gt;0),$BT$227/$BT$150,HLOOKUP(INDIRECT(ADDRESS(2,COLUMN())),OFFSET($CL$2,0,0,ROW()-1,84),ROW()-1,FALSE))</f>
        <v/>
      </c>
      <c r="BU90" t="str">
        <f ca="1">IF(AND($B$252=1,LEN($BU$227) * LEN($BU$150)&gt;0),$BU$227/$BU$150,HLOOKUP(INDIRECT(ADDRESS(2,COLUMN())),OFFSET($CL$2,0,0,ROW()-1,84),ROW()-1,FALSE))</f>
        <v/>
      </c>
      <c r="BV90" t="str">
        <f ca="1">IF(AND($B$252=1,LEN($BV$227) * LEN($BV$150)&gt;0),$BV$227/$BV$150,HLOOKUP(INDIRECT(ADDRESS(2,COLUMN())),OFFSET($CL$2,0,0,ROW()-1,84),ROW()-1,FALSE))</f>
        <v/>
      </c>
      <c r="BW90" t="str">
        <f ca="1">IF(AND($B$252=1,LEN($BW$227) * LEN($BW$150)&gt;0),$BW$227/$BW$150,HLOOKUP(INDIRECT(ADDRESS(2,COLUMN())),OFFSET($CL$2,0,0,ROW()-1,84),ROW()-1,FALSE))</f>
        <v/>
      </c>
      <c r="BX90" t="str">
        <f ca="1">IF(AND($B$252=1,LEN($BX$227) * LEN($BX$150)&gt;0),$BX$227/$BX$150,HLOOKUP(INDIRECT(ADDRESS(2,COLUMN())),OFFSET($CL$2,0,0,ROW()-1,84),ROW()-1,FALSE))</f>
        <v/>
      </c>
      <c r="BY90" t="str">
        <f ca="1">IF(AND($B$252=1,LEN($BY$227) * LEN($BY$150)&gt;0),$BY$227/$BY$150,HLOOKUP(INDIRECT(ADDRESS(2,COLUMN())),OFFSET($CL$2,0,0,ROW()-1,84),ROW()-1,FALSE))</f>
        <v/>
      </c>
      <c r="BZ90" t="str">
        <f ca="1">IF(AND($B$252=1,LEN($BZ$227) * LEN($BZ$150)&gt;0),$BZ$227/$BZ$150,HLOOKUP(INDIRECT(ADDRESS(2,COLUMN())),OFFSET($CL$2,0,0,ROW()-1,84),ROW()-1,FALSE))</f>
        <v/>
      </c>
      <c r="CA90" t="str">
        <f ca="1">IF(AND($B$252=1,LEN($CA$227) * LEN($CA$150)&gt;0),$CA$227/$CA$150,HLOOKUP(INDIRECT(ADDRESS(2,COLUMN())),OFFSET($CL$2,0,0,ROW()-1,84),ROW()-1,FALSE))</f>
        <v/>
      </c>
      <c r="CB90" t="str">
        <f ca="1">IF(AND($B$252=1,LEN($CB$227) * LEN($CB$150)&gt;0),$CB$227/$CB$150,HLOOKUP(INDIRECT(ADDRESS(2,COLUMN())),OFFSET($CL$2,0,0,ROW()-1,84),ROW()-1,FALSE))</f>
        <v/>
      </c>
      <c r="CC90" t="str">
        <f ca="1">IF(AND($B$252=1,LEN($CC$227) * LEN($CC$150)&gt;0),$CC$227/$CC$150,HLOOKUP(INDIRECT(ADDRESS(2,COLUMN())),OFFSET($CL$2,0,0,ROW()-1,84),ROW()-1,FALSE))</f>
        <v/>
      </c>
      <c r="CD90" t="str">
        <f ca="1">IF(AND($B$252=1,LEN($CD$227) * LEN($CD$150)&gt;0),$CD$227/$CD$150,HLOOKUP(INDIRECT(ADDRESS(2,COLUMN())),OFFSET($CL$2,0,0,ROW()-1,84),ROW()-1,FALSE))</f>
        <v/>
      </c>
      <c r="CE90" t="str">
        <f ca="1">IF(AND($B$252=1,LEN($CE$227) * LEN($CE$150)&gt;0),$CE$227/$CE$150,HLOOKUP(INDIRECT(ADDRESS(2,COLUMN())),OFFSET($CL$2,0,0,ROW()-1,84),ROW()-1,FALSE))</f>
        <v/>
      </c>
      <c r="CF90" t="str">
        <f ca="1">IF(AND($B$252=1,LEN($CF$227) * LEN($CF$150)&gt;0),$CF$227/$CF$150,HLOOKUP(INDIRECT(ADDRESS(2,COLUMN())),OFFSET($CL$2,0,0,ROW()-1,84),ROW()-1,FALSE))</f>
        <v/>
      </c>
      <c r="CG90" t="str">
        <f ca="1">IF(AND($B$252=1,LEN($CG$227) * LEN($CG$150)&gt;0),$CG$227/$CG$150,HLOOKUP(INDIRECT(ADDRESS(2,COLUMN())),OFFSET($CL$2,0,0,ROW()-1,84),ROW()-1,FALSE))</f>
        <v/>
      </c>
      <c r="CH90" t="str">
        <f ca="1">IF(AND($B$252=1,LEN($CH$227) * LEN($CH$150)&gt;0),$CH$227/$CH$150,HLOOKUP(INDIRECT(ADDRESS(2,COLUMN())),OFFSET($CL$2,0,0,ROW()-1,84),ROW()-1,FALSE))</f>
        <v/>
      </c>
      <c r="CI90" t="str">
        <f ca="1">IF(AND($B$252=1,LEN($CI$227) * LEN($CI$150)&gt;0),$CI$227/$CI$150,HLOOKUP(INDIRECT(ADDRESS(2,COLUMN())),OFFSET($CL$2,0,0,ROW()-1,84),ROW()-1,FALSE))</f>
        <v/>
      </c>
      <c r="CJ90" t="str">
        <f ca="1">IF(AND($B$252=1,LEN($CJ$227) * LEN($CJ$150)&gt;0),$CJ$227/$CJ$150,HLOOKUP(INDIRECT(ADDRESS(2,COLUMN())),OFFSET($CL$2,0,0,ROW()-1,84),ROW()-1,FALSE))</f>
        <v/>
      </c>
      <c r="CK90" t="str">
        <f ca="1">IF(AND($B$252=1,LEN($CK$227) * LEN($CK$150)&gt;0),$CK$227/$CK$150,HLOOKUP(INDIRECT(ADDRESS(2,COLUMN())),OFFSET($CL$2,0,0,ROW()-1,84),ROW()-1,FALSE))</f>
        <v/>
      </c>
      <c r="CL90" t="str">
        <f>""</f>
        <v/>
      </c>
      <c r="CM90" t="str">
        <f>""</f>
        <v/>
      </c>
      <c r="CN90" t="str">
        <f>""</f>
        <v/>
      </c>
      <c r="CO90" t="str">
        <f>""</f>
        <v/>
      </c>
      <c r="CP90" t="str">
        <f>""</f>
        <v/>
      </c>
      <c r="CQ90" t="str">
        <f>""</f>
        <v/>
      </c>
      <c r="CR90">
        <f>26.35164835</f>
        <v>26.351648350000001</v>
      </c>
      <c r="CS90">
        <f>26.24436566</f>
        <v>26.24436566</v>
      </c>
      <c r="CT90">
        <f>27.10819479</f>
        <v>27.108194789999999</v>
      </c>
      <c r="CU90">
        <f>22.24513173</f>
        <v>22.245131730000001</v>
      </c>
      <c r="CV90">
        <f>22.28475427</f>
        <v>22.284754270000001</v>
      </c>
      <c r="CW90">
        <f>24.42371548</f>
        <v>24.423715479999998</v>
      </c>
      <c r="CX90">
        <f>24.053076</f>
        <v>24.053076000000001</v>
      </c>
      <c r="CY90">
        <f>25.33883614</f>
        <v>25.338836140000002</v>
      </c>
      <c r="CZ90">
        <f>24.2705124</f>
        <v>24.270512400000001</v>
      </c>
      <c r="DA90">
        <f>24.98845266</f>
        <v>24.98845266</v>
      </c>
      <c r="DB90">
        <f>24.97799896</f>
        <v>24.977998960000001</v>
      </c>
      <c r="DC90">
        <f>24.81004077</f>
        <v>24.810040770000001</v>
      </c>
      <c r="DD90">
        <f>25.03529412</f>
        <v>25.03529412</v>
      </c>
      <c r="DE90">
        <f>25.2479798</f>
        <v>25.2479798</v>
      </c>
      <c r="DF90">
        <f>24.46926149</f>
        <v>24.469261490000001</v>
      </c>
      <c r="DG90">
        <f>23.29438767</f>
        <v>23.294387669999999</v>
      </c>
      <c r="DH90">
        <f>26.18524381</f>
        <v>26.185243809999999</v>
      </c>
      <c r="DI90">
        <f>20.28340705</f>
        <v>20.283407050000001</v>
      </c>
      <c r="DJ90">
        <f>20.02380111</f>
        <v>20.023801110000001</v>
      </c>
      <c r="DK90">
        <f>18.74162767</f>
        <v>18.74162767</v>
      </c>
      <c r="DL90">
        <f>18.34302723</f>
        <v>18.343027230000001</v>
      </c>
      <c r="DM90">
        <f>20.76595745</f>
        <v>20.765957449999998</v>
      </c>
      <c r="DN90" t="str">
        <f>""</f>
        <v/>
      </c>
      <c r="DO90" t="str">
        <f>""</f>
        <v/>
      </c>
      <c r="DP90" t="str">
        <f>""</f>
        <v/>
      </c>
      <c r="DQ90" t="str">
        <f>""</f>
        <v/>
      </c>
      <c r="DR90" t="str">
        <f>""</f>
        <v/>
      </c>
      <c r="DS90" t="str">
        <f>""</f>
        <v/>
      </c>
      <c r="DT90" t="str">
        <f>""</f>
        <v/>
      </c>
      <c r="DU90" t="str">
        <f>""</f>
        <v/>
      </c>
      <c r="DV90" t="str">
        <f>""</f>
        <v/>
      </c>
      <c r="DW90" t="str">
        <f>""</f>
        <v/>
      </c>
      <c r="DX90" t="str">
        <f>""</f>
        <v/>
      </c>
      <c r="DY90" t="str">
        <f>""</f>
        <v/>
      </c>
      <c r="DZ90" t="str">
        <f>""</f>
        <v/>
      </c>
      <c r="EA90" t="str">
        <f>""</f>
        <v/>
      </c>
      <c r="EB90" t="str">
        <f>""</f>
        <v/>
      </c>
      <c r="EC90" t="str">
        <f>""</f>
        <v/>
      </c>
      <c r="ED90" t="str">
        <f>""</f>
        <v/>
      </c>
      <c r="EE90" t="str">
        <f>""</f>
        <v/>
      </c>
      <c r="EF90" t="str">
        <f>""</f>
        <v/>
      </c>
      <c r="EG90" t="str">
        <f>""</f>
        <v/>
      </c>
      <c r="EH90" t="str">
        <f>""</f>
        <v/>
      </c>
      <c r="EI90" t="str">
        <f>""</f>
        <v/>
      </c>
      <c r="EJ90" t="str">
        <f>""</f>
        <v/>
      </c>
      <c r="EK90" t="str">
        <f>""</f>
        <v/>
      </c>
      <c r="EL90" t="str">
        <f>""</f>
        <v/>
      </c>
      <c r="EM90" t="str">
        <f>""</f>
        <v/>
      </c>
      <c r="EN90" t="str">
        <f>""</f>
        <v/>
      </c>
      <c r="EO90" t="str">
        <f>""</f>
        <v/>
      </c>
      <c r="EP90" t="str">
        <f>""</f>
        <v/>
      </c>
      <c r="EQ90" t="str">
        <f>""</f>
        <v/>
      </c>
      <c r="ER90" t="str">
        <f>""</f>
        <v/>
      </c>
      <c r="ES90" t="str">
        <f>""</f>
        <v/>
      </c>
      <c r="ET90" t="str">
        <f>""</f>
        <v/>
      </c>
      <c r="EU90" t="str">
        <f>""</f>
        <v/>
      </c>
      <c r="EV90" t="str">
        <f>""</f>
        <v/>
      </c>
      <c r="EW90" t="str">
        <f>""</f>
        <v/>
      </c>
      <c r="EX90" t="str">
        <f>""</f>
        <v/>
      </c>
      <c r="EY90" t="str">
        <f>""</f>
        <v/>
      </c>
      <c r="EZ90" t="str">
        <f>""</f>
        <v/>
      </c>
      <c r="FA90" t="str">
        <f>""</f>
        <v/>
      </c>
      <c r="FB90" t="str">
        <f>""</f>
        <v/>
      </c>
      <c r="FC90" t="str">
        <f>""</f>
        <v/>
      </c>
      <c r="FD90" t="str">
        <f>""</f>
        <v/>
      </c>
      <c r="FE90" t="str">
        <f>""</f>
        <v/>
      </c>
      <c r="FF90" t="str">
        <f>""</f>
        <v/>
      </c>
      <c r="FG90" t="str">
        <f>""</f>
        <v/>
      </c>
      <c r="FH90" t="str">
        <f>""</f>
        <v/>
      </c>
      <c r="FI90" t="str">
        <f>""</f>
        <v/>
      </c>
      <c r="FJ90" t="str">
        <f>""</f>
        <v/>
      </c>
      <c r="FK90" t="str">
        <f>""</f>
        <v/>
      </c>
      <c r="FL90" t="str">
        <f>""</f>
        <v/>
      </c>
      <c r="FM90" t="str">
        <f>""</f>
        <v/>
      </c>
      <c r="FN90" t="str">
        <f>""</f>
        <v/>
      </c>
      <c r="FO90" t="str">
        <f>""</f>
        <v/>
      </c>
      <c r="FP90" t="str">
        <f>""</f>
        <v/>
      </c>
      <c r="FQ90" t="str">
        <f>""</f>
        <v/>
      </c>
    </row>
    <row r="91" spans="1:173">
      <c r="A91" t="str">
        <f>"    UDR Inc"</f>
        <v xml:space="preserve">    UDR Inc</v>
      </c>
      <c r="B91" t="str">
        <f>"UDR US Equity"</f>
        <v>UDR US Equity</v>
      </c>
      <c r="E91" t="str">
        <f t="shared" si="30"/>
        <v>Expression</v>
      </c>
      <c r="F91">
        <f ca="1">IF(AND($B$252=1,LEN($F$228) * LEN($F$151)&gt;0),$F$228/$F$151,HLOOKUP(INDIRECT(ADDRESS(2,COLUMN())),OFFSET($CL$2,0,0,ROW()-1,84),ROW()-1,FALSE))</f>
        <v>19.512486169999999</v>
      </c>
      <c r="G91">
        <f ca="1">IF(AND($B$252=1,LEN($G$228) * LEN($G$151)&gt;0),$G$228/$G$151,HLOOKUP(INDIRECT(ADDRESS(2,COLUMN())),OFFSET($CL$2,0,0,ROW()-1,84),ROW()-1,FALSE))</f>
        <v>18.63668389</v>
      </c>
      <c r="H91">
        <f ca="1">IF(AND($B$252=1,LEN($H$228) * LEN($H$151)&gt;0),$H$228/$H$151,HLOOKUP(INDIRECT(ADDRESS(2,COLUMN())),OFFSET($CL$2,0,0,ROW()-1,84),ROW()-1,FALSE))</f>
        <v>20.139904250000001</v>
      </c>
      <c r="I91">
        <f ca="1">IF(AND($B$252=1,LEN($I$228) * LEN($I$151)&gt;0),$I$228/$I$151,HLOOKUP(INDIRECT(ADDRESS(2,COLUMN())),OFFSET($CL$2,0,0,ROW()-1,84),ROW()-1,FALSE))</f>
        <v>21.4</v>
      </c>
      <c r="J91">
        <f ca="1">IF(AND($B$252=1,LEN($J$228) * LEN($J$151)&gt;0),$J$228/$J$151,HLOOKUP(INDIRECT(ADDRESS(2,COLUMN())),OFFSET($CL$2,0,0,ROW()-1,84),ROW()-1,FALSE))</f>
        <v>21.948108040000001</v>
      </c>
      <c r="K91">
        <f ca="1">IF(AND($B$252=1,LEN($K$228) * LEN($K$151)&gt;0),$K$228/$K$151,HLOOKUP(INDIRECT(ADDRESS(2,COLUMN())),OFFSET($CL$2,0,0,ROW()-1,84),ROW()-1,FALSE))</f>
        <v>21.718547999999998</v>
      </c>
      <c r="L91">
        <f ca="1">IF(AND($B$252=1,LEN($L$228) * LEN($L$151)&gt;0),$L$228/$L$151,HLOOKUP(INDIRECT(ADDRESS(2,COLUMN())),OFFSET($CL$2,0,0,ROW()-1,84),ROW()-1,FALSE))</f>
        <v>21.398227599999998</v>
      </c>
      <c r="M91">
        <f ca="1">IF(AND($B$252=1,LEN($M$228) * LEN($M$151)&gt;0),$M$228/$M$151,HLOOKUP(INDIRECT(ADDRESS(2,COLUMN())),OFFSET($CL$2,0,0,ROW()-1,84),ROW()-1,FALSE))</f>
        <v>21.844492200000001</v>
      </c>
      <c r="N91">
        <f ca="1">IF(AND($B$252=1,LEN($N$228) * LEN($N$151)&gt;0),$N$228/$N$151,HLOOKUP(INDIRECT(ADDRESS(2,COLUMN())),OFFSET($CL$2,0,0,ROW()-1,84),ROW()-1,FALSE))</f>
        <v>22.343654440000002</v>
      </c>
      <c r="O91">
        <f ca="1">IF(AND($B$252=1,LEN($O$228) * LEN($O$151)&gt;0),$O$228/$O$151,HLOOKUP(INDIRECT(ADDRESS(2,COLUMN())),OFFSET($CL$2,0,0,ROW()-1,84),ROW()-1,FALSE))</f>
        <v>22.300429179999998</v>
      </c>
      <c r="P91">
        <f ca="1">IF(AND($B$252=1,LEN($P$228) * LEN($P$151)&gt;0),$P$228/$P$151,HLOOKUP(INDIRECT(ADDRESS(2,COLUMN())),OFFSET($CL$2,0,0,ROW()-1,84),ROW()-1,FALSE))</f>
        <v>22.204317679999999</v>
      </c>
      <c r="Q91">
        <f ca="1">IF(AND($B$252=1,LEN($Q$228) * LEN($Q$151)&gt;0),$Q$228/$Q$151,HLOOKUP(INDIRECT(ADDRESS(2,COLUMN())),OFFSET($CL$2,0,0,ROW()-1,84),ROW()-1,FALSE))</f>
        <v>21.932207510000001</v>
      </c>
      <c r="R91">
        <f ca="1">IF(AND($B$252=1,LEN($R$228) * LEN($R$151)&gt;0),$R$228/$R$151,HLOOKUP(INDIRECT(ADDRESS(2,COLUMN())),OFFSET($CL$2,0,0,ROW()-1,84),ROW()-1,FALSE))</f>
        <v>21.56407969</v>
      </c>
      <c r="S91">
        <f ca="1">IF(AND($B$252=1,LEN($S$228) * LEN($S$151)&gt;0),$S$228/$S$151,HLOOKUP(INDIRECT(ADDRESS(2,COLUMN())),OFFSET($CL$2,0,0,ROW()-1,84),ROW()-1,FALSE))</f>
        <v>21.719597029999999</v>
      </c>
      <c r="T91">
        <f ca="1">IF(AND($B$252=1,LEN($T$228) * LEN($T$151)&gt;0),$T$228/$T$151,HLOOKUP(INDIRECT(ADDRESS(2,COLUMN())),OFFSET($CL$2,0,0,ROW()-1,84),ROW()-1,FALSE))</f>
        <v>20.348409010000001</v>
      </c>
      <c r="U91">
        <f ca="1">IF(AND($B$252=1,LEN($U$228) * LEN($U$151)&gt;0),$U$228/$U$151,HLOOKUP(INDIRECT(ADDRESS(2,COLUMN())),OFFSET($CL$2,0,0,ROW()-1,84),ROW()-1,FALSE))</f>
        <v>21.333333329999999</v>
      </c>
      <c r="V91">
        <f ca="1">IF(AND($B$252=1,LEN($V$228) * LEN($V$151)&gt;0),$V$228/$V$151,HLOOKUP(INDIRECT(ADDRESS(2,COLUMN())),OFFSET($CL$2,0,0,ROW()-1,84),ROW()-1,FALSE))</f>
        <v>20.011710730000001</v>
      </c>
      <c r="W91">
        <f ca="1">IF(AND($B$252=1,LEN($W$228) * LEN($W$151)&gt;0),$W$228/$W$151,HLOOKUP(INDIRECT(ADDRESS(2,COLUMN())),OFFSET($CL$2,0,0,ROW()-1,84),ROW()-1,FALSE))</f>
        <v>20.80270977</v>
      </c>
      <c r="X91">
        <f ca="1">IF(AND($B$252=1,LEN($X$228) * LEN($X$151)&gt;0),$X$228/$X$151,HLOOKUP(INDIRECT(ADDRESS(2,COLUMN())),OFFSET($CL$2,0,0,ROW()-1,84),ROW()-1,FALSE))</f>
        <v>21.314776429999998</v>
      </c>
      <c r="Y91">
        <f ca="1">IF(AND($B$252=1,LEN($Y$228) * LEN($Y$151)&gt;0),$Y$228/$Y$151,HLOOKUP(INDIRECT(ADDRESS(2,COLUMN())),OFFSET($CL$2,0,0,ROW()-1,84),ROW()-1,FALSE))</f>
        <v>21.480312980000001</v>
      </c>
      <c r="Z91">
        <f ca="1">IF(AND($B$252=1,LEN($Z$228) * LEN($Z$151)&gt;0),$Z$228/$Z$151,HLOOKUP(INDIRECT(ADDRESS(2,COLUMN())),OFFSET($CL$2,0,0,ROW()-1,84),ROW()-1,FALSE))</f>
        <v>22.187127530000001</v>
      </c>
      <c r="AA91">
        <f ca="1">IF(AND($B$252=1,LEN($AA$228) * LEN($AA$151)&gt;0),$AA$228/$AA$151,HLOOKUP(INDIRECT(ADDRESS(2,COLUMN())),OFFSET($CL$2,0,0,ROW()-1,84),ROW()-1,FALSE))</f>
        <v>22.156994189999999</v>
      </c>
      <c r="AB91">
        <f ca="1">IF(AND($B$252=1,LEN($AB$228) * LEN($AB$151)&gt;0),$AB$228/$AB$151,HLOOKUP(INDIRECT(ADDRESS(2,COLUMN())),OFFSET($CL$2,0,0,ROW()-1,84),ROW()-1,FALSE))</f>
        <v>21.674201199999999</v>
      </c>
      <c r="AC91">
        <f ca="1">IF(AND($B$252=1,LEN($AC$228) * LEN($AC$151)&gt;0),$AC$228/$AC$151,HLOOKUP(INDIRECT(ADDRESS(2,COLUMN())),OFFSET($CL$2,0,0,ROW()-1,84),ROW()-1,FALSE))</f>
        <v>21.152790750000001</v>
      </c>
      <c r="AD91">
        <f ca="1">IF(AND($B$252=1,LEN($AD$228) * LEN($AD$151)&gt;0),$AD$228/$AD$151,HLOOKUP(INDIRECT(ADDRESS(2,COLUMN())),OFFSET($CL$2,0,0,ROW()-1,84),ROW()-1,FALSE))</f>
        <v>23.349675479999998</v>
      </c>
      <c r="AE91">
        <f ca="1">IF(AND($B$252=1,LEN($AE$228) * LEN($AE$151)&gt;0),$AE$228/$AE$151,HLOOKUP(INDIRECT(ADDRESS(2,COLUMN())),OFFSET($CL$2,0,0,ROW()-1,84),ROW()-1,FALSE))</f>
        <v>20.9248631</v>
      </c>
      <c r="AF91">
        <f ca="1">IF(AND($B$252=1,LEN($AF$228) * LEN($AF$151)&gt;0),$AF$228/$AF$151,HLOOKUP(INDIRECT(ADDRESS(2,COLUMN())),OFFSET($CL$2,0,0,ROW()-1,84),ROW()-1,FALSE))</f>
        <v>21.646390790000002</v>
      </c>
      <c r="AG91">
        <f ca="1">IF(AND($B$252=1,LEN($AG$228) * LEN($AG$151)&gt;0),$AG$228/$AG$151,HLOOKUP(INDIRECT(ADDRESS(2,COLUMN())),OFFSET($CL$2,0,0,ROW()-1,84),ROW()-1,FALSE))</f>
        <v>22.992656060000002</v>
      </c>
      <c r="AH91">
        <f ca="1">IF(AND($B$252=1,LEN($AH$228) * LEN($AH$151)&gt;0),$AH$228/$AH$151,HLOOKUP(INDIRECT(ADDRESS(2,COLUMN())),OFFSET($CL$2,0,0,ROW()-1,84),ROW()-1,FALSE))</f>
        <v>22.757947550000001</v>
      </c>
      <c r="AI91">
        <f ca="1">IF(AND($B$252=1,LEN($AI$228) * LEN($AI$151)&gt;0),$AI$228/$AI$151,HLOOKUP(INDIRECT(ADDRESS(2,COLUMN())),OFFSET($CL$2,0,0,ROW()-1,84),ROW()-1,FALSE))</f>
        <v>21.53480815</v>
      </c>
      <c r="AJ91">
        <f ca="1">IF(AND($B$252=1,LEN($AJ$228) * LEN($AJ$151)&gt;0),$AJ$228/$AJ$151,HLOOKUP(INDIRECT(ADDRESS(2,COLUMN())),OFFSET($CL$2,0,0,ROW()-1,84),ROW()-1,FALSE))</f>
        <v>21.777754479999999</v>
      </c>
      <c r="AK91">
        <f ca="1">IF(AND($B$252=1,LEN($AK$228) * LEN($AK$151)&gt;0),$AK$228/$AK$151,HLOOKUP(INDIRECT(ADDRESS(2,COLUMN())),OFFSET($CL$2,0,0,ROW()-1,84),ROW()-1,FALSE))</f>
        <v>20.512208260000001</v>
      </c>
      <c r="AL91">
        <f ca="1">IF(AND($B$252=1,LEN($AL$228) * LEN($AL$151)&gt;0),$AL$228/$AL$151,HLOOKUP(INDIRECT(ADDRESS(2,COLUMN())),OFFSET($CL$2,0,0,ROW()-1,84),ROW()-1,FALSE))</f>
        <v>21.776431219999999</v>
      </c>
      <c r="AM91">
        <f ca="1">IF(AND($B$252=1,LEN($AM$228) * LEN($AM$151)&gt;0),$AM$228/$AM$151,HLOOKUP(INDIRECT(ADDRESS(2,COLUMN())),OFFSET($CL$2,0,0,ROW()-1,84),ROW()-1,FALSE))</f>
        <v>20.934011129999998</v>
      </c>
      <c r="AN91">
        <f ca="1">IF(AND($B$252=1,LEN($AN$228) * LEN($AN$151)&gt;0),$AN$228/$AN$151,HLOOKUP(INDIRECT(ADDRESS(2,COLUMN())),OFFSET($CL$2,0,0,ROW()-1,84),ROW()-1,FALSE))</f>
        <v>21.53920652</v>
      </c>
      <c r="AO91">
        <f ca="1">IF(AND($B$252=1,LEN($AO$228) * LEN($AO$151)&gt;0),$AO$228/$AO$151,HLOOKUP(INDIRECT(ADDRESS(2,COLUMN())),OFFSET($CL$2,0,0,ROW()-1,84),ROW()-1,FALSE))</f>
        <v>21.955007309999999</v>
      </c>
      <c r="AP91">
        <f ca="1">IF(AND($B$252=1,LEN($AP$228) * LEN($AP$151)&gt;0),$AP$228/$AP$151,HLOOKUP(INDIRECT(ADDRESS(2,COLUMN())),OFFSET($CL$2,0,0,ROW()-1,84),ROW()-1,FALSE))</f>
        <v>23.180662030000001</v>
      </c>
      <c r="AQ91">
        <f ca="1">IF(AND($B$252=1,LEN($AQ$228) * LEN($AQ$151)&gt;0),$AQ$228/$AQ$151,HLOOKUP(INDIRECT(ADDRESS(2,COLUMN())),OFFSET($CL$2,0,0,ROW()-1,84),ROW()-1,FALSE))</f>
        <v>21.891241520000001</v>
      </c>
      <c r="AR91">
        <f ca="1">IF(AND($B$252=1,LEN($AR$228) * LEN($AR$151)&gt;0),$AR$228/$AR$151,HLOOKUP(INDIRECT(ADDRESS(2,COLUMN())),OFFSET($CL$2,0,0,ROW()-1,84),ROW()-1,FALSE))</f>
        <v>22.4837895</v>
      </c>
      <c r="AS91">
        <f ca="1">IF(AND($B$252=1,LEN($AS$228) * LEN($AS$151)&gt;0),$AS$228/$AS$151,HLOOKUP(INDIRECT(ADDRESS(2,COLUMN())),OFFSET($CL$2,0,0,ROW()-1,84),ROW()-1,FALSE))</f>
        <v>20.712365590000001</v>
      </c>
      <c r="AT91">
        <f ca="1">IF(AND($B$252=1,LEN($AT$228) * LEN($AT$151)&gt;0),$AT$228/$AT$151,HLOOKUP(INDIRECT(ADDRESS(2,COLUMN())),OFFSET($CL$2,0,0,ROW()-1,84),ROW()-1,FALSE))</f>
        <v>21.02160349</v>
      </c>
      <c r="AU91">
        <f ca="1">IF(AND($B$252=1,LEN($AU$228) * LEN($AU$151)&gt;0),$AU$228/$AU$151,HLOOKUP(INDIRECT(ADDRESS(2,COLUMN())),OFFSET($CL$2,0,0,ROW()-1,84),ROW()-1,FALSE))</f>
        <v>21.10121393</v>
      </c>
      <c r="AV91">
        <f ca="1">IF(AND($B$252=1,LEN($AV$228) * LEN($AV$151)&gt;0),$AV$228/$AV$151,HLOOKUP(INDIRECT(ADDRESS(2,COLUMN())),OFFSET($CL$2,0,0,ROW()-1,84),ROW()-1,FALSE))</f>
        <v>19.221260340000001</v>
      </c>
      <c r="AW91">
        <f ca="1">IF(AND($B$252=1,LEN($AW$228) * LEN($AW$151)&gt;0),$AW$228/$AW$151,HLOOKUP(INDIRECT(ADDRESS(2,COLUMN())),OFFSET($CL$2,0,0,ROW()-1,84),ROW()-1,FALSE))</f>
        <v>21.465077640000001</v>
      </c>
      <c r="AX91">
        <f ca="1">IF(AND($B$252=1,LEN($AX$228) * LEN($AX$151)&gt;0),$AX$228/$AX$151,HLOOKUP(INDIRECT(ADDRESS(2,COLUMN())),OFFSET($CL$2,0,0,ROW()-1,84),ROW()-1,FALSE))</f>
        <v>21.017604769999998</v>
      </c>
      <c r="AY91">
        <f ca="1">IF(AND($B$252=1,LEN($AY$228) * LEN($AY$151)&gt;0),$AY$228/$AY$151,HLOOKUP(INDIRECT(ADDRESS(2,COLUMN())),OFFSET($CL$2,0,0,ROW()-1,84),ROW()-1,FALSE))</f>
        <v>21.05805123</v>
      </c>
      <c r="AZ91">
        <f ca="1">IF(AND($B$252=1,LEN($AZ$228) * LEN($AZ$151)&gt;0),$AZ$228/$AZ$151,HLOOKUP(INDIRECT(ADDRESS(2,COLUMN())),OFFSET($CL$2,0,0,ROW()-1,84),ROW()-1,FALSE))</f>
        <v>20.326989770000001</v>
      </c>
      <c r="BA91">
        <f ca="1">IF(AND($B$252=1,LEN($BA$228) * LEN($BA$151)&gt;0),$BA$228/$BA$151,HLOOKUP(INDIRECT(ADDRESS(2,COLUMN())),OFFSET($CL$2,0,0,ROW()-1,84),ROW()-1,FALSE))</f>
        <v>19.137084720000001</v>
      </c>
      <c r="BB91">
        <f ca="1">IF(AND($B$252=1,LEN($BB$228) * LEN($BB$151)&gt;0),$BB$228/$BB$151,HLOOKUP(INDIRECT(ADDRESS(2,COLUMN())),OFFSET($CL$2,0,0,ROW()-1,84),ROW()-1,FALSE))</f>
        <v>19.0976702</v>
      </c>
      <c r="BC91">
        <f ca="1">IF(AND($B$252=1,LEN($BC$228) * LEN($BC$151)&gt;0),$BC$228/$BC$151,HLOOKUP(INDIRECT(ADDRESS(2,COLUMN())),OFFSET($CL$2,0,0,ROW()-1,84),ROW()-1,FALSE))</f>
        <v>19.293315960000001</v>
      </c>
      <c r="BD91">
        <f ca="1">IF(AND($B$252=1,LEN($BD$228) * LEN($BD$151)&gt;0),$BD$228/$BD$151,HLOOKUP(INDIRECT(ADDRESS(2,COLUMN())),OFFSET($CL$2,0,0,ROW()-1,84),ROW()-1,FALSE))</f>
        <v>18.319608680000002</v>
      </c>
      <c r="BE91">
        <f ca="1">IF(AND($B$252=1,LEN($BE$228) * LEN($BE$151)&gt;0),$BE$228/$BE$151,HLOOKUP(INDIRECT(ADDRESS(2,COLUMN())),OFFSET($CL$2,0,0,ROW()-1,84),ROW()-1,FALSE))</f>
        <v>17.743161090000001</v>
      </c>
      <c r="BF91">
        <f ca="1">IF(AND($B$252=1,LEN($BF$228) * LEN($BF$151)&gt;0),$BF$228/$BF$151,HLOOKUP(INDIRECT(ADDRESS(2,COLUMN())),OFFSET($CL$2,0,0,ROW()-1,84),ROW()-1,FALSE))</f>
        <v>17.818814740000001</v>
      </c>
      <c r="BG91">
        <f ca="1">IF(AND($B$252=1,LEN($BG$228) * LEN($BG$151)&gt;0),$BG$228/$BG$151,HLOOKUP(INDIRECT(ADDRESS(2,COLUMN())),OFFSET($CL$2,0,0,ROW()-1,84),ROW()-1,FALSE))</f>
        <v>18.982954360000001</v>
      </c>
      <c r="BH91">
        <f ca="1">IF(AND($B$252=1,LEN($BH$228) * LEN($BH$151)&gt;0),$BH$228/$BH$151,HLOOKUP(INDIRECT(ADDRESS(2,COLUMN())),OFFSET($CL$2,0,0,ROW()-1,84),ROW()-1,FALSE))</f>
        <v>18.32914032</v>
      </c>
      <c r="BI91">
        <f ca="1">IF(AND($B$252=1,LEN($BI$228) * LEN($BI$151)&gt;0),$BI$228/$BI$151,HLOOKUP(INDIRECT(ADDRESS(2,COLUMN())),OFFSET($CL$2,0,0,ROW()-1,84),ROW()-1,FALSE))</f>
        <v>17.594883070000002</v>
      </c>
      <c r="BJ91">
        <f ca="1">IF(AND($B$252=1,LEN($BJ$228) * LEN($BJ$151)&gt;0),$BJ$228/$BJ$151,HLOOKUP(INDIRECT(ADDRESS(2,COLUMN())),OFFSET($CL$2,0,0,ROW()-1,84),ROW()-1,FALSE))</f>
        <v>19.675217480000001</v>
      </c>
      <c r="BK91">
        <f ca="1">IF(AND($B$252=1,LEN($BK$228) * LEN($BK$151)&gt;0),$BK$228/$BK$151,HLOOKUP(INDIRECT(ADDRESS(2,COLUMN())),OFFSET($CL$2,0,0,ROW()-1,84),ROW()-1,FALSE))</f>
        <v>20.41864224</v>
      </c>
      <c r="BL91">
        <f ca="1">IF(AND($B$252=1,LEN($BL$228) * LEN($BL$151)&gt;0),$BL$228/$BL$151,HLOOKUP(INDIRECT(ADDRESS(2,COLUMN())),OFFSET($CL$2,0,0,ROW()-1,84),ROW()-1,FALSE))</f>
        <v>19.72787353</v>
      </c>
      <c r="BM91">
        <f ca="1">IF(AND($B$252=1,LEN($BM$228) * LEN($BM$151)&gt;0),$BM$228/$BM$151,HLOOKUP(INDIRECT(ADDRESS(2,COLUMN())),OFFSET($CL$2,0,0,ROW()-1,84),ROW()-1,FALSE))</f>
        <v>20.098563089999999</v>
      </c>
      <c r="BN91">
        <f ca="1">IF(AND($B$252=1,LEN($BN$228) * LEN($BN$151)&gt;0),$BN$228/$BN$151,HLOOKUP(INDIRECT(ADDRESS(2,COLUMN())),OFFSET($CL$2,0,0,ROW()-1,84),ROW()-1,FALSE))</f>
        <v>19.718833400000001</v>
      </c>
      <c r="BO91">
        <f ca="1">IF(AND($B$252=1,LEN($BO$228) * LEN($BO$151)&gt;0),$BO$228/$BO$151,HLOOKUP(INDIRECT(ADDRESS(2,COLUMN())),OFFSET($CL$2,0,0,ROW()-1,84),ROW()-1,FALSE))</f>
        <v>19.427657620000002</v>
      </c>
      <c r="BP91">
        <f ca="1">IF(AND($B$252=1,LEN($BP$228) * LEN($BP$151)&gt;0),$BP$228/$BP$151,HLOOKUP(INDIRECT(ADDRESS(2,COLUMN())),OFFSET($CL$2,0,0,ROW()-1,84),ROW()-1,FALSE))</f>
        <v>19.005735130000001</v>
      </c>
      <c r="BQ91">
        <f ca="1">IF(AND($B$252=1,LEN($BQ$228) * LEN($BQ$151)&gt;0),$BQ$228/$BQ$151,HLOOKUP(INDIRECT(ADDRESS(2,COLUMN())),OFFSET($CL$2,0,0,ROW()-1,84),ROW()-1,FALSE))</f>
        <v>19.008792969999998</v>
      </c>
      <c r="BR91">
        <f ca="1">IF(AND($B$252=1,LEN($BR$228) * LEN($BR$151)&gt;0),$BR$228/$BR$151,HLOOKUP(INDIRECT(ADDRESS(2,COLUMN())),OFFSET($CL$2,0,0,ROW()-1,84),ROW()-1,FALSE))</f>
        <v>18.102644590000001</v>
      </c>
      <c r="BS91">
        <f ca="1">IF(AND($B$252=1,LEN($BS$228) * LEN($BS$151)&gt;0),$BS$228/$BS$151,HLOOKUP(INDIRECT(ADDRESS(2,COLUMN())),OFFSET($CL$2,0,0,ROW()-1,84),ROW()-1,FALSE))</f>
        <v>19.16533278</v>
      </c>
      <c r="BT91">
        <f ca="1">IF(AND($B$252=1,LEN($BT$228) * LEN($BT$151)&gt;0),$BT$228/$BT$151,HLOOKUP(INDIRECT(ADDRESS(2,COLUMN())),OFFSET($CL$2,0,0,ROW()-1,84),ROW()-1,FALSE))</f>
        <v>19.978074020000001</v>
      </c>
      <c r="BU91">
        <f ca="1">IF(AND($B$252=1,LEN($BU$228) * LEN($BU$151)&gt;0),$BU$228/$BU$151,HLOOKUP(INDIRECT(ADDRESS(2,COLUMN())),OFFSET($CL$2,0,0,ROW()-1,84),ROW()-1,FALSE))</f>
        <v>20.452100770000001</v>
      </c>
      <c r="BV91">
        <f ca="1">IF(AND($B$252=1,LEN($BV$228) * LEN($BV$151)&gt;0),$BV$228/$BV$151,HLOOKUP(INDIRECT(ADDRESS(2,COLUMN())),OFFSET($CL$2,0,0,ROW()-1,84),ROW()-1,FALSE))</f>
        <v>21.749258269999999</v>
      </c>
      <c r="BW91">
        <f ca="1">IF(AND($B$252=1,LEN($BW$228) * LEN($BW$151)&gt;0),$BW$228/$BW$151,HLOOKUP(INDIRECT(ADDRESS(2,COLUMN())),OFFSET($CL$2,0,0,ROW()-1,84),ROW()-1,FALSE))</f>
        <v>21.212633669999999</v>
      </c>
      <c r="BX91">
        <f ca="1">IF(AND($B$252=1,LEN($BX$228) * LEN($BX$151)&gt;0),$BX$228/$BX$151,HLOOKUP(INDIRECT(ADDRESS(2,COLUMN())),OFFSET($CL$2,0,0,ROW()-1,84),ROW()-1,FALSE))</f>
        <v>21.18878058</v>
      </c>
      <c r="BY91">
        <f ca="1">IF(AND($B$252=1,LEN($BY$228) * LEN($BY$151)&gt;0),$BY$228/$BY$151,HLOOKUP(INDIRECT(ADDRESS(2,COLUMN())),OFFSET($CL$2,0,0,ROW()-1,84),ROW()-1,FALSE))</f>
        <v>21.530312110000001</v>
      </c>
      <c r="BZ91">
        <f ca="1">IF(AND($B$252=1,LEN($BZ$228) * LEN($BZ$151)&gt;0),$BZ$228/$BZ$151,HLOOKUP(INDIRECT(ADDRESS(2,COLUMN())),OFFSET($CL$2,0,0,ROW()-1,84),ROW()-1,FALSE))</f>
        <v>21.491533329999999</v>
      </c>
      <c r="CA91">
        <f ca="1">IF(AND($B$252=1,LEN($CA$228) * LEN($CA$151)&gt;0),$CA$228/$CA$151,HLOOKUP(INDIRECT(ADDRESS(2,COLUMN())),OFFSET($CL$2,0,0,ROW()-1,84),ROW()-1,FALSE))</f>
        <v>20.21377154</v>
      </c>
      <c r="CB91">
        <f ca="1">IF(AND($B$252=1,LEN($CB$228) * LEN($CB$151)&gt;0),$CB$228/$CB$151,HLOOKUP(INDIRECT(ADDRESS(2,COLUMN())),OFFSET($CL$2,0,0,ROW()-1,84),ROW()-1,FALSE))</f>
        <v>20.682934270000001</v>
      </c>
      <c r="CC91">
        <f ca="1">IF(AND($B$252=1,LEN($CC$228) * LEN($CC$151)&gt;0),$CC$228/$CC$151,HLOOKUP(INDIRECT(ADDRESS(2,COLUMN())),OFFSET($CL$2,0,0,ROW()-1,84),ROW()-1,FALSE))</f>
        <v>20.031923379999999</v>
      </c>
      <c r="CD91">
        <f ca="1">IF(AND($B$252=1,LEN($CD$228) * LEN($CD$151)&gt;0),$CD$228/$CD$151,HLOOKUP(INDIRECT(ADDRESS(2,COLUMN())),OFFSET($CL$2,0,0,ROW()-1,84),ROW()-1,FALSE))</f>
        <v>18.985035750000002</v>
      </c>
      <c r="CE91">
        <f ca="1">IF(AND($B$252=1,LEN($CE$228) * LEN($CE$151)&gt;0),$CE$228/$CE$151,HLOOKUP(INDIRECT(ADDRESS(2,COLUMN())),OFFSET($CL$2,0,0,ROW()-1,84),ROW()-1,FALSE))</f>
        <v>20.581108799999999</v>
      </c>
      <c r="CF91">
        <f ca="1">IF(AND($B$252=1,LEN($CF$228) * LEN($CF$151)&gt;0),$CF$228/$CF$151,HLOOKUP(INDIRECT(ADDRESS(2,COLUMN())),OFFSET($CL$2,0,0,ROW()-1,84),ROW()-1,FALSE))</f>
        <v>18.64028626</v>
      </c>
      <c r="CG91">
        <f ca="1">IF(AND($B$252=1,LEN($CG$228) * LEN($CG$151)&gt;0),$CG$228/$CG$151,HLOOKUP(INDIRECT(ADDRESS(2,COLUMN())),OFFSET($CL$2,0,0,ROW()-1,84),ROW()-1,FALSE))</f>
        <v>22.72180127</v>
      </c>
      <c r="CH91">
        <f ca="1">IF(AND($B$252=1,LEN($CH$228) * LEN($CH$151)&gt;0),$CH$228/$CH$151,HLOOKUP(INDIRECT(ADDRESS(2,COLUMN())),OFFSET($CL$2,0,0,ROW()-1,84),ROW()-1,FALSE))</f>
        <v>23.214446429999999</v>
      </c>
      <c r="CI91">
        <f ca="1">IF(AND($B$252=1,LEN($CI$228) * LEN($CI$151)&gt;0),$CI$228/$CI$151,HLOOKUP(INDIRECT(ADDRESS(2,COLUMN())),OFFSET($CL$2,0,0,ROW()-1,84),ROW()-1,FALSE))</f>
        <v>21.71983972</v>
      </c>
      <c r="CJ91">
        <f ca="1">IF(AND($B$252=1,LEN($CJ$228) * LEN($CJ$151)&gt;0),$CJ$228/$CJ$151,HLOOKUP(INDIRECT(ADDRESS(2,COLUMN())),OFFSET($CL$2,0,0,ROW()-1,84),ROW()-1,FALSE))</f>
        <v>23.21059743</v>
      </c>
      <c r="CK91">
        <f ca="1">IF(AND($B$252=1,LEN($CK$228) * LEN($CK$151)&gt;0),$CK$228/$CK$151,HLOOKUP(INDIRECT(ADDRESS(2,COLUMN())),OFFSET($CL$2,0,0,ROW()-1,84),ROW()-1,FALSE))</f>
        <v>23.60901501</v>
      </c>
      <c r="CL91">
        <f>19.51248617</f>
        <v>19.512486169999999</v>
      </c>
      <c r="CM91">
        <f>18.63668389</f>
        <v>18.63668389</v>
      </c>
      <c r="CN91">
        <f>20.13990425</f>
        <v>20.139904250000001</v>
      </c>
      <c r="CO91">
        <f>21.4</f>
        <v>21.4</v>
      </c>
      <c r="CP91">
        <f>21.94810804</f>
        <v>21.948108040000001</v>
      </c>
      <c r="CQ91">
        <f>21.718548</f>
        <v>21.718547999999998</v>
      </c>
      <c r="CR91">
        <f>21.3982276</f>
        <v>21.398227599999998</v>
      </c>
      <c r="CS91">
        <f>21.8444922</f>
        <v>21.844492200000001</v>
      </c>
      <c r="CT91">
        <f>22.34365444</f>
        <v>22.343654440000002</v>
      </c>
      <c r="CU91">
        <f>22.30042918</f>
        <v>22.300429179999998</v>
      </c>
      <c r="CV91">
        <f>22.20431768</f>
        <v>22.204317679999999</v>
      </c>
      <c r="CW91">
        <f>21.93220751</f>
        <v>21.932207510000001</v>
      </c>
      <c r="CX91">
        <f>21.56407969</f>
        <v>21.56407969</v>
      </c>
      <c r="CY91">
        <f>21.71959703</f>
        <v>21.719597029999999</v>
      </c>
      <c r="CZ91">
        <f>20.34840901</f>
        <v>20.348409010000001</v>
      </c>
      <c r="DA91">
        <f>21.33333333</f>
        <v>21.333333329999999</v>
      </c>
      <c r="DB91">
        <f>20.01171073</f>
        <v>20.011710730000001</v>
      </c>
      <c r="DC91">
        <f>20.80270977</f>
        <v>20.80270977</v>
      </c>
      <c r="DD91">
        <f>21.31477643</f>
        <v>21.314776429999998</v>
      </c>
      <c r="DE91">
        <f>21.48031298</f>
        <v>21.480312980000001</v>
      </c>
      <c r="DF91">
        <f>22.18712753</f>
        <v>22.187127530000001</v>
      </c>
      <c r="DG91">
        <f>22.15699419</f>
        <v>22.156994189999999</v>
      </c>
      <c r="DH91">
        <f>21.6742012</f>
        <v>21.674201199999999</v>
      </c>
      <c r="DI91">
        <f>21.15279075</f>
        <v>21.152790750000001</v>
      </c>
      <c r="DJ91">
        <f>23.34967548</f>
        <v>23.349675479999998</v>
      </c>
      <c r="DK91">
        <f>20.9248631</f>
        <v>20.9248631</v>
      </c>
      <c r="DL91">
        <f>21.64639079</f>
        <v>21.646390790000002</v>
      </c>
      <c r="DM91">
        <f>22.99265606</f>
        <v>22.992656060000002</v>
      </c>
      <c r="DN91">
        <f>22.75794755</f>
        <v>22.757947550000001</v>
      </c>
      <c r="DO91">
        <f>21.53480815</f>
        <v>21.53480815</v>
      </c>
      <c r="DP91">
        <f>21.77775448</f>
        <v>21.777754479999999</v>
      </c>
      <c r="DQ91">
        <f>20.51220826</f>
        <v>20.512208260000001</v>
      </c>
      <c r="DR91">
        <f>21.77643122</f>
        <v>21.776431219999999</v>
      </c>
      <c r="DS91">
        <f>20.93401113</f>
        <v>20.934011129999998</v>
      </c>
      <c r="DT91">
        <f>21.53920652</f>
        <v>21.53920652</v>
      </c>
      <c r="DU91">
        <f>21.95500731</f>
        <v>21.955007309999999</v>
      </c>
      <c r="DV91">
        <f>23.18066203</f>
        <v>23.180662030000001</v>
      </c>
      <c r="DW91">
        <f>21.89124152</f>
        <v>21.891241520000001</v>
      </c>
      <c r="DX91">
        <f>22.4837895</f>
        <v>22.4837895</v>
      </c>
      <c r="DY91">
        <f>20.71236559</f>
        <v>20.712365590000001</v>
      </c>
      <c r="DZ91">
        <f>21.02160349</f>
        <v>21.02160349</v>
      </c>
      <c r="EA91">
        <f>21.10121393</f>
        <v>21.10121393</v>
      </c>
      <c r="EB91">
        <f>19.22126034</f>
        <v>19.221260340000001</v>
      </c>
      <c r="EC91">
        <f>21.46507764</f>
        <v>21.465077640000001</v>
      </c>
      <c r="ED91">
        <f>21.01760477</f>
        <v>21.017604769999998</v>
      </c>
      <c r="EE91">
        <f>21.05805123</f>
        <v>21.05805123</v>
      </c>
      <c r="EF91">
        <f>20.32698977</f>
        <v>20.326989770000001</v>
      </c>
      <c r="EG91">
        <f>19.13708472</f>
        <v>19.137084720000001</v>
      </c>
      <c r="EH91">
        <f>19.0976702</f>
        <v>19.0976702</v>
      </c>
      <c r="EI91">
        <f>19.29331596</f>
        <v>19.293315960000001</v>
      </c>
      <c r="EJ91">
        <f>18.31960868</f>
        <v>18.319608680000002</v>
      </c>
      <c r="EK91">
        <f>17.74316109</f>
        <v>17.743161090000001</v>
      </c>
      <c r="EL91">
        <f>17.81881474</f>
        <v>17.818814740000001</v>
      </c>
      <c r="EM91">
        <f>18.98295436</f>
        <v>18.982954360000001</v>
      </c>
      <c r="EN91">
        <f>18.32914032</f>
        <v>18.32914032</v>
      </c>
      <c r="EO91">
        <f>17.59488307</f>
        <v>17.594883070000002</v>
      </c>
      <c r="EP91">
        <f>19.67521748</f>
        <v>19.675217480000001</v>
      </c>
      <c r="EQ91">
        <f>20.41864224</f>
        <v>20.41864224</v>
      </c>
      <c r="ER91">
        <f>19.72787353</f>
        <v>19.72787353</v>
      </c>
      <c r="ES91">
        <f>20.09856309</f>
        <v>20.098563089999999</v>
      </c>
      <c r="ET91">
        <f>19.7188334</f>
        <v>19.718833400000001</v>
      </c>
      <c r="EU91">
        <f>19.42765762</f>
        <v>19.427657620000002</v>
      </c>
      <c r="EV91">
        <f>19.00573513</f>
        <v>19.005735130000001</v>
      </c>
      <c r="EW91">
        <f>19.00879297</f>
        <v>19.008792969999998</v>
      </c>
      <c r="EX91">
        <f>18.10264459</f>
        <v>18.102644590000001</v>
      </c>
      <c r="EY91">
        <f>19.16533278</f>
        <v>19.16533278</v>
      </c>
      <c r="EZ91">
        <f>19.97807402</f>
        <v>19.978074020000001</v>
      </c>
      <c r="FA91">
        <f>20.45210077</f>
        <v>20.452100770000001</v>
      </c>
      <c r="FB91">
        <f>21.74925827</f>
        <v>21.749258269999999</v>
      </c>
      <c r="FC91">
        <f>21.21263367</f>
        <v>21.212633669999999</v>
      </c>
      <c r="FD91">
        <f>21.18878058</f>
        <v>21.18878058</v>
      </c>
      <c r="FE91">
        <f>21.53031211</f>
        <v>21.530312110000001</v>
      </c>
      <c r="FF91">
        <f>21.49153333</f>
        <v>21.491533329999999</v>
      </c>
      <c r="FG91">
        <f>20.21377154</f>
        <v>20.21377154</v>
      </c>
      <c r="FH91">
        <f>20.68293427</f>
        <v>20.682934270000001</v>
      </c>
      <c r="FI91">
        <f>20.03192338</f>
        <v>20.031923379999999</v>
      </c>
      <c r="FJ91">
        <f>18.98503575</f>
        <v>18.985035750000002</v>
      </c>
      <c r="FK91">
        <f>20.5811088</f>
        <v>20.581108799999999</v>
      </c>
      <c r="FL91">
        <f>18.64028626</f>
        <v>18.64028626</v>
      </c>
      <c r="FM91">
        <f>22.72180127</f>
        <v>22.72180127</v>
      </c>
      <c r="FN91">
        <f>23.21444643</f>
        <v>23.214446429999999</v>
      </c>
      <c r="FO91">
        <f>21.71983972</f>
        <v>21.71983972</v>
      </c>
      <c r="FP91">
        <f>23.21059743</f>
        <v>23.21059743</v>
      </c>
      <c r="FQ91">
        <f>23.60901501</f>
        <v>23.60901501</v>
      </c>
    </row>
    <row r="92" spans="1:173">
      <c r="A92" t="str">
        <f>"2017年预测P/FAD"</f>
        <v>2017年预测P/FAD</v>
      </c>
      <c r="B92" t="str">
        <f>"BRFREITV Index"</f>
        <v>BRFREITV Index</v>
      </c>
      <c r="E92" t="str">
        <f>"Median"</f>
        <v>Median</v>
      </c>
      <c r="F92" t="str">
        <f ca="1">IF(ISERROR(IF(MEDIAN($F$93:$F$100) = 0, "", MEDIAN($F$93:$F$100))), "", (IF(MEDIAN($F$93:$F$100) = 0, "", MEDIAN($F$93:$F$100))))</f>
        <v/>
      </c>
      <c r="G92" t="str">
        <f ca="1">IF(ISERROR(IF(MEDIAN($G$93:$G$100) = 0, "", MEDIAN($G$93:$G$100))), "", (IF(MEDIAN($G$93:$G$100) = 0, "", MEDIAN($G$93:$G$100))))</f>
        <v/>
      </c>
      <c r="H92">
        <f ca="1">IF(ISERROR(IF(MEDIAN($H$93:$H$100) = 0, "", MEDIAN($H$93:$H$100))), "", (IF(MEDIAN($H$93:$H$100) = 0, "", MEDIAN($H$93:$H$100))))</f>
        <v>21.53891509</v>
      </c>
      <c r="I92">
        <f ca="1">IF(ISERROR(IF(MEDIAN($I$93:$I$100) = 0, "", MEDIAN($I$93:$I$100))), "", (IF(MEDIAN($I$93:$I$100) = 0, "", MEDIAN($I$93:$I$100))))</f>
        <v>22.552693210000001</v>
      </c>
      <c r="J92">
        <f ca="1">IF(ISERROR(IF(MEDIAN($J$93:$J$100) = 0, "", MEDIAN($J$93:$J$100))), "", (IF(MEDIAN($J$93:$J$100) = 0, "", MEDIAN($J$93:$J$100))))</f>
        <v>23.135294120000001</v>
      </c>
      <c r="K92">
        <f ca="1">IF(ISERROR(IF(MEDIAN($K$93:$K$100) = 0, "", MEDIAN($K$93:$K$100))), "", (IF(MEDIAN($K$93:$K$100) = 0, "", MEDIAN($K$93:$K$100))))</f>
        <v>22.817647059999999</v>
      </c>
      <c r="L92">
        <f ca="1">IF(ISERROR(IF(MEDIAN($L$93:$L$100) = 0, "", MEDIAN($L$93:$L$100))), "", (IF(MEDIAN($L$93:$L$100) = 0, "", MEDIAN($L$93:$L$100))))</f>
        <v>22.935062854999998</v>
      </c>
      <c r="M92">
        <f ca="1">IF(ISERROR(IF(MEDIAN($M$93:$M$100) = 0, "", MEDIAN($M$93:$M$100))), "", (IF(MEDIAN($M$93:$M$100) = 0, "", MEDIAN($M$93:$M$100))))</f>
        <v>22.950390640000002</v>
      </c>
      <c r="N92">
        <f ca="1">IF(ISERROR(IF(MEDIAN($N$93:$N$100) = 0, "", MEDIAN($N$93:$N$100))), "", (IF(MEDIAN($N$93:$N$100) = 0, "", MEDIAN($N$93:$N$100))))</f>
        <v>23.359705959999999</v>
      </c>
      <c r="O92">
        <f ca="1">IF(ISERROR(IF(MEDIAN($O$93:$O$100) = 0, "", MEDIAN($O$93:$O$100))), "", (IF(MEDIAN($O$93:$O$100) = 0, "", MEDIAN($O$93:$O$100))))</f>
        <v>23.317056520000001</v>
      </c>
      <c r="P92">
        <f ca="1">IF(ISERROR(IF(MEDIAN($P$93:$P$100) = 0, "", MEDIAN($P$93:$P$100))), "", (IF(MEDIAN($P$93:$P$100) = 0, "", MEDIAN($P$93:$P$100))))</f>
        <v>23.127656985000002</v>
      </c>
      <c r="Q92">
        <f ca="1">IF(ISERROR(IF(MEDIAN($Q$93:$Q$100) = 0, "", MEDIAN($Q$93:$Q$100))), "", (IF(MEDIAN($Q$93:$Q$100) = 0, "", MEDIAN($Q$93:$Q$100))))</f>
        <v>22.572637350000001</v>
      </c>
      <c r="R92">
        <f ca="1">IF(ISERROR(IF(MEDIAN($R$93:$R$100) = 0, "", MEDIAN($R$93:$R$100))), "", (IF(MEDIAN($R$93:$R$100) = 0, "", MEDIAN($R$93:$R$100))))</f>
        <v>21.799997755</v>
      </c>
      <c r="S92">
        <f ca="1">IF(ISERROR(IF(MEDIAN($S$93:$S$100) = 0, "", MEDIAN($S$93:$S$100))), "", (IF(MEDIAN($S$93:$S$100) = 0, "", MEDIAN($S$93:$S$100))))</f>
        <v>22.327977969999999</v>
      </c>
      <c r="T92">
        <f ca="1">IF(ISERROR(IF(MEDIAN($T$93:$T$100) = 0, "", MEDIAN($T$93:$T$100))), "", (IF(MEDIAN($T$93:$T$100) = 0, "", MEDIAN($T$93:$T$100))))</f>
        <v>20.953430969999999</v>
      </c>
      <c r="U92">
        <f ca="1">IF(ISERROR(IF(MEDIAN($U$93:$U$100) = 0, "", MEDIAN($U$93:$U$100))), "", (IF(MEDIAN($U$93:$U$100) = 0, "", MEDIAN($U$93:$U$100))))</f>
        <v>21.433929105000001</v>
      </c>
      <c r="V92">
        <f ca="1">IF(ISERROR(IF(MEDIAN($V$93:$V$100) = 0, "", MEDIAN($V$93:$V$100))), "", (IF(MEDIAN($V$93:$V$100) = 0, "", MEDIAN($V$93:$V$100))))</f>
        <v>19.98532179</v>
      </c>
      <c r="W92">
        <f ca="1">IF(ISERROR(IF(MEDIAN($W$93:$W$100) = 0, "", MEDIAN($W$93:$W$100))), "", (IF(MEDIAN($W$93:$W$100) = 0, "", MEDIAN($W$93:$W$100))))</f>
        <v>20.778369885</v>
      </c>
      <c r="X92">
        <f ca="1">IF(ISERROR(IF(MEDIAN($X$93:$X$100) = 0, "", MEDIAN($X$93:$X$100))), "", (IF(MEDIAN($X$93:$X$100) = 0, "", MEDIAN($X$93:$X$100))))</f>
        <v>21.375335880000002</v>
      </c>
      <c r="Y92">
        <f ca="1">IF(ISERROR(IF(MEDIAN($Y$93:$Y$100) = 0, "", MEDIAN($Y$93:$Y$100))), "", (IF(MEDIAN($Y$93:$Y$100) = 0, "", MEDIAN($Y$93:$Y$100))))</f>
        <v>21.118668075000002</v>
      </c>
      <c r="Z92">
        <f ca="1">IF(ISERROR(IF(MEDIAN($Z$93:$Z$100) = 0, "", MEDIAN($Z$93:$Z$100))), "", (IF(MEDIAN($Z$93:$Z$100) = 0, "", MEDIAN($Z$93:$Z$100))))</f>
        <v>21.898982799999999</v>
      </c>
      <c r="AA92">
        <f ca="1">IF(ISERROR(IF(MEDIAN($AA$93:$AA$100) = 0, "", MEDIAN($AA$93:$AA$100))), "", (IF(MEDIAN($AA$93:$AA$100) = 0, "", MEDIAN($AA$93:$AA$100))))</f>
        <v>21.248853969999999</v>
      </c>
      <c r="AB92">
        <f ca="1">IF(ISERROR(IF(MEDIAN($AB$93:$AB$100) = 0, "", MEDIAN($AB$93:$AB$100))), "", (IF(MEDIAN($AB$93:$AB$100) = 0, "", MEDIAN($AB$93:$AB$100))))</f>
        <v>21.162503059999999</v>
      </c>
      <c r="AC92">
        <f ca="1">IF(ISERROR(IF(MEDIAN($AC$93:$AC$100) = 0, "", MEDIAN($AC$93:$AC$100))), "", (IF(MEDIAN($AC$93:$AC$100) = 0, "", MEDIAN($AC$93:$AC$100))))</f>
        <v>20.103626940000002</v>
      </c>
      <c r="AD92">
        <f ca="1">IF(ISERROR(IF(MEDIAN($AD$93:$AD$100) = 0, "", MEDIAN($AD$93:$AD$100))), "", (IF(MEDIAN($AD$93:$AD$100) = 0, "", MEDIAN($AD$93:$AD$100))))</f>
        <v>21.390286289999999</v>
      </c>
      <c r="AE92">
        <f ca="1">IF(ISERROR(IF(MEDIAN($AE$93:$AE$100) = 0, "", MEDIAN($AE$93:$AE$100))), "", (IF(MEDIAN($AE$93:$AE$100) = 0, "", MEDIAN($AE$93:$AE$100))))</f>
        <v>18.179383675</v>
      </c>
      <c r="AF92">
        <f ca="1">IF(ISERROR(IF(MEDIAN($AF$93:$AF$100) = 0, "", MEDIAN($AF$93:$AF$100))), "", (IF(MEDIAN($AF$93:$AF$100) = 0, "", MEDIAN($AF$93:$AF$100))))</f>
        <v>18.676604879999999</v>
      </c>
      <c r="AG92">
        <f ca="1">IF(ISERROR(IF(MEDIAN($AG$93:$AG$100) = 0, "", MEDIAN($AG$93:$AG$100))), "", (IF(MEDIAN($AG$93:$AG$100) = 0, "", MEDIAN($AG$93:$AG$100))))</f>
        <v>19.74718305</v>
      </c>
      <c r="AH92">
        <f ca="1">IF(ISERROR(IF(MEDIAN($AH$93:$AH$100) = 0, "", MEDIAN($AH$93:$AH$100))), "", (IF(MEDIAN($AH$93:$AH$100) = 0, "", MEDIAN($AH$93:$AH$100))))</f>
        <v>20.759280090000001</v>
      </c>
      <c r="AI92">
        <f ca="1">IF(ISERROR(IF(MEDIAN($AI$93:$AI$100) = 0, "", MEDIAN($AI$93:$AI$100))), "", (IF(MEDIAN($AI$93:$AI$100) = 0, "", MEDIAN($AI$93:$AI$100))))</f>
        <v>19.804597699999999</v>
      </c>
      <c r="AJ92">
        <f ca="1">IF(ISERROR(IF(MEDIAN($AJ$93:$AJ$100) = 0, "", MEDIAN($AJ$93:$AJ$100))), "", (IF(MEDIAN($AJ$93:$AJ$100) = 0, "", MEDIAN($AJ$93:$AJ$100))))</f>
        <v>20.282352939999999</v>
      </c>
      <c r="AK92">
        <f ca="1">IF(ISERROR(IF(MEDIAN($AK$93:$AK$100) = 0, "", MEDIAN($AK$93:$AK$100))), "", (IF(MEDIAN($AK$93:$AK$100) = 0, "", MEDIAN($AK$93:$AK$100))))</f>
        <v>19.662526079999999</v>
      </c>
      <c r="AL92">
        <f ca="1">IF(ISERROR(IF(MEDIAN($AL$93:$AL$100) = 0, "", MEDIAN($AL$93:$AL$100))), "", (IF(MEDIAN($AL$93:$AL$100) = 0, "", MEDIAN($AL$93:$AL$100))))</f>
        <v>20.342699844999999</v>
      </c>
      <c r="AM92">
        <f ca="1">IF(ISERROR(IF(MEDIAN($AM$93:$AM$100) = 0, "", MEDIAN($AM$93:$AM$100))), "", (IF(MEDIAN($AM$93:$AM$100) = 0, "", MEDIAN($AM$93:$AM$100))))</f>
        <v>16.25740278</v>
      </c>
      <c r="AN92">
        <f ca="1">IF(ISERROR(IF(MEDIAN($AN$93:$AN$100) = 0, "", MEDIAN($AN$93:$AN$100))), "", (IF(MEDIAN($AN$93:$AN$100) = 0, "", MEDIAN($AN$93:$AN$100))))</f>
        <v>19.67371601</v>
      </c>
      <c r="AO92">
        <f ca="1">IF(ISERROR(IF(MEDIAN($AO$93:$AO$100) = 0, "", MEDIAN($AO$93:$AO$100))), "", (IF(MEDIAN($AO$93:$AO$100) = 0, "", MEDIAN($AO$93:$AO$100))))</f>
        <v>20.630871355</v>
      </c>
      <c r="AP92">
        <f ca="1">IF(ISERROR(IF(MEDIAN($AP$93:$AP$100) = 0, "", MEDIAN($AP$93:$AP$100))), "", (IF(MEDIAN($AP$93:$AP$100) = 0, "", MEDIAN($AP$93:$AP$100))))</f>
        <v>22.89840637</v>
      </c>
      <c r="AQ92">
        <f ca="1">IF(ISERROR(IF(MEDIAN($AQ$93:$AQ$100) = 0, "", MEDIAN($AQ$93:$AQ$100))), "", (IF(MEDIAN($AQ$93:$AQ$100) = 0, "", MEDIAN($AQ$93:$AQ$100))))</f>
        <v>22.422379029999998</v>
      </c>
      <c r="AR92">
        <f ca="1">IF(ISERROR(IF(MEDIAN($AR$93:$AR$100) = 0, "", MEDIAN($AR$93:$AR$100))), "", (IF(MEDIAN($AR$93:$AR$100) = 0, "", MEDIAN($AR$93:$AR$100))))</f>
        <v>20.00874331</v>
      </c>
      <c r="AS92" t="str">
        <f ca="1">IF(ISERROR(IF(MEDIAN($AS$93:$AS$100) = 0, "", MEDIAN($AS$93:$AS$100))), "", (IF(MEDIAN($AS$93:$AS$100) = 0, "", MEDIAN($AS$93:$AS$100))))</f>
        <v/>
      </c>
      <c r="AT92" t="str">
        <f ca="1">IF(ISERROR(IF(MEDIAN($AT$93:$AT$100) = 0, "", MEDIAN($AT$93:$AT$100))), "", (IF(MEDIAN($AT$93:$AT$100) = 0, "", MEDIAN($AT$93:$AT$100))))</f>
        <v/>
      </c>
      <c r="AU92" t="str">
        <f ca="1">IF(ISERROR(IF(MEDIAN($AU$93:$AU$100) = 0, "", MEDIAN($AU$93:$AU$100))), "", (IF(MEDIAN($AU$93:$AU$100) = 0, "", MEDIAN($AU$93:$AU$100))))</f>
        <v/>
      </c>
      <c r="AV92" t="str">
        <f ca="1">IF(ISERROR(IF(MEDIAN($AV$93:$AV$100) = 0, "", MEDIAN($AV$93:$AV$100))), "", (IF(MEDIAN($AV$93:$AV$100) = 0, "", MEDIAN($AV$93:$AV$100))))</f>
        <v/>
      </c>
      <c r="AW92" t="str">
        <f ca="1">IF(ISERROR(IF(MEDIAN($AW$93:$AW$100) = 0, "", MEDIAN($AW$93:$AW$100))), "", (IF(MEDIAN($AW$93:$AW$100) = 0, "", MEDIAN($AW$93:$AW$100))))</f>
        <v/>
      </c>
      <c r="AX92" t="str">
        <f ca="1">IF(ISERROR(IF(MEDIAN($AX$93:$AX$100) = 0, "", MEDIAN($AX$93:$AX$100))), "", (IF(MEDIAN($AX$93:$AX$100) = 0, "", MEDIAN($AX$93:$AX$100))))</f>
        <v/>
      </c>
      <c r="AY92" t="str">
        <f ca="1">IF(ISERROR(IF(MEDIAN($AY$93:$AY$100) = 0, "", MEDIAN($AY$93:$AY$100))), "", (IF(MEDIAN($AY$93:$AY$100) = 0, "", MEDIAN($AY$93:$AY$100))))</f>
        <v/>
      </c>
      <c r="AZ92" t="str">
        <f ca="1">IF(ISERROR(IF(MEDIAN($AZ$93:$AZ$100) = 0, "", MEDIAN($AZ$93:$AZ$100))), "", (IF(MEDIAN($AZ$93:$AZ$100) = 0, "", MEDIAN($AZ$93:$AZ$100))))</f>
        <v/>
      </c>
      <c r="BA92" t="str">
        <f ca="1">IF(ISERROR(IF(MEDIAN($BA$93:$BA$100) = 0, "", MEDIAN($BA$93:$BA$100))), "", (IF(MEDIAN($BA$93:$BA$100) = 0, "", MEDIAN($BA$93:$BA$100))))</f>
        <v/>
      </c>
      <c r="BB92" t="str">
        <f ca="1">IF(ISERROR(IF(MEDIAN($BB$93:$BB$100) = 0, "", MEDIAN($BB$93:$BB$100))), "", (IF(MEDIAN($BB$93:$BB$100) = 0, "", MEDIAN($BB$93:$BB$100))))</f>
        <v/>
      </c>
      <c r="BC92" t="str">
        <f ca="1">IF(ISERROR(IF(MEDIAN($BC$93:$BC$100) = 0, "", MEDIAN($BC$93:$BC$100))), "", (IF(MEDIAN($BC$93:$BC$100) = 0, "", MEDIAN($BC$93:$BC$100))))</f>
        <v/>
      </c>
      <c r="BD92" t="str">
        <f ca="1">IF(ISERROR(IF(MEDIAN($BD$93:$BD$100) = 0, "", MEDIAN($BD$93:$BD$100))), "", (IF(MEDIAN($BD$93:$BD$100) = 0, "", MEDIAN($BD$93:$BD$100))))</f>
        <v/>
      </c>
      <c r="BE92" t="str">
        <f ca="1">IF(ISERROR(IF(MEDIAN($BE$93:$BE$100) = 0, "", MEDIAN($BE$93:$BE$100))), "", (IF(MEDIAN($BE$93:$BE$100) = 0, "", MEDIAN($BE$93:$BE$100))))</f>
        <v/>
      </c>
      <c r="BF92" t="str">
        <f ca="1">IF(ISERROR(IF(MEDIAN($BF$93:$BF$100) = 0, "", MEDIAN($BF$93:$BF$100))), "", (IF(MEDIAN($BF$93:$BF$100) = 0, "", MEDIAN($BF$93:$BF$100))))</f>
        <v/>
      </c>
      <c r="BG92" t="str">
        <f ca="1">IF(ISERROR(IF(MEDIAN($BG$93:$BG$100) = 0, "", MEDIAN($BG$93:$BG$100))), "", (IF(MEDIAN($BG$93:$BG$100) = 0, "", MEDIAN($BG$93:$BG$100))))</f>
        <v/>
      </c>
      <c r="BH92" t="str">
        <f ca="1">IF(ISERROR(IF(MEDIAN($BH$93:$BH$100) = 0, "", MEDIAN($BH$93:$BH$100))), "", (IF(MEDIAN($BH$93:$BH$100) = 0, "", MEDIAN($BH$93:$BH$100))))</f>
        <v/>
      </c>
      <c r="BI92" t="str">
        <f ca="1">IF(ISERROR(IF(MEDIAN($BI$93:$BI$100) = 0, "", MEDIAN($BI$93:$BI$100))), "", (IF(MEDIAN($BI$93:$BI$100) = 0, "", MEDIAN($BI$93:$BI$100))))</f>
        <v/>
      </c>
      <c r="BJ92" t="str">
        <f ca="1">IF(ISERROR(IF(MEDIAN($BJ$93:$BJ$100) = 0, "", MEDIAN($BJ$93:$BJ$100))), "", (IF(MEDIAN($BJ$93:$BJ$100) = 0, "", MEDIAN($BJ$93:$BJ$100))))</f>
        <v/>
      </c>
      <c r="BK92" t="str">
        <f ca="1">IF(ISERROR(IF(MEDIAN($BK$93:$BK$100) = 0, "", MEDIAN($BK$93:$BK$100))), "", (IF(MEDIAN($BK$93:$BK$100) = 0, "", MEDIAN($BK$93:$BK$100))))</f>
        <v/>
      </c>
      <c r="BL92" t="str">
        <f ca="1">IF(ISERROR(IF(MEDIAN($BL$93:$BL$100) = 0, "", MEDIAN($BL$93:$BL$100))), "", (IF(MEDIAN($BL$93:$BL$100) = 0, "", MEDIAN($BL$93:$BL$100))))</f>
        <v/>
      </c>
      <c r="BM92" t="str">
        <f ca="1">IF(ISERROR(IF(MEDIAN($BM$93:$BM$100) = 0, "", MEDIAN($BM$93:$BM$100))), "", (IF(MEDIAN($BM$93:$BM$100) = 0, "", MEDIAN($BM$93:$BM$100))))</f>
        <v/>
      </c>
      <c r="BN92" t="str">
        <f ca="1">IF(ISERROR(IF(MEDIAN($BN$93:$BN$100) = 0, "", MEDIAN($BN$93:$BN$100))), "", (IF(MEDIAN($BN$93:$BN$100) = 0, "", MEDIAN($BN$93:$BN$100))))</f>
        <v/>
      </c>
      <c r="BO92" t="str">
        <f ca="1">IF(ISERROR(IF(MEDIAN($BO$93:$BO$100) = 0, "", MEDIAN($BO$93:$BO$100))), "", (IF(MEDIAN($BO$93:$BO$100) = 0, "", MEDIAN($BO$93:$BO$100))))</f>
        <v/>
      </c>
      <c r="BP92" t="str">
        <f ca="1">IF(ISERROR(IF(MEDIAN($BP$93:$BP$100) = 0, "", MEDIAN($BP$93:$BP$100))), "", (IF(MEDIAN($BP$93:$BP$100) = 0, "", MEDIAN($BP$93:$BP$100))))</f>
        <v/>
      </c>
      <c r="BQ92" t="str">
        <f ca="1">IF(ISERROR(IF(MEDIAN($BQ$93:$BQ$100) = 0, "", MEDIAN($BQ$93:$BQ$100))), "", (IF(MEDIAN($BQ$93:$BQ$100) = 0, "", MEDIAN($BQ$93:$BQ$100))))</f>
        <v/>
      </c>
      <c r="BR92" t="str">
        <f ca="1">IF(ISERROR(IF(MEDIAN($BR$93:$BR$100) = 0, "", MEDIAN($BR$93:$BR$100))), "", (IF(MEDIAN($BR$93:$BR$100) = 0, "", MEDIAN($BR$93:$BR$100))))</f>
        <v/>
      </c>
      <c r="BS92" t="str">
        <f ca="1">IF(ISERROR(IF(MEDIAN($BS$93:$BS$100) = 0, "", MEDIAN($BS$93:$BS$100))), "", (IF(MEDIAN($BS$93:$BS$100) = 0, "", MEDIAN($BS$93:$BS$100))))</f>
        <v/>
      </c>
      <c r="BT92" t="str">
        <f ca="1">IF(ISERROR(IF(MEDIAN($BT$93:$BT$100) = 0, "", MEDIAN($BT$93:$BT$100))), "", (IF(MEDIAN($BT$93:$BT$100) = 0, "", MEDIAN($BT$93:$BT$100))))</f>
        <v/>
      </c>
      <c r="BU92" t="str">
        <f ca="1">IF(ISERROR(IF(MEDIAN($BU$93:$BU$100) = 0, "", MEDIAN($BU$93:$BU$100))), "", (IF(MEDIAN($BU$93:$BU$100) = 0, "", MEDIAN($BU$93:$BU$100))))</f>
        <v/>
      </c>
      <c r="BV92" t="str">
        <f ca="1">IF(ISERROR(IF(MEDIAN($BV$93:$BV$100) = 0, "", MEDIAN($BV$93:$BV$100))), "", (IF(MEDIAN($BV$93:$BV$100) = 0, "", MEDIAN($BV$93:$BV$100))))</f>
        <v/>
      </c>
      <c r="BW92" t="str">
        <f ca="1">IF(ISERROR(IF(MEDIAN($BW$93:$BW$100) = 0, "", MEDIAN($BW$93:$BW$100))), "", (IF(MEDIAN($BW$93:$BW$100) = 0, "", MEDIAN($BW$93:$BW$100))))</f>
        <v/>
      </c>
      <c r="BX92" t="str">
        <f ca="1">IF(ISERROR(IF(MEDIAN($BX$93:$BX$100) = 0, "", MEDIAN($BX$93:$BX$100))), "", (IF(MEDIAN($BX$93:$BX$100) = 0, "", MEDIAN($BX$93:$BX$100))))</f>
        <v/>
      </c>
      <c r="BY92" t="str">
        <f ca="1">IF(ISERROR(IF(MEDIAN($BY$93:$BY$100) = 0, "", MEDIAN($BY$93:$BY$100))), "", (IF(MEDIAN($BY$93:$BY$100) = 0, "", MEDIAN($BY$93:$BY$100))))</f>
        <v/>
      </c>
      <c r="BZ92" t="str">
        <f ca="1">IF(ISERROR(IF(MEDIAN($BZ$93:$BZ$100) = 0, "", MEDIAN($BZ$93:$BZ$100))), "", (IF(MEDIAN($BZ$93:$BZ$100) = 0, "", MEDIAN($BZ$93:$BZ$100))))</f>
        <v/>
      </c>
      <c r="CA92" t="str">
        <f ca="1">IF(ISERROR(IF(MEDIAN($CA$93:$CA$100) = 0, "", MEDIAN($CA$93:$CA$100))), "", (IF(MEDIAN($CA$93:$CA$100) = 0, "", MEDIAN($CA$93:$CA$100))))</f>
        <v/>
      </c>
      <c r="CB92" t="str">
        <f ca="1">IF(ISERROR(IF(MEDIAN($CB$93:$CB$100) = 0, "", MEDIAN($CB$93:$CB$100))), "", (IF(MEDIAN($CB$93:$CB$100) = 0, "", MEDIAN($CB$93:$CB$100))))</f>
        <v/>
      </c>
      <c r="CC92" t="str">
        <f ca="1">IF(ISERROR(IF(MEDIAN($CC$93:$CC$100) = 0, "", MEDIAN($CC$93:$CC$100))), "", (IF(MEDIAN($CC$93:$CC$100) = 0, "", MEDIAN($CC$93:$CC$100))))</f>
        <v/>
      </c>
      <c r="CD92" t="str">
        <f ca="1">IF(ISERROR(IF(MEDIAN($CD$93:$CD$100) = 0, "", MEDIAN($CD$93:$CD$100))), "", (IF(MEDIAN($CD$93:$CD$100) = 0, "", MEDIAN($CD$93:$CD$100))))</f>
        <v/>
      </c>
      <c r="CE92" t="str">
        <f ca="1">IF(ISERROR(IF(MEDIAN($CE$93:$CE$100) = 0, "", MEDIAN($CE$93:$CE$100))), "", (IF(MEDIAN($CE$93:$CE$100) = 0, "", MEDIAN($CE$93:$CE$100))))</f>
        <v/>
      </c>
      <c r="CF92" t="str">
        <f ca="1">IF(ISERROR(IF(MEDIAN($CF$93:$CF$100) = 0, "", MEDIAN($CF$93:$CF$100))), "", (IF(MEDIAN($CF$93:$CF$100) = 0, "", MEDIAN($CF$93:$CF$100))))</f>
        <v/>
      </c>
      <c r="CG92" t="str">
        <f ca="1">IF(ISERROR(IF(MEDIAN($CG$93:$CG$100) = 0, "", MEDIAN($CG$93:$CG$100))), "", (IF(MEDIAN($CG$93:$CG$100) = 0, "", MEDIAN($CG$93:$CG$100))))</f>
        <v/>
      </c>
      <c r="CH92" t="str">
        <f ca="1">IF(ISERROR(IF(MEDIAN($CH$93:$CH$100) = 0, "", MEDIAN($CH$93:$CH$100))), "", (IF(MEDIAN($CH$93:$CH$100) = 0, "", MEDIAN($CH$93:$CH$100))))</f>
        <v/>
      </c>
      <c r="CI92" t="str">
        <f ca="1">IF(ISERROR(IF(MEDIAN($CI$93:$CI$100) = 0, "", MEDIAN($CI$93:$CI$100))), "", (IF(MEDIAN($CI$93:$CI$100) = 0, "", MEDIAN($CI$93:$CI$100))))</f>
        <v/>
      </c>
      <c r="CJ92" t="str">
        <f ca="1">IF(ISERROR(IF(MEDIAN($CJ$93:$CJ$100) = 0, "", MEDIAN($CJ$93:$CJ$100))), "", (IF(MEDIAN($CJ$93:$CJ$100) = 0, "", MEDIAN($CJ$93:$CJ$100))))</f>
        <v/>
      </c>
      <c r="CK92" t="str">
        <f ca="1">IF(ISERROR(IF(MEDIAN($CK$93:$CK$100) = 0, "", MEDIAN($CK$93:$CK$100))), "", (IF(MEDIAN($CK$93:$CK$100) = 0, "", MEDIAN($CK$93:$CK$100))))</f>
        <v/>
      </c>
      <c r="CL92" t="str">
        <f>""</f>
        <v/>
      </c>
      <c r="CM92" t="str">
        <f>""</f>
        <v/>
      </c>
      <c r="CN92">
        <f>21.53891509</f>
        <v>21.53891509</v>
      </c>
      <c r="CO92">
        <f>22.55269321</f>
        <v>22.552693210000001</v>
      </c>
      <c r="CP92">
        <f>23.13529412</f>
        <v>23.135294120000001</v>
      </c>
      <c r="CQ92">
        <f>22.81764706</f>
        <v>22.817647059999999</v>
      </c>
      <c r="CR92">
        <f>22.93506285</f>
        <v>22.935062850000001</v>
      </c>
      <c r="CS92">
        <f>22.95039064</f>
        <v>22.950390639999998</v>
      </c>
      <c r="CT92">
        <f>23.35970596</f>
        <v>23.359705959999999</v>
      </c>
      <c r="CU92">
        <f>23.31705652</f>
        <v>23.317056520000001</v>
      </c>
      <c r="CV92">
        <f>23.12765699</f>
        <v>23.127656989999998</v>
      </c>
      <c r="CW92">
        <f>22.57263735</f>
        <v>22.572637350000001</v>
      </c>
      <c r="CX92">
        <f>21.79999775</f>
        <v>21.799997749999999</v>
      </c>
      <c r="CY92">
        <f>22.32797797</f>
        <v>22.327977969999999</v>
      </c>
      <c r="CZ92">
        <f>20.95343097</f>
        <v>20.953430969999999</v>
      </c>
      <c r="DA92">
        <f>21.4339291</f>
        <v>21.4339291</v>
      </c>
      <c r="DB92">
        <f>19.98532179</f>
        <v>19.98532179</v>
      </c>
      <c r="DC92">
        <f>20.77836989</f>
        <v>20.77836989</v>
      </c>
      <c r="DD92">
        <f>21.37533588</f>
        <v>21.375335880000002</v>
      </c>
      <c r="DE92">
        <f>21.11866807</f>
        <v>21.118668069999998</v>
      </c>
      <c r="DF92">
        <f>21.8989828</f>
        <v>21.898982799999999</v>
      </c>
      <c r="DG92">
        <f>21.24885397</f>
        <v>21.248853969999999</v>
      </c>
      <c r="DH92">
        <f>21.16250306</f>
        <v>21.162503059999999</v>
      </c>
      <c r="DI92">
        <f>20.10362694</f>
        <v>20.103626940000002</v>
      </c>
      <c r="DJ92">
        <f>21.39028629</f>
        <v>21.390286289999999</v>
      </c>
      <c r="DK92">
        <f>18.17938367</f>
        <v>18.17938367</v>
      </c>
      <c r="DL92">
        <f>18.67660488</f>
        <v>18.676604879999999</v>
      </c>
      <c r="DM92">
        <f>19.74718305</f>
        <v>19.74718305</v>
      </c>
      <c r="DN92">
        <f>20.75928009</f>
        <v>20.759280090000001</v>
      </c>
      <c r="DO92">
        <f>19.8045977</f>
        <v>19.804597699999999</v>
      </c>
      <c r="DP92">
        <f>20.28235294</f>
        <v>20.282352939999999</v>
      </c>
      <c r="DQ92">
        <f>19.66252608</f>
        <v>19.662526079999999</v>
      </c>
      <c r="DR92">
        <f>20.34269985</f>
        <v>20.342699849999999</v>
      </c>
      <c r="DS92">
        <f>16.25740278</f>
        <v>16.25740278</v>
      </c>
      <c r="DT92">
        <f>19.67371601</f>
        <v>19.67371601</v>
      </c>
      <c r="DU92">
        <f>20.63087135</f>
        <v>20.63087135</v>
      </c>
      <c r="DV92">
        <f>22.89840637</f>
        <v>22.89840637</v>
      </c>
      <c r="DW92">
        <f>22.42237903</f>
        <v>22.422379029999998</v>
      </c>
      <c r="DX92">
        <f>20.00874331</f>
        <v>20.00874331</v>
      </c>
      <c r="DY92" t="str">
        <f>""</f>
        <v/>
      </c>
      <c r="DZ92" t="str">
        <f>""</f>
        <v/>
      </c>
      <c r="EA92" t="str">
        <f>""</f>
        <v/>
      </c>
      <c r="EB92" t="str">
        <f>""</f>
        <v/>
      </c>
      <c r="EC92" t="str">
        <f>""</f>
        <v/>
      </c>
      <c r="ED92" t="str">
        <f>""</f>
        <v/>
      </c>
      <c r="EE92" t="str">
        <f>""</f>
        <v/>
      </c>
      <c r="EF92" t="str">
        <f>""</f>
        <v/>
      </c>
      <c r="EG92" t="str">
        <f>""</f>
        <v/>
      </c>
      <c r="EH92" t="str">
        <f>""</f>
        <v/>
      </c>
      <c r="EI92" t="str">
        <f>""</f>
        <v/>
      </c>
      <c r="EJ92" t="str">
        <f>""</f>
        <v/>
      </c>
      <c r="EK92" t="str">
        <f>""</f>
        <v/>
      </c>
      <c r="EL92" t="str">
        <f>""</f>
        <v/>
      </c>
      <c r="EM92" t="str">
        <f>""</f>
        <v/>
      </c>
      <c r="EN92" t="str">
        <f>""</f>
        <v/>
      </c>
      <c r="EO92" t="str">
        <f>""</f>
        <v/>
      </c>
      <c r="EP92" t="str">
        <f>""</f>
        <v/>
      </c>
      <c r="EQ92" t="str">
        <f>""</f>
        <v/>
      </c>
      <c r="ER92" t="str">
        <f>""</f>
        <v/>
      </c>
      <c r="ES92" t="str">
        <f>""</f>
        <v/>
      </c>
      <c r="ET92" t="str">
        <f>""</f>
        <v/>
      </c>
      <c r="EU92" t="str">
        <f>""</f>
        <v/>
      </c>
      <c r="EV92" t="str">
        <f>""</f>
        <v/>
      </c>
      <c r="EW92" t="str">
        <f>""</f>
        <v/>
      </c>
      <c r="EX92" t="str">
        <f>""</f>
        <v/>
      </c>
      <c r="EY92" t="str">
        <f>""</f>
        <v/>
      </c>
      <c r="EZ92" t="str">
        <f>""</f>
        <v/>
      </c>
      <c r="FA92" t="str">
        <f>""</f>
        <v/>
      </c>
      <c r="FB92" t="str">
        <f>""</f>
        <v/>
      </c>
      <c r="FC92" t="str">
        <f>""</f>
        <v/>
      </c>
      <c r="FD92" t="str">
        <f>""</f>
        <v/>
      </c>
      <c r="FE92" t="str">
        <f>""</f>
        <v/>
      </c>
      <c r="FF92" t="str">
        <f>""</f>
        <v/>
      </c>
      <c r="FG92" t="str">
        <f>""</f>
        <v/>
      </c>
      <c r="FH92" t="str">
        <f>""</f>
        <v/>
      </c>
      <c r="FI92" t="str">
        <f>""</f>
        <v/>
      </c>
      <c r="FJ92" t="str">
        <f>""</f>
        <v/>
      </c>
      <c r="FK92" t="str">
        <f>""</f>
        <v/>
      </c>
      <c r="FL92" t="str">
        <f>""</f>
        <v/>
      </c>
      <c r="FM92" t="str">
        <f>""</f>
        <v/>
      </c>
      <c r="FN92" t="str">
        <f>""</f>
        <v/>
      </c>
      <c r="FO92" t="str">
        <f>""</f>
        <v/>
      </c>
      <c r="FP92" t="str">
        <f>""</f>
        <v/>
      </c>
      <c r="FQ92" t="str">
        <f>""</f>
        <v/>
      </c>
    </row>
    <row r="93" spans="1:173">
      <c r="A93" t="str">
        <f>"    Apartment Investment &amp; Managem"</f>
        <v xml:space="preserve">    Apartment Investment &amp; Managem</v>
      </c>
      <c r="B93" t="str">
        <f>"AIV US Equity"</f>
        <v>AIV US Equity</v>
      </c>
      <c r="E93" t="str">
        <f t="shared" ref="E93:E100" si="31">"Expression"</f>
        <v>Expression</v>
      </c>
      <c r="F93" t="str">
        <f ca="1">IF(AND($B$252=1,LEN($F$221) * LEN($F$153)&gt;0),$F$221/$F$153,HLOOKUP(INDIRECT(ADDRESS(2,COLUMN())),OFFSET($CL$2,0,0,ROW()-1,84),ROW()-1,FALSE))</f>
        <v/>
      </c>
      <c r="G93" t="str">
        <f ca="1">IF(AND($B$252=1,LEN($G$221) * LEN($G$153)&gt;0),$G$221/$G$153,HLOOKUP(INDIRECT(ADDRESS(2,COLUMN())),OFFSET($CL$2,0,0,ROW()-1,84),ROW()-1,FALSE))</f>
        <v/>
      </c>
      <c r="H93">
        <f ca="1">IF(AND($B$252=1,LEN($H$221) * LEN($H$153)&gt;0),$H$221/$H$153,HLOOKUP(INDIRECT(ADDRESS(2,COLUMN())),OFFSET($CL$2,0,0,ROW()-1,84),ROW()-1,FALSE))</f>
        <v>19.801230480000001</v>
      </c>
      <c r="I93">
        <f ca="1">IF(AND($B$252=1,LEN($I$221) * LEN($I$153)&gt;0),$I$221/$I$153,HLOOKUP(INDIRECT(ADDRESS(2,COLUMN())),OFFSET($CL$2,0,0,ROW()-1,84),ROW()-1,FALSE))</f>
        <v>20.696022729999999</v>
      </c>
      <c r="J93">
        <f ca="1">IF(AND($B$252=1,LEN($J$221) * LEN($J$153)&gt;0),$J$221/$J$153,HLOOKUP(INDIRECT(ADDRESS(2,COLUMN())),OFFSET($CL$2,0,0,ROW()-1,84),ROW()-1,FALSE))</f>
        <v>20.915559770000002</v>
      </c>
      <c r="K93">
        <f ca="1">IF(AND($B$252=1,LEN($K$221) * LEN($K$153)&gt;0),$K$221/$K$153,HLOOKUP(INDIRECT(ADDRESS(2,COLUMN())),OFFSET($CL$2,0,0,ROW()-1,84),ROW()-1,FALSE))</f>
        <v>20.912981460000001</v>
      </c>
      <c r="L93">
        <f ca="1">IF(AND($B$252=1,LEN($L$221) * LEN($L$153)&gt;0),$L$221/$L$153,HLOOKUP(INDIRECT(ADDRESS(2,COLUMN())),OFFSET($CL$2,0,0,ROW()-1,84),ROW()-1,FALSE))</f>
        <v>20.885714289999999</v>
      </c>
      <c r="M93">
        <f ca="1">IF(AND($B$252=1,LEN($M$221) * LEN($M$153)&gt;0),$M$221/$M$153,HLOOKUP(INDIRECT(ADDRESS(2,COLUMN())),OFFSET($CL$2,0,0,ROW()-1,84),ROW()-1,FALSE))</f>
        <v>21.452910549999999</v>
      </c>
      <c r="N93">
        <f ca="1">IF(AND($B$252=1,LEN($N$221) * LEN($N$153)&gt;0),$N$221/$N$153,HLOOKUP(INDIRECT(ADDRESS(2,COLUMN())),OFFSET($CL$2,0,0,ROW()-1,84),ROW()-1,FALSE))</f>
        <v>21.02954755</v>
      </c>
      <c r="O93">
        <f ca="1">IF(AND($B$252=1,LEN($O$221) * LEN($O$153)&gt;0),$O$221/$O$153,HLOOKUP(INDIRECT(ADDRESS(2,COLUMN())),OFFSET($CL$2,0,0,ROW()-1,84),ROW()-1,FALSE))</f>
        <v>20.384250470000001</v>
      </c>
      <c r="P93">
        <f ca="1">IF(AND($B$252=1,LEN($P$221) * LEN($P$153)&gt;0),$P$221/$P$153,HLOOKUP(INDIRECT(ADDRESS(2,COLUMN())),OFFSET($CL$2,0,0,ROW()-1,84),ROW()-1,FALSE))</f>
        <v>20.360531309999999</v>
      </c>
      <c r="Q93">
        <f ca="1">IF(AND($B$252=1,LEN($Q$221) * LEN($Q$153)&gt;0),$Q$221/$Q$153,HLOOKUP(INDIRECT(ADDRESS(2,COLUMN())),OFFSET($CL$2,0,0,ROW()-1,84),ROW()-1,FALSE))</f>
        <v>20.506329109999999</v>
      </c>
      <c r="R93">
        <f ca="1">IF(AND($B$252=1,LEN($R$221) * LEN($R$153)&gt;0),$R$221/$R$153,HLOOKUP(INDIRECT(ADDRESS(2,COLUMN())),OFFSET($CL$2,0,0,ROW()-1,84),ROW()-1,FALSE))</f>
        <v>21.782907659999999</v>
      </c>
      <c r="S93">
        <f ca="1">IF(AND($B$252=1,LEN($S$221) * LEN($S$153)&gt;0),$S$221/$S$153,HLOOKUP(INDIRECT(ADDRESS(2,COLUMN())),OFFSET($CL$2,0,0,ROW()-1,84),ROW()-1,FALSE))</f>
        <v>22.876106190000002</v>
      </c>
      <c r="T93">
        <f ca="1">IF(AND($B$252=1,LEN($T$221) * LEN($T$153)&gt;0),$T$221/$T$153,HLOOKUP(INDIRECT(ADDRESS(2,COLUMN())),OFFSET($CL$2,0,0,ROW()-1,84),ROW()-1,FALSE))</f>
        <v>20.777934940000002</v>
      </c>
      <c r="U93">
        <f ca="1">IF(AND($B$252=1,LEN($U$221) * LEN($U$153)&gt;0),$U$221/$U$153,HLOOKUP(INDIRECT(ADDRESS(2,COLUMN())),OFFSET($CL$2,0,0,ROW()-1,84),ROW()-1,FALSE))</f>
        <v>21.348050730000001</v>
      </c>
      <c r="V93">
        <f ca="1">IF(AND($B$252=1,LEN($V$221) * LEN($V$153)&gt;0),$V$221/$V$153,HLOOKUP(INDIRECT(ADDRESS(2,COLUMN())),OFFSET($CL$2,0,0,ROW()-1,84),ROW()-1,FALSE))</f>
        <v>19.672897200000001</v>
      </c>
      <c r="W93">
        <f ca="1">IF(AND($B$252=1,LEN($W$221) * LEN($W$153)&gt;0),$W$221/$W$153,HLOOKUP(INDIRECT(ADDRESS(2,COLUMN())),OFFSET($CL$2,0,0,ROW()-1,84),ROW()-1,FALSE))</f>
        <v>20.59345794</v>
      </c>
      <c r="X93">
        <f ca="1">IF(AND($B$252=1,LEN($X$221) * LEN($X$153)&gt;0),$X$221/$X$153,HLOOKUP(INDIRECT(ADDRESS(2,COLUMN())),OFFSET($CL$2,0,0,ROW()-1,84),ROW()-1,FALSE))</f>
        <v>21.31383473</v>
      </c>
      <c r="Y93">
        <f ca="1">IF(AND($B$252=1,LEN($Y$221) * LEN($Y$153)&gt;0),$Y$221/$Y$153,HLOOKUP(INDIRECT(ADDRESS(2,COLUMN())),OFFSET($CL$2,0,0,ROW()-1,84),ROW()-1,FALSE))</f>
        <v>20.974930359999998</v>
      </c>
      <c r="Z93">
        <f ca="1">IF(AND($B$252=1,LEN($Z$221) * LEN($Z$153)&gt;0),$Z$221/$Z$153,HLOOKUP(INDIRECT(ADDRESS(2,COLUMN())),OFFSET($CL$2,0,0,ROW()-1,84),ROW()-1,FALSE))</f>
        <v>21.381395349999998</v>
      </c>
      <c r="AA93">
        <f ca="1">IF(AND($B$252=1,LEN($AA$221) * LEN($AA$153)&gt;0),$AA$221/$AA$153,HLOOKUP(INDIRECT(ADDRESS(2,COLUMN())),OFFSET($CL$2,0,0,ROW()-1,84),ROW()-1,FALSE))</f>
        <v>20.501392760000002</v>
      </c>
      <c r="AB93">
        <f ca="1">IF(AND($B$252=1,LEN($AB$221) * LEN($AB$153)&gt;0),$AB$221/$AB$153,HLOOKUP(INDIRECT(ADDRESS(2,COLUMN())),OFFSET($CL$2,0,0,ROW()-1,84),ROW()-1,FALSE))</f>
        <v>19.74537037</v>
      </c>
      <c r="AC93">
        <f ca="1">IF(AND($B$252=1,LEN($AC$221) * LEN($AC$153)&gt;0),$AC$221/$AC$153,HLOOKUP(INDIRECT(ADDRESS(2,COLUMN())),OFFSET($CL$2,0,0,ROW()-1,84),ROW()-1,FALSE))</f>
        <v>18.74590547</v>
      </c>
      <c r="AD93">
        <f ca="1">IF(AND($B$252=1,LEN($AD$221) * LEN($AD$153)&gt;0),$AD$221/$AD$153,HLOOKUP(INDIRECT(ADDRESS(2,COLUMN())),OFFSET($CL$2,0,0,ROW()-1,84),ROW()-1,FALSE))</f>
        <v>19.597000940000001</v>
      </c>
      <c r="AE93">
        <f ca="1">IF(AND($B$252=1,LEN($AE$221) * LEN($AE$153)&gt;0),$AE$221/$AE$153,HLOOKUP(INDIRECT(ADDRESS(2,COLUMN())),OFFSET($CL$2,0,0,ROW()-1,84),ROW()-1,FALSE))</f>
        <v>16.793577979999998</v>
      </c>
      <c r="AF93">
        <f ca="1">IF(AND($B$252=1,LEN($AF$221) * LEN($AF$153)&gt;0),$AF$221/$AF$153,HLOOKUP(INDIRECT(ADDRESS(2,COLUMN())),OFFSET($CL$2,0,0,ROW()-1,84),ROW()-1,FALSE))</f>
        <v>17.819754209999999</v>
      </c>
      <c r="AG93">
        <f ca="1">IF(AND($B$252=1,LEN($AG$221) * LEN($AG$153)&gt;0),$AG$221/$AG$153,HLOOKUP(INDIRECT(ADDRESS(2,COLUMN())),OFFSET($CL$2,0,0,ROW()-1,84),ROW()-1,FALSE))</f>
        <v>18.22030041</v>
      </c>
      <c r="AH93">
        <f ca="1">IF(AND($B$252=1,LEN($AH$221) * LEN($AH$153)&gt;0),$AH$221/$AH$153,HLOOKUP(INDIRECT(ADDRESS(2,COLUMN())),OFFSET($CL$2,0,0,ROW()-1,84),ROW()-1,FALSE))</f>
        <v>17.28344671</v>
      </c>
      <c r="AI93">
        <f ca="1">IF(AND($B$252=1,LEN($AI$221) * LEN($AI$153)&gt;0),$AI$221/$AI$153,HLOOKUP(INDIRECT(ADDRESS(2,COLUMN())),OFFSET($CL$2,0,0,ROW()-1,84),ROW()-1,FALSE))</f>
        <v>16.50105263</v>
      </c>
      <c r="AJ93" t="str">
        <f ca="1">IF(AND($B$252=1,LEN($AJ$221) * LEN($AJ$153)&gt;0),$AJ$221/$AJ$153,HLOOKUP(INDIRECT(ADDRESS(2,COLUMN())),OFFSET($CL$2,0,0,ROW()-1,84),ROW()-1,FALSE))</f>
        <v/>
      </c>
      <c r="AK93" t="str">
        <f ca="1">IF(AND($B$252=1,LEN($AK$221) * LEN($AK$153)&gt;0),$AK$221/$AK$153,HLOOKUP(INDIRECT(ADDRESS(2,COLUMN())),OFFSET($CL$2,0,0,ROW()-1,84),ROW()-1,FALSE))</f>
        <v/>
      </c>
      <c r="AL93" t="str">
        <f ca="1">IF(AND($B$252=1,LEN($AL$221) * LEN($AL$153)&gt;0),$AL$221/$AL$153,HLOOKUP(INDIRECT(ADDRESS(2,COLUMN())),OFFSET($CL$2,0,0,ROW()-1,84),ROW()-1,FALSE))</f>
        <v/>
      </c>
      <c r="AM93" t="str">
        <f ca="1">IF(AND($B$252=1,LEN($AM$221) * LEN($AM$153)&gt;0),$AM$221/$AM$153,HLOOKUP(INDIRECT(ADDRESS(2,COLUMN())),OFFSET($CL$2,0,0,ROW()-1,84),ROW()-1,FALSE))</f>
        <v/>
      </c>
      <c r="AN93" t="str">
        <f ca="1">IF(AND($B$252=1,LEN($AN$221) * LEN($AN$153)&gt;0),$AN$221/$AN$153,HLOOKUP(INDIRECT(ADDRESS(2,COLUMN())),OFFSET($CL$2,0,0,ROW()-1,84),ROW()-1,FALSE))</f>
        <v/>
      </c>
      <c r="AO93" t="str">
        <f ca="1">IF(AND($B$252=1,LEN($AO$221) * LEN($AO$153)&gt;0),$AO$221/$AO$153,HLOOKUP(INDIRECT(ADDRESS(2,COLUMN())),OFFSET($CL$2,0,0,ROW()-1,84),ROW()-1,FALSE))</f>
        <v/>
      </c>
      <c r="AP93" t="str">
        <f ca="1">IF(AND($B$252=1,LEN($AP$221) * LEN($AP$153)&gt;0),$AP$221/$AP$153,HLOOKUP(INDIRECT(ADDRESS(2,COLUMN())),OFFSET($CL$2,0,0,ROW()-1,84),ROW()-1,FALSE))</f>
        <v/>
      </c>
      <c r="AQ93" t="str">
        <f ca="1">IF(AND($B$252=1,LEN($AQ$221) * LEN($AQ$153)&gt;0),$AQ$221/$AQ$153,HLOOKUP(INDIRECT(ADDRESS(2,COLUMN())),OFFSET($CL$2,0,0,ROW()-1,84),ROW()-1,FALSE))</f>
        <v/>
      </c>
      <c r="AR93" t="str">
        <f ca="1">IF(AND($B$252=1,LEN($AR$221) * LEN($AR$153)&gt;0),$AR$221/$AR$153,HLOOKUP(INDIRECT(ADDRESS(2,COLUMN())),OFFSET($CL$2,0,0,ROW()-1,84),ROW()-1,FALSE))</f>
        <v/>
      </c>
      <c r="AS93" t="str">
        <f ca="1">IF(AND($B$252=1,LEN($AS$221) * LEN($AS$153)&gt;0),$AS$221/$AS$153,HLOOKUP(INDIRECT(ADDRESS(2,COLUMN())),OFFSET($CL$2,0,0,ROW()-1,84),ROW()-1,FALSE))</f>
        <v/>
      </c>
      <c r="AT93" t="str">
        <f ca="1">IF(AND($B$252=1,LEN($AT$221) * LEN($AT$153)&gt;0),$AT$221/$AT$153,HLOOKUP(INDIRECT(ADDRESS(2,COLUMN())),OFFSET($CL$2,0,0,ROW()-1,84),ROW()-1,FALSE))</f>
        <v/>
      </c>
      <c r="AU93" t="str">
        <f ca="1">IF(AND($B$252=1,LEN($AU$221) * LEN($AU$153)&gt;0),$AU$221/$AU$153,HLOOKUP(INDIRECT(ADDRESS(2,COLUMN())),OFFSET($CL$2,0,0,ROW()-1,84),ROW()-1,FALSE))</f>
        <v/>
      </c>
      <c r="AV93" t="str">
        <f ca="1">IF(AND($B$252=1,LEN($AV$221) * LEN($AV$153)&gt;0),$AV$221/$AV$153,HLOOKUP(INDIRECT(ADDRESS(2,COLUMN())),OFFSET($CL$2,0,0,ROW()-1,84),ROW()-1,FALSE))</f>
        <v/>
      </c>
      <c r="AW93" t="str">
        <f ca="1">IF(AND($B$252=1,LEN($AW$221) * LEN($AW$153)&gt;0),$AW$221/$AW$153,HLOOKUP(INDIRECT(ADDRESS(2,COLUMN())),OFFSET($CL$2,0,0,ROW()-1,84),ROW()-1,FALSE))</f>
        <v/>
      </c>
      <c r="AX93" t="str">
        <f ca="1">IF(AND($B$252=1,LEN($AX$221) * LEN($AX$153)&gt;0),$AX$221/$AX$153,HLOOKUP(INDIRECT(ADDRESS(2,COLUMN())),OFFSET($CL$2,0,0,ROW()-1,84),ROW()-1,FALSE))</f>
        <v/>
      </c>
      <c r="AY93" t="str">
        <f ca="1">IF(AND($B$252=1,LEN($AY$221) * LEN($AY$153)&gt;0),$AY$221/$AY$153,HLOOKUP(INDIRECT(ADDRESS(2,COLUMN())),OFFSET($CL$2,0,0,ROW()-1,84),ROW()-1,FALSE))</f>
        <v/>
      </c>
      <c r="AZ93" t="str">
        <f ca="1">IF(AND($B$252=1,LEN($AZ$221) * LEN($AZ$153)&gt;0),$AZ$221/$AZ$153,HLOOKUP(INDIRECT(ADDRESS(2,COLUMN())),OFFSET($CL$2,0,0,ROW()-1,84),ROW()-1,FALSE))</f>
        <v/>
      </c>
      <c r="BA93" t="str">
        <f ca="1">IF(AND($B$252=1,LEN($BA$221) * LEN($BA$153)&gt;0),$BA$221/$BA$153,HLOOKUP(INDIRECT(ADDRESS(2,COLUMN())),OFFSET($CL$2,0,0,ROW()-1,84),ROW()-1,FALSE))</f>
        <v/>
      </c>
      <c r="BB93" t="str">
        <f ca="1">IF(AND($B$252=1,LEN($BB$221) * LEN($BB$153)&gt;0),$BB$221/$BB$153,HLOOKUP(INDIRECT(ADDRESS(2,COLUMN())),OFFSET($CL$2,0,0,ROW()-1,84),ROW()-1,FALSE))</f>
        <v/>
      </c>
      <c r="BC93" t="str">
        <f ca="1">IF(AND($B$252=1,LEN($BC$221) * LEN($BC$153)&gt;0),$BC$221/$BC$153,HLOOKUP(INDIRECT(ADDRESS(2,COLUMN())),OFFSET($CL$2,0,0,ROW()-1,84),ROW()-1,FALSE))</f>
        <v/>
      </c>
      <c r="BD93" t="str">
        <f ca="1">IF(AND($B$252=1,LEN($BD$221) * LEN($BD$153)&gt;0),$BD$221/$BD$153,HLOOKUP(INDIRECT(ADDRESS(2,COLUMN())),OFFSET($CL$2,0,0,ROW()-1,84),ROW()-1,FALSE))</f>
        <v/>
      </c>
      <c r="BE93" t="str">
        <f ca="1">IF(AND($B$252=1,LEN($BE$221) * LEN($BE$153)&gt;0),$BE$221/$BE$153,HLOOKUP(INDIRECT(ADDRESS(2,COLUMN())),OFFSET($CL$2,0,0,ROW()-1,84),ROW()-1,FALSE))</f>
        <v/>
      </c>
      <c r="BF93" t="str">
        <f ca="1">IF(AND($B$252=1,LEN($BF$221) * LEN($BF$153)&gt;0),$BF$221/$BF$153,HLOOKUP(INDIRECT(ADDRESS(2,COLUMN())),OFFSET($CL$2,0,0,ROW()-1,84),ROW()-1,FALSE))</f>
        <v/>
      </c>
      <c r="BG93" t="str">
        <f ca="1">IF(AND($B$252=1,LEN($BG$221) * LEN($BG$153)&gt;0),$BG$221/$BG$153,HLOOKUP(INDIRECT(ADDRESS(2,COLUMN())),OFFSET($CL$2,0,0,ROW()-1,84),ROW()-1,FALSE))</f>
        <v/>
      </c>
      <c r="BH93" t="str">
        <f ca="1">IF(AND($B$252=1,LEN($BH$221) * LEN($BH$153)&gt;0),$BH$221/$BH$153,HLOOKUP(INDIRECT(ADDRESS(2,COLUMN())),OFFSET($CL$2,0,0,ROW()-1,84),ROW()-1,FALSE))</f>
        <v/>
      </c>
      <c r="BI93" t="str">
        <f ca="1">IF(AND($B$252=1,LEN($BI$221) * LEN($BI$153)&gt;0),$BI$221/$BI$153,HLOOKUP(INDIRECT(ADDRESS(2,COLUMN())),OFFSET($CL$2,0,0,ROW()-1,84),ROW()-1,FALSE))</f>
        <v/>
      </c>
      <c r="BJ93" t="str">
        <f ca="1">IF(AND($B$252=1,LEN($BJ$221) * LEN($BJ$153)&gt;0),$BJ$221/$BJ$153,HLOOKUP(INDIRECT(ADDRESS(2,COLUMN())),OFFSET($CL$2,0,0,ROW()-1,84),ROW()-1,FALSE))</f>
        <v/>
      </c>
      <c r="BK93" t="str">
        <f ca="1">IF(AND($B$252=1,LEN($BK$221) * LEN($BK$153)&gt;0),$BK$221/$BK$153,HLOOKUP(INDIRECT(ADDRESS(2,COLUMN())),OFFSET($CL$2,0,0,ROW()-1,84),ROW()-1,FALSE))</f>
        <v/>
      </c>
      <c r="BL93" t="str">
        <f ca="1">IF(AND($B$252=1,LEN($BL$221) * LEN($BL$153)&gt;0),$BL$221/$BL$153,HLOOKUP(INDIRECT(ADDRESS(2,COLUMN())),OFFSET($CL$2,0,0,ROW()-1,84),ROW()-1,FALSE))</f>
        <v/>
      </c>
      <c r="BM93" t="str">
        <f ca="1">IF(AND($B$252=1,LEN($BM$221) * LEN($BM$153)&gt;0),$BM$221/$BM$153,HLOOKUP(INDIRECT(ADDRESS(2,COLUMN())),OFFSET($CL$2,0,0,ROW()-1,84),ROW()-1,FALSE))</f>
        <v/>
      </c>
      <c r="BN93" t="str">
        <f ca="1">IF(AND($B$252=1,LEN($BN$221) * LEN($BN$153)&gt;0),$BN$221/$BN$153,HLOOKUP(INDIRECT(ADDRESS(2,COLUMN())),OFFSET($CL$2,0,0,ROW()-1,84),ROW()-1,FALSE))</f>
        <v/>
      </c>
      <c r="BO93" t="str">
        <f ca="1">IF(AND($B$252=1,LEN($BO$221) * LEN($BO$153)&gt;0),$BO$221/$BO$153,HLOOKUP(INDIRECT(ADDRESS(2,COLUMN())),OFFSET($CL$2,0,0,ROW()-1,84),ROW()-1,FALSE))</f>
        <v/>
      </c>
      <c r="BP93" t="str">
        <f ca="1">IF(AND($B$252=1,LEN($BP$221) * LEN($BP$153)&gt;0),$BP$221/$BP$153,HLOOKUP(INDIRECT(ADDRESS(2,COLUMN())),OFFSET($CL$2,0,0,ROW()-1,84),ROW()-1,FALSE))</f>
        <v/>
      </c>
      <c r="BQ93" t="str">
        <f ca="1">IF(AND($B$252=1,LEN($BQ$221) * LEN($BQ$153)&gt;0),$BQ$221/$BQ$153,HLOOKUP(INDIRECT(ADDRESS(2,COLUMN())),OFFSET($CL$2,0,0,ROW()-1,84),ROW()-1,FALSE))</f>
        <v/>
      </c>
      <c r="BR93" t="str">
        <f ca="1">IF(AND($B$252=1,LEN($BR$221) * LEN($BR$153)&gt;0),$BR$221/$BR$153,HLOOKUP(INDIRECT(ADDRESS(2,COLUMN())),OFFSET($CL$2,0,0,ROW()-1,84),ROW()-1,FALSE))</f>
        <v/>
      </c>
      <c r="BS93" t="str">
        <f ca="1">IF(AND($B$252=1,LEN($BS$221) * LEN($BS$153)&gt;0),$BS$221/$BS$153,HLOOKUP(INDIRECT(ADDRESS(2,COLUMN())),OFFSET($CL$2,0,0,ROW()-1,84),ROW()-1,FALSE))</f>
        <v/>
      </c>
      <c r="BT93" t="str">
        <f ca="1">IF(AND($B$252=1,LEN($BT$221) * LEN($BT$153)&gt;0),$BT$221/$BT$153,HLOOKUP(INDIRECT(ADDRESS(2,COLUMN())),OFFSET($CL$2,0,0,ROW()-1,84),ROW()-1,FALSE))</f>
        <v/>
      </c>
      <c r="BU93" t="str">
        <f ca="1">IF(AND($B$252=1,LEN($BU$221) * LEN($BU$153)&gt;0),$BU$221/$BU$153,HLOOKUP(INDIRECT(ADDRESS(2,COLUMN())),OFFSET($CL$2,0,0,ROW()-1,84),ROW()-1,FALSE))</f>
        <v/>
      </c>
      <c r="BV93" t="str">
        <f ca="1">IF(AND($B$252=1,LEN($BV$221) * LEN($BV$153)&gt;0),$BV$221/$BV$153,HLOOKUP(INDIRECT(ADDRESS(2,COLUMN())),OFFSET($CL$2,0,0,ROW()-1,84),ROW()-1,FALSE))</f>
        <v/>
      </c>
      <c r="BW93" t="str">
        <f ca="1">IF(AND($B$252=1,LEN($BW$221) * LEN($BW$153)&gt;0),$BW$221/$BW$153,HLOOKUP(INDIRECT(ADDRESS(2,COLUMN())),OFFSET($CL$2,0,0,ROW()-1,84),ROW()-1,FALSE))</f>
        <v/>
      </c>
      <c r="BX93" t="str">
        <f ca="1">IF(AND($B$252=1,LEN($BX$221) * LEN($BX$153)&gt;0),$BX$221/$BX$153,HLOOKUP(INDIRECT(ADDRESS(2,COLUMN())),OFFSET($CL$2,0,0,ROW()-1,84),ROW()-1,FALSE))</f>
        <v/>
      </c>
      <c r="BY93" t="str">
        <f ca="1">IF(AND($B$252=1,LEN($BY$221) * LEN($BY$153)&gt;0),$BY$221/$BY$153,HLOOKUP(INDIRECT(ADDRESS(2,COLUMN())),OFFSET($CL$2,0,0,ROW()-1,84),ROW()-1,FALSE))</f>
        <v/>
      </c>
      <c r="BZ93" t="str">
        <f ca="1">IF(AND($B$252=1,LEN($BZ$221) * LEN($BZ$153)&gt;0),$BZ$221/$BZ$153,HLOOKUP(INDIRECT(ADDRESS(2,COLUMN())),OFFSET($CL$2,0,0,ROW()-1,84),ROW()-1,FALSE))</f>
        <v/>
      </c>
      <c r="CA93" t="str">
        <f ca="1">IF(AND($B$252=1,LEN($CA$221) * LEN($CA$153)&gt;0),$CA$221/$CA$153,HLOOKUP(INDIRECT(ADDRESS(2,COLUMN())),OFFSET($CL$2,0,0,ROW()-1,84),ROW()-1,FALSE))</f>
        <v/>
      </c>
      <c r="CB93" t="str">
        <f ca="1">IF(AND($B$252=1,LEN($CB$221) * LEN($CB$153)&gt;0),$CB$221/$CB$153,HLOOKUP(INDIRECT(ADDRESS(2,COLUMN())),OFFSET($CL$2,0,0,ROW()-1,84),ROW()-1,FALSE))</f>
        <v/>
      </c>
      <c r="CC93" t="str">
        <f ca="1">IF(AND($B$252=1,LEN($CC$221) * LEN($CC$153)&gt;0),$CC$221/$CC$153,HLOOKUP(INDIRECT(ADDRESS(2,COLUMN())),OFFSET($CL$2,0,0,ROW()-1,84),ROW()-1,FALSE))</f>
        <v/>
      </c>
      <c r="CD93" t="str">
        <f ca="1">IF(AND($B$252=1,LEN($CD$221) * LEN($CD$153)&gt;0),$CD$221/$CD$153,HLOOKUP(INDIRECT(ADDRESS(2,COLUMN())),OFFSET($CL$2,0,0,ROW()-1,84),ROW()-1,FALSE))</f>
        <v/>
      </c>
      <c r="CE93" t="str">
        <f ca="1">IF(AND($B$252=1,LEN($CE$221) * LEN($CE$153)&gt;0),$CE$221/$CE$153,HLOOKUP(INDIRECT(ADDRESS(2,COLUMN())),OFFSET($CL$2,0,0,ROW()-1,84),ROW()-1,FALSE))</f>
        <v/>
      </c>
      <c r="CF93" t="str">
        <f ca="1">IF(AND($B$252=1,LEN($CF$221) * LEN($CF$153)&gt;0),$CF$221/$CF$153,HLOOKUP(INDIRECT(ADDRESS(2,COLUMN())),OFFSET($CL$2,0,0,ROW()-1,84),ROW()-1,FALSE))</f>
        <v/>
      </c>
      <c r="CG93" t="str">
        <f ca="1">IF(AND($B$252=1,LEN($CG$221) * LEN($CG$153)&gt;0),$CG$221/$CG$153,HLOOKUP(INDIRECT(ADDRESS(2,COLUMN())),OFFSET($CL$2,0,0,ROW()-1,84),ROW()-1,FALSE))</f>
        <v/>
      </c>
      <c r="CH93" t="str">
        <f ca="1">IF(AND($B$252=1,LEN($CH$221) * LEN($CH$153)&gt;0),$CH$221/$CH$153,HLOOKUP(INDIRECT(ADDRESS(2,COLUMN())),OFFSET($CL$2,0,0,ROW()-1,84),ROW()-1,FALSE))</f>
        <v/>
      </c>
      <c r="CI93" t="str">
        <f ca="1">IF(AND($B$252=1,LEN($CI$221) * LEN($CI$153)&gt;0),$CI$221/$CI$153,HLOOKUP(INDIRECT(ADDRESS(2,COLUMN())),OFFSET($CL$2,0,0,ROW()-1,84),ROW()-1,FALSE))</f>
        <v/>
      </c>
      <c r="CJ93" t="str">
        <f ca="1">IF(AND($B$252=1,LEN($CJ$221) * LEN($CJ$153)&gt;0),$CJ$221/$CJ$153,HLOOKUP(INDIRECT(ADDRESS(2,COLUMN())),OFFSET($CL$2,0,0,ROW()-1,84),ROW()-1,FALSE))</f>
        <v/>
      </c>
      <c r="CK93" t="str">
        <f ca="1">IF(AND($B$252=1,LEN($CK$221) * LEN($CK$153)&gt;0),$CK$221/$CK$153,HLOOKUP(INDIRECT(ADDRESS(2,COLUMN())),OFFSET($CL$2,0,0,ROW()-1,84),ROW()-1,FALSE))</f>
        <v/>
      </c>
      <c r="CL93" t="str">
        <f>""</f>
        <v/>
      </c>
      <c r="CM93" t="str">
        <f>""</f>
        <v/>
      </c>
      <c r="CN93">
        <f>19.80123048</f>
        <v>19.801230480000001</v>
      </c>
      <c r="CO93">
        <f>20.69602273</f>
        <v>20.696022729999999</v>
      </c>
      <c r="CP93">
        <f>20.91555977</f>
        <v>20.915559770000002</v>
      </c>
      <c r="CQ93">
        <f>20.91298146</f>
        <v>20.912981460000001</v>
      </c>
      <c r="CR93">
        <f>20.88571429</f>
        <v>20.885714289999999</v>
      </c>
      <c r="CS93">
        <f>21.45291055</f>
        <v>21.452910549999999</v>
      </c>
      <c r="CT93">
        <f>21.02954755</f>
        <v>21.02954755</v>
      </c>
      <c r="CU93">
        <f>20.38425047</f>
        <v>20.384250470000001</v>
      </c>
      <c r="CV93">
        <f>20.36053131</f>
        <v>20.360531309999999</v>
      </c>
      <c r="CW93">
        <f>20.50632911</f>
        <v>20.506329109999999</v>
      </c>
      <c r="CX93">
        <f>21.78290766</f>
        <v>21.782907659999999</v>
      </c>
      <c r="CY93">
        <f>22.87610619</f>
        <v>22.876106190000002</v>
      </c>
      <c r="CZ93">
        <f>20.77793494</f>
        <v>20.777934940000002</v>
      </c>
      <c r="DA93">
        <f>21.34805073</f>
        <v>21.348050730000001</v>
      </c>
      <c r="DB93">
        <f>19.6728972</f>
        <v>19.672897200000001</v>
      </c>
      <c r="DC93">
        <f>20.59345794</f>
        <v>20.59345794</v>
      </c>
      <c r="DD93">
        <f>21.31383473</f>
        <v>21.31383473</v>
      </c>
      <c r="DE93">
        <f>20.97493036</f>
        <v>20.974930359999998</v>
      </c>
      <c r="DF93">
        <f>21.38139535</f>
        <v>21.381395349999998</v>
      </c>
      <c r="DG93">
        <f>20.50139276</f>
        <v>20.501392760000002</v>
      </c>
      <c r="DH93">
        <f>19.74537037</f>
        <v>19.74537037</v>
      </c>
      <c r="DI93">
        <f>18.74590547</f>
        <v>18.74590547</v>
      </c>
      <c r="DJ93">
        <f>19.59700094</f>
        <v>19.597000940000001</v>
      </c>
      <c r="DK93">
        <f>16.79357798</f>
        <v>16.793577979999998</v>
      </c>
      <c r="DL93">
        <f>17.81975421</f>
        <v>17.819754209999999</v>
      </c>
      <c r="DM93">
        <f>18.22030041</f>
        <v>18.22030041</v>
      </c>
      <c r="DN93">
        <f>17.28344671</f>
        <v>17.28344671</v>
      </c>
      <c r="DO93">
        <f>16.50105263</f>
        <v>16.50105263</v>
      </c>
      <c r="DP93" t="str">
        <f>""</f>
        <v/>
      </c>
      <c r="DQ93" t="str">
        <f>""</f>
        <v/>
      </c>
      <c r="DR93" t="str">
        <f>""</f>
        <v/>
      </c>
      <c r="DS93" t="str">
        <f>""</f>
        <v/>
      </c>
      <c r="DT93" t="str">
        <f>""</f>
        <v/>
      </c>
      <c r="DU93" t="str">
        <f>""</f>
        <v/>
      </c>
      <c r="DV93" t="str">
        <f>""</f>
        <v/>
      </c>
      <c r="DW93" t="str">
        <f>""</f>
        <v/>
      </c>
      <c r="DX93" t="str">
        <f>""</f>
        <v/>
      </c>
      <c r="DY93" t="str">
        <f>""</f>
        <v/>
      </c>
      <c r="DZ93" t="str">
        <f>""</f>
        <v/>
      </c>
      <c r="EA93" t="str">
        <f>""</f>
        <v/>
      </c>
      <c r="EB93" t="str">
        <f>""</f>
        <v/>
      </c>
      <c r="EC93" t="str">
        <f>""</f>
        <v/>
      </c>
      <c r="ED93" t="str">
        <f>""</f>
        <v/>
      </c>
      <c r="EE93" t="str">
        <f>""</f>
        <v/>
      </c>
      <c r="EF93" t="str">
        <f>""</f>
        <v/>
      </c>
      <c r="EG93" t="str">
        <f>""</f>
        <v/>
      </c>
      <c r="EH93" t="str">
        <f>""</f>
        <v/>
      </c>
      <c r="EI93" t="str">
        <f>""</f>
        <v/>
      </c>
      <c r="EJ93" t="str">
        <f>""</f>
        <v/>
      </c>
      <c r="EK93" t="str">
        <f>""</f>
        <v/>
      </c>
      <c r="EL93" t="str">
        <f>""</f>
        <v/>
      </c>
      <c r="EM93" t="str">
        <f>""</f>
        <v/>
      </c>
      <c r="EN93" t="str">
        <f>""</f>
        <v/>
      </c>
      <c r="EO93" t="str">
        <f>""</f>
        <v/>
      </c>
      <c r="EP93" t="str">
        <f>""</f>
        <v/>
      </c>
      <c r="EQ93" t="str">
        <f>""</f>
        <v/>
      </c>
      <c r="ER93" t="str">
        <f>""</f>
        <v/>
      </c>
      <c r="ES93" t="str">
        <f>""</f>
        <v/>
      </c>
      <c r="ET93" t="str">
        <f>""</f>
        <v/>
      </c>
      <c r="EU93" t="str">
        <f>""</f>
        <v/>
      </c>
      <c r="EV93" t="str">
        <f>""</f>
        <v/>
      </c>
      <c r="EW93" t="str">
        <f>""</f>
        <v/>
      </c>
      <c r="EX93" t="str">
        <f>""</f>
        <v/>
      </c>
      <c r="EY93" t="str">
        <f>""</f>
        <v/>
      </c>
      <c r="EZ93" t="str">
        <f>""</f>
        <v/>
      </c>
      <c r="FA93" t="str">
        <f>""</f>
        <v/>
      </c>
      <c r="FB93" t="str">
        <f>""</f>
        <v/>
      </c>
      <c r="FC93" t="str">
        <f>""</f>
        <v/>
      </c>
      <c r="FD93" t="str">
        <f>""</f>
        <v/>
      </c>
      <c r="FE93" t="str">
        <f>""</f>
        <v/>
      </c>
      <c r="FF93" t="str">
        <f>""</f>
        <v/>
      </c>
      <c r="FG93" t="str">
        <f>""</f>
        <v/>
      </c>
      <c r="FH93" t="str">
        <f>""</f>
        <v/>
      </c>
      <c r="FI93" t="str">
        <f>""</f>
        <v/>
      </c>
      <c r="FJ93" t="str">
        <f>""</f>
        <v/>
      </c>
      <c r="FK93" t="str">
        <f>""</f>
        <v/>
      </c>
      <c r="FL93" t="str">
        <f>""</f>
        <v/>
      </c>
      <c r="FM93" t="str">
        <f>""</f>
        <v/>
      </c>
      <c r="FN93" t="str">
        <f>""</f>
        <v/>
      </c>
      <c r="FO93" t="str">
        <f>""</f>
        <v/>
      </c>
      <c r="FP93" t="str">
        <f>""</f>
        <v/>
      </c>
      <c r="FQ93" t="str">
        <f>""</f>
        <v/>
      </c>
    </row>
    <row r="94" spans="1:173">
      <c r="A94" t="str">
        <f>"    AvalonBay Communities Inc"</f>
        <v xml:space="preserve">    AvalonBay Communities Inc</v>
      </c>
      <c r="B94" t="str">
        <f>"AVB US Equity"</f>
        <v>AVB US Equity</v>
      </c>
      <c r="E94" t="str">
        <f t="shared" si="31"/>
        <v>Expression</v>
      </c>
      <c r="F94" t="str">
        <f ca="1">IF(AND($B$252=1,LEN($F$222) * LEN($F$154)&gt;0),$F$222/$F$154,HLOOKUP(INDIRECT(ADDRESS(2,COLUMN())),OFFSET($CL$2,0,0,ROW()-1,84),ROW()-1,FALSE))</f>
        <v/>
      </c>
      <c r="G94" t="str">
        <f ca="1">IF(AND($B$252=1,LEN($G$222) * LEN($G$154)&gt;0),$G$222/$G$154,HLOOKUP(INDIRECT(ADDRESS(2,COLUMN())),OFFSET($CL$2,0,0,ROW()-1,84),ROW()-1,FALSE))</f>
        <v/>
      </c>
      <c r="H94">
        <f ca="1">IF(AND($B$252=1,LEN($H$222) * LEN($H$154)&gt;0),$H$222/$H$154,HLOOKUP(INDIRECT(ADDRESS(2,COLUMN())),OFFSET($CL$2,0,0,ROW()-1,84),ROW()-1,FALSE))</f>
        <v>21.19402985</v>
      </c>
      <c r="I94">
        <f ca="1">IF(AND($B$252=1,LEN($I$222) * LEN($I$154)&gt;0),$I$222/$I$154,HLOOKUP(INDIRECT(ADDRESS(2,COLUMN())),OFFSET($CL$2,0,0,ROW()-1,84),ROW()-1,FALSE))</f>
        <v>22.240089749999999</v>
      </c>
      <c r="J94">
        <f ca="1">IF(AND($B$252=1,LEN($J$222) * LEN($J$154)&gt;0),$J$222/$J$154,HLOOKUP(INDIRECT(ADDRESS(2,COLUMN())),OFFSET($CL$2,0,0,ROW()-1,84),ROW()-1,FALSE))</f>
        <v>22.694618269999999</v>
      </c>
      <c r="K94">
        <f ca="1">IF(AND($B$252=1,LEN($K$222) * LEN($K$154)&gt;0),$K$222/$K$154,HLOOKUP(INDIRECT(ADDRESS(2,COLUMN())),OFFSET($CL$2,0,0,ROW()-1,84),ROW()-1,FALSE))</f>
        <v>22.50589549</v>
      </c>
      <c r="L94">
        <f ca="1">IF(AND($B$252=1,LEN($L$222) * LEN($L$154)&gt;0),$L$222/$L$154,HLOOKUP(INDIRECT(ADDRESS(2,COLUMN())),OFFSET($CL$2,0,0,ROW()-1,84),ROW()-1,FALSE))</f>
        <v>22.180507209999998</v>
      </c>
      <c r="M94">
        <f ca="1">IF(AND($B$252=1,LEN($M$222) * LEN($M$154)&gt;0),$M$222/$M$154,HLOOKUP(INDIRECT(ADDRESS(2,COLUMN())),OFFSET($CL$2,0,0,ROW()-1,84),ROW()-1,FALSE))</f>
        <v>23.06548716</v>
      </c>
      <c r="N94">
        <f ca="1">IF(AND($B$252=1,LEN($N$222) * LEN($N$154)&gt;0),$N$222/$N$154,HLOOKUP(INDIRECT(ADDRESS(2,COLUMN())),OFFSET($CL$2,0,0,ROW()-1,84),ROW()-1,FALSE))</f>
        <v>23.630221129999999</v>
      </c>
      <c r="O94">
        <f ca="1">IF(AND($B$252=1,LEN($O$222) * LEN($O$154)&gt;0),$O$222/$O$154,HLOOKUP(INDIRECT(ADDRESS(2,COLUMN())),OFFSET($CL$2,0,0,ROW()-1,84),ROW()-1,FALSE))</f>
        <v>23.642962600000001</v>
      </c>
      <c r="P94">
        <f ca="1">IF(AND($B$252=1,LEN($P$222) * LEN($P$154)&gt;0),$P$222/$P$154,HLOOKUP(INDIRECT(ADDRESS(2,COLUMN())),OFFSET($CL$2,0,0,ROW()-1,84),ROW()-1,FALSE))</f>
        <v>23.476552909999999</v>
      </c>
      <c r="Q94">
        <f ca="1">IF(AND($B$252=1,LEN($Q$222) * LEN($Q$154)&gt;0),$Q$222/$Q$154,HLOOKUP(INDIRECT(ADDRESS(2,COLUMN())),OFFSET($CL$2,0,0,ROW()-1,84),ROW()-1,FALSE))</f>
        <v>23.460207610000001</v>
      </c>
      <c r="R94">
        <f ca="1">IF(AND($B$252=1,LEN($R$222) * LEN($R$154)&gt;0),$R$222/$R$154,HLOOKUP(INDIRECT(ADDRESS(2,COLUMN())),OFFSET($CL$2,0,0,ROW()-1,84),ROW()-1,FALSE))</f>
        <v>22.524843579999999</v>
      </c>
      <c r="S94">
        <f ca="1">IF(AND($B$252=1,LEN($S$222) * LEN($S$154)&gt;0),$S$222/$S$154,HLOOKUP(INDIRECT(ADDRESS(2,COLUMN())),OFFSET($CL$2,0,0,ROW()-1,84),ROW()-1,FALSE))</f>
        <v>22.582944210000001</v>
      </c>
      <c r="T94">
        <f ca="1">IF(AND($B$252=1,LEN($T$222) * LEN($T$154)&gt;0),$T$222/$T$154,HLOOKUP(INDIRECT(ADDRESS(2,COLUMN())),OFFSET($CL$2,0,0,ROW()-1,84),ROW()-1,FALSE))</f>
        <v>21.301622420000001</v>
      </c>
      <c r="U94">
        <f ca="1">IF(AND($B$252=1,LEN($U$222) * LEN($U$154)&gt;0),$U$222/$U$154,HLOOKUP(INDIRECT(ADDRESS(2,COLUMN())),OFFSET($CL$2,0,0,ROW()-1,84),ROW()-1,FALSE))</f>
        <v>21.728198209999999</v>
      </c>
      <c r="V94">
        <f ca="1">IF(AND($B$252=1,LEN($V$222) * LEN($V$154)&gt;0),$V$222/$V$154,HLOOKUP(INDIRECT(ADDRESS(2,COLUMN())),OFFSET($CL$2,0,0,ROW()-1,84),ROW()-1,FALSE))</f>
        <v>20.05241985</v>
      </c>
      <c r="W94">
        <f ca="1">IF(AND($B$252=1,LEN($W$222) * LEN($W$154)&gt;0),$W$222/$W$154,HLOOKUP(INDIRECT(ADDRESS(2,COLUMN())),OFFSET($CL$2,0,0,ROW()-1,84),ROW()-1,FALSE))</f>
        <v>20.901098900000001</v>
      </c>
      <c r="X94">
        <f ca="1">IF(AND($B$252=1,LEN($X$222) * LEN($X$154)&gt;0),$X$222/$X$154,HLOOKUP(INDIRECT(ADDRESS(2,COLUMN())),OFFSET($CL$2,0,0,ROW()-1,84),ROW()-1,FALSE))</f>
        <v>21.43683703</v>
      </c>
      <c r="Y94">
        <f ca="1">IF(AND($B$252=1,LEN($Y$222) * LEN($Y$154)&gt;0),$Y$222/$Y$154,HLOOKUP(INDIRECT(ADDRESS(2,COLUMN())),OFFSET($CL$2,0,0,ROW()-1,84),ROW()-1,FALSE))</f>
        <v>21.12881806</v>
      </c>
      <c r="Z94">
        <f ca="1">IF(AND($B$252=1,LEN($Z$222) * LEN($Z$154)&gt;0),$Z$222/$Z$154,HLOOKUP(INDIRECT(ADDRESS(2,COLUMN())),OFFSET($CL$2,0,0,ROW()-1,84),ROW()-1,FALSE))</f>
        <v>22.177756540000001</v>
      </c>
      <c r="AA94">
        <f ca="1">IF(AND($B$252=1,LEN($AA$222) * LEN($AA$154)&gt;0),$AA$222/$AA$154,HLOOKUP(INDIRECT(ADDRESS(2,COLUMN())),OFFSET($CL$2,0,0,ROW()-1,84),ROW()-1,FALSE))</f>
        <v>21.403654490000001</v>
      </c>
      <c r="AB94">
        <f ca="1">IF(AND($B$252=1,LEN($AB$222) * LEN($AB$154)&gt;0),$AB$222/$AB$154,HLOOKUP(INDIRECT(ADDRESS(2,COLUMN())),OFFSET($CL$2,0,0,ROW()-1,84),ROW()-1,FALSE))</f>
        <v>21.416835339999999</v>
      </c>
      <c r="AC94">
        <f ca="1">IF(AND($B$252=1,LEN($AC$222) * LEN($AC$154)&gt;0),$AC$222/$AC$154,HLOOKUP(INDIRECT(ADDRESS(2,COLUMN())),OFFSET($CL$2,0,0,ROW()-1,84),ROW()-1,FALSE))</f>
        <v>21.09665871</v>
      </c>
      <c r="AD94">
        <f ca="1">IF(AND($B$252=1,LEN($AD$222) * LEN($AD$154)&gt;0),$AD$222/$AD$154,HLOOKUP(INDIRECT(ADDRESS(2,COLUMN())),OFFSET($CL$2,0,0,ROW()-1,84),ROW()-1,FALSE))</f>
        <v>22.323943660000001</v>
      </c>
      <c r="AE94">
        <f ca="1">IF(AND($B$252=1,LEN($AE$222) * LEN($AE$154)&gt;0),$AE$222/$AE$154,HLOOKUP(INDIRECT(ADDRESS(2,COLUMN())),OFFSET($CL$2,0,0,ROW()-1,84),ROW()-1,FALSE))</f>
        <v>20.219107080000001</v>
      </c>
      <c r="AF94">
        <f ca="1">IF(AND($B$252=1,LEN($AF$222) * LEN($AF$154)&gt;0),$AF$222/$AF$154,HLOOKUP(INDIRECT(ADDRESS(2,COLUMN())),OFFSET($CL$2,0,0,ROW()-1,84),ROW()-1,FALSE))</f>
        <v>20.029198789999999</v>
      </c>
      <c r="AG94">
        <f ca="1">IF(AND($B$252=1,LEN($AG$222) * LEN($AG$154)&gt;0),$AG$222/$AG$154,HLOOKUP(INDIRECT(ADDRESS(2,COLUMN())),OFFSET($CL$2,0,0,ROW()-1,84),ROW()-1,FALSE))</f>
        <v>21.687868080000001</v>
      </c>
      <c r="AH94">
        <f ca="1">IF(AND($B$252=1,LEN($AH$222) * LEN($AH$154)&gt;0),$AH$222/$AH$154,HLOOKUP(INDIRECT(ADDRESS(2,COLUMN())),OFFSET($CL$2,0,0,ROW()-1,84),ROW()-1,FALSE))</f>
        <v>21.45521067</v>
      </c>
      <c r="AI94">
        <f ca="1">IF(AND($B$252=1,LEN($AI$222) * LEN($AI$154)&gt;0),$AI$222/$AI$154,HLOOKUP(INDIRECT(ADDRESS(2,COLUMN())),OFFSET($CL$2,0,0,ROW()-1,84),ROW()-1,FALSE))</f>
        <v>20.63377788</v>
      </c>
      <c r="AJ94" t="str">
        <f ca="1">IF(AND($B$252=1,LEN($AJ$222) * LEN($AJ$154)&gt;0),$AJ$222/$AJ$154,HLOOKUP(INDIRECT(ADDRESS(2,COLUMN())),OFFSET($CL$2,0,0,ROW()-1,84),ROW()-1,FALSE))</f>
        <v/>
      </c>
      <c r="AK94">
        <f ca="1">IF(AND($B$252=1,LEN($AK$222) * LEN($AK$154)&gt;0),$AK$222/$AK$154,HLOOKUP(INDIRECT(ADDRESS(2,COLUMN())),OFFSET($CL$2,0,0,ROW()-1,84),ROW()-1,FALSE))</f>
        <v>20.402966630000002</v>
      </c>
      <c r="AL94">
        <f ca="1">IF(AND($B$252=1,LEN($AL$222) * LEN($AL$154)&gt;0),$AL$222/$AL$154,HLOOKUP(INDIRECT(ADDRESS(2,COLUMN())),OFFSET($CL$2,0,0,ROW()-1,84),ROW()-1,FALSE))</f>
        <v>21.42200124</v>
      </c>
      <c r="AM94" t="str">
        <f ca="1">IF(AND($B$252=1,LEN($AM$222) * LEN($AM$154)&gt;0),$AM$222/$AM$154,HLOOKUP(INDIRECT(ADDRESS(2,COLUMN())),OFFSET($CL$2,0,0,ROW()-1,84),ROW()-1,FALSE))</f>
        <v/>
      </c>
      <c r="AN94" t="str">
        <f ca="1">IF(AND($B$252=1,LEN($AN$222) * LEN($AN$154)&gt;0),$AN$222/$AN$154,HLOOKUP(INDIRECT(ADDRESS(2,COLUMN())),OFFSET($CL$2,0,0,ROW()-1,84),ROW()-1,FALSE))</f>
        <v/>
      </c>
      <c r="AO94">
        <f ca="1">IF(AND($B$252=1,LEN($AO$222) * LEN($AO$154)&gt;0),$AO$222/$AO$154,HLOOKUP(INDIRECT(ADDRESS(2,COLUMN())),OFFSET($CL$2,0,0,ROW()-1,84),ROW()-1,FALSE))</f>
        <v>21.482352939999998</v>
      </c>
      <c r="AP94" t="str">
        <f ca="1">IF(AND($B$252=1,LEN($AP$222) * LEN($AP$154)&gt;0),$AP$222/$AP$154,HLOOKUP(INDIRECT(ADDRESS(2,COLUMN())),OFFSET($CL$2,0,0,ROW()-1,84),ROW()-1,FALSE))</f>
        <v/>
      </c>
      <c r="AQ94" t="str">
        <f ca="1">IF(AND($B$252=1,LEN($AQ$222) * LEN($AQ$154)&gt;0),$AQ$222/$AQ$154,HLOOKUP(INDIRECT(ADDRESS(2,COLUMN())),OFFSET($CL$2,0,0,ROW()-1,84),ROW()-1,FALSE))</f>
        <v/>
      </c>
      <c r="AR94">
        <f ca="1">IF(AND($B$252=1,LEN($AR$222) * LEN($AR$154)&gt;0),$AR$222/$AR$154,HLOOKUP(INDIRECT(ADDRESS(2,COLUMN())),OFFSET($CL$2,0,0,ROW()-1,84),ROW()-1,FALSE))</f>
        <v>22.466233769999999</v>
      </c>
      <c r="AS94" t="str">
        <f ca="1">IF(AND($B$252=1,LEN($AS$222) * LEN($AS$154)&gt;0),$AS$222/$AS$154,HLOOKUP(INDIRECT(ADDRESS(2,COLUMN())),OFFSET($CL$2,0,0,ROW()-1,84),ROW()-1,FALSE))</f>
        <v/>
      </c>
      <c r="AT94" t="str">
        <f ca="1">IF(AND($B$252=1,LEN($AT$222) * LEN($AT$154)&gt;0),$AT$222/$AT$154,HLOOKUP(INDIRECT(ADDRESS(2,COLUMN())),OFFSET($CL$2,0,0,ROW()-1,84),ROW()-1,FALSE))</f>
        <v/>
      </c>
      <c r="AU94" t="str">
        <f ca="1">IF(AND($B$252=1,LEN($AU$222) * LEN($AU$154)&gt;0),$AU$222/$AU$154,HLOOKUP(INDIRECT(ADDRESS(2,COLUMN())),OFFSET($CL$2,0,0,ROW()-1,84),ROW()-1,FALSE))</f>
        <v/>
      </c>
      <c r="AV94" t="str">
        <f ca="1">IF(AND($B$252=1,LEN($AV$222) * LEN($AV$154)&gt;0),$AV$222/$AV$154,HLOOKUP(INDIRECT(ADDRESS(2,COLUMN())),OFFSET($CL$2,0,0,ROW()-1,84),ROW()-1,FALSE))</f>
        <v/>
      </c>
      <c r="AW94" t="str">
        <f ca="1">IF(AND($B$252=1,LEN($AW$222) * LEN($AW$154)&gt;0),$AW$222/$AW$154,HLOOKUP(INDIRECT(ADDRESS(2,COLUMN())),OFFSET($CL$2,0,0,ROW()-1,84),ROW()-1,FALSE))</f>
        <v/>
      </c>
      <c r="AX94" t="str">
        <f ca="1">IF(AND($B$252=1,LEN($AX$222) * LEN($AX$154)&gt;0),$AX$222/$AX$154,HLOOKUP(INDIRECT(ADDRESS(2,COLUMN())),OFFSET($CL$2,0,0,ROW()-1,84),ROW()-1,FALSE))</f>
        <v/>
      </c>
      <c r="AY94" t="str">
        <f ca="1">IF(AND($B$252=1,LEN($AY$222) * LEN($AY$154)&gt;0),$AY$222/$AY$154,HLOOKUP(INDIRECT(ADDRESS(2,COLUMN())),OFFSET($CL$2,0,0,ROW()-1,84),ROW()-1,FALSE))</f>
        <v/>
      </c>
      <c r="AZ94" t="str">
        <f ca="1">IF(AND($B$252=1,LEN($AZ$222) * LEN($AZ$154)&gt;0),$AZ$222/$AZ$154,HLOOKUP(INDIRECT(ADDRESS(2,COLUMN())),OFFSET($CL$2,0,0,ROW()-1,84),ROW()-1,FALSE))</f>
        <v/>
      </c>
      <c r="BA94" t="str">
        <f ca="1">IF(AND($B$252=1,LEN($BA$222) * LEN($BA$154)&gt;0),$BA$222/$BA$154,HLOOKUP(INDIRECT(ADDRESS(2,COLUMN())),OFFSET($CL$2,0,0,ROW()-1,84),ROW()-1,FALSE))</f>
        <v/>
      </c>
      <c r="BB94" t="str">
        <f ca="1">IF(AND($B$252=1,LEN($BB$222) * LEN($BB$154)&gt;0),$BB$222/$BB$154,HLOOKUP(INDIRECT(ADDRESS(2,COLUMN())),OFFSET($CL$2,0,0,ROW()-1,84),ROW()-1,FALSE))</f>
        <v/>
      </c>
      <c r="BC94" t="str">
        <f ca="1">IF(AND($B$252=1,LEN($BC$222) * LEN($BC$154)&gt;0),$BC$222/$BC$154,HLOOKUP(INDIRECT(ADDRESS(2,COLUMN())),OFFSET($CL$2,0,0,ROW()-1,84),ROW()-1,FALSE))</f>
        <v/>
      </c>
      <c r="BD94" t="str">
        <f ca="1">IF(AND($B$252=1,LEN($BD$222) * LEN($BD$154)&gt;0),$BD$222/$BD$154,HLOOKUP(INDIRECT(ADDRESS(2,COLUMN())),OFFSET($CL$2,0,0,ROW()-1,84),ROW()-1,FALSE))</f>
        <v/>
      </c>
      <c r="BE94" t="str">
        <f ca="1">IF(AND($B$252=1,LEN($BE$222) * LEN($BE$154)&gt;0),$BE$222/$BE$154,HLOOKUP(INDIRECT(ADDRESS(2,COLUMN())),OFFSET($CL$2,0,0,ROW()-1,84),ROW()-1,FALSE))</f>
        <v/>
      </c>
      <c r="BF94" t="str">
        <f ca="1">IF(AND($B$252=1,LEN($BF$222) * LEN($BF$154)&gt;0),$BF$222/$BF$154,HLOOKUP(INDIRECT(ADDRESS(2,COLUMN())),OFFSET($CL$2,0,0,ROW()-1,84),ROW()-1,FALSE))</f>
        <v/>
      </c>
      <c r="BG94" t="str">
        <f ca="1">IF(AND($B$252=1,LEN($BG$222) * LEN($BG$154)&gt;0),$BG$222/$BG$154,HLOOKUP(INDIRECT(ADDRESS(2,COLUMN())),OFFSET($CL$2,0,0,ROW()-1,84),ROW()-1,FALSE))</f>
        <v/>
      </c>
      <c r="BH94" t="str">
        <f ca="1">IF(AND($B$252=1,LEN($BH$222) * LEN($BH$154)&gt;0),$BH$222/$BH$154,HLOOKUP(INDIRECT(ADDRESS(2,COLUMN())),OFFSET($CL$2,0,0,ROW()-1,84),ROW()-1,FALSE))</f>
        <v/>
      </c>
      <c r="BI94" t="str">
        <f ca="1">IF(AND($B$252=1,LEN($BI$222) * LEN($BI$154)&gt;0),$BI$222/$BI$154,HLOOKUP(INDIRECT(ADDRESS(2,COLUMN())),OFFSET($CL$2,0,0,ROW()-1,84),ROW()-1,FALSE))</f>
        <v/>
      </c>
      <c r="BJ94" t="str">
        <f ca="1">IF(AND($B$252=1,LEN($BJ$222) * LEN($BJ$154)&gt;0),$BJ$222/$BJ$154,HLOOKUP(INDIRECT(ADDRESS(2,COLUMN())),OFFSET($CL$2,0,0,ROW()-1,84),ROW()-1,FALSE))</f>
        <v/>
      </c>
      <c r="BK94" t="str">
        <f ca="1">IF(AND($B$252=1,LEN($BK$222) * LEN($BK$154)&gt;0),$BK$222/$BK$154,HLOOKUP(INDIRECT(ADDRESS(2,COLUMN())),OFFSET($CL$2,0,0,ROW()-1,84),ROW()-1,FALSE))</f>
        <v/>
      </c>
      <c r="BL94" t="str">
        <f ca="1">IF(AND($B$252=1,LEN($BL$222) * LEN($BL$154)&gt;0),$BL$222/$BL$154,HLOOKUP(INDIRECT(ADDRESS(2,COLUMN())),OFFSET($CL$2,0,0,ROW()-1,84),ROW()-1,FALSE))</f>
        <v/>
      </c>
      <c r="BM94" t="str">
        <f ca="1">IF(AND($B$252=1,LEN($BM$222) * LEN($BM$154)&gt;0),$BM$222/$BM$154,HLOOKUP(INDIRECT(ADDRESS(2,COLUMN())),OFFSET($CL$2,0,0,ROW()-1,84),ROW()-1,FALSE))</f>
        <v/>
      </c>
      <c r="BN94" t="str">
        <f ca="1">IF(AND($B$252=1,LEN($BN$222) * LEN($BN$154)&gt;0),$BN$222/$BN$154,HLOOKUP(INDIRECT(ADDRESS(2,COLUMN())),OFFSET($CL$2,0,0,ROW()-1,84),ROW()-1,FALSE))</f>
        <v/>
      </c>
      <c r="BO94" t="str">
        <f ca="1">IF(AND($B$252=1,LEN($BO$222) * LEN($BO$154)&gt;0),$BO$222/$BO$154,HLOOKUP(INDIRECT(ADDRESS(2,COLUMN())),OFFSET($CL$2,0,0,ROW()-1,84),ROW()-1,FALSE))</f>
        <v/>
      </c>
      <c r="BP94" t="str">
        <f ca="1">IF(AND($B$252=1,LEN($BP$222) * LEN($BP$154)&gt;0),$BP$222/$BP$154,HLOOKUP(INDIRECT(ADDRESS(2,COLUMN())),OFFSET($CL$2,0,0,ROW()-1,84),ROW()-1,FALSE))</f>
        <v/>
      </c>
      <c r="BQ94" t="str">
        <f ca="1">IF(AND($B$252=1,LEN($BQ$222) * LEN($BQ$154)&gt;0),$BQ$222/$BQ$154,HLOOKUP(INDIRECT(ADDRESS(2,COLUMN())),OFFSET($CL$2,0,0,ROW()-1,84),ROW()-1,FALSE))</f>
        <v/>
      </c>
      <c r="BR94" t="str">
        <f ca="1">IF(AND($B$252=1,LEN($BR$222) * LEN($BR$154)&gt;0),$BR$222/$BR$154,HLOOKUP(INDIRECT(ADDRESS(2,COLUMN())),OFFSET($CL$2,0,0,ROW()-1,84),ROW()-1,FALSE))</f>
        <v/>
      </c>
      <c r="BS94" t="str">
        <f ca="1">IF(AND($B$252=1,LEN($BS$222) * LEN($BS$154)&gt;0),$BS$222/$BS$154,HLOOKUP(INDIRECT(ADDRESS(2,COLUMN())),OFFSET($CL$2,0,0,ROW()-1,84),ROW()-1,FALSE))</f>
        <v/>
      </c>
      <c r="BT94" t="str">
        <f ca="1">IF(AND($B$252=1,LEN($BT$222) * LEN($BT$154)&gt;0),$BT$222/$BT$154,HLOOKUP(INDIRECT(ADDRESS(2,COLUMN())),OFFSET($CL$2,0,0,ROW()-1,84),ROW()-1,FALSE))</f>
        <v/>
      </c>
      <c r="BU94" t="str">
        <f ca="1">IF(AND($B$252=1,LEN($BU$222) * LEN($BU$154)&gt;0),$BU$222/$BU$154,HLOOKUP(INDIRECT(ADDRESS(2,COLUMN())),OFFSET($CL$2,0,0,ROW()-1,84),ROW()-1,FALSE))</f>
        <v/>
      </c>
      <c r="BV94" t="str">
        <f ca="1">IF(AND($B$252=1,LEN($BV$222) * LEN($BV$154)&gt;0),$BV$222/$BV$154,HLOOKUP(INDIRECT(ADDRESS(2,COLUMN())),OFFSET($CL$2,0,0,ROW()-1,84),ROW()-1,FALSE))</f>
        <v/>
      </c>
      <c r="BW94" t="str">
        <f ca="1">IF(AND($B$252=1,LEN($BW$222) * LEN($BW$154)&gt;0),$BW$222/$BW$154,HLOOKUP(INDIRECT(ADDRESS(2,COLUMN())),OFFSET($CL$2,0,0,ROW()-1,84),ROW()-1,FALSE))</f>
        <v/>
      </c>
      <c r="BX94" t="str">
        <f ca="1">IF(AND($B$252=1,LEN($BX$222) * LEN($BX$154)&gt;0),$BX$222/$BX$154,HLOOKUP(INDIRECT(ADDRESS(2,COLUMN())),OFFSET($CL$2,0,0,ROW()-1,84),ROW()-1,FALSE))</f>
        <v/>
      </c>
      <c r="BY94" t="str">
        <f ca="1">IF(AND($B$252=1,LEN($BY$222) * LEN($BY$154)&gt;0),$BY$222/$BY$154,HLOOKUP(INDIRECT(ADDRESS(2,COLUMN())),OFFSET($CL$2,0,0,ROW()-1,84),ROW()-1,FALSE))</f>
        <v/>
      </c>
      <c r="BZ94" t="str">
        <f ca="1">IF(AND($B$252=1,LEN($BZ$222) * LEN($BZ$154)&gt;0),$BZ$222/$BZ$154,HLOOKUP(INDIRECT(ADDRESS(2,COLUMN())),OFFSET($CL$2,0,0,ROW()-1,84),ROW()-1,FALSE))</f>
        <v/>
      </c>
      <c r="CA94" t="str">
        <f ca="1">IF(AND($B$252=1,LEN($CA$222) * LEN($CA$154)&gt;0),$CA$222/$CA$154,HLOOKUP(INDIRECT(ADDRESS(2,COLUMN())),OFFSET($CL$2,0,0,ROW()-1,84),ROW()-1,FALSE))</f>
        <v/>
      </c>
      <c r="CB94" t="str">
        <f ca="1">IF(AND($B$252=1,LEN($CB$222) * LEN($CB$154)&gt;0),$CB$222/$CB$154,HLOOKUP(INDIRECT(ADDRESS(2,COLUMN())),OFFSET($CL$2,0,0,ROW()-1,84),ROW()-1,FALSE))</f>
        <v/>
      </c>
      <c r="CC94" t="str">
        <f ca="1">IF(AND($B$252=1,LEN($CC$222) * LEN($CC$154)&gt;0),$CC$222/$CC$154,HLOOKUP(INDIRECT(ADDRESS(2,COLUMN())),OFFSET($CL$2,0,0,ROW()-1,84),ROW()-1,FALSE))</f>
        <v/>
      </c>
      <c r="CD94" t="str">
        <f ca="1">IF(AND($B$252=1,LEN($CD$222) * LEN($CD$154)&gt;0),$CD$222/$CD$154,HLOOKUP(INDIRECT(ADDRESS(2,COLUMN())),OFFSET($CL$2,0,0,ROW()-1,84),ROW()-1,FALSE))</f>
        <v/>
      </c>
      <c r="CE94" t="str">
        <f ca="1">IF(AND($B$252=1,LEN($CE$222) * LEN($CE$154)&gt;0),$CE$222/$CE$154,HLOOKUP(INDIRECT(ADDRESS(2,COLUMN())),OFFSET($CL$2,0,0,ROW()-1,84),ROW()-1,FALSE))</f>
        <v/>
      </c>
      <c r="CF94" t="str">
        <f ca="1">IF(AND($B$252=1,LEN($CF$222) * LEN($CF$154)&gt;0),$CF$222/$CF$154,HLOOKUP(INDIRECT(ADDRESS(2,COLUMN())),OFFSET($CL$2,0,0,ROW()-1,84),ROW()-1,FALSE))</f>
        <v/>
      </c>
      <c r="CG94" t="str">
        <f ca="1">IF(AND($B$252=1,LEN($CG$222) * LEN($CG$154)&gt;0),$CG$222/$CG$154,HLOOKUP(INDIRECT(ADDRESS(2,COLUMN())),OFFSET($CL$2,0,0,ROW()-1,84),ROW()-1,FALSE))</f>
        <v/>
      </c>
      <c r="CH94" t="str">
        <f ca="1">IF(AND($B$252=1,LEN($CH$222) * LEN($CH$154)&gt;0),$CH$222/$CH$154,HLOOKUP(INDIRECT(ADDRESS(2,COLUMN())),OFFSET($CL$2,0,0,ROW()-1,84),ROW()-1,FALSE))</f>
        <v/>
      </c>
      <c r="CI94" t="str">
        <f ca="1">IF(AND($B$252=1,LEN($CI$222) * LEN($CI$154)&gt;0),$CI$222/$CI$154,HLOOKUP(INDIRECT(ADDRESS(2,COLUMN())),OFFSET($CL$2,0,0,ROW()-1,84),ROW()-1,FALSE))</f>
        <v/>
      </c>
      <c r="CJ94" t="str">
        <f ca="1">IF(AND($B$252=1,LEN($CJ$222) * LEN($CJ$154)&gt;0),$CJ$222/$CJ$154,HLOOKUP(INDIRECT(ADDRESS(2,COLUMN())),OFFSET($CL$2,0,0,ROW()-1,84),ROW()-1,FALSE))</f>
        <v/>
      </c>
      <c r="CK94" t="str">
        <f ca="1">IF(AND($B$252=1,LEN($CK$222) * LEN($CK$154)&gt;0),$CK$222/$CK$154,HLOOKUP(INDIRECT(ADDRESS(2,COLUMN())),OFFSET($CL$2,0,0,ROW()-1,84),ROW()-1,FALSE))</f>
        <v/>
      </c>
      <c r="CL94" t="str">
        <f>""</f>
        <v/>
      </c>
      <c r="CM94" t="str">
        <f>""</f>
        <v/>
      </c>
      <c r="CN94">
        <f>21.19402985</f>
        <v>21.19402985</v>
      </c>
      <c r="CO94">
        <f>22.24008975</f>
        <v>22.240089749999999</v>
      </c>
      <c r="CP94">
        <f>22.69461827</f>
        <v>22.694618269999999</v>
      </c>
      <c r="CQ94">
        <f>22.50589549</f>
        <v>22.50589549</v>
      </c>
      <c r="CR94">
        <f>22.18050721</f>
        <v>22.180507209999998</v>
      </c>
      <c r="CS94">
        <f>23.06548716</f>
        <v>23.06548716</v>
      </c>
      <c r="CT94">
        <f>23.63022113</f>
        <v>23.630221129999999</v>
      </c>
      <c r="CU94">
        <f>23.6429626</f>
        <v>23.642962600000001</v>
      </c>
      <c r="CV94">
        <f>23.47655291</f>
        <v>23.476552909999999</v>
      </c>
      <c r="CW94">
        <f>23.46020761</f>
        <v>23.460207610000001</v>
      </c>
      <c r="CX94">
        <f>22.52484358</f>
        <v>22.524843579999999</v>
      </c>
      <c r="CY94">
        <f>22.58294421</f>
        <v>22.582944210000001</v>
      </c>
      <c r="CZ94">
        <f>21.30162242</f>
        <v>21.301622420000001</v>
      </c>
      <c r="DA94">
        <f>21.72819821</f>
        <v>21.728198209999999</v>
      </c>
      <c r="DB94">
        <f>20.05241985</f>
        <v>20.05241985</v>
      </c>
      <c r="DC94">
        <f>20.9010989</f>
        <v>20.901098900000001</v>
      </c>
      <c r="DD94">
        <f>21.43683703</f>
        <v>21.43683703</v>
      </c>
      <c r="DE94">
        <f>21.12881806</f>
        <v>21.12881806</v>
      </c>
      <c r="DF94">
        <f>22.17775654</f>
        <v>22.177756540000001</v>
      </c>
      <c r="DG94">
        <f>21.40365449</f>
        <v>21.403654490000001</v>
      </c>
      <c r="DH94">
        <f>21.41683534</f>
        <v>21.416835339999999</v>
      </c>
      <c r="DI94">
        <f>21.09665871</f>
        <v>21.09665871</v>
      </c>
      <c r="DJ94">
        <f>22.32394366</f>
        <v>22.323943660000001</v>
      </c>
      <c r="DK94">
        <f>20.21910708</f>
        <v>20.219107080000001</v>
      </c>
      <c r="DL94">
        <f>20.02919879</f>
        <v>20.029198789999999</v>
      </c>
      <c r="DM94">
        <f>21.68786808</f>
        <v>21.687868080000001</v>
      </c>
      <c r="DN94">
        <f>21.45521067</f>
        <v>21.45521067</v>
      </c>
      <c r="DO94">
        <f>20.63377788</f>
        <v>20.63377788</v>
      </c>
      <c r="DP94" t="str">
        <f>""</f>
        <v/>
      </c>
      <c r="DQ94">
        <f>20.40296663</f>
        <v>20.402966630000002</v>
      </c>
      <c r="DR94">
        <f>21.42200124</f>
        <v>21.42200124</v>
      </c>
      <c r="DS94" t="str">
        <f>""</f>
        <v/>
      </c>
      <c r="DT94" t="str">
        <f>""</f>
        <v/>
      </c>
      <c r="DU94">
        <f>21.48235294</f>
        <v>21.482352939999998</v>
      </c>
      <c r="DV94" t="str">
        <f>""</f>
        <v/>
      </c>
      <c r="DW94" t="str">
        <f>""</f>
        <v/>
      </c>
      <c r="DX94">
        <f>22.46623377</f>
        <v>22.466233769999999</v>
      </c>
      <c r="DY94" t="str">
        <f>""</f>
        <v/>
      </c>
      <c r="DZ94" t="str">
        <f>""</f>
        <v/>
      </c>
      <c r="EA94" t="str">
        <f>""</f>
        <v/>
      </c>
      <c r="EB94" t="str">
        <f>""</f>
        <v/>
      </c>
      <c r="EC94" t="str">
        <f>""</f>
        <v/>
      </c>
      <c r="ED94" t="str">
        <f>""</f>
        <v/>
      </c>
      <c r="EE94" t="str">
        <f>""</f>
        <v/>
      </c>
      <c r="EF94" t="str">
        <f>""</f>
        <v/>
      </c>
      <c r="EG94" t="str">
        <f>""</f>
        <v/>
      </c>
      <c r="EH94" t="str">
        <f>""</f>
        <v/>
      </c>
      <c r="EI94" t="str">
        <f>""</f>
        <v/>
      </c>
      <c r="EJ94" t="str">
        <f>""</f>
        <v/>
      </c>
      <c r="EK94" t="str">
        <f>""</f>
        <v/>
      </c>
      <c r="EL94" t="str">
        <f>""</f>
        <v/>
      </c>
      <c r="EM94" t="str">
        <f>""</f>
        <v/>
      </c>
      <c r="EN94" t="str">
        <f>""</f>
        <v/>
      </c>
      <c r="EO94" t="str">
        <f>""</f>
        <v/>
      </c>
      <c r="EP94" t="str">
        <f>""</f>
        <v/>
      </c>
      <c r="EQ94" t="str">
        <f>""</f>
        <v/>
      </c>
      <c r="ER94" t="str">
        <f>""</f>
        <v/>
      </c>
      <c r="ES94" t="str">
        <f>""</f>
        <v/>
      </c>
      <c r="ET94" t="str">
        <f>""</f>
        <v/>
      </c>
      <c r="EU94" t="str">
        <f>""</f>
        <v/>
      </c>
      <c r="EV94" t="str">
        <f>""</f>
        <v/>
      </c>
      <c r="EW94" t="str">
        <f>""</f>
        <v/>
      </c>
      <c r="EX94" t="str">
        <f>""</f>
        <v/>
      </c>
      <c r="EY94" t="str">
        <f>""</f>
        <v/>
      </c>
      <c r="EZ94" t="str">
        <f>""</f>
        <v/>
      </c>
      <c r="FA94" t="str">
        <f>""</f>
        <v/>
      </c>
      <c r="FB94" t="str">
        <f>""</f>
        <v/>
      </c>
      <c r="FC94" t="str">
        <f>""</f>
        <v/>
      </c>
      <c r="FD94" t="str">
        <f>""</f>
        <v/>
      </c>
      <c r="FE94" t="str">
        <f>""</f>
        <v/>
      </c>
      <c r="FF94" t="str">
        <f>""</f>
        <v/>
      </c>
      <c r="FG94" t="str">
        <f>""</f>
        <v/>
      </c>
      <c r="FH94" t="str">
        <f>""</f>
        <v/>
      </c>
      <c r="FI94" t="str">
        <f>""</f>
        <v/>
      </c>
      <c r="FJ94" t="str">
        <f>""</f>
        <v/>
      </c>
      <c r="FK94" t="str">
        <f>""</f>
        <v/>
      </c>
      <c r="FL94" t="str">
        <f>""</f>
        <v/>
      </c>
      <c r="FM94" t="str">
        <f>""</f>
        <v/>
      </c>
      <c r="FN94" t="str">
        <f>""</f>
        <v/>
      </c>
      <c r="FO94" t="str">
        <f>""</f>
        <v/>
      </c>
      <c r="FP94" t="str">
        <f>""</f>
        <v/>
      </c>
      <c r="FQ94" t="str">
        <f>""</f>
        <v/>
      </c>
    </row>
    <row r="95" spans="1:173">
      <c r="A95" t="str">
        <f>"    Camden Property Trust"</f>
        <v xml:space="preserve">    Camden Property Trust</v>
      </c>
      <c r="B95" t="str">
        <f>"CPT US Equity"</f>
        <v>CPT US Equity</v>
      </c>
      <c r="E95" t="str">
        <f t="shared" si="31"/>
        <v>Expression</v>
      </c>
      <c r="F95" t="str">
        <f ca="1">IF(AND($B$252=1,LEN($F$223) * LEN($F$155)&gt;0),$F$223/$F$155,HLOOKUP(INDIRECT(ADDRESS(2,COLUMN())),OFFSET($CL$2,0,0,ROW()-1,84),ROW()-1,FALSE))</f>
        <v/>
      </c>
      <c r="G95" t="str">
        <f ca="1">IF(AND($B$252=1,LEN($G$223) * LEN($G$155)&gt;0),$G$223/$G$155,HLOOKUP(INDIRECT(ADDRESS(2,COLUMN())),OFFSET($CL$2,0,0,ROW()-1,84),ROW()-1,FALSE))</f>
        <v/>
      </c>
      <c r="H95">
        <f ca="1">IF(AND($B$252=1,LEN($H$223) * LEN($H$155)&gt;0),$H$223/$H$155,HLOOKUP(INDIRECT(ADDRESS(2,COLUMN())),OFFSET($CL$2,0,0,ROW()-1,84),ROW()-1,FALSE))</f>
        <v>22.43068152</v>
      </c>
      <c r="I95">
        <f ca="1">IF(AND($B$252=1,LEN($I$223) * LEN($I$155)&gt;0),$I$223/$I$155,HLOOKUP(INDIRECT(ADDRESS(2,COLUMN())),OFFSET($CL$2,0,0,ROW()-1,84),ROW()-1,FALSE))</f>
        <v>23.955243299999999</v>
      </c>
      <c r="J95">
        <f ca="1">IF(AND($B$252=1,LEN($J$223) * LEN($J$155)&gt;0),$J$223/$J$155,HLOOKUP(INDIRECT(ADDRESS(2,COLUMN())),OFFSET($CL$2,0,0,ROW()-1,84),ROW()-1,FALSE))</f>
        <v>23.78322043</v>
      </c>
      <c r="K95">
        <f ca="1">IF(AND($B$252=1,LEN($K$223) * LEN($K$155)&gt;0),$K$223/$K$155,HLOOKUP(INDIRECT(ADDRESS(2,COLUMN())),OFFSET($CL$2,0,0,ROW()-1,84),ROW()-1,FALSE))</f>
        <v>23.847360170000002</v>
      </c>
      <c r="L95">
        <f ca="1">IF(AND($B$252=1,LEN($L$223) * LEN($L$155)&gt;0),$L$223/$L$155,HLOOKUP(INDIRECT(ADDRESS(2,COLUMN())),OFFSET($CL$2,0,0,ROW()-1,84),ROW()-1,FALSE))</f>
        <v>23.521090529999999</v>
      </c>
      <c r="M95">
        <f ca="1">IF(AND($B$252=1,LEN($M$223) * LEN($M$155)&gt;0),$M$223/$M$155,HLOOKUP(INDIRECT(ADDRESS(2,COLUMN())),OFFSET($CL$2,0,0,ROW()-1,84),ROW()-1,FALSE))</f>
        <v>22.69338067</v>
      </c>
      <c r="N95">
        <f ca="1">IF(AND($B$252=1,LEN($N$223) * LEN($N$155)&gt;0),$N$223/$N$155,HLOOKUP(INDIRECT(ADDRESS(2,COLUMN())),OFFSET($CL$2,0,0,ROW()-1,84),ROW()-1,FALSE))</f>
        <v>22.69162661</v>
      </c>
      <c r="O95">
        <f ca="1">IF(AND($B$252=1,LEN($O$223) * LEN($O$155)&gt;0),$O$223/$O$155,HLOOKUP(INDIRECT(ADDRESS(2,COLUMN())),OFFSET($CL$2,0,0,ROW()-1,84),ROW()-1,FALSE))</f>
        <v>21.785987259999999</v>
      </c>
      <c r="P95">
        <f ca="1">IF(AND($B$252=1,LEN($P$223) * LEN($P$155)&gt;0),$P$223/$P$155,HLOOKUP(INDIRECT(ADDRESS(2,COLUMN())),OFFSET($CL$2,0,0,ROW()-1,84),ROW()-1,FALSE))</f>
        <v>21.26882818</v>
      </c>
      <c r="Q95">
        <f ca="1">IF(AND($B$252=1,LEN($Q$223) * LEN($Q$155)&gt;0),$Q$223/$Q$155,HLOOKUP(INDIRECT(ADDRESS(2,COLUMN())),OFFSET($CL$2,0,0,ROW()-1,84),ROW()-1,FALSE))</f>
        <v>20.895939089999999</v>
      </c>
      <c r="R95">
        <f ca="1">IF(AND($B$252=1,LEN($R$223) * LEN($R$155)&gt;0),$R$223/$R$155,HLOOKUP(INDIRECT(ADDRESS(2,COLUMN())),OFFSET($CL$2,0,0,ROW()-1,84),ROW()-1,FALSE))</f>
        <v>20.98044329</v>
      </c>
      <c r="S95">
        <f ca="1">IF(AND($B$252=1,LEN($S$223) * LEN($S$155)&gt;0),$S$223/$S$155,HLOOKUP(INDIRECT(ADDRESS(2,COLUMN())),OFFSET($CL$2,0,0,ROW()-1,84),ROW()-1,FALSE))</f>
        <v>22.073011730000001</v>
      </c>
      <c r="T95">
        <f ca="1">IF(AND($B$252=1,LEN($T$223) * LEN($T$155)&gt;0),$T$223/$T$155,HLOOKUP(INDIRECT(ADDRESS(2,COLUMN())),OFFSET($CL$2,0,0,ROW()-1,84),ROW()-1,FALSE))</f>
        <v>21.124873610000002</v>
      </c>
      <c r="U95">
        <f ca="1">IF(AND($B$252=1,LEN($U$223) * LEN($U$155)&gt;0),$U$223/$U$155,HLOOKUP(INDIRECT(ADDRESS(2,COLUMN())),OFFSET($CL$2,0,0,ROW()-1,84),ROW()-1,FALSE))</f>
        <v>21.235160390000001</v>
      </c>
      <c r="V95">
        <f ca="1">IF(AND($B$252=1,LEN($V$223) * LEN($V$155)&gt;0),$V$223/$V$155,HLOOKUP(INDIRECT(ADDRESS(2,COLUMN())),OFFSET($CL$2,0,0,ROW()-1,84),ROW()-1,FALSE))</f>
        <v>20.007625829999999</v>
      </c>
      <c r="W95">
        <f ca="1">IF(AND($B$252=1,LEN($W$223) * LEN($W$155)&gt;0),$W$223/$W$155,HLOOKUP(INDIRECT(ADDRESS(2,COLUMN())),OFFSET($CL$2,0,0,ROW()-1,84),ROW()-1,FALSE))</f>
        <v>21.011351909999998</v>
      </c>
      <c r="X95">
        <f ca="1">IF(AND($B$252=1,LEN($X$223) * LEN($X$155)&gt;0),$X$223/$X$155,HLOOKUP(INDIRECT(ADDRESS(2,COLUMN())),OFFSET($CL$2,0,0,ROW()-1,84),ROW()-1,FALSE))</f>
        <v>21.532527640000001</v>
      </c>
      <c r="Y95">
        <f ca="1">IF(AND($B$252=1,LEN($Y$223) * LEN($Y$155)&gt;0),$Y$223/$Y$155,HLOOKUP(INDIRECT(ADDRESS(2,COLUMN())),OFFSET($CL$2,0,0,ROW()-1,84),ROW()-1,FALSE))</f>
        <v>22.592020590000001</v>
      </c>
      <c r="Z95">
        <f ca="1">IF(AND($B$252=1,LEN($Z$223) * LEN($Z$155)&gt;0),$Z$223/$Z$155,HLOOKUP(INDIRECT(ADDRESS(2,COLUMN())),OFFSET($CL$2,0,0,ROW()-1,84),ROW()-1,FALSE))</f>
        <v>23.161840739999999</v>
      </c>
      <c r="AA95">
        <f ca="1">IF(AND($B$252=1,LEN($AA$223) * LEN($AA$155)&gt;0),$AA$223/$AA$155,HLOOKUP(INDIRECT(ADDRESS(2,COLUMN())),OFFSET($CL$2,0,0,ROW()-1,84),ROW()-1,FALSE))</f>
        <v>22.812177500000001</v>
      </c>
      <c r="AB95">
        <f ca="1">IF(AND($B$252=1,LEN($AB$223) * LEN($AB$155)&gt;0),$AB$223/$AB$155,HLOOKUP(INDIRECT(ADDRESS(2,COLUMN())),OFFSET($CL$2,0,0,ROW()-1,84),ROW()-1,FALSE))</f>
        <v>21.709554140000002</v>
      </c>
      <c r="AC95">
        <f ca="1">IF(AND($B$252=1,LEN($AC$223) * LEN($AC$155)&gt;0),$AC$223/$AC$155,HLOOKUP(INDIRECT(ADDRESS(2,COLUMN())),OFFSET($CL$2,0,0,ROW()-1,84),ROW()-1,FALSE))</f>
        <v>18.844537819999999</v>
      </c>
      <c r="AD95">
        <f ca="1">IF(AND($B$252=1,LEN($AD$223) * LEN($AD$155)&gt;0),$AD$223/$AD$155,HLOOKUP(INDIRECT(ADDRESS(2,COLUMN())),OFFSET($CL$2,0,0,ROW()-1,84),ROW()-1,FALSE))</f>
        <v>19.411357339999999</v>
      </c>
      <c r="AE95">
        <f ca="1">IF(AND($B$252=1,LEN($AE$223) * LEN($AE$155)&gt;0),$AE$223/$AE$155,HLOOKUP(INDIRECT(ADDRESS(2,COLUMN())),OFFSET($CL$2,0,0,ROW()-1,84),ROW()-1,FALSE))</f>
        <v>17.296922009999999</v>
      </c>
      <c r="AF95">
        <f ca="1">IF(AND($B$252=1,LEN($AF$223) * LEN($AF$155)&gt;0),$AF$223/$AF$155,HLOOKUP(INDIRECT(ADDRESS(2,COLUMN())),OFFSET($CL$2,0,0,ROW()-1,84),ROW()-1,FALSE))</f>
        <v>17.57659525</v>
      </c>
      <c r="AG95">
        <f ca="1">IF(AND($B$252=1,LEN($AG$223) * LEN($AG$155)&gt;0),$AG$223/$AG$155,HLOOKUP(INDIRECT(ADDRESS(2,COLUMN())),OFFSET($CL$2,0,0,ROW()-1,84),ROW()-1,FALSE))</f>
        <v>17.80148423</v>
      </c>
      <c r="AH95">
        <f ca="1">IF(AND($B$252=1,LEN($AH$223) * LEN($AH$155)&gt;0),$AH$223/$AH$155,HLOOKUP(INDIRECT(ADDRESS(2,COLUMN())),OFFSET($CL$2,0,0,ROW()-1,84),ROW()-1,FALSE))</f>
        <v>17.518348620000001</v>
      </c>
      <c r="AI95">
        <f ca="1">IF(AND($B$252=1,LEN($AI$223) * LEN($AI$155)&gt;0),$AI$223/$AI$155,HLOOKUP(INDIRECT(ADDRESS(2,COLUMN())),OFFSET($CL$2,0,0,ROW()-1,84),ROW()-1,FALSE))</f>
        <v>16.904925540000001</v>
      </c>
      <c r="AJ95">
        <f ca="1">IF(AND($B$252=1,LEN($AJ$223) * LEN($AJ$155)&gt;0),$AJ$223/$AJ$155,HLOOKUP(INDIRECT(ADDRESS(2,COLUMN())),OFFSET($CL$2,0,0,ROW()-1,84),ROW()-1,FALSE))</f>
        <v>16.891428569999999</v>
      </c>
      <c r="AK95">
        <f ca="1">IF(AND($B$252=1,LEN($AK$223) * LEN($AK$155)&gt;0),$AK$223/$AK$155,HLOOKUP(INDIRECT(ADDRESS(2,COLUMN())),OFFSET($CL$2,0,0,ROW()-1,84),ROW()-1,FALSE))</f>
        <v>16.463999999999999</v>
      </c>
      <c r="AL95">
        <f ca="1">IF(AND($B$252=1,LEN($AL$223) * LEN($AL$155)&gt;0),$AL$223/$AL$155,HLOOKUP(INDIRECT(ADDRESS(2,COLUMN())),OFFSET($CL$2,0,0,ROW()-1,84),ROW()-1,FALSE))</f>
        <v>18.221967960000001</v>
      </c>
      <c r="AM95" t="str">
        <f ca="1">IF(AND($B$252=1,LEN($AM$223) * LEN($AM$155)&gt;0),$AM$223/$AM$155,HLOOKUP(INDIRECT(ADDRESS(2,COLUMN())),OFFSET($CL$2,0,0,ROW()-1,84),ROW()-1,FALSE))</f>
        <v/>
      </c>
      <c r="AN95" t="str">
        <f ca="1">IF(AND($B$252=1,LEN($AN$223) * LEN($AN$155)&gt;0),$AN$223/$AN$155,HLOOKUP(INDIRECT(ADDRESS(2,COLUMN())),OFFSET($CL$2,0,0,ROW()-1,84),ROW()-1,FALSE))</f>
        <v/>
      </c>
      <c r="AO95">
        <f ca="1">IF(AND($B$252=1,LEN($AO$223) * LEN($AO$155)&gt;0),$AO$223/$AO$155,HLOOKUP(INDIRECT(ADDRESS(2,COLUMN())),OFFSET($CL$2,0,0,ROW()-1,84),ROW()-1,FALSE))</f>
        <v>17.180778029999999</v>
      </c>
      <c r="AP95" t="str">
        <f ca="1">IF(AND($B$252=1,LEN($AP$223) * LEN($AP$155)&gt;0),$AP$223/$AP$155,HLOOKUP(INDIRECT(ADDRESS(2,COLUMN())),OFFSET($CL$2,0,0,ROW()-1,84),ROW()-1,FALSE))</f>
        <v/>
      </c>
      <c r="AQ95" t="str">
        <f ca="1">IF(AND($B$252=1,LEN($AQ$223) * LEN($AQ$155)&gt;0),$AQ$223/$AQ$155,HLOOKUP(INDIRECT(ADDRESS(2,COLUMN())),OFFSET($CL$2,0,0,ROW()-1,84),ROW()-1,FALSE))</f>
        <v/>
      </c>
      <c r="AR95">
        <f ca="1">IF(AND($B$252=1,LEN($AR$223) * LEN($AR$155)&gt;0),$AR$223/$AR$155,HLOOKUP(INDIRECT(ADDRESS(2,COLUMN())),OFFSET($CL$2,0,0,ROW()-1,84),ROW()-1,FALSE))</f>
        <v>17.551252850000001</v>
      </c>
      <c r="AS95" t="str">
        <f ca="1">IF(AND($B$252=1,LEN($AS$223) * LEN($AS$155)&gt;0),$AS$223/$AS$155,HLOOKUP(INDIRECT(ADDRESS(2,COLUMN())),OFFSET($CL$2,0,0,ROW()-1,84),ROW()-1,FALSE))</f>
        <v/>
      </c>
      <c r="AT95" t="str">
        <f ca="1">IF(AND($B$252=1,LEN($AT$223) * LEN($AT$155)&gt;0),$AT$223/$AT$155,HLOOKUP(INDIRECT(ADDRESS(2,COLUMN())),OFFSET($CL$2,0,0,ROW()-1,84),ROW()-1,FALSE))</f>
        <v/>
      </c>
      <c r="AU95" t="str">
        <f ca="1">IF(AND($B$252=1,LEN($AU$223) * LEN($AU$155)&gt;0),$AU$223/$AU$155,HLOOKUP(INDIRECT(ADDRESS(2,COLUMN())),OFFSET($CL$2,0,0,ROW()-1,84),ROW()-1,FALSE))</f>
        <v/>
      </c>
      <c r="AV95" t="str">
        <f ca="1">IF(AND($B$252=1,LEN($AV$223) * LEN($AV$155)&gt;0),$AV$223/$AV$155,HLOOKUP(INDIRECT(ADDRESS(2,COLUMN())),OFFSET($CL$2,0,0,ROW()-1,84),ROW()-1,FALSE))</f>
        <v/>
      </c>
      <c r="AW95" t="str">
        <f ca="1">IF(AND($B$252=1,LEN($AW$223) * LEN($AW$155)&gt;0),$AW$223/$AW$155,HLOOKUP(INDIRECT(ADDRESS(2,COLUMN())),OFFSET($CL$2,0,0,ROW()-1,84),ROW()-1,FALSE))</f>
        <v/>
      </c>
      <c r="AX95" t="str">
        <f ca="1">IF(AND($B$252=1,LEN($AX$223) * LEN($AX$155)&gt;0),$AX$223/$AX$155,HLOOKUP(INDIRECT(ADDRESS(2,COLUMN())),OFFSET($CL$2,0,0,ROW()-1,84),ROW()-1,FALSE))</f>
        <v/>
      </c>
      <c r="AY95" t="str">
        <f ca="1">IF(AND($B$252=1,LEN($AY$223) * LEN($AY$155)&gt;0),$AY$223/$AY$155,HLOOKUP(INDIRECT(ADDRESS(2,COLUMN())),OFFSET($CL$2,0,0,ROW()-1,84),ROW()-1,FALSE))</f>
        <v/>
      </c>
      <c r="AZ95" t="str">
        <f ca="1">IF(AND($B$252=1,LEN($AZ$223) * LEN($AZ$155)&gt;0),$AZ$223/$AZ$155,HLOOKUP(INDIRECT(ADDRESS(2,COLUMN())),OFFSET($CL$2,0,0,ROW()-1,84),ROW()-1,FALSE))</f>
        <v/>
      </c>
      <c r="BA95" t="str">
        <f ca="1">IF(AND($B$252=1,LEN($BA$223) * LEN($BA$155)&gt;0),$BA$223/$BA$155,HLOOKUP(INDIRECT(ADDRESS(2,COLUMN())),OFFSET($CL$2,0,0,ROW()-1,84),ROW()-1,FALSE))</f>
        <v/>
      </c>
      <c r="BB95" t="str">
        <f ca="1">IF(AND($B$252=1,LEN($BB$223) * LEN($BB$155)&gt;0),$BB$223/$BB$155,HLOOKUP(INDIRECT(ADDRESS(2,COLUMN())),OFFSET($CL$2,0,0,ROW()-1,84),ROW()-1,FALSE))</f>
        <v/>
      </c>
      <c r="BC95" t="str">
        <f ca="1">IF(AND($B$252=1,LEN($BC$223) * LEN($BC$155)&gt;0),$BC$223/$BC$155,HLOOKUP(INDIRECT(ADDRESS(2,COLUMN())),OFFSET($CL$2,0,0,ROW()-1,84),ROW()-1,FALSE))</f>
        <v/>
      </c>
      <c r="BD95" t="str">
        <f ca="1">IF(AND($B$252=1,LEN($BD$223) * LEN($BD$155)&gt;0),$BD$223/$BD$155,HLOOKUP(INDIRECT(ADDRESS(2,COLUMN())),OFFSET($CL$2,0,0,ROW()-1,84),ROW()-1,FALSE))</f>
        <v/>
      </c>
      <c r="BE95" t="str">
        <f ca="1">IF(AND($B$252=1,LEN($BE$223) * LEN($BE$155)&gt;0),$BE$223/$BE$155,HLOOKUP(INDIRECT(ADDRESS(2,COLUMN())),OFFSET($CL$2,0,0,ROW()-1,84),ROW()-1,FALSE))</f>
        <v/>
      </c>
      <c r="BF95" t="str">
        <f ca="1">IF(AND($B$252=1,LEN($BF$223) * LEN($BF$155)&gt;0),$BF$223/$BF$155,HLOOKUP(INDIRECT(ADDRESS(2,COLUMN())),OFFSET($CL$2,0,0,ROW()-1,84),ROW()-1,FALSE))</f>
        <v/>
      </c>
      <c r="BG95" t="str">
        <f ca="1">IF(AND($B$252=1,LEN($BG$223) * LEN($BG$155)&gt;0),$BG$223/$BG$155,HLOOKUP(INDIRECT(ADDRESS(2,COLUMN())),OFFSET($CL$2,0,0,ROW()-1,84),ROW()-1,FALSE))</f>
        <v/>
      </c>
      <c r="BH95" t="str">
        <f ca="1">IF(AND($B$252=1,LEN($BH$223) * LEN($BH$155)&gt;0),$BH$223/$BH$155,HLOOKUP(INDIRECT(ADDRESS(2,COLUMN())),OFFSET($CL$2,0,0,ROW()-1,84),ROW()-1,FALSE))</f>
        <v/>
      </c>
      <c r="BI95" t="str">
        <f ca="1">IF(AND($B$252=1,LEN($BI$223) * LEN($BI$155)&gt;0),$BI$223/$BI$155,HLOOKUP(INDIRECT(ADDRESS(2,COLUMN())),OFFSET($CL$2,0,0,ROW()-1,84),ROW()-1,FALSE))</f>
        <v/>
      </c>
      <c r="BJ95" t="str">
        <f ca="1">IF(AND($B$252=1,LEN($BJ$223) * LEN($BJ$155)&gt;0),$BJ$223/$BJ$155,HLOOKUP(INDIRECT(ADDRESS(2,COLUMN())),OFFSET($CL$2,0,0,ROW()-1,84),ROW()-1,FALSE))</f>
        <v/>
      </c>
      <c r="BK95" t="str">
        <f ca="1">IF(AND($B$252=1,LEN($BK$223) * LEN($BK$155)&gt;0),$BK$223/$BK$155,HLOOKUP(INDIRECT(ADDRESS(2,COLUMN())),OFFSET($CL$2,0,0,ROW()-1,84),ROW()-1,FALSE))</f>
        <v/>
      </c>
      <c r="BL95" t="str">
        <f ca="1">IF(AND($B$252=1,LEN($BL$223) * LEN($BL$155)&gt;0),$BL$223/$BL$155,HLOOKUP(INDIRECT(ADDRESS(2,COLUMN())),OFFSET($CL$2,0,0,ROW()-1,84),ROW()-1,FALSE))</f>
        <v/>
      </c>
      <c r="BM95" t="str">
        <f ca="1">IF(AND($B$252=1,LEN($BM$223) * LEN($BM$155)&gt;0),$BM$223/$BM$155,HLOOKUP(INDIRECT(ADDRESS(2,COLUMN())),OFFSET($CL$2,0,0,ROW()-1,84),ROW()-1,FALSE))</f>
        <v/>
      </c>
      <c r="BN95" t="str">
        <f ca="1">IF(AND($B$252=1,LEN($BN$223) * LEN($BN$155)&gt;0),$BN$223/$BN$155,HLOOKUP(INDIRECT(ADDRESS(2,COLUMN())),OFFSET($CL$2,0,0,ROW()-1,84),ROW()-1,FALSE))</f>
        <v/>
      </c>
      <c r="BO95" t="str">
        <f ca="1">IF(AND($B$252=1,LEN($BO$223) * LEN($BO$155)&gt;0),$BO$223/$BO$155,HLOOKUP(INDIRECT(ADDRESS(2,COLUMN())),OFFSET($CL$2,0,0,ROW()-1,84),ROW()-1,FALSE))</f>
        <v/>
      </c>
      <c r="BP95" t="str">
        <f ca="1">IF(AND($B$252=1,LEN($BP$223) * LEN($BP$155)&gt;0),$BP$223/$BP$155,HLOOKUP(INDIRECT(ADDRESS(2,COLUMN())),OFFSET($CL$2,0,0,ROW()-1,84),ROW()-1,FALSE))</f>
        <v/>
      </c>
      <c r="BQ95" t="str">
        <f ca="1">IF(AND($B$252=1,LEN($BQ$223) * LEN($BQ$155)&gt;0),$BQ$223/$BQ$155,HLOOKUP(INDIRECT(ADDRESS(2,COLUMN())),OFFSET($CL$2,0,0,ROW()-1,84),ROW()-1,FALSE))</f>
        <v/>
      </c>
      <c r="BR95" t="str">
        <f ca="1">IF(AND($B$252=1,LEN($BR$223) * LEN($BR$155)&gt;0),$BR$223/$BR$155,HLOOKUP(INDIRECT(ADDRESS(2,COLUMN())),OFFSET($CL$2,0,0,ROW()-1,84),ROW()-1,FALSE))</f>
        <v/>
      </c>
      <c r="BS95" t="str">
        <f ca="1">IF(AND($B$252=1,LEN($BS$223) * LEN($BS$155)&gt;0),$BS$223/$BS$155,HLOOKUP(INDIRECT(ADDRESS(2,COLUMN())),OFFSET($CL$2,0,0,ROW()-1,84),ROW()-1,FALSE))</f>
        <v/>
      </c>
      <c r="BT95" t="str">
        <f ca="1">IF(AND($B$252=1,LEN($BT$223) * LEN($BT$155)&gt;0),$BT$223/$BT$155,HLOOKUP(INDIRECT(ADDRESS(2,COLUMN())),OFFSET($CL$2,0,0,ROW()-1,84),ROW()-1,FALSE))</f>
        <v/>
      </c>
      <c r="BU95" t="str">
        <f ca="1">IF(AND($B$252=1,LEN($BU$223) * LEN($BU$155)&gt;0),$BU$223/$BU$155,HLOOKUP(INDIRECT(ADDRESS(2,COLUMN())),OFFSET($CL$2,0,0,ROW()-1,84),ROW()-1,FALSE))</f>
        <v/>
      </c>
      <c r="BV95" t="str">
        <f ca="1">IF(AND($B$252=1,LEN($BV$223) * LEN($BV$155)&gt;0),$BV$223/$BV$155,HLOOKUP(INDIRECT(ADDRESS(2,COLUMN())),OFFSET($CL$2,0,0,ROW()-1,84),ROW()-1,FALSE))</f>
        <v/>
      </c>
      <c r="BW95" t="str">
        <f ca="1">IF(AND($B$252=1,LEN($BW$223) * LEN($BW$155)&gt;0),$BW$223/$BW$155,HLOOKUP(INDIRECT(ADDRESS(2,COLUMN())),OFFSET($CL$2,0,0,ROW()-1,84),ROW()-1,FALSE))</f>
        <v/>
      </c>
      <c r="BX95" t="str">
        <f ca="1">IF(AND($B$252=1,LEN($BX$223) * LEN($BX$155)&gt;0),$BX$223/$BX$155,HLOOKUP(INDIRECT(ADDRESS(2,COLUMN())),OFFSET($CL$2,0,0,ROW()-1,84),ROW()-1,FALSE))</f>
        <v/>
      </c>
      <c r="BY95" t="str">
        <f ca="1">IF(AND($B$252=1,LEN($BY$223) * LEN($BY$155)&gt;0),$BY$223/$BY$155,HLOOKUP(INDIRECT(ADDRESS(2,COLUMN())),OFFSET($CL$2,0,0,ROW()-1,84),ROW()-1,FALSE))</f>
        <v/>
      </c>
      <c r="BZ95" t="str">
        <f ca="1">IF(AND($B$252=1,LEN($BZ$223) * LEN($BZ$155)&gt;0),$BZ$223/$BZ$155,HLOOKUP(INDIRECT(ADDRESS(2,COLUMN())),OFFSET($CL$2,0,0,ROW()-1,84),ROW()-1,FALSE))</f>
        <v/>
      </c>
      <c r="CA95" t="str">
        <f ca="1">IF(AND($B$252=1,LEN($CA$223) * LEN($CA$155)&gt;0),$CA$223/$CA$155,HLOOKUP(INDIRECT(ADDRESS(2,COLUMN())),OFFSET($CL$2,0,0,ROW()-1,84),ROW()-1,FALSE))</f>
        <v/>
      </c>
      <c r="CB95" t="str">
        <f ca="1">IF(AND($B$252=1,LEN($CB$223) * LEN($CB$155)&gt;0),$CB$223/$CB$155,HLOOKUP(INDIRECT(ADDRESS(2,COLUMN())),OFFSET($CL$2,0,0,ROW()-1,84),ROW()-1,FALSE))</f>
        <v/>
      </c>
      <c r="CC95" t="str">
        <f ca="1">IF(AND($B$252=1,LEN($CC$223) * LEN($CC$155)&gt;0),$CC$223/$CC$155,HLOOKUP(INDIRECT(ADDRESS(2,COLUMN())),OFFSET($CL$2,0,0,ROW()-1,84),ROW()-1,FALSE))</f>
        <v/>
      </c>
      <c r="CD95" t="str">
        <f ca="1">IF(AND($B$252=1,LEN($CD$223) * LEN($CD$155)&gt;0),$CD$223/$CD$155,HLOOKUP(INDIRECT(ADDRESS(2,COLUMN())),OFFSET($CL$2,0,0,ROW()-1,84),ROW()-1,FALSE))</f>
        <v/>
      </c>
      <c r="CE95" t="str">
        <f ca="1">IF(AND($B$252=1,LEN($CE$223) * LEN($CE$155)&gt;0),$CE$223/$CE$155,HLOOKUP(INDIRECT(ADDRESS(2,COLUMN())),OFFSET($CL$2,0,0,ROW()-1,84),ROW()-1,FALSE))</f>
        <v/>
      </c>
      <c r="CF95" t="str">
        <f ca="1">IF(AND($B$252=1,LEN($CF$223) * LEN($CF$155)&gt;0),$CF$223/$CF$155,HLOOKUP(INDIRECT(ADDRESS(2,COLUMN())),OFFSET($CL$2,0,0,ROW()-1,84),ROW()-1,FALSE))</f>
        <v/>
      </c>
      <c r="CG95" t="str">
        <f ca="1">IF(AND($B$252=1,LEN($CG$223) * LEN($CG$155)&gt;0),$CG$223/$CG$155,HLOOKUP(INDIRECT(ADDRESS(2,COLUMN())),OFFSET($CL$2,0,0,ROW()-1,84),ROW()-1,FALSE))</f>
        <v/>
      </c>
      <c r="CH95" t="str">
        <f ca="1">IF(AND($B$252=1,LEN($CH$223) * LEN($CH$155)&gt;0),$CH$223/$CH$155,HLOOKUP(INDIRECT(ADDRESS(2,COLUMN())),OFFSET($CL$2,0,0,ROW()-1,84),ROW()-1,FALSE))</f>
        <v/>
      </c>
      <c r="CI95" t="str">
        <f ca="1">IF(AND($B$252=1,LEN($CI$223) * LEN($CI$155)&gt;0),$CI$223/$CI$155,HLOOKUP(INDIRECT(ADDRESS(2,COLUMN())),OFFSET($CL$2,0,0,ROW()-1,84),ROW()-1,FALSE))</f>
        <v/>
      </c>
      <c r="CJ95" t="str">
        <f ca="1">IF(AND($B$252=1,LEN($CJ$223) * LEN($CJ$155)&gt;0),$CJ$223/$CJ$155,HLOOKUP(INDIRECT(ADDRESS(2,COLUMN())),OFFSET($CL$2,0,0,ROW()-1,84),ROW()-1,FALSE))</f>
        <v/>
      </c>
      <c r="CK95" t="str">
        <f ca="1">IF(AND($B$252=1,LEN($CK$223) * LEN($CK$155)&gt;0),$CK$223/$CK$155,HLOOKUP(INDIRECT(ADDRESS(2,COLUMN())),OFFSET($CL$2,0,0,ROW()-1,84),ROW()-1,FALSE))</f>
        <v/>
      </c>
      <c r="CL95" t="str">
        <f>""</f>
        <v/>
      </c>
      <c r="CM95" t="str">
        <f>""</f>
        <v/>
      </c>
      <c r="CN95">
        <f>22.43068152</f>
        <v>22.43068152</v>
      </c>
      <c r="CO95">
        <f>23.9552433</f>
        <v>23.955243299999999</v>
      </c>
      <c r="CP95">
        <f>23.78322043</f>
        <v>23.78322043</v>
      </c>
      <c r="CQ95">
        <f>23.84736017</f>
        <v>23.847360170000002</v>
      </c>
      <c r="CR95">
        <f>23.52109053</f>
        <v>23.521090529999999</v>
      </c>
      <c r="CS95">
        <f>22.69338067</f>
        <v>22.69338067</v>
      </c>
      <c r="CT95">
        <f>22.69162661</f>
        <v>22.69162661</v>
      </c>
      <c r="CU95">
        <f>21.78598726</f>
        <v>21.785987259999999</v>
      </c>
      <c r="CV95">
        <f>21.26882818</f>
        <v>21.26882818</v>
      </c>
      <c r="CW95">
        <f>20.89593909</f>
        <v>20.895939089999999</v>
      </c>
      <c r="CX95">
        <f>20.98044329</f>
        <v>20.98044329</v>
      </c>
      <c r="CY95">
        <f>22.07301173</f>
        <v>22.073011730000001</v>
      </c>
      <c r="CZ95">
        <f>21.12487361</f>
        <v>21.124873610000002</v>
      </c>
      <c r="DA95">
        <f>21.23516039</f>
        <v>21.235160390000001</v>
      </c>
      <c r="DB95">
        <f>20.00762583</f>
        <v>20.007625829999999</v>
      </c>
      <c r="DC95">
        <f>21.01135191</f>
        <v>21.011351909999998</v>
      </c>
      <c r="DD95">
        <f>21.53252764</f>
        <v>21.532527640000001</v>
      </c>
      <c r="DE95">
        <f>22.59202059</f>
        <v>22.592020590000001</v>
      </c>
      <c r="DF95">
        <f>23.16184074</f>
        <v>23.161840739999999</v>
      </c>
      <c r="DG95">
        <f>22.8121775</f>
        <v>22.812177500000001</v>
      </c>
      <c r="DH95">
        <f>21.70955414</f>
        <v>21.709554140000002</v>
      </c>
      <c r="DI95">
        <f>18.84453782</f>
        <v>18.844537819999999</v>
      </c>
      <c r="DJ95">
        <f>19.41135734</f>
        <v>19.411357339999999</v>
      </c>
      <c r="DK95">
        <f>17.29692201</f>
        <v>17.296922009999999</v>
      </c>
      <c r="DL95">
        <f>17.57659525</f>
        <v>17.57659525</v>
      </c>
      <c r="DM95">
        <f>17.80148423</f>
        <v>17.80148423</v>
      </c>
      <c r="DN95">
        <f>17.51834862</f>
        <v>17.518348620000001</v>
      </c>
      <c r="DO95">
        <f>16.90492554</f>
        <v>16.904925540000001</v>
      </c>
      <c r="DP95">
        <f>16.89142857</f>
        <v>16.891428569999999</v>
      </c>
      <c r="DQ95">
        <f>16.464</f>
        <v>16.463999999999999</v>
      </c>
      <c r="DR95">
        <f>18.22196796</f>
        <v>18.221967960000001</v>
      </c>
      <c r="DS95" t="str">
        <f>""</f>
        <v/>
      </c>
      <c r="DT95" t="str">
        <f>""</f>
        <v/>
      </c>
      <c r="DU95">
        <f>17.18077803</f>
        <v>17.180778029999999</v>
      </c>
      <c r="DV95" t="str">
        <f>""</f>
        <v/>
      </c>
      <c r="DW95" t="str">
        <f>""</f>
        <v/>
      </c>
      <c r="DX95">
        <f>17.55125285</f>
        <v>17.551252850000001</v>
      </c>
      <c r="DY95" t="str">
        <f>""</f>
        <v/>
      </c>
      <c r="DZ95" t="str">
        <f>""</f>
        <v/>
      </c>
      <c r="EA95" t="str">
        <f>""</f>
        <v/>
      </c>
      <c r="EB95" t="str">
        <f>""</f>
        <v/>
      </c>
      <c r="EC95" t="str">
        <f>""</f>
        <v/>
      </c>
      <c r="ED95" t="str">
        <f>""</f>
        <v/>
      </c>
      <c r="EE95" t="str">
        <f>""</f>
        <v/>
      </c>
      <c r="EF95" t="str">
        <f>""</f>
        <v/>
      </c>
      <c r="EG95" t="str">
        <f>""</f>
        <v/>
      </c>
      <c r="EH95" t="str">
        <f>""</f>
        <v/>
      </c>
      <c r="EI95" t="str">
        <f>""</f>
        <v/>
      </c>
      <c r="EJ95" t="str">
        <f>""</f>
        <v/>
      </c>
      <c r="EK95" t="str">
        <f>""</f>
        <v/>
      </c>
      <c r="EL95" t="str">
        <f>""</f>
        <v/>
      </c>
      <c r="EM95" t="str">
        <f>""</f>
        <v/>
      </c>
      <c r="EN95" t="str">
        <f>""</f>
        <v/>
      </c>
      <c r="EO95" t="str">
        <f>""</f>
        <v/>
      </c>
      <c r="EP95" t="str">
        <f>""</f>
        <v/>
      </c>
      <c r="EQ95" t="str">
        <f>""</f>
        <v/>
      </c>
      <c r="ER95" t="str">
        <f>""</f>
        <v/>
      </c>
      <c r="ES95" t="str">
        <f>""</f>
        <v/>
      </c>
      <c r="ET95" t="str">
        <f>""</f>
        <v/>
      </c>
      <c r="EU95" t="str">
        <f>""</f>
        <v/>
      </c>
      <c r="EV95" t="str">
        <f>""</f>
        <v/>
      </c>
      <c r="EW95" t="str">
        <f>""</f>
        <v/>
      </c>
      <c r="EX95" t="str">
        <f>""</f>
        <v/>
      </c>
      <c r="EY95" t="str">
        <f>""</f>
        <v/>
      </c>
      <c r="EZ95" t="str">
        <f>""</f>
        <v/>
      </c>
      <c r="FA95" t="str">
        <f>""</f>
        <v/>
      </c>
      <c r="FB95" t="str">
        <f>""</f>
        <v/>
      </c>
      <c r="FC95" t="str">
        <f>""</f>
        <v/>
      </c>
      <c r="FD95" t="str">
        <f>""</f>
        <v/>
      </c>
      <c r="FE95" t="str">
        <f>""</f>
        <v/>
      </c>
      <c r="FF95" t="str">
        <f>""</f>
        <v/>
      </c>
      <c r="FG95" t="str">
        <f>""</f>
        <v/>
      </c>
      <c r="FH95" t="str">
        <f>""</f>
        <v/>
      </c>
      <c r="FI95" t="str">
        <f>""</f>
        <v/>
      </c>
      <c r="FJ95" t="str">
        <f>""</f>
        <v/>
      </c>
      <c r="FK95" t="str">
        <f>""</f>
        <v/>
      </c>
      <c r="FL95" t="str">
        <f>""</f>
        <v/>
      </c>
      <c r="FM95" t="str">
        <f>""</f>
        <v/>
      </c>
      <c r="FN95" t="str">
        <f>""</f>
        <v/>
      </c>
      <c r="FO95" t="str">
        <f>""</f>
        <v/>
      </c>
      <c r="FP95" t="str">
        <f>""</f>
        <v/>
      </c>
      <c r="FQ95" t="str">
        <f>""</f>
        <v/>
      </c>
    </row>
    <row r="96" spans="1:173">
      <c r="A96" t="str">
        <f>"    Equity Residential"</f>
        <v xml:space="preserve">    Equity Residential</v>
      </c>
      <c r="B96" t="str">
        <f>"EQR US Equity"</f>
        <v>EQR US Equity</v>
      </c>
      <c r="E96" t="str">
        <f t="shared" si="31"/>
        <v>Expression</v>
      </c>
      <c r="F96" t="str">
        <f ca="1">IF(AND($B$252=1,LEN($F$224) * LEN($F$156)&gt;0),$F$224/$F$156,HLOOKUP(INDIRECT(ADDRESS(2,COLUMN())),OFFSET($CL$2,0,0,ROW()-1,84),ROW()-1,FALSE))</f>
        <v/>
      </c>
      <c r="G96" t="str">
        <f ca="1">IF(AND($B$252=1,LEN($G$224) * LEN($G$156)&gt;0),$G$224/$G$156,HLOOKUP(INDIRECT(ADDRESS(2,COLUMN())),OFFSET($CL$2,0,0,ROW()-1,84),ROW()-1,FALSE))</f>
        <v/>
      </c>
      <c r="H96">
        <f ca="1">IF(AND($B$252=1,LEN($H$224) * LEN($H$156)&gt;0),$H$224/$H$156,HLOOKUP(INDIRECT(ADDRESS(2,COLUMN())),OFFSET($CL$2,0,0,ROW()-1,84),ROW()-1,FALSE))</f>
        <v>22.64241088</v>
      </c>
      <c r="I96">
        <f ca="1">IF(AND($B$252=1,LEN($I$224) * LEN($I$156)&gt;0),$I$224/$I$156,HLOOKUP(INDIRECT(ADDRESS(2,COLUMN())),OFFSET($CL$2,0,0,ROW()-1,84),ROW()-1,FALSE))</f>
        <v>23.41902314</v>
      </c>
      <c r="J96">
        <f ca="1">IF(AND($B$252=1,LEN($J$224) * LEN($J$156)&gt;0),$J$224/$J$156,HLOOKUP(INDIRECT(ADDRESS(2,COLUMN())),OFFSET($CL$2,0,0,ROW()-1,84),ROW()-1,FALSE))</f>
        <v>24.693274209999998</v>
      </c>
      <c r="K96">
        <f ca="1">IF(AND($B$252=1,LEN($K$224) * LEN($K$156)&gt;0),$K$224/$K$156,HLOOKUP(INDIRECT(ADDRESS(2,COLUMN())),OFFSET($CL$2,0,0,ROW()-1,84),ROW()-1,FALSE))</f>
        <v>24.646390619999998</v>
      </c>
      <c r="L96">
        <f ca="1">IF(AND($B$252=1,LEN($L$224) * LEN($L$156)&gt;0),$L$224/$L$156,HLOOKUP(INDIRECT(ADDRESS(2,COLUMN())),OFFSET($CL$2,0,0,ROW()-1,84),ROW()-1,FALSE))</f>
        <v>24.346381090000001</v>
      </c>
      <c r="M96">
        <f ca="1">IF(AND($B$252=1,LEN($M$224) * LEN($M$156)&gt;0),$M$224/$M$156,HLOOKUP(INDIRECT(ADDRESS(2,COLUMN())),OFFSET($CL$2,0,0,ROW()-1,84),ROW()-1,FALSE))</f>
        <v>24.507299270000001</v>
      </c>
      <c r="N96">
        <f ca="1">IF(AND($B$252=1,LEN($N$224) * LEN($N$156)&gt;0),$N$224/$N$156,HLOOKUP(INDIRECT(ADDRESS(2,COLUMN())),OFFSET($CL$2,0,0,ROW()-1,84),ROW()-1,FALSE))</f>
        <v>25.244807120000001</v>
      </c>
      <c r="O96">
        <f ca="1">IF(AND($B$252=1,LEN($O$224) * LEN($O$156)&gt;0),$O$224/$O$156,HLOOKUP(INDIRECT(ADDRESS(2,COLUMN())),OFFSET($CL$2,0,0,ROW()-1,84),ROW()-1,FALSE))</f>
        <v>23.98178506</v>
      </c>
      <c r="P96">
        <f ca="1">IF(AND($B$252=1,LEN($P$224) * LEN($P$156)&gt;0),$P$224/$P$156,HLOOKUP(INDIRECT(ADDRESS(2,COLUMN())),OFFSET($CL$2,0,0,ROW()-1,84),ROW()-1,FALSE))</f>
        <v>23.74680773</v>
      </c>
      <c r="Q96">
        <f ca="1">IF(AND($B$252=1,LEN($Q$224) * LEN($Q$156)&gt;0),$Q$224/$Q$156,HLOOKUP(INDIRECT(ADDRESS(2,COLUMN())),OFFSET($CL$2,0,0,ROW()-1,84),ROW()-1,FALSE))</f>
        <v>23.398550719999999</v>
      </c>
      <c r="R96">
        <f ca="1">IF(AND($B$252=1,LEN($R$224) * LEN($R$156)&gt;0),$R$224/$R$156,HLOOKUP(INDIRECT(ADDRESS(2,COLUMN())),OFFSET($CL$2,0,0,ROW()-1,84),ROW()-1,FALSE))</f>
        <v>22.833027520000002</v>
      </c>
      <c r="S96">
        <f ca="1">IF(AND($B$252=1,LEN($S$224) * LEN($S$156)&gt;0),$S$224/$S$156,HLOOKUP(INDIRECT(ADDRESS(2,COLUMN())),OFFSET($CL$2,0,0,ROW()-1,84),ROW()-1,FALSE))</f>
        <v>22.934545450000002</v>
      </c>
      <c r="T96">
        <f ca="1">IF(AND($B$252=1,LEN($T$224) * LEN($T$156)&gt;0),$T$224/$T$156,HLOOKUP(INDIRECT(ADDRESS(2,COLUMN())),OFFSET($CL$2,0,0,ROW()-1,84),ROW()-1,FALSE))</f>
        <v>21.557289820000001</v>
      </c>
      <c r="U96">
        <f ca="1">IF(AND($B$252=1,LEN($U$224) * LEN($U$156)&gt;0),$U$224/$U$156,HLOOKUP(INDIRECT(ADDRESS(2,COLUMN())),OFFSET($CL$2,0,0,ROW()-1,84),ROW()-1,FALSE))</f>
        <v>22.774239210000001</v>
      </c>
      <c r="V96">
        <f ca="1">IF(AND($B$252=1,LEN($V$224) * LEN($V$156)&gt;0),$V$224/$V$156,HLOOKUP(INDIRECT(ADDRESS(2,COLUMN())),OFFSET($CL$2,0,0,ROW()-1,84),ROW()-1,FALSE))</f>
        <v>21.325515280000001</v>
      </c>
      <c r="W96">
        <f ca="1">IF(AND($B$252=1,LEN($W$224) * LEN($W$156)&gt;0),$W$224/$W$156,HLOOKUP(INDIRECT(ADDRESS(2,COLUMN())),OFFSET($CL$2,0,0,ROW()-1,84),ROW()-1,FALSE))</f>
        <v>21.897163119999998</v>
      </c>
      <c r="X96">
        <f ca="1">IF(AND($B$252=1,LEN($X$224) * LEN($X$156)&gt;0),$X$224/$X$156,HLOOKUP(INDIRECT(ADDRESS(2,COLUMN())),OFFSET($CL$2,0,0,ROW()-1,84),ROW()-1,FALSE))</f>
        <v>22.779745040000002</v>
      </c>
      <c r="Y96">
        <f ca="1">IF(AND($B$252=1,LEN($Y$224) * LEN($Y$156)&gt;0),$Y$224/$Y$156,HLOOKUP(INDIRECT(ADDRESS(2,COLUMN())),OFFSET($CL$2,0,0,ROW()-1,84),ROW()-1,FALSE))</f>
        <v>22.809423349999999</v>
      </c>
      <c r="Z96">
        <f ca="1">IF(AND($B$252=1,LEN($Z$224) * LEN($Z$156)&gt;0),$Z$224/$Z$156,HLOOKUP(INDIRECT(ADDRESS(2,COLUMN())),OFFSET($CL$2,0,0,ROW()-1,84),ROW()-1,FALSE))</f>
        <v>23.58307319</v>
      </c>
      <c r="AA96">
        <f ca="1">IF(AND($B$252=1,LEN($AA$224) * LEN($AA$156)&gt;0),$AA$224/$AA$156,HLOOKUP(INDIRECT(ADDRESS(2,COLUMN())),OFFSET($CL$2,0,0,ROW()-1,84),ROW()-1,FALSE))</f>
        <v>23.137386630000002</v>
      </c>
      <c r="AB96">
        <f ca="1">IF(AND($B$252=1,LEN($AB$224) * LEN($AB$156)&gt;0),$AB$224/$AB$156,HLOOKUP(INDIRECT(ADDRESS(2,COLUMN())),OFFSET($CL$2,0,0,ROW()-1,84),ROW()-1,FALSE))</f>
        <v>23.062312559999999</v>
      </c>
      <c r="AC96">
        <f ca="1">IF(AND($B$252=1,LEN($AC$224) * LEN($AC$156)&gt;0),$AC$224/$AC$156,HLOOKUP(INDIRECT(ADDRESS(2,COLUMN())),OFFSET($CL$2,0,0,ROW()-1,84),ROW()-1,FALSE))</f>
        <v>22.81930942</v>
      </c>
      <c r="AD96">
        <f ca="1">IF(AND($B$252=1,LEN($AD$224) * LEN($AD$156)&gt;0),$AD$224/$AD$156,HLOOKUP(INDIRECT(ADDRESS(2,COLUMN())),OFFSET($CL$2,0,0,ROW()-1,84),ROW()-1,FALSE))</f>
        <v>24.869075240000001</v>
      </c>
      <c r="AE96">
        <f ca="1">IF(AND($B$252=1,LEN($AE$224) * LEN($AE$156)&gt;0),$AE$224/$AE$156,HLOOKUP(INDIRECT(ADDRESS(2,COLUMN())),OFFSET($CL$2,0,0,ROW()-1,84),ROW()-1,FALSE))</f>
        <v>24.608523290000001</v>
      </c>
      <c r="AF96">
        <f ca="1">IF(AND($B$252=1,LEN($AF$224) * LEN($AF$156)&gt;0),$AF$224/$AF$156,HLOOKUP(INDIRECT(ADDRESS(2,COLUMN())),OFFSET($CL$2,0,0,ROW()-1,84),ROW()-1,FALSE))</f>
        <v>24.364728190000001</v>
      </c>
      <c r="AG96">
        <f ca="1">IF(AND($B$252=1,LEN($AG$224) * LEN($AG$156)&gt;0),$AG$224/$AG$156,HLOOKUP(INDIRECT(ADDRESS(2,COLUMN())),OFFSET($CL$2,0,0,ROW()-1,84),ROW()-1,FALSE))</f>
        <v>25.893367189999999</v>
      </c>
      <c r="AH96">
        <f ca="1">IF(AND($B$252=1,LEN($AH$224) * LEN($AH$156)&gt;0),$AH$224/$AH$156,HLOOKUP(INDIRECT(ADDRESS(2,COLUMN())),OFFSET($CL$2,0,0,ROW()-1,84),ROW()-1,FALSE))</f>
        <v>24.8273717</v>
      </c>
      <c r="AI96">
        <f ca="1">IF(AND($B$252=1,LEN($AI$224) * LEN($AI$156)&gt;0),$AI$224/$AI$156,HLOOKUP(INDIRECT(ADDRESS(2,COLUMN())),OFFSET($CL$2,0,0,ROW()-1,84),ROW()-1,FALSE))</f>
        <v>23.458737859999999</v>
      </c>
      <c r="AJ96">
        <f ca="1">IF(AND($B$252=1,LEN($AJ$224) * LEN($AJ$156)&gt;0),$AJ$224/$AJ$156,HLOOKUP(INDIRECT(ADDRESS(2,COLUMN())),OFFSET($CL$2,0,0,ROW()-1,84),ROW()-1,FALSE))</f>
        <v>21.42612664</v>
      </c>
      <c r="AK96">
        <f ca="1">IF(AND($B$252=1,LEN($AK$224) * LEN($AK$156)&gt;0),$AK$224/$AK$156,HLOOKUP(INDIRECT(ADDRESS(2,COLUMN())),OFFSET($CL$2,0,0,ROW()-1,84),ROW()-1,FALSE))</f>
        <v>20.485911439999999</v>
      </c>
      <c r="AL96">
        <f ca="1">IF(AND($B$252=1,LEN($AL$224) * LEN($AL$156)&gt;0),$AL$224/$AL$156,HLOOKUP(INDIRECT(ADDRESS(2,COLUMN())),OFFSET($CL$2,0,0,ROW()-1,84),ROW()-1,FALSE))</f>
        <v>20.43989071</v>
      </c>
      <c r="AM96" t="str">
        <f ca="1">IF(AND($B$252=1,LEN($AM$224) * LEN($AM$156)&gt;0),$AM$224/$AM$156,HLOOKUP(INDIRECT(ADDRESS(2,COLUMN())),OFFSET($CL$2,0,0,ROW()-1,84),ROW()-1,FALSE))</f>
        <v/>
      </c>
      <c r="AN96" t="str">
        <f ca="1">IF(AND($B$252=1,LEN($AN$224) * LEN($AN$156)&gt;0),$AN$224/$AN$156,HLOOKUP(INDIRECT(ADDRESS(2,COLUMN())),OFFSET($CL$2,0,0,ROW()-1,84),ROW()-1,FALSE))</f>
        <v/>
      </c>
      <c r="AO96">
        <f ca="1">IF(AND($B$252=1,LEN($AO$224) * LEN($AO$156)&gt;0),$AO$224/$AO$156,HLOOKUP(INDIRECT(ADDRESS(2,COLUMN())),OFFSET($CL$2,0,0,ROW()-1,84),ROW()-1,FALSE))</f>
        <v>21.408695649999999</v>
      </c>
      <c r="AP96" t="str">
        <f ca="1">IF(AND($B$252=1,LEN($AP$224) * LEN($AP$156)&gt;0),$AP$224/$AP$156,HLOOKUP(INDIRECT(ADDRESS(2,COLUMN())),OFFSET($CL$2,0,0,ROW()-1,84),ROW()-1,FALSE))</f>
        <v/>
      </c>
      <c r="AQ96">
        <f ca="1">IF(AND($B$252=1,LEN($AQ$224) * LEN($AQ$156)&gt;0),$AQ$224/$AQ$156,HLOOKUP(INDIRECT(ADDRESS(2,COLUMN())),OFFSET($CL$2,0,0,ROW()-1,84),ROW()-1,FALSE))</f>
        <v>22.490510950000001</v>
      </c>
      <c r="AR96" t="str">
        <f ca="1">IF(AND($B$252=1,LEN($AR$224) * LEN($AR$156)&gt;0),$AR$224/$AR$156,HLOOKUP(INDIRECT(ADDRESS(2,COLUMN())),OFFSET($CL$2,0,0,ROW()-1,84),ROW()-1,FALSE))</f>
        <v/>
      </c>
      <c r="AS96" t="str">
        <f ca="1">IF(AND($B$252=1,LEN($AS$224) * LEN($AS$156)&gt;0),$AS$224/$AS$156,HLOOKUP(INDIRECT(ADDRESS(2,COLUMN())),OFFSET($CL$2,0,0,ROW()-1,84),ROW()-1,FALSE))</f>
        <v/>
      </c>
      <c r="AT96" t="str">
        <f ca="1">IF(AND($B$252=1,LEN($AT$224) * LEN($AT$156)&gt;0),$AT$224/$AT$156,HLOOKUP(INDIRECT(ADDRESS(2,COLUMN())),OFFSET($CL$2,0,0,ROW()-1,84),ROW()-1,FALSE))</f>
        <v/>
      </c>
      <c r="AU96" t="str">
        <f ca="1">IF(AND($B$252=1,LEN($AU$224) * LEN($AU$156)&gt;0),$AU$224/$AU$156,HLOOKUP(INDIRECT(ADDRESS(2,COLUMN())),OFFSET($CL$2,0,0,ROW()-1,84),ROW()-1,FALSE))</f>
        <v/>
      </c>
      <c r="AV96" t="str">
        <f ca="1">IF(AND($B$252=1,LEN($AV$224) * LEN($AV$156)&gt;0),$AV$224/$AV$156,HLOOKUP(INDIRECT(ADDRESS(2,COLUMN())),OFFSET($CL$2,0,0,ROW()-1,84),ROW()-1,FALSE))</f>
        <v/>
      </c>
      <c r="AW96" t="str">
        <f ca="1">IF(AND($B$252=1,LEN($AW$224) * LEN($AW$156)&gt;0),$AW$224/$AW$156,HLOOKUP(INDIRECT(ADDRESS(2,COLUMN())),OFFSET($CL$2,0,0,ROW()-1,84),ROW()-1,FALSE))</f>
        <v/>
      </c>
      <c r="AX96" t="str">
        <f ca="1">IF(AND($B$252=1,LEN($AX$224) * LEN($AX$156)&gt;0),$AX$224/$AX$156,HLOOKUP(INDIRECT(ADDRESS(2,COLUMN())),OFFSET($CL$2,0,0,ROW()-1,84),ROW()-1,FALSE))</f>
        <v/>
      </c>
      <c r="AY96" t="str">
        <f ca="1">IF(AND($B$252=1,LEN($AY$224) * LEN($AY$156)&gt;0),$AY$224/$AY$156,HLOOKUP(INDIRECT(ADDRESS(2,COLUMN())),OFFSET($CL$2,0,0,ROW()-1,84),ROW()-1,FALSE))</f>
        <v/>
      </c>
      <c r="AZ96" t="str">
        <f ca="1">IF(AND($B$252=1,LEN($AZ$224) * LEN($AZ$156)&gt;0),$AZ$224/$AZ$156,HLOOKUP(INDIRECT(ADDRESS(2,COLUMN())),OFFSET($CL$2,0,0,ROW()-1,84),ROW()-1,FALSE))</f>
        <v/>
      </c>
      <c r="BA96" t="str">
        <f ca="1">IF(AND($B$252=1,LEN($BA$224) * LEN($BA$156)&gt;0),$BA$224/$BA$156,HLOOKUP(INDIRECT(ADDRESS(2,COLUMN())),OFFSET($CL$2,0,0,ROW()-1,84),ROW()-1,FALSE))</f>
        <v/>
      </c>
      <c r="BB96" t="str">
        <f ca="1">IF(AND($B$252=1,LEN($BB$224) * LEN($BB$156)&gt;0),$BB$224/$BB$156,HLOOKUP(INDIRECT(ADDRESS(2,COLUMN())),OFFSET($CL$2,0,0,ROW()-1,84),ROW()-1,FALSE))</f>
        <v/>
      </c>
      <c r="BC96" t="str">
        <f ca="1">IF(AND($B$252=1,LEN($BC$224) * LEN($BC$156)&gt;0),$BC$224/$BC$156,HLOOKUP(INDIRECT(ADDRESS(2,COLUMN())),OFFSET($CL$2,0,0,ROW()-1,84),ROW()-1,FALSE))</f>
        <v/>
      </c>
      <c r="BD96" t="str">
        <f ca="1">IF(AND($B$252=1,LEN($BD$224) * LEN($BD$156)&gt;0),$BD$224/$BD$156,HLOOKUP(INDIRECT(ADDRESS(2,COLUMN())),OFFSET($CL$2,0,0,ROW()-1,84),ROW()-1,FALSE))</f>
        <v/>
      </c>
      <c r="BE96" t="str">
        <f ca="1">IF(AND($B$252=1,LEN($BE$224) * LEN($BE$156)&gt;0),$BE$224/$BE$156,HLOOKUP(INDIRECT(ADDRESS(2,COLUMN())),OFFSET($CL$2,0,0,ROW()-1,84),ROW()-1,FALSE))</f>
        <v/>
      </c>
      <c r="BF96" t="str">
        <f ca="1">IF(AND($B$252=1,LEN($BF$224) * LEN($BF$156)&gt;0),$BF$224/$BF$156,HLOOKUP(INDIRECT(ADDRESS(2,COLUMN())),OFFSET($CL$2,0,0,ROW()-1,84),ROW()-1,FALSE))</f>
        <v/>
      </c>
      <c r="BG96" t="str">
        <f ca="1">IF(AND($B$252=1,LEN($BG$224) * LEN($BG$156)&gt;0),$BG$224/$BG$156,HLOOKUP(INDIRECT(ADDRESS(2,COLUMN())),OFFSET($CL$2,0,0,ROW()-1,84),ROW()-1,FALSE))</f>
        <v/>
      </c>
      <c r="BH96" t="str">
        <f ca="1">IF(AND($B$252=1,LEN($BH$224) * LEN($BH$156)&gt;0),$BH$224/$BH$156,HLOOKUP(INDIRECT(ADDRESS(2,COLUMN())),OFFSET($CL$2,0,0,ROW()-1,84),ROW()-1,FALSE))</f>
        <v/>
      </c>
      <c r="BI96" t="str">
        <f ca="1">IF(AND($B$252=1,LEN($BI$224) * LEN($BI$156)&gt;0),$BI$224/$BI$156,HLOOKUP(INDIRECT(ADDRESS(2,COLUMN())),OFFSET($CL$2,0,0,ROW()-1,84),ROW()-1,FALSE))</f>
        <v/>
      </c>
      <c r="BJ96" t="str">
        <f ca="1">IF(AND($B$252=1,LEN($BJ$224) * LEN($BJ$156)&gt;0),$BJ$224/$BJ$156,HLOOKUP(INDIRECT(ADDRESS(2,COLUMN())),OFFSET($CL$2,0,0,ROW()-1,84),ROW()-1,FALSE))</f>
        <v/>
      </c>
      <c r="BK96" t="str">
        <f ca="1">IF(AND($B$252=1,LEN($BK$224) * LEN($BK$156)&gt;0),$BK$224/$BK$156,HLOOKUP(INDIRECT(ADDRESS(2,COLUMN())),OFFSET($CL$2,0,0,ROW()-1,84),ROW()-1,FALSE))</f>
        <v/>
      </c>
      <c r="BL96" t="str">
        <f ca="1">IF(AND($B$252=1,LEN($BL$224) * LEN($BL$156)&gt;0),$BL$224/$BL$156,HLOOKUP(INDIRECT(ADDRESS(2,COLUMN())),OFFSET($CL$2,0,0,ROW()-1,84),ROW()-1,FALSE))</f>
        <v/>
      </c>
      <c r="BM96" t="str">
        <f ca="1">IF(AND($B$252=1,LEN($BM$224) * LEN($BM$156)&gt;0),$BM$224/$BM$156,HLOOKUP(INDIRECT(ADDRESS(2,COLUMN())),OFFSET($CL$2,0,0,ROW()-1,84),ROW()-1,FALSE))</f>
        <v/>
      </c>
      <c r="BN96" t="str">
        <f ca="1">IF(AND($B$252=1,LEN($BN$224) * LEN($BN$156)&gt;0),$BN$224/$BN$156,HLOOKUP(INDIRECT(ADDRESS(2,COLUMN())),OFFSET($CL$2,0,0,ROW()-1,84),ROW()-1,FALSE))</f>
        <v/>
      </c>
      <c r="BO96" t="str">
        <f ca="1">IF(AND($B$252=1,LEN($BO$224) * LEN($BO$156)&gt;0),$BO$224/$BO$156,HLOOKUP(INDIRECT(ADDRESS(2,COLUMN())),OFFSET($CL$2,0,0,ROW()-1,84),ROW()-1,FALSE))</f>
        <v/>
      </c>
      <c r="BP96" t="str">
        <f ca="1">IF(AND($B$252=1,LEN($BP$224) * LEN($BP$156)&gt;0),$BP$224/$BP$156,HLOOKUP(INDIRECT(ADDRESS(2,COLUMN())),OFFSET($CL$2,0,0,ROW()-1,84),ROW()-1,FALSE))</f>
        <v/>
      </c>
      <c r="BQ96" t="str">
        <f ca="1">IF(AND($B$252=1,LEN($BQ$224) * LEN($BQ$156)&gt;0),$BQ$224/$BQ$156,HLOOKUP(INDIRECT(ADDRESS(2,COLUMN())),OFFSET($CL$2,0,0,ROW()-1,84),ROW()-1,FALSE))</f>
        <v/>
      </c>
      <c r="BR96" t="str">
        <f ca="1">IF(AND($B$252=1,LEN($BR$224) * LEN($BR$156)&gt;0),$BR$224/$BR$156,HLOOKUP(INDIRECT(ADDRESS(2,COLUMN())),OFFSET($CL$2,0,0,ROW()-1,84),ROW()-1,FALSE))</f>
        <v/>
      </c>
      <c r="BS96" t="str">
        <f ca="1">IF(AND($B$252=1,LEN($BS$224) * LEN($BS$156)&gt;0),$BS$224/$BS$156,HLOOKUP(INDIRECT(ADDRESS(2,COLUMN())),OFFSET($CL$2,0,0,ROW()-1,84),ROW()-1,FALSE))</f>
        <v/>
      </c>
      <c r="BT96" t="str">
        <f ca="1">IF(AND($B$252=1,LEN($BT$224) * LEN($BT$156)&gt;0),$BT$224/$BT$156,HLOOKUP(INDIRECT(ADDRESS(2,COLUMN())),OFFSET($CL$2,0,0,ROW()-1,84),ROW()-1,FALSE))</f>
        <v/>
      </c>
      <c r="BU96" t="str">
        <f ca="1">IF(AND($B$252=1,LEN($BU$224) * LEN($BU$156)&gt;0),$BU$224/$BU$156,HLOOKUP(INDIRECT(ADDRESS(2,COLUMN())),OFFSET($CL$2,0,0,ROW()-1,84),ROW()-1,FALSE))</f>
        <v/>
      </c>
      <c r="BV96" t="str">
        <f ca="1">IF(AND($B$252=1,LEN($BV$224) * LEN($BV$156)&gt;0),$BV$224/$BV$156,HLOOKUP(INDIRECT(ADDRESS(2,COLUMN())),OFFSET($CL$2,0,0,ROW()-1,84),ROW()-1,FALSE))</f>
        <v/>
      </c>
      <c r="BW96" t="str">
        <f ca="1">IF(AND($B$252=1,LEN($BW$224) * LEN($BW$156)&gt;0),$BW$224/$BW$156,HLOOKUP(INDIRECT(ADDRESS(2,COLUMN())),OFFSET($CL$2,0,0,ROW()-1,84),ROW()-1,FALSE))</f>
        <v/>
      </c>
      <c r="BX96" t="str">
        <f ca="1">IF(AND($B$252=1,LEN($BX$224) * LEN($BX$156)&gt;0),$BX$224/$BX$156,HLOOKUP(INDIRECT(ADDRESS(2,COLUMN())),OFFSET($CL$2,0,0,ROW()-1,84),ROW()-1,FALSE))</f>
        <v/>
      </c>
      <c r="BY96" t="str">
        <f ca="1">IF(AND($B$252=1,LEN($BY$224) * LEN($BY$156)&gt;0),$BY$224/$BY$156,HLOOKUP(INDIRECT(ADDRESS(2,COLUMN())),OFFSET($CL$2,0,0,ROW()-1,84),ROW()-1,FALSE))</f>
        <v/>
      </c>
      <c r="BZ96" t="str">
        <f ca="1">IF(AND($B$252=1,LEN($BZ$224) * LEN($BZ$156)&gt;0),$BZ$224/$BZ$156,HLOOKUP(INDIRECT(ADDRESS(2,COLUMN())),OFFSET($CL$2,0,0,ROW()-1,84),ROW()-1,FALSE))</f>
        <v/>
      </c>
      <c r="CA96" t="str">
        <f ca="1">IF(AND($B$252=1,LEN($CA$224) * LEN($CA$156)&gt;0),$CA$224/$CA$156,HLOOKUP(INDIRECT(ADDRESS(2,COLUMN())),OFFSET($CL$2,0,0,ROW()-1,84),ROW()-1,FALSE))</f>
        <v/>
      </c>
      <c r="CB96" t="str">
        <f ca="1">IF(AND($B$252=1,LEN($CB$224) * LEN($CB$156)&gt;0),$CB$224/$CB$156,HLOOKUP(INDIRECT(ADDRESS(2,COLUMN())),OFFSET($CL$2,0,0,ROW()-1,84),ROW()-1,FALSE))</f>
        <v/>
      </c>
      <c r="CC96" t="str">
        <f ca="1">IF(AND($B$252=1,LEN($CC$224) * LEN($CC$156)&gt;0),$CC$224/$CC$156,HLOOKUP(INDIRECT(ADDRESS(2,COLUMN())),OFFSET($CL$2,0,0,ROW()-1,84),ROW()-1,FALSE))</f>
        <v/>
      </c>
      <c r="CD96" t="str">
        <f ca="1">IF(AND($B$252=1,LEN($CD$224) * LEN($CD$156)&gt;0),$CD$224/$CD$156,HLOOKUP(INDIRECT(ADDRESS(2,COLUMN())),OFFSET($CL$2,0,0,ROW()-1,84),ROW()-1,FALSE))</f>
        <v/>
      </c>
      <c r="CE96" t="str">
        <f ca="1">IF(AND($B$252=1,LEN($CE$224) * LEN($CE$156)&gt;0),$CE$224/$CE$156,HLOOKUP(INDIRECT(ADDRESS(2,COLUMN())),OFFSET($CL$2,0,0,ROW()-1,84),ROW()-1,FALSE))</f>
        <v/>
      </c>
      <c r="CF96" t="str">
        <f ca="1">IF(AND($B$252=1,LEN($CF$224) * LEN($CF$156)&gt;0),$CF$224/$CF$156,HLOOKUP(INDIRECT(ADDRESS(2,COLUMN())),OFFSET($CL$2,0,0,ROW()-1,84),ROW()-1,FALSE))</f>
        <v/>
      </c>
      <c r="CG96" t="str">
        <f ca="1">IF(AND($B$252=1,LEN($CG$224) * LEN($CG$156)&gt;0),$CG$224/$CG$156,HLOOKUP(INDIRECT(ADDRESS(2,COLUMN())),OFFSET($CL$2,0,0,ROW()-1,84),ROW()-1,FALSE))</f>
        <v/>
      </c>
      <c r="CH96" t="str">
        <f ca="1">IF(AND($B$252=1,LEN($CH$224) * LEN($CH$156)&gt;0),$CH$224/$CH$156,HLOOKUP(INDIRECT(ADDRESS(2,COLUMN())),OFFSET($CL$2,0,0,ROW()-1,84),ROW()-1,FALSE))</f>
        <v/>
      </c>
      <c r="CI96" t="str">
        <f ca="1">IF(AND($B$252=1,LEN($CI$224) * LEN($CI$156)&gt;0),$CI$224/$CI$156,HLOOKUP(INDIRECT(ADDRESS(2,COLUMN())),OFFSET($CL$2,0,0,ROW()-1,84),ROW()-1,FALSE))</f>
        <v/>
      </c>
      <c r="CJ96" t="str">
        <f ca="1">IF(AND($B$252=1,LEN($CJ$224) * LEN($CJ$156)&gt;0),$CJ$224/$CJ$156,HLOOKUP(INDIRECT(ADDRESS(2,COLUMN())),OFFSET($CL$2,0,0,ROW()-1,84),ROW()-1,FALSE))</f>
        <v/>
      </c>
      <c r="CK96" t="str">
        <f ca="1">IF(AND($B$252=1,LEN($CK$224) * LEN($CK$156)&gt;0),$CK$224/$CK$156,HLOOKUP(INDIRECT(ADDRESS(2,COLUMN())),OFFSET($CL$2,0,0,ROW()-1,84),ROW()-1,FALSE))</f>
        <v/>
      </c>
      <c r="CL96" t="str">
        <f>""</f>
        <v/>
      </c>
      <c r="CM96" t="str">
        <f>""</f>
        <v/>
      </c>
      <c r="CN96">
        <f>22.64241088</f>
        <v>22.64241088</v>
      </c>
      <c r="CO96">
        <f>23.41902314</f>
        <v>23.41902314</v>
      </c>
      <c r="CP96">
        <f>24.69327421</f>
        <v>24.693274209999998</v>
      </c>
      <c r="CQ96">
        <f>24.64639062</f>
        <v>24.646390619999998</v>
      </c>
      <c r="CR96">
        <f>24.34638109</f>
        <v>24.346381090000001</v>
      </c>
      <c r="CS96">
        <f>24.50729927</f>
        <v>24.507299270000001</v>
      </c>
      <c r="CT96">
        <f>25.24480712</f>
        <v>25.244807120000001</v>
      </c>
      <c r="CU96">
        <f>23.98178506</f>
        <v>23.98178506</v>
      </c>
      <c r="CV96">
        <f>23.74680773</f>
        <v>23.74680773</v>
      </c>
      <c r="CW96">
        <f>23.39855072</f>
        <v>23.398550719999999</v>
      </c>
      <c r="CX96">
        <f>22.83302752</f>
        <v>22.833027520000002</v>
      </c>
      <c r="CY96">
        <f>22.93454545</f>
        <v>22.934545450000002</v>
      </c>
      <c r="CZ96">
        <f>21.55728982</f>
        <v>21.557289820000001</v>
      </c>
      <c r="DA96">
        <f>22.77423921</f>
        <v>22.774239210000001</v>
      </c>
      <c r="DB96">
        <f>21.32551528</f>
        <v>21.325515280000001</v>
      </c>
      <c r="DC96">
        <f>21.89716312</f>
        <v>21.897163119999998</v>
      </c>
      <c r="DD96">
        <f>22.77974504</f>
        <v>22.779745040000002</v>
      </c>
      <c r="DE96">
        <f>22.80942335</f>
        <v>22.809423349999999</v>
      </c>
      <c r="DF96">
        <f>23.58307319</f>
        <v>23.58307319</v>
      </c>
      <c r="DG96">
        <f>23.13738663</f>
        <v>23.137386630000002</v>
      </c>
      <c r="DH96">
        <f>23.06231256</f>
        <v>23.062312559999999</v>
      </c>
      <c r="DI96">
        <f>22.81930942</f>
        <v>22.81930942</v>
      </c>
      <c r="DJ96">
        <f>24.86907524</f>
        <v>24.869075240000001</v>
      </c>
      <c r="DK96">
        <f>24.60852329</f>
        <v>24.608523290000001</v>
      </c>
      <c r="DL96">
        <f>24.36472819</f>
        <v>24.364728190000001</v>
      </c>
      <c r="DM96">
        <f>25.89336719</f>
        <v>25.893367189999999</v>
      </c>
      <c r="DN96">
        <f>24.8273717</f>
        <v>24.8273717</v>
      </c>
      <c r="DO96">
        <f>23.45873786</f>
        <v>23.458737859999999</v>
      </c>
      <c r="DP96">
        <f>21.42612664</f>
        <v>21.42612664</v>
      </c>
      <c r="DQ96">
        <f>20.48591144</f>
        <v>20.485911439999999</v>
      </c>
      <c r="DR96">
        <f>20.43989071</f>
        <v>20.43989071</v>
      </c>
      <c r="DS96" t="str">
        <f>""</f>
        <v/>
      </c>
      <c r="DT96" t="str">
        <f>""</f>
        <v/>
      </c>
      <c r="DU96">
        <f>21.40869565</f>
        <v>21.408695649999999</v>
      </c>
      <c r="DV96" t="str">
        <f>""</f>
        <v/>
      </c>
      <c r="DW96">
        <f>22.49051095</f>
        <v>22.490510950000001</v>
      </c>
      <c r="DX96" t="str">
        <f>""</f>
        <v/>
      </c>
      <c r="DY96" t="str">
        <f>""</f>
        <v/>
      </c>
      <c r="DZ96" t="str">
        <f>""</f>
        <v/>
      </c>
      <c r="EA96" t="str">
        <f>""</f>
        <v/>
      </c>
      <c r="EB96" t="str">
        <f>""</f>
        <v/>
      </c>
      <c r="EC96" t="str">
        <f>""</f>
        <v/>
      </c>
      <c r="ED96" t="str">
        <f>""</f>
        <v/>
      </c>
      <c r="EE96" t="str">
        <f>""</f>
        <v/>
      </c>
      <c r="EF96" t="str">
        <f>""</f>
        <v/>
      </c>
      <c r="EG96" t="str">
        <f>""</f>
        <v/>
      </c>
      <c r="EH96" t="str">
        <f>""</f>
        <v/>
      </c>
      <c r="EI96" t="str">
        <f>""</f>
        <v/>
      </c>
      <c r="EJ96" t="str">
        <f>""</f>
        <v/>
      </c>
      <c r="EK96" t="str">
        <f>""</f>
        <v/>
      </c>
      <c r="EL96" t="str">
        <f>""</f>
        <v/>
      </c>
      <c r="EM96" t="str">
        <f>""</f>
        <v/>
      </c>
      <c r="EN96" t="str">
        <f>""</f>
        <v/>
      </c>
      <c r="EO96" t="str">
        <f>""</f>
        <v/>
      </c>
      <c r="EP96" t="str">
        <f>""</f>
        <v/>
      </c>
      <c r="EQ96" t="str">
        <f>""</f>
        <v/>
      </c>
      <c r="ER96" t="str">
        <f>""</f>
        <v/>
      </c>
      <c r="ES96" t="str">
        <f>""</f>
        <v/>
      </c>
      <c r="ET96" t="str">
        <f>""</f>
        <v/>
      </c>
      <c r="EU96" t="str">
        <f>""</f>
        <v/>
      </c>
      <c r="EV96" t="str">
        <f>""</f>
        <v/>
      </c>
      <c r="EW96" t="str">
        <f>""</f>
        <v/>
      </c>
      <c r="EX96" t="str">
        <f>""</f>
        <v/>
      </c>
      <c r="EY96" t="str">
        <f>""</f>
        <v/>
      </c>
      <c r="EZ96" t="str">
        <f>""</f>
        <v/>
      </c>
      <c r="FA96" t="str">
        <f>""</f>
        <v/>
      </c>
      <c r="FB96" t="str">
        <f>""</f>
        <v/>
      </c>
      <c r="FC96" t="str">
        <f>""</f>
        <v/>
      </c>
      <c r="FD96" t="str">
        <f>""</f>
        <v/>
      </c>
      <c r="FE96" t="str">
        <f>""</f>
        <v/>
      </c>
      <c r="FF96" t="str">
        <f>""</f>
        <v/>
      </c>
      <c r="FG96" t="str">
        <f>""</f>
        <v/>
      </c>
      <c r="FH96" t="str">
        <f>""</f>
        <v/>
      </c>
      <c r="FI96" t="str">
        <f>""</f>
        <v/>
      </c>
      <c r="FJ96" t="str">
        <f>""</f>
        <v/>
      </c>
      <c r="FK96" t="str">
        <f>""</f>
        <v/>
      </c>
      <c r="FL96" t="str">
        <f>""</f>
        <v/>
      </c>
      <c r="FM96" t="str">
        <f>""</f>
        <v/>
      </c>
      <c r="FN96" t="str">
        <f>""</f>
        <v/>
      </c>
      <c r="FO96" t="str">
        <f>""</f>
        <v/>
      </c>
      <c r="FP96" t="str">
        <f>""</f>
        <v/>
      </c>
      <c r="FQ96" t="str">
        <f>""</f>
        <v/>
      </c>
    </row>
    <row r="97" spans="1:173">
      <c r="A97" t="str">
        <f>"    Essex Property Trust Inc"</f>
        <v xml:space="preserve">    Essex Property Trust Inc</v>
      </c>
      <c r="B97" t="str">
        <f>"ESS US Equity"</f>
        <v>ESS US Equity</v>
      </c>
      <c r="E97" t="str">
        <f t="shared" si="31"/>
        <v>Expression</v>
      </c>
      <c r="F97" t="str">
        <f ca="1">IF(AND($B$252=1,LEN($F$225) * LEN($F$157)&gt;0),$F$225/$F$157,HLOOKUP(INDIRECT(ADDRESS(2,COLUMN())),OFFSET($CL$2,0,0,ROW()-1,84),ROW()-1,FALSE))</f>
        <v/>
      </c>
      <c r="G97" t="str">
        <f ca="1">IF(AND($B$252=1,LEN($G$225) * LEN($G$157)&gt;0),$G$225/$G$157,HLOOKUP(INDIRECT(ADDRESS(2,COLUMN())),OFFSET($CL$2,0,0,ROW()-1,84),ROW()-1,FALSE))</f>
        <v/>
      </c>
      <c r="H97">
        <f ca="1">IF(AND($B$252=1,LEN($H$225) * LEN($H$157)&gt;0),$H$225/$H$157,HLOOKUP(INDIRECT(ADDRESS(2,COLUMN())),OFFSET($CL$2,0,0,ROW()-1,84),ROW()-1,FALSE))</f>
        <v>21.712954329999999</v>
      </c>
      <c r="I97">
        <f ca="1">IF(AND($B$252=1,LEN($I$225) * LEN($I$157)&gt;0),$I$225/$I$157,HLOOKUP(INDIRECT(ADDRESS(2,COLUMN())),OFFSET($CL$2,0,0,ROW()-1,84),ROW()-1,FALSE))</f>
        <v>22.581158200000001</v>
      </c>
      <c r="J97">
        <f ca="1">IF(AND($B$252=1,LEN($J$225) * LEN($J$157)&gt;0),$J$225/$J$157,HLOOKUP(INDIRECT(ADDRESS(2,COLUMN())),OFFSET($CL$2,0,0,ROW()-1,84),ROW()-1,FALSE))</f>
        <v>23.158931079999999</v>
      </c>
      <c r="K97">
        <f ca="1">IF(AND($B$252=1,LEN($K$225) * LEN($K$157)&gt;0),$K$225/$K$157,HLOOKUP(INDIRECT(ADDRESS(2,COLUMN())),OFFSET($CL$2,0,0,ROW()-1,84),ROW()-1,FALSE))</f>
        <v>24.290077749999998</v>
      </c>
      <c r="L97">
        <f ca="1">IF(AND($B$252=1,LEN($L$225) * LEN($L$157)&gt;0),$L$225/$L$157,HLOOKUP(INDIRECT(ADDRESS(2,COLUMN())),OFFSET($CL$2,0,0,ROW()-1,84),ROW()-1,FALSE))</f>
        <v>23.49953747</v>
      </c>
      <c r="M97">
        <f ca="1">IF(AND($B$252=1,LEN($M$225) * LEN($M$157)&gt;0),$M$225/$M$157,HLOOKUP(INDIRECT(ADDRESS(2,COLUMN())),OFFSET($CL$2,0,0,ROW()-1,84),ROW()-1,FALSE))</f>
        <v>24.789821979999999</v>
      </c>
      <c r="N97">
        <f ca="1">IF(AND($B$252=1,LEN($N$225) * LEN($N$157)&gt;0),$N$225/$N$157,HLOOKUP(INDIRECT(ADDRESS(2,COLUMN())),OFFSET($CL$2,0,0,ROW()-1,84),ROW()-1,FALSE))</f>
        <v>24.298978640000001</v>
      </c>
      <c r="O97">
        <f ca="1">IF(AND($B$252=1,LEN($O$225) * LEN($O$157)&gt;0),$O$225/$O$157,HLOOKUP(INDIRECT(ADDRESS(2,COLUMN())),OFFSET($CL$2,0,0,ROW()-1,84),ROW()-1,FALSE))</f>
        <v>24.082186650000001</v>
      </c>
      <c r="P97">
        <f ca="1">IF(AND($B$252=1,LEN($P$225) * LEN($P$157)&gt;0),$P$225/$P$157,HLOOKUP(INDIRECT(ADDRESS(2,COLUMN())),OFFSET($CL$2,0,0,ROW()-1,84),ROW()-1,FALSE))</f>
        <v>24.056179780000001</v>
      </c>
      <c r="Q97">
        <f ca="1">IF(AND($B$252=1,LEN($Q$225) * LEN($Q$157)&gt;0),$Q$225/$Q$157,HLOOKUP(INDIRECT(ADDRESS(2,COLUMN())),OFFSET($CL$2,0,0,ROW()-1,84),ROW()-1,FALSE))</f>
        <v>22.89259294</v>
      </c>
      <c r="R97">
        <f ca="1">IF(AND($B$252=1,LEN($R$225) * LEN($R$157)&gt;0),$R$225/$R$157,HLOOKUP(INDIRECT(ADDRESS(2,COLUMN())),OFFSET($CL$2,0,0,ROW()-1,84),ROW()-1,FALSE))</f>
        <v>21.65450804</v>
      </c>
      <c r="S97">
        <f ca="1">IF(AND($B$252=1,LEN($S$225) * LEN($S$157)&gt;0),$S$225/$S$157,HLOOKUP(INDIRECT(ADDRESS(2,COLUMN())),OFFSET($CL$2,0,0,ROW()-1,84),ROW()-1,FALSE))</f>
        <v>21.95509822</v>
      </c>
      <c r="T97">
        <f ca="1">IF(AND($B$252=1,LEN($T$225) * LEN($T$157)&gt;0),$T$225/$T$157,HLOOKUP(INDIRECT(ADDRESS(2,COLUMN())),OFFSET($CL$2,0,0,ROW()-1,84),ROW()-1,FALSE))</f>
        <v>20.781988330000001</v>
      </c>
      <c r="U97">
        <f ca="1">IF(AND($B$252=1,LEN($U$225) * LEN($U$157)&gt;0),$U$225/$U$157,HLOOKUP(INDIRECT(ADDRESS(2,COLUMN())),OFFSET($CL$2,0,0,ROW()-1,84),ROW()-1,FALSE))</f>
        <v>21.519807480000001</v>
      </c>
      <c r="V97">
        <f ca="1">IF(AND($B$252=1,LEN($V$225) * LEN($V$157)&gt;0),$V$225/$V$157,HLOOKUP(INDIRECT(ADDRESS(2,COLUMN())),OFFSET($CL$2,0,0,ROW()-1,84),ROW()-1,FALSE))</f>
        <v>19.963017749999999</v>
      </c>
      <c r="W97">
        <f ca="1">IF(AND($B$252=1,LEN($W$225) * LEN($W$157)&gt;0),$W$225/$W$157,HLOOKUP(INDIRECT(ADDRESS(2,COLUMN())),OFFSET($CL$2,0,0,ROW()-1,84),ROW()-1,FALSE))</f>
        <v>19.770061869999999</v>
      </c>
      <c r="X97">
        <f ca="1">IF(AND($B$252=1,LEN($X$225) * LEN($X$157)&gt;0),$X$225/$X$157,HLOOKUP(INDIRECT(ADDRESS(2,COLUMN())),OFFSET($CL$2,0,0,ROW()-1,84),ROW()-1,FALSE))</f>
        <v>20.593674870000001</v>
      </c>
      <c r="Y97">
        <f ca="1">IF(AND($B$252=1,LEN($Y$225) * LEN($Y$157)&gt;0),$Y$225/$Y$157,HLOOKUP(INDIRECT(ADDRESS(2,COLUMN())),OFFSET($CL$2,0,0,ROW()-1,84),ROW()-1,FALSE))</f>
        <v>20.986969779999999</v>
      </c>
      <c r="Z97">
        <f ca="1">IF(AND($B$252=1,LEN($Z$225) * LEN($Z$157)&gt;0),$Z$225/$Z$157,HLOOKUP(INDIRECT(ADDRESS(2,COLUMN())),OFFSET($CL$2,0,0,ROW()-1,84),ROW()-1,FALSE))</f>
        <v>21.61752473</v>
      </c>
      <c r="AA97">
        <f ca="1">IF(AND($B$252=1,LEN($AA$225) * LEN($AA$157)&gt;0),$AA$225/$AA$157,HLOOKUP(INDIRECT(ADDRESS(2,COLUMN())),OFFSET($CL$2,0,0,ROW()-1,84),ROW()-1,FALSE))</f>
        <v>21.094053450000001</v>
      </c>
      <c r="AB97">
        <f ca="1">IF(AND($B$252=1,LEN($AB$225) * LEN($AB$157)&gt;0),$AB$225/$AB$157,HLOOKUP(INDIRECT(ADDRESS(2,COLUMN())),OFFSET($CL$2,0,0,ROW()-1,84),ROW()-1,FALSE))</f>
        <v>20.908170779999999</v>
      </c>
      <c r="AC97">
        <f ca="1">IF(AND($B$252=1,LEN($AC$225) * LEN($AC$157)&gt;0),$AC$225/$AC$157,HLOOKUP(INDIRECT(ADDRESS(2,COLUMN())),OFFSET($CL$2,0,0,ROW()-1,84),ROW()-1,FALSE))</f>
        <v>20.123231400000002</v>
      </c>
      <c r="AD97">
        <f ca="1">IF(AND($B$252=1,LEN($AD$225) * LEN($AD$157)&gt;0),$AD$225/$AD$157,HLOOKUP(INDIRECT(ADDRESS(2,COLUMN())),OFFSET($CL$2,0,0,ROW()-1,84),ROW()-1,FALSE))</f>
        <v>21.390286289999999</v>
      </c>
      <c r="AE97">
        <f ca="1">IF(AND($B$252=1,LEN($AE$225) * LEN($AE$157)&gt;0),$AE$225/$AE$157,HLOOKUP(INDIRECT(ADDRESS(2,COLUMN())),OFFSET($CL$2,0,0,ROW()-1,84),ROW()-1,FALSE))</f>
        <v>19.061845340000001</v>
      </c>
      <c r="AF97">
        <f ca="1">IF(AND($B$252=1,LEN($AF$225) * LEN($AF$157)&gt;0),$AF$225/$AF$157,HLOOKUP(INDIRECT(ADDRESS(2,COLUMN())),OFFSET($CL$2,0,0,ROW()-1,84),ROW()-1,FALSE))</f>
        <v>19.533455549999999</v>
      </c>
      <c r="AG97">
        <f ca="1">IF(AND($B$252=1,LEN($AG$225) * LEN($AG$157)&gt;0),$AG$225/$AG$157,HLOOKUP(INDIRECT(ADDRESS(2,COLUMN())),OFFSET($CL$2,0,0,ROW()-1,84),ROW()-1,FALSE))</f>
        <v>21.742802650000002</v>
      </c>
      <c r="AH97">
        <f ca="1">IF(AND($B$252=1,LEN($AH$225) * LEN($AH$157)&gt;0),$AH$225/$AH$157,HLOOKUP(INDIRECT(ADDRESS(2,COLUMN())),OFFSET($CL$2,0,0,ROW()-1,84),ROW()-1,FALSE))</f>
        <v>20.769438439999998</v>
      </c>
      <c r="AI97">
        <f ca="1">IF(AND($B$252=1,LEN($AI$225) * LEN($AI$157)&gt;0),$AI$225/$AI$157,HLOOKUP(INDIRECT(ADDRESS(2,COLUMN())),OFFSET($CL$2,0,0,ROW()-1,84),ROW()-1,FALSE))</f>
        <v>20.467966570000002</v>
      </c>
      <c r="AJ97">
        <f ca="1">IF(AND($B$252=1,LEN($AJ$225) * LEN($AJ$157)&gt;0),$AJ$225/$AJ$157,HLOOKUP(INDIRECT(ADDRESS(2,COLUMN())),OFFSET($CL$2,0,0,ROW()-1,84),ROW()-1,FALSE))</f>
        <v>21.77582846</v>
      </c>
      <c r="AK97">
        <f ca="1">IF(AND($B$252=1,LEN($AK$225) * LEN($AK$157)&gt;0),$AK$225/$AK$157,HLOOKUP(INDIRECT(ADDRESS(2,COLUMN())),OFFSET($CL$2,0,0,ROW()-1,84),ROW()-1,FALSE))</f>
        <v>20.91812865</v>
      </c>
      <c r="AL97">
        <f ca="1">IF(AND($B$252=1,LEN($AL$225) * LEN($AL$157)&gt;0),$AL$225/$AL$157,HLOOKUP(INDIRECT(ADDRESS(2,COLUMN())),OFFSET($CL$2,0,0,ROW()-1,84),ROW()-1,FALSE))</f>
        <v>20.921860469999999</v>
      </c>
      <c r="AM97" t="str">
        <f ca="1">IF(AND($B$252=1,LEN($AM$225) * LEN($AM$157)&gt;0),$AM$225/$AM$157,HLOOKUP(INDIRECT(ADDRESS(2,COLUMN())),OFFSET($CL$2,0,0,ROW()-1,84),ROW()-1,FALSE))</f>
        <v/>
      </c>
      <c r="AN97">
        <f ca="1">IF(AND($B$252=1,LEN($AN$225) * LEN($AN$157)&gt;0),$AN$225/$AN$157,HLOOKUP(INDIRECT(ADDRESS(2,COLUMN())),OFFSET($CL$2,0,0,ROW()-1,84),ROW()-1,FALSE))</f>
        <v>21.171659529999999</v>
      </c>
      <c r="AO97">
        <f ca="1">IF(AND($B$252=1,LEN($AO$225) * LEN($AO$157)&gt;0),$AO$225/$AO$157,HLOOKUP(INDIRECT(ADDRESS(2,COLUMN())),OFFSET($CL$2,0,0,ROW()-1,84),ROW()-1,FALSE))</f>
        <v>21.218929249999999</v>
      </c>
      <c r="AP97">
        <f ca="1">IF(AND($B$252=1,LEN($AP$225) * LEN($AP$157)&gt;0),$AP$225/$AP$157,HLOOKUP(INDIRECT(ADDRESS(2,COLUMN())),OFFSET($CL$2,0,0,ROW()-1,84),ROW()-1,FALSE))</f>
        <v>22.89840637</v>
      </c>
      <c r="AQ97">
        <f ca="1">IF(AND($B$252=1,LEN($AQ$225) * LEN($AQ$157)&gt;0),$AQ$225/$AQ$157,HLOOKUP(INDIRECT(ADDRESS(2,COLUMN())),OFFSET($CL$2,0,0,ROW()-1,84),ROW()-1,FALSE))</f>
        <v>22.422379029999998</v>
      </c>
      <c r="AR97" t="str">
        <f ca="1">IF(AND($B$252=1,LEN($AR$225) * LEN($AR$157)&gt;0),$AR$225/$AR$157,HLOOKUP(INDIRECT(ADDRESS(2,COLUMN())),OFFSET($CL$2,0,0,ROW()-1,84),ROW()-1,FALSE))</f>
        <v/>
      </c>
      <c r="AS97" t="str">
        <f ca="1">IF(AND($B$252=1,LEN($AS$225) * LEN($AS$157)&gt;0),$AS$225/$AS$157,HLOOKUP(INDIRECT(ADDRESS(2,COLUMN())),OFFSET($CL$2,0,0,ROW()-1,84),ROW()-1,FALSE))</f>
        <v/>
      </c>
      <c r="AT97" t="str">
        <f ca="1">IF(AND($B$252=1,LEN($AT$225) * LEN($AT$157)&gt;0),$AT$225/$AT$157,HLOOKUP(INDIRECT(ADDRESS(2,COLUMN())),OFFSET($CL$2,0,0,ROW()-1,84),ROW()-1,FALSE))</f>
        <v/>
      </c>
      <c r="AU97" t="str">
        <f ca="1">IF(AND($B$252=1,LEN($AU$225) * LEN($AU$157)&gt;0),$AU$225/$AU$157,HLOOKUP(INDIRECT(ADDRESS(2,COLUMN())),OFFSET($CL$2,0,0,ROW()-1,84),ROW()-1,FALSE))</f>
        <v/>
      </c>
      <c r="AV97" t="str">
        <f ca="1">IF(AND($B$252=1,LEN($AV$225) * LEN($AV$157)&gt;0),$AV$225/$AV$157,HLOOKUP(INDIRECT(ADDRESS(2,COLUMN())),OFFSET($CL$2,0,0,ROW()-1,84),ROW()-1,FALSE))</f>
        <v/>
      </c>
      <c r="AW97" t="str">
        <f ca="1">IF(AND($B$252=1,LEN($AW$225) * LEN($AW$157)&gt;0),$AW$225/$AW$157,HLOOKUP(INDIRECT(ADDRESS(2,COLUMN())),OFFSET($CL$2,0,0,ROW()-1,84),ROW()-1,FALSE))</f>
        <v/>
      </c>
      <c r="AX97" t="str">
        <f ca="1">IF(AND($B$252=1,LEN($AX$225) * LEN($AX$157)&gt;0),$AX$225/$AX$157,HLOOKUP(INDIRECT(ADDRESS(2,COLUMN())),OFFSET($CL$2,0,0,ROW()-1,84),ROW()-1,FALSE))</f>
        <v/>
      </c>
      <c r="AY97" t="str">
        <f ca="1">IF(AND($B$252=1,LEN($AY$225) * LEN($AY$157)&gt;0),$AY$225/$AY$157,HLOOKUP(INDIRECT(ADDRESS(2,COLUMN())),OFFSET($CL$2,0,0,ROW()-1,84),ROW()-1,FALSE))</f>
        <v/>
      </c>
      <c r="AZ97" t="str">
        <f ca="1">IF(AND($B$252=1,LEN($AZ$225) * LEN($AZ$157)&gt;0),$AZ$225/$AZ$157,HLOOKUP(INDIRECT(ADDRESS(2,COLUMN())),OFFSET($CL$2,0,0,ROW()-1,84),ROW()-1,FALSE))</f>
        <v/>
      </c>
      <c r="BA97" t="str">
        <f ca="1">IF(AND($B$252=1,LEN($BA$225) * LEN($BA$157)&gt;0),$BA$225/$BA$157,HLOOKUP(INDIRECT(ADDRESS(2,COLUMN())),OFFSET($CL$2,0,0,ROW()-1,84),ROW()-1,FALSE))</f>
        <v/>
      </c>
      <c r="BB97" t="str">
        <f ca="1">IF(AND($B$252=1,LEN($BB$225) * LEN($BB$157)&gt;0),$BB$225/$BB$157,HLOOKUP(INDIRECT(ADDRESS(2,COLUMN())),OFFSET($CL$2,0,0,ROW()-1,84),ROW()-1,FALSE))</f>
        <v/>
      </c>
      <c r="BC97" t="str">
        <f ca="1">IF(AND($B$252=1,LEN($BC$225) * LEN($BC$157)&gt;0),$BC$225/$BC$157,HLOOKUP(INDIRECT(ADDRESS(2,COLUMN())),OFFSET($CL$2,0,0,ROW()-1,84),ROW()-1,FALSE))</f>
        <v/>
      </c>
      <c r="BD97" t="str">
        <f ca="1">IF(AND($B$252=1,LEN($BD$225) * LEN($BD$157)&gt;0),$BD$225/$BD$157,HLOOKUP(INDIRECT(ADDRESS(2,COLUMN())),OFFSET($CL$2,0,0,ROW()-1,84),ROW()-1,FALSE))</f>
        <v/>
      </c>
      <c r="BE97" t="str">
        <f ca="1">IF(AND($B$252=1,LEN($BE$225) * LEN($BE$157)&gt;0),$BE$225/$BE$157,HLOOKUP(INDIRECT(ADDRESS(2,COLUMN())),OFFSET($CL$2,0,0,ROW()-1,84),ROW()-1,FALSE))</f>
        <v/>
      </c>
      <c r="BF97" t="str">
        <f ca="1">IF(AND($B$252=1,LEN($BF$225) * LEN($BF$157)&gt;0),$BF$225/$BF$157,HLOOKUP(INDIRECT(ADDRESS(2,COLUMN())),OFFSET($CL$2,0,0,ROW()-1,84),ROW()-1,FALSE))</f>
        <v/>
      </c>
      <c r="BG97" t="str">
        <f ca="1">IF(AND($B$252=1,LEN($BG$225) * LEN($BG$157)&gt;0),$BG$225/$BG$157,HLOOKUP(INDIRECT(ADDRESS(2,COLUMN())),OFFSET($CL$2,0,0,ROW()-1,84),ROW()-1,FALSE))</f>
        <v/>
      </c>
      <c r="BH97" t="str">
        <f ca="1">IF(AND($B$252=1,LEN($BH$225) * LEN($BH$157)&gt;0),$BH$225/$BH$157,HLOOKUP(INDIRECT(ADDRESS(2,COLUMN())),OFFSET($CL$2,0,0,ROW()-1,84),ROW()-1,FALSE))</f>
        <v/>
      </c>
      <c r="BI97" t="str">
        <f ca="1">IF(AND($B$252=1,LEN($BI$225) * LEN($BI$157)&gt;0),$BI$225/$BI$157,HLOOKUP(INDIRECT(ADDRESS(2,COLUMN())),OFFSET($CL$2,0,0,ROW()-1,84),ROW()-1,FALSE))</f>
        <v/>
      </c>
      <c r="BJ97" t="str">
        <f ca="1">IF(AND($B$252=1,LEN($BJ$225) * LEN($BJ$157)&gt;0),$BJ$225/$BJ$157,HLOOKUP(INDIRECT(ADDRESS(2,COLUMN())),OFFSET($CL$2,0,0,ROW()-1,84),ROW()-1,FALSE))</f>
        <v/>
      </c>
      <c r="BK97" t="str">
        <f ca="1">IF(AND($B$252=1,LEN($BK$225) * LEN($BK$157)&gt;0),$BK$225/$BK$157,HLOOKUP(INDIRECT(ADDRESS(2,COLUMN())),OFFSET($CL$2,0,0,ROW()-1,84),ROW()-1,FALSE))</f>
        <v/>
      </c>
      <c r="BL97" t="str">
        <f ca="1">IF(AND($B$252=1,LEN($BL$225) * LEN($BL$157)&gt;0),$BL$225/$BL$157,HLOOKUP(INDIRECT(ADDRESS(2,COLUMN())),OFFSET($CL$2,0,0,ROW()-1,84),ROW()-1,FALSE))</f>
        <v/>
      </c>
      <c r="BM97" t="str">
        <f ca="1">IF(AND($B$252=1,LEN($BM$225) * LEN($BM$157)&gt;0),$BM$225/$BM$157,HLOOKUP(INDIRECT(ADDRESS(2,COLUMN())),OFFSET($CL$2,0,0,ROW()-1,84),ROW()-1,FALSE))</f>
        <v/>
      </c>
      <c r="BN97" t="str">
        <f ca="1">IF(AND($B$252=1,LEN($BN$225) * LEN($BN$157)&gt;0),$BN$225/$BN$157,HLOOKUP(INDIRECT(ADDRESS(2,COLUMN())),OFFSET($CL$2,0,0,ROW()-1,84),ROW()-1,FALSE))</f>
        <v/>
      </c>
      <c r="BO97" t="str">
        <f ca="1">IF(AND($B$252=1,LEN($BO$225) * LEN($BO$157)&gt;0),$BO$225/$BO$157,HLOOKUP(INDIRECT(ADDRESS(2,COLUMN())),OFFSET($CL$2,0,0,ROW()-1,84),ROW()-1,FALSE))</f>
        <v/>
      </c>
      <c r="BP97" t="str">
        <f ca="1">IF(AND($B$252=1,LEN($BP$225) * LEN($BP$157)&gt;0),$BP$225/$BP$157,HLOOKUP(INDIRECT(ADDRESS(2,COLUMN())),OFFSET($CL$2,0,0,ROW()-1,84),ROW()-1,FALSE))</f>
        <v/>
      </c>
      <c r="BQ97" t="str">
        <f ca="1">IF(AND($B$252=1,LEN($BQ$225) * LEN($BQ$157)&gt;0),$BQ$225/$BQ$157,HLOOKUP(INDIRECT(ADDRESS(2,COLUMN())),OFFSET($CL$2,0,0,ROW()-1,84),ROW()-1,FALSE))</f>
        <v/>
      </c>
      <c r="BR97" t="str">
        <f ca="1">IF(AND($B$252=1,LEN($BR$225) * LEN($BR$157)&gt;0),$BR$225/$BR$157,HLOOKUP(INDIRECT(ADDRESS(2,COLUMN())),OFFSET($CL$2,0,0,ROW()-1,84),ROW()-1,FALSE))</f>
        <v/>
      </c>
      <c r="BS97" t="str">
        <f ca="1">IF(AND($B$252=1,LEN($BS$225) * LEN($BS$157)&gt;0),$BS$225/$BS$157,HLOOKUP(INDIRECT(ADDRESS(2,COLUMN())),OFFSET($CL$2,0,0,ROW()-1,84),ROW()-1,FALSE))</f>
        <v/>
      </c>
      <c r="BT97" t="str">
        <f ca="1">IF(AND($B$252=1,LEN($BT$225) * LEN($BT$157)&gt;0),$BT$225/$BT$157,HLOOKUP(INDIRECT(ADDRESS(2,COLUMN())),OFFSET($CL$2,0,0,ROW()-1,84),ROW()-1,FALSE))</f>
        <v/>
      </c>
      <c r="BU97" t="str">
        <f ca="1">IF(AND($B$252=1,LEN($BU$225) * LEN($BU$157)&gt;0),$BU$225/$BU$157,HLOOKUP(INDIRECT(ADDRESS(2,COLUMN())),OFFSET($CL$2,0,0,ROW()-1,84),ROW()-1,FALSE))</f>
        <v/>
      </c>
      <c r="BV97" t="str">
        <f ca="1">IF(AND($B$252=1,LEN($BV$225) * LEN($BV$157)&gt;0),$BV$225/$BV$157,HLOOKUP(INDIRECT(ADDRESS(2,COLUMN())),OFFSET($CL$2,0,0,ROW()-1,84),ROW()-1,FALSE))</f>
        <v/>
      </c>
      <c r="BW97" t="str">
        <f ca="1">IF(AND($B$252=1,LEN($BW$225) * LEN($BW$157)&gt;0),$BW$225/$BW$157,HLOOKUP(INDIRECT(ADDRESS(2,COLUMN())),OFFSET($CL$2,0,0,ROW()-1,84),ROW()-1,FALSE))</f>
        <v/>
      </c>
      <c r="BX97" t="str">
        <f ca="1">IF(AND($B$252=1,LEN($BX$225) * LEN($BX$157)&gt;0),$BX$225/$BX$157,HLOOKUP(INDIRECT(ADDRESS(2,COLUMN())),OFFSET($CL$2,0,0,ROW()-1,84),ROW()-1,FALSE))</f>
        <v/>
      </c>
      <c r="BY97" t="str">
        <f ca="1">IF(AND($B$252=1,LEN($BY$225) * LEN($BY$157)&gt;0),$BY$225/$BY$157,HLOOKUP(INDIRECT(ADDRESS(2,COLUMN())),OFFSET($CL$2,0,0,ROW()-1,84),ROW()-1,FALSE))</f>
        <v/>
      </c>
      <c r="BZ97" t="str">
        <f ca="1">IF(AND($B$252=1,LEN($BZ$225) * LEN($BZ$157)&gt;0),$BZ$225/$BZ$157,HLOOKUP(INDIRECT(ADDRESS(2,COLUMN())),OFFSET($CL$2,0,0,ROW()-1,84),ROW()-1,FALSE))</f>
        <v/>
      </c>
      <c r="CA97" t="str">
        <f ca="1">IF(AND($B$252=1,LEN($CA$225) * LEN($CA$157)&gt;0),$CA$225/$CA$157,HLOOKUP(INDIRECT(ADDRESS(2,COLUMN())),OFFSET($CL$2,0,0,ROW()-1,84),ROW()-1,FALSE))</f>
        <v/>
      </c>
      <c r="CB97" t="str">
        <f ca="1">IF(AND($B$252=1,LEN($CB$225) * LEN($CB$157)&gt;0),$CB$225/$CB$157,HLOOKUP(INDIRECT(ADDRESS(2,COLUMN())),OFFSET($CL$2,0,0,ROW()-1,84),ROW()-1,FALSE))</f>
        <v/>
      </c>
      <c r="CC97" t="str">
        <f ca="1">IF(AND($B$252=1,LEN($CC$225) * LEN($CC$157)&gt;0),$CC$225/$CC$157,HLOOKUP(INDIRECT(ADDRESS(2,COLUMN())),OFFSET($CL$2,0,0,ROW()-1,84),ROW()-1,FALSE))</f>
        <v/>
      </c>
      <c r="CD97" t="str">
        <f ca="1">IF(AND($B$252=1,LEN($CD$225) * LEN($CD$157)&gt;0),$CD$225/$CD$157,HLOOKUP(INDIRECT(ADDRESS(2,COLUMN())),OFFSET($CL$2,0,0,ROW()-1,84),ROW()-1,FALSE))</f>
        <v/>
      </c>
      <c r="CE97" t="str">
        <f ca="1">IF(AND($B$252=1,LEN($CE$225) * LEN($CE$157)&gt;0),$CE$225/$CE$157,HLOOKUP(INDIRECT(ADDRESS(2,COLUMN())),OFFSET($CL$2,0,0,ROW()-1,84),ROW()-1,FALSE))</f>
        <v/>
      </c>
      <c r="CF97" t="str">
        <f ca="1">IF(AND($B$252=1,LEN($CF$225) * LEN($CF$157)&gt;0),$CF$225/$CF$157,HLOOKUP(INDIRECT(ADDRESS(2,COLUMN())),OFFSET($CL$2,0,0,ROW()-1,84),ROW()-1,FALSE))</f>
        <v/>
      </c>
      <c r="CG97" t="str">
        <f ca="1">IF(AND($B$252=1,LEN($CG$225) * LEN($CG$157)&gt;0),$CG$225/$CG$157,HLOOKUP(INDIRECT(ADDRESS(2,COLUMN())),OFFSET($CL$2,0,0,ROW()-1,84),ROW()-1,FALSE))</f>
        <v/>
      </c>
      <c r="CH97" t="str">
        <f ca="1">IF(AND($B$252=1,LEN($CH$225) * LEN($CH$157)&gt;0),$CH$225/$CH$157,HLOOKUP(INDIRECT(ADDRESS(2,COLUMN())),OFFSET($CL$2,0,0,ROW()-1,84),ROW()-1,FALSE))</f>
        <v/>
      </c>
      <c r="CI97" t="str">
        <f ca="1">IF(AND($B$252=1,LEN($CI$225) * LEN($CI$157)&gt;0),$CI$225/$CI$157,HLOOKUP(INDIRECT(ADDRESS(2,COLUMN())),OFFSET($CL$2,0,0,ROW()-1,84),ROW()-1,FALSE))</f>
        <v/>
      </c>
      <c r="CJ97" t="str">
        <f ca="1">IF(AND($B$252=1,LEN($CJ$225) * LEN($CJ$157)&gt;0),$CJ$225/$CJ$157,HLOOKUP(INDIRECT(ADDRESS(2,COLUMN())),OFFSET($CL$2,0,0,ROW()-1,84),ROW()-1,FALSE))</f>
        <v/>
      </c>
      <c r="CK97" t="str">
        <f ca="1">IF(AND($B$252=1,LEN($CK$225) * LEN($CK$157)&gt;0),$CK$225/$CK$157,HLOOKUP(INDIRECT(ADDRESS(2,COLUMN())),OFFSET($CL$2,0,0,ROW()-1,84),ROW()-1,FALSE))</f>
        <v/>
      </c>
      <c r="CL97" t="str">
        <f>""</f>
        <v/>
      </c>
      <c r="CM97" t="str">
        <f>""</f>
        <v/>
      </c>
      <c r="CN97">
        <f>21.71295433</f>
        <v>21.712954329999999</v>
      </c>
      <c r="CO97">
        <f>22.5811582</f>
        <v>22.581158200000001</v>
      </c>
      <c r="CP97">
        <f>23.15893108</f>
        <v>23.158931079999999</v>
      </c>
      <c r="CQ97">
        <f>24.29007775</f>
        <v>24.290077749999998</v>
      </c>
      <c r="CR97">
        <f>23.49953747</f>
        <v>23.49953747</v>
      </c>
      <c r="CS97">
        <f>24.78982198</f>
        <v>24.789821979999999</v>
      </c>
      <c r="CT97">
        <f>24.29897864</f>
        <v>24.298978640000001</v>
      </c>
      <c r="CU97">
        <f>24.08218665</f>
        <v>24.082186650000001</v>
      </c>
      <c r="CV97">
        <f>24.05617978</f>
        <v>24.056179780000001</v>
      </c>
      <c r="CW97">
        <f>22.89259294</f>
        <v>22.89259294</v>
      </c>
      <c r="CX97">
        <f>21.65450804</f>
        <v>21.65450804</v>
      </c>
      <c r="CY97">
        <f>21.95509822</f>
        <v>21.95509822</v>
      </c>
      <c r="CZ97">
        <f>20.78198833</f>
        <v>20.781988330000001</v>
      </c>
      <c r="DA97">
        <f>21.51980748</f>
        <v>21.519807480000001</v>
      </c>
      <c r="DB97">
        <f>19.96301775</f>
        <v>19.963017749999999</v>
      </c>
      <c r="DC97">
        <f>19.77006187</f>
        <v>19.770061869999999</v>
      </c>
      <c r="DD97">
        <f>20.59367487</f>
        <v>20.593674870000001</v>
      </c>
      <c r="DE97">
        <f>20.98696978</f>
        <v>20.986969779999999</v>
      </c>
      <c r="DF97">
        <f>21.61752473</f>
        <v>21.61752473</v>
      </c>
      <c r="DG97">
        <f>21.09405345</f>
        <v>21.094053450000001</v>
      </c>
      <c r="DH97">
        <f>20.90817078</f>
        <v>20.908170779999999</v>
      </c>
      <c r="DI97">
        <f>20.1232314</f>
        <v>20.123231400000002</v>
      </c>
      <c r="DJ97">
        <f>21.39028629</f>
        <v>21.390286289999999</v>
      </c>
      <c r="DK97">
        <f>19.06184534</f>
        <v>19.061845340000001</v>
      </c>
      <c r="DL97">
        <f>19.53345555</f>
        <v>19.533455549999999</v>
      </c>
      <c r="DM97">
        <f>21.74280265</f>
        <v>21.742802650000002</v>
      </c>
      <c r="DN97">
        <f>20.76943844</f>
        <v>20.769438439999998</v>
      </c>
      <c r="DO97">
        <f>20.46796657</f>
        <v>20.467966570000002</v>
      </c>
      <c r="DP97">
        <f>21.77582846</f>
        <v>21.77582846</v>
      </c>
      <c r="DQ97">
        <f>20.91812865</f>
        <v>20.91812865</v>
      </c>
      <c r="DR97">
        <f>20.92186047</f>
        <v>20.921860469999999</v>
      </c>
      <c r="DS97" t="str">
        <f>""</f>
        <v/>
      </c>
      <c r="DT97">
        <f>21.17165953</f>
        <v>21.171659529999999</v>
      </c>
      <c r="DU97">
        <f>21.21892925</f>
        <v>21.218929249999999</v>
      </c>
      <c r="DV97">
        <f>22.89840637</f>
        <v>22.89840637</v>
      </c>
      <c r="DW97">
        <f>22.42237903</f>
        <v>22.422379029999998</v>
      </c>
      <c r="DX97" t="str">
        <f>""</f>
        <v/>
      </c>
      <c r="DY97" t="str">
        <f>""</f>
        <v/>
      </c>
      <c r="DZ97" t="str">
        <f>""</f>
        <v/>
      </c>
      <c r="EA97" t="str">
        <f>""</f>
        <v/>
      </c>
      <c r="EB97" t="str">
        <f>""</f>
        <v/>
      </c>
      <c r="EC97" t="str">
        <f>""</f>
        <v/>
      </c>
      <c r="ED97" t="str">
        <f>""</f>
        <v/>
      </c>
      <c r="EE97" t="str">
        <f>""</f>
        <v/>
      </c>
      <c r="EF97" t="str">
        <f>""</f>
        <v/>
      </c>
      <c r="EG97" t="str">
        <f>""</f>
        <v/>
      </c>
      <c r="EH97" t="str">
        <f>""</f>
        <v/>
      </c>
      <c r="EI97" t="str">
        <f>""</f>
        <v/>
      </c>
      <c r="EJ97" t="str">
        <f>""</f>
        <v/>
      </c>
      <c r="EK97" t="str">
        <f>""</f>
        <v/>
      </c>
      <c r="EL97" t="str">
        <f>""</f>
        <v/>
      </c>
      <c r="EM97" t="str">
        <f>""</f>
        <v/>
      </c>
      <c r="EN97" t="str">
        <f>""</f>
        <v/>
      </c>
      <c r="EO97" t="str">
        <f>""</f>
        <v/>
      </c>
      <c r="EP97" t="str">
        <f>""</f>
        <v/>
      </c>
      <c r="EQ97" t="str">
        <f>""</f>
        <v/>
      </c>
      <c r="ER97" t="str">
        <f>""</f>
        <v/>
      </c>
      <c r="ES97" t="str">
        <f>""</f>
        <v/>
      </c>
      <c r="ET97" t="str">
        <f>""</f>
        <v/>
      </c>
      <c r="EU97" t="str">
        <f>""</f>
        <v/>
      </c>
      <c r="EV97" t="str">
        <f>""</f>
        <v/>
      </c>
      <c r="EW97" t="str">
        <f>""</f>
        <v/>
      </c>
      <c r="EX97" t="str">
        <f>""</f>
        <v/>
      </c>
      <c r="EY97" t="str">
        <f>""</f>
        <v/>
      </c>
      <c r="EZ97" t="str">
        <f>""</f>
        <v/>
      </c>
      <c r="FA97" t="str">
        <f>""</f>
        <v/>
      </c>
      <c r="FB97" t="str">
        <f>""</f>
        <v/>
      </c>
      <c r="FC97" t="str">
        <f>""</f>
        <v/>
      </c>
      <c r="FD97" t="str">
        <f>""</f>
        <v/>
      </c>
      <c r="FE97" t="str">
        <f>""</f>
        <v/>
      </c>
      <c r="FF97" t="str">
        <f>""</f>
        <v/>
      </c>
      <c r="FG97" t="str">
        <f>""</f>
        <v/>
      </c>
      <c r="FH97" t="str">
        <f>""</f>
        <v/>
      </c>
      <c r="FI97" t="str">
        <f>""</f>
        <v/>
      </c>
      <c r="FJ97" t="str">
        <f>""</f>
        <v/>
      </c>
      <c r="FK97" t="str">
        <f>""</f>
        <v/>
      </c>
      <c r="FL97" t="str">
        <f>""</f>
        <v/>
      </c>
      <c r="FM97" t="str">
        <f>""</f>
        <v/>
      </c>
      <c r="FN97" t="str">
        <f>""</f>
        <v/>
      </c>
      <c r="FO97" t="str">
        <f>""</f>
        <v/>
      </c>
      <c r="FP97" t="str">
        <f>""</f>
        <v/>
      </c>
      <c r="FQ97" t="str">
        <f>""</f>
        <v/>
      </c>
    </row>
    <row r="98" spans="1:173">
      <c r="A98" t="str">
        <f>"    Mid-America Apartment Communit"</f>
        <v xml:space="preserve">    Mid-America Apartment Communit</v>
      </c>
      <c r="B98" t="str">
        <f>"MAA US Equity"</f>
        <v>MAA US Equity</v>
      </c>
      <c r="E98" t="str">
        <f t="shared" si="31"/>
        <v>Expression</v>
      </c>
      <c r="F98" t="str">
        <f ca="1">IF(AND($B$252=1,LEN($F$226) * LEN($F$158)&gt;0),$F$226/$F$158,HLOOKUP(INDIRECT(ADDRESS(2,COLUMN())),OFFSET($CL$2,0,0,ROW()-1,84),ROW()-1,FALSE))</f>
        <v/>
      </c>
      <c r="G98" t="str">
        <f ca="1">IF(AND($B$252=1,LEN($G$226) * LEN($G$158)&gt;0),$G$226/$G$158,HLOOKUP(INDIRECT(ADDRESS(2,COLUMN())),OFFSET($CL$2,0,0,ROW()-1,84),ROW()-1,FALSE))</f>
        <v/>
      </c>
      <c r="H98">
        <f ca="1">IF(AND($B$252=1,LEN($H$226) * LEN($H$158)&gt;0),$H$226/$H$158,HLOOKUP(INDIRECT(ADDRESS(2,COLUMN())),OFFSET($CL$2,0,0,ROW()-1,84),ROW()-1,FALSE))</f>
        <v>17.756469930000002</v>
      </c>
      <c r="I98">
        <f ca="1">IF(AND($B$252=1,LEN($I$226) * LEN($I$158)&gt;0),$I$226/$I$158,HLOOKUP(INDIRECT(ADDRESS(2,COLUMN())),OFFSET($CL$2,0,0,ROW()-1,84),ROW()-1,FALSE))</f>
        <v>18.952129660000001</v>
      </c>
      <c r="J98">
        <f ca="1">IF(AND($B$252=1,LEN($J$226) * LEN($J$158)&gt;0),$J$226/$J$158,HLOOKUP(INDIRECT(ADDRESS(2,COLUMN())),OFFSET($CL$2,0,0,ROW()-1,84),ROW()-1,FALSE))</f>
        <v>19.012620640000002</v>
      </c>
      <c r="K98">
        <f ca="1">IF(AND($B$252=1,LEN($K$226) * LEN($K$158)&gt;0),$K$226/$K$158,HLOOKUP(INDIRECT(ADDRESS(2,COLUMN())),OFFSET($CL$2,0,0,ROW()-1,84),ROW()-1,FALSE))</f>
        <v>19.23149192</v>
      </c>
      <c r="L98">
        <f ca="1">IF(AND($B$252=1,LEN($L$226) * LEN($L$158)&gt;0),$L$226/$L$158,HLOOKUP(INDIRECT(ADDRESS(2,COLUMN())),OFFSET($CL$2,0,0,ROW()-1,84),ROW()-1,FALSE))</f>
        <v>19.818282960000001</v>
      </c>
      <c r="M98">
        <f ca="1">IF(AND($B$252=1,LEN($M$226) * LEN($M$158)&gt;0),$M$226/$M$158,HLOOKUP(INDIRECT(ADDRESS(2,COLUMN())),OFFSET($CL$2,0,0,ROW()-1,84),ROW()-1,FALSE))</f>
        <v>19.96249766</v>
      </c>
      <c r="N98">
        <f ca="1">IF(AND($B$252=1,LEN($N$226) * LEN($N$158)&gt;0),$N$226/$N$158,HLOOKUP(INDIRECT(ADDRESS(2,COLUMN())),OFFSET($CL$2,0,0,ROW()-1,84),ROW()-1,FALSE))</f>
        <v>19.387640449999999</v>
      </c>
      <c r="O98">
        <f ca="1">IF(AND($B$252=1,LEN($O$226) * LEN($O$158)&gt;0),$O$226/$O$158,HLOOKUP(INDIRECT(ADDRESS(2,COLUMN())),OFFSET($CL$2,0,0,ROW()-1,84),ROW()-1,FALSE))</f>
        <v>19.737778609999999</v>
      </c>
      <c r="P98">
        <f ca="1">IF(AND($B$252=1,LEN($P$226) * LEN($P$158)&gt;0),$P$226/$P$158,HLOOKUP(INDIRECT(ADDRESS(2,COLUMN())),OFFSET($CL$2,0,0,ROW()-1,84),ROW()-1,FALSE))</f>
        <v>19.09704009</v>
      </c>
      <c r="Q98">
        <f ca="1">IF(AND($B$252=1,LEN($Q$226) * LEN($Q$158)&gt;0),$Q$226/$Q$158,HLOOKUP(INDIRECT(ADDRESS(2,COLUMN())),OFFSET($CL$2,0,0,ROW()-1,84),ROW()-1,FALSE))</f>
        <v>18.843304839999998</v>
      </c>
      <c r="R98">
        <f ca="1">IF(AND($B$252=1,LEN($R$226) * LEN($R$158)&gt;0),$R$226/$R$158,HLOOKUP(INDIRECT(ADDRESS(2,COLUMN())),OFFSET($CL$2,0,0,ROW()-1,84),ROW()-1,FALSE))</f>
        <v>19.397521449999999</v>
      </c>
      <c r="S98">
        <f ca="1">IF(AND($B$252=1,LEN($S$226) * LEN($S$158)&gt;0),$S$226/$S$158,HLOOKUP(INDIRECT(ADDRESS(2,COLUMN())),OFFSET($CL$2,0,0,ROW()-1,84),ROW()-1,FALSE))</f>
        <v>19.545281580000001</v>
      </c>
      <c r="T98">
        <f ca="1">IF(AND($B$252=1,LEN($T$226) * LEN($T$158)&gt;0),$T$226/$T$158,HLOOKUP(INDIRECT(ADDRESS(2,COLUMN())),OFFSET($CL$2,0,0,ROW()-1,84),ROW()-1,FALSE))</f>
        <v>17.871259179999999</v>
      </c>
      <c r="U98">
        <f ca="1">IF(AND($B$252=1,LEN($U$226) * LEN($U$158)&gt;0),$U$226/$U$158,HLOOKUP(INDIRECT(ADDRESS(2,COLUMN())),OFFSET($CL$2,0,0,ROW()-1,84),ROW()-1,FALSE))</f>
        <v>18.47198642</v>
      </c>
      <c r="V98">
        <f ca="1">IF(AND($B$252=1,LEN($V$226) * LEN($V$158)&gt;0),$V$226/$V$158,HLOOKUP(INDIRECT(ADDRESS(2,COLUMN())),OFFSET($CL$2,0,0,ROW()-1,84),ROW()-1,FALSE))</f>
        <v>16.92776649</v>
      </c>
      <c r="W98">
        <f ca="1">IF(AND($B$252=1,LEN($W$226) * LEN($W$158)&gt;0),$W$226/$W$158,HLOOKUP(INDIRECT(ADDRESS(2,COLUMN())),OFFSET($CL$2,0,0,ROW()-1,84),ROW()-1,FALSE))</f>
        <v>17.074742270000002</v>
      </c>
      <c r="X98">
        <f ca="1">IF(AND($B$252=1,LEN($X$226) * LEN($X$158)&gt;0),$X$226/$X$158,HLOOKUP(INDIRECT(ADDRESS(2,COLUMN())),OFFSET($CL$2,0,0,ROW()-1,84),ROW()-1,FALSE))</f>
        <v>17.473508089999999</v>
      </c>
      <c r="Y98">
        <f ca="1">IF(AND($B$252=1,LEN($Y$226) * LEN($Y$158)&gt;0),$Y$226/$Y$158,HLOOKUP(INDIRECT(ADDRESS(2,COLUMN())),OFFSET($CL$2,0,0,ROW()-1,84),ROW()-1,FALSE))</f>
        <v>17.48976554</v>
      </c>
      <c r="Z98">
        <f ca="1">IF(AND($B$252=1,LEN($Z$226) * LEN($Z$158)&gt;0),$Z$226/$Z$158,HLOOKUP(INDIRECT(ADDRESS(2,COLUMN())),OFFSET($CL$2,0,0,ROW()-1,84),ROW()-1,FALSE))</f>
        <v>19.137184120000001</v>
      </c>
      <c r="AA98">
        <f ca="1">IF(AND($B$252=1,LEN($AA$226) * LEN($AA$158)&gt;0),$AA$226/$AA$158,HLOOKUP(INDIRECT(ADDRESS(2,COLUMN())),OFFSET($CL$2,0,0,ROW()-1,84),ROW()-1,FALSE))</f>
        <v>19.271871040000001</v>
      </c>
      <c r="AB98">
        <f ca="1">IF(AND($B$252=1,LEN($AB$226) * LEN($AB$158)&gt;0),$AB$226/$AB$158,HLOOKUP(INDIRECT(ADDRESS(2,COLUMN())),OFFSET($CL$2,0,0,ROW()-1,84),ROW()-1,FALSE))</f>
        <v>18.657608700000001</v>
      </c>
      <c r="AC98">
        <f ca="1">IF(AND($B$252=1,LEN($AC$226) * LEN($AC$158)&gt;0),$AC$226/$AC$158,HLOOKUP(INDIRECT(ADDRESS(2,COLUMN())),OFFSET($CL$2,0,0,ROW()-1,84),ROW()-1,FALSE))</f>
        <v>17.40498272</v>
      </c>
      <c r="AD98">
        <f ca="1">IF(AND($B$252=1,LEN($AD$226) * LEN($AD$158)&gt;0),$AD$226/$AD$158,HLOOKUP(INDIRECT(ADDRESS(2,COLUMN())),OFFSET($CL$2,0,0,ROW()-1,84),ROW()-1,FALSE))</f>
        <v>18.644655239999999</v>
      </c>
      <c r="AE98">
        <f ca="1">IF(AND($B$252=1,LEN($AE$226) * LEN($AE$158)&gt;0),$AE$226/$AE$158,HLOOKUP(INDIRECT(ADDRESS(2,COLUMN())),OFFSET($CL$2,0,0,ROW()-1,84),ROW()-1,FALSE))</f>
        <v>16.454445660000001</v>
      </c>
      <c r="AF98">
        <f ca="1">IF(AND($B$252=1,LEN($AF$226) * LEN($AF$158)&gt;0),$AF$226/$AF$158,HLOOKUP(INDIRECT(ADDRESS(2,COLUMN())),OFFSET($CL$2,0,0,ROW()-1,84),ROW()-1,FALSE))</f>
        <v>17.064387050000001</v>
      </c>
      <c r="AG98">
        <f ca="1">IF(AND($B$252=1,LEN($AG$226) * LEN($AG$158)&gt;0),$AG$226/$AG$158,HLOOKUP(INDIRECT(ADDRESS(2,COLUMN())),OFFSET($CL$2,0,0,ROW()-1,84),ROW()-1,FALSE))</f>
        <v>16.468988029999998</v>
      </c>
      <c r="AH98">
        <f ca="1">IF(AND($B$252=1,LEN($AH$226) * LEN($AH$158)&gt;0),$AH$226/$AH$158,HLOOKUP(INDIRECT(ADDRESS(2,COLUMN())),OFFSET($CL$2,0,0,ROW()-1,84),ROW()-1,FALSE))</f>
        <v>16.002891219999999</v>
      </c>
      <c r="AI98">
        <f ca="1">IF(AND($B$252=1,LEN($AI$226) * LEN($AI$158)&gt;0),$AI$226/$AI$158,HLOOKUP(INDIRECT(ADDRESS(2,COLUMN())),OFFSET($CL$2,0,0,ROW()-1,84),ROW()-1,FALSE))</f>
        <v>15.20435481</v>
      </c>
      <c r="AJ98">
        <f ca="1">IF(AND($B$252=1,LEN($AJ$226) * LEN($AJ$158)&gt;0),$AJ$226/$AJ$158,HLOOKUP(INDIRECT(ADDRESS(2,COLUMN())),OFFSET($CL$2,0,0,ROW()-1,84),ROW()-1,FALSE))</f>
        <v>15.04963235</v>
      </c>
      <c r="AK98">
        <f ca="1">IF(AND($B$252=1,LEN($AK$226) * LEN($AK$158)&gt;0),$AK$226/$AK$158,HLOOKUP(INDIRECT(ADDRESS(2,COLUMN())),OFFSET($CL$2,0,0,ROW()-1,84),ROW()-1,FALSE))</f>
        <v>14.44669118</v>
      </c>
      <c r="AL98">
        <f ca="1">IF(AND($B$252=1,LEN($AL$226) * LEN($AL$158)&gt;0),$AL$226/$AL$158,HLOOKUP(INDIRECT(ADDRESS(2,COLUMN())),OFFSET($CL$2,0,0,ROW()-1,84),ROW()-1,FALSE))</f>
        <v>14.76838235</v>
      </c>
      <c r="AM98">
        <f ca="1">IF(AND($B$252=1,LEN($AM$226) * LEN($AM$158)&gt;0),$AM$226/$AM$158,HLOOKUP(INDIRECT(ADDRESS(2,COLUMN())),OFFSET($CL$2,0,0,ROW()-1,84),ROW()-1,FALSE))</f>
        <v>13.335164839999999</v>
      </c>
      <c r="AN98">
        <f ca="1">IF(AND($B$252=1,LEN($AN$226) * LEN($AN$158)&gt;0),$AN$226/$AN$158,HLOOKUP(INDIRECT(ADDRESS(2,COLUMN())),OFFSET($CL$2,0,0,ROW()-1,84),ROW()-1,FALSE))</f>
        <v>13.99084249</v>
      </c>
      <c r="AO98">
        <f ca="1">IF(AND($B$252=1,LEN($AO$226) * LEN($AO$158)&gt;0),$AO$226/$AO$158,HLOOKUP(INDIRECT(ADDRESS(2,COLUMN())),OFFSET($CL$2,0,0,ROW()-1,84),ROW()-1,FALSE))</f>
        <v>14.18441065</v>
      </c>
      <c r="AP98" t="str">
        <f ca="1">IF(AND($B$252=1,LEN($AP$226) * LEN($AP$158)&gt;0),$AP$226/$AP$158,HLOOKUP(INDIRECT(ADDRESS(2,COLUMN())),OFFSET($CL$2,0,0,ROW()-1,84),ROW()-1,FALSE))</f>
        <v/>
      </c>
      <c r="AQ98" t="str">
        <f ca="1">IF(AND($B$252=1,LEN($AQ$226) * LEN($AQ$158)&gt;0),$AQ$226/$AQ$158,HLOOKUP(INDIRECT(ADDRESS(2,COLUMN())),OFFSET($CL$2,0,0,ROW()-1,84),ROW()-1,FALSE))</f>
        <v/>
      </c>
      <c r="AR98" t="str">
        <f ca="1">IF(AND($B$252=1,LEN($AR$226) * LEN($AR$158)&gt;0),$AR$226/$AR$158,HLOOKUP(INDIRECT(ADDRESS(2,COLUMN())),OFFSET($CL$2,0,0,ROW()-1,84),ROW()-1,FALSE))</f>
        <v/>
      </c>
      <c r="AS98" t="str">
        <f ca="1">IF(AND($B$252=1,LEN($AS$226) * LEN($AS$158)&gt;0),$AS$226/$AS$158,HLOOKUP(INDIRECT(ADDRESS(2,COLUMN())),OFFSET($CL$2,0,0,ROW()-1,84),ROW()-1,FALSE))</f>
        <v/>
      </c>
      <c r="AT98" t="str">
        <f ca="1">IF(AND($B$252=1,LEN($AT$226) * LEN($AT$158)&gt;0),$AT$226/$AT$158,HLOOKUP(INDIRECT(ADDRESS(2,COLUMN())),OFFSET($CL$2,0,0,ROW()-1,84),ROW()-1,FALSE))</f>
        <v/>
      </c>
      <c r="AU98" t="str">
        <f ca="1">IF(AND($B$252=1,LEN($AU$226) * LEN($AU$158)&gt;0),$AU$226/$AU$158,HLOOKUP(INDIRECT(ADDRESS(2,COLUMN())),OFFSET($CL$2,0,0,ROW()-1,84),ROW()-1,FALSE))</f>
        <v/>
      </c>
      <c r="AV98" t="str">
        <f ca="1">IF(AND($B$252=1,LEN($AV$226) * LEN($AV$158)&gt;0),$AV$226/$AV$158,HLOOKUP(INDIRECT(ADDRESS(2,COLUMN())),OFFSET($CL$2,0,0,ROW()-1,84),ROW()-1,FALSE))</f>
        <v/>
      </c>
      <c r="AW98" t="str">
        <f ca="1">IF(AND($B$252=1,LEN($AW$226) * LEN($AW$158)&gt;0),$AW$226/$AW$158,HLOOKUP(INDIRECT(ADDRESS(2,COLUMN())),OFFSET($CL$2,0,0,ROW()-1,84),ROW()-1,FALSE))</f>
        <v/>
      </c>
      <c r="AX98" t="str">
        <f ca="1">IF(AND($B$252=1,LEN($AX$226) * LEN($AX$158)&gt;0),$AX$226/$AX$158,HLOOKUP(INDIRECT(ADDRESS(2,COLUMN())),OFFSET($CL$2,0,0,ROW()-1,84),ROW()-1,FALSE))</f>
        <v/>
      </c>
      <c r="AY98" t="str">
        <f ca="1">IF(AND($B$252=1,LEN($AY$226) * LEN($AY$158)&gt;0),$AY$226/$AY$158,HLOOKUP(INDIRECT(ADDRESS(2,COLUMN())),OFFSET($CL$2,0,0,ROW()-1,84),ROW()-1,FALSE))</f>
        <v/>
      </c>
      <c r="AZ98" t="str">
        <f ca="1">IF(AND($B$252=1,LEN($AZ$226) * LEN($AZ$158)&gt;0),$AZ$226/$AZ$158,HLOOKUP(INDIRECT(ADDRESS(2,COLUMN())),OFFSET($CL$2,0,0,ROW()-1,84),ROW()-1,FALSE))</f>
        <v/>
      </c>
      <c r="BA98" t="str">
        <f ca="1">IF(AND($B$252=1,LEN($BA$226) * LEN($BA$158)&gt;0),$BA$226/$BA$158,HLOOKUP(INDIRECT(ADDRESS(2,COLUMN())),OFFSET($CL$2,0,0,ROW()-1,84),ROW()-1,FALSE))</f>
        <v/>
      </c>
      <c r="BB98" t="str">
        <f ca="1">IF(AND($B$252=1,LEN($BB$226) * LEN($BB$158)&gt;0),$BB$226/$BB$158,HLOOKUP(INDIRECT(ADDRESS(2,COLUMN())),OFFSET($CL$2,0,0,ROW()-1,84),ROW()-1,FALSE))</f>
        <v/>
      </c>
      <c r="BC98" t="str">
        <f ca="1">IF(AND($B$252=1,LEN($BC$226) * LEN($BC$158)&gt;0),$BC$226/$BC$158,HLOOKUP(INDIRECT(ADDRESS(2,COLUMN())),OFFSET($CL$2,0,0,ROW()-1,84),ROW()-1,FALSE))</f>
        <v/>
      </c>
      <c r="BD98" t="str">
        <f ca="1">IF(AND($B$252=1,LEN($BD$226) * LEN($BD$158)&gt;0),$BD$226/$BD$158,HLOOKUP(INDIRECT(ADDRESS(2,COLUMN())),OFFSET($CL$2,0,0,ROW()-1,84),ROW()-1,FALSE))</f>
        <v/>
      </c>
      <c r="BE98" t="str">
        <f ca="1">IF(AND($B$252=1,LEN($BE$226) * LEN($BE$158)&gt;0),$BE$226/$BE$158,HLOOKUP(INDIRECT(ADDRESS(2,COLUMN())),OFFSET($CL$2,0,0,ROW()-1,84),ROW()-1,FALSE))</f>
        <v/>
      </c>
      <c r="BF98" t="str">
        <f ca="1">IF(AND($B$252=1,LEN($BF$226) * LEN($BF$158)&gt;0),$BF$226/$BF$158,HLOOKUP(INDIRECT(ADDRESS(2,COLUMN())),OFFSET($CL$2,0,0,ROW()-1,84),ROW()-1,FALSE))</f>
        <v/>
      </c>
      <c r="BG98" t="str">
        <f ca="1">IF(AND($B$252=1,LEN($BG$226) * LEN($BG$158)&gt;0),$BG$226/$BG$158,HLOOKUP(INDIRECT(ADDRESS(2,COLUMN())),OFFSET($CL$2,0,0,ROW()-1,84),ROW()-1,FALSE))</f>
        <v/>
      </c>
      <c r="BH98" t="str">
        <f ca="1">IF(AND($B$252=1,LEN($BH$226) * LEN($BH$158)&gt;0),$BH$226/$BH$158,HLOOKUP(INDIRECT(ADDRESS(2,COLUMN())),OFFSET($CL$2,0,0,ROW()-1,84),ROW()-1,FALSE))</f>
        <v/>
      </c>
      <c r="BI98" t="str">
        <f ca="1">IF(AND($B$252=1,LEN($BI$226) * LEN($BI$158)&gt;0),$BI$226/$BI$158,HLOOKUP(INDIRECT(ADDRESS(2,COLUMN())),OFFSET($CL$2,0,0,ROW()-1,84),ROW()-1,FALSE))</f>
        <v/>
      </c>
      <c r="BJ98" t="str">
        <f ca="1">IF(AND($B$252=1,LEN($BJ$226) * LEN($BJ$158)&gt;0),$BJ$226/$BJ$158,HLOOKUP(INDIRECT(ADDRESS(2,COLUMN())),OFFSET($CL$2,0,0,ROW()-1,84),ROW()-1,FALSE))</f>
        <v/>
      </c>
      <c r="BK98" t="str">
        <f ca="1">IF(AND($B$252=1,LEN($BK$226) * LEN($BK$158)&gt;0),$BK$226/$BK$158,HLOOKUP(INDIRECT(ADDRESS(2,COLUMN())),OFFSET($CL$2,0,0,ROW()-1,84),ROW()-1,FALSE))</f>
        <v/>
      </c>
      <c r="BL98" t="str">
        <f ca="1">IF(AND($B$252=1,LEN($BL$226) * LEN($BL$158)&gt;0),$BL$226/$BL$158,HLOOKUP(INDIRECT(ADDRESS(2,COLUMN())),OFFSET($CL$2,0,0,ROW()-1,84),ROW()-1,FALSE))</f>
        <v/>
      </c>
      <c r="BM98" t="str">
        <f ca="1">IF(AND($B$252=1,LEN($BM$226) * LEN($BM$158)&gt;0),$BM$226/$BM$158,HLOOKUP(INDIRECT(ADDRESS(2,COLUMN())),OFFSET($CL$2,0,0,ROW()-1,84),ROW()-1,FALSE))</f>
        <v/>
      </c>
      <c r="BN98" t="str">
        <f ca="1">IF(AND($B$252=1,LEN($BN$226) * LEN($BN$158)&gt;0),$BN$226/$BN$158,HLOOKUP(INDIRECT(ADDRESS(2,COLUMN())),OFFSET($CL$2,0,0,ROW()-1,84),ROW()-1,FALSE))</f>
        <v/>
      </c>
      <c r="BO98" t="str">
        <f ca="1">IF(AND($B$252=1,LEN($BO$226) * LEN($BO$158)&gt;0),$BO$226/$BO$158,HLOOKUP(INDIRECT(ADDRESS(2,COLUMN())),OFFSET($CL$2,0,0,ROW()-1,84),ROW()-1,FALSE))</f>
        <v/>
      </c>
      <c r="BP98" t="str">
        <f ca="1">IF(AND($B$252=1,LEN($BP$226) * LEN($BP$158)&gt;0),$BP$226/$BP$158,HLOOKUP(INDIRECT(ADDRESS(2,COLUMN())),OFFSET($CL$2,0,0,ROW()-1,84),ROW()-1,FALSE))</f>
        <v/>
      </c>
      <c r="BQ98" t="str">
        <f ca="1">IF(AND($B$252=1,LEN($BQ$226) * LEN($BQ$158)&gt;0),$BQ$226/$BQ$158,HLOOKUP(INDIRECT(ADDRESS(2,COLUMN())),OFFSET($CL$2,0,0,ROW()-1,84),ROW()-1,FALSE))</f>
        <v/>
      </c>
      <c r="BR98" t="str">
        <f ca="1">IF(AND($B$252=1,LEN($BR$226) * LEN($BR$158)&gt;0),$BR$226/$BR$158,HLOOKUP(INDIRECT(ADDRESS(2,COLUMN())),OFFSET($CL$2,0,0,ROW()-1,84),ROW()-1,FALSE))</f>
        <v/>
      </c>
      <c r="BS98" t="str">
        <f ca="1">IF(AND($B$252=1,LEN($BS$226) * LEN($BS$158)&gt;0),$BS$226/$BS$158,HLOOKUP(INDIRECT(ADDRESS(2,COLUMN())),OFFSET($CL$2,0,0,ROW()-1,84),ROW()-1,FALSE))</f>
        <v/>
      </c>
      <c r="BT98" t="str">
        <f ca="1">IF(AND($B$252=1,LEN($BT$226) * LEN($BT$158)&gt;0),$BT$226/$BT$158,HLOOKUP(INDIRECT(ADDRESS(2,COLUMN())),OFFSET($CL$2,0,0,ROW()-1,84),ROW()-1,FALSE))</f>
        <v/>
      </c>
      <c r="BU98" t="str">
        <f ca="1">IF(AND($B$252=1,LEN($BU$226) * LEN($BU$158)&gt;0),$BU$226/$BU$158,HLOOKUP(INDIRECT(ADDRESS(2,COLUMN())),OFFSET($CL$2,0,0,ROW()-1,84),ROW()-1,FALSE))</f>
        <v/>
      </c>
      <c r="BV98" t="str">
        <f ca="1">IF(AND($B$252=1,LEN($BV$226) * LEN($BV$158)&gt;0),$BV$226/$BV$158,HLOOKUP(INDIRECT(ADDRESS(2,COLUMN())),OFFSET($CL$2,0,0,ROW()-1,84),ROW()-1,FALSE))</f>
        <v/>
      </c>
      <c r="BW98" t="str">
        <f ca="1">IF(AND($B$252=1,LEN($BW$226) * LEN($BW$158)&gt;0),$BW$226/$BW$158,HLOOKUP(INDIRECT(ADDRESS(2,COLUMN())),OFFSET($CL$2,0,0,ROW()-1,84),ROW()-1,FALSE))</f>
        <v/>
      </c>
      <c r="BX98" t="str">
        <f ca="1">IF(AND($B$252=1,LEN($BX$226) * LEN($BX$158)&gt;0),$BX$226/$BX$158,HLOOKUP(INDIRECT(ADDRESS(2,COLUMN())),OFFSET($CL$2,0,0,ROW()-1,84),ROW()-1,FALSE))</f>
        <v/>
      </c>
      <c r="BY98" t="str">
        <f ca="1">IF(AND($B$252=1,LEN($BY$226) * LEN($BY$158)&gt;0),$BY$226/$BY$158,HLOOKUP(INDIRECT(ADDRESS(2,COLUMN())),OFFSET($CL$2,0,0,ROW()-1,84),ROW()-1,FALSE))</f>
        <v/>
      </c>
      <c r="BZ98" t="str">
        <f ca="1">IF(AND($B$252=1,LEN($BZ$226) * LEN($BZ$158)&gt;0),$BZ$226/$BZ$158,HLOOKUP(INDIRECT(ADDRESS(2,COLUMN())),OFFSET($CL$2,0,0,ROW()-1,84),ROW()-1,FALSE))</f>
        <v/>
      </c>
      <c r="CA98" t="str">
        <f ca="1">IF(AND($B$252=1,LEN($CA$226) * LEN($CA$158)&gt;0),$CA$226/$CA$158,HLOOKUP(INDIRECT(ADDRESS(2,COLUMN())),OFFSET($CL$2,0,0,ROW()-1,84),ROW()-1,FALSE))</f>
        <v/>
      </c>
      <c r="CB98" t="str">
        <f ca="1">IF(AND($B$252=1,LEN($CB$226) * LEN($CB$158)&gt;0),$CB$226/$CB$158,HLOOKUP(INDIRECT(ADDRESS(2,COLUMN())),OFFSET($CL$2,0,0,ROW()-1,84),ROW()-1,FALSE))</f>
        <v/>
      </c>
      <c r="CC98" t="str">
        <f ca="1">IF(AND($B$252=1,LEN($CC$226) * LEN($CC$158)&gt;0),$CC$226/$CC$158,HLOOKUP(INDIRECT(ADDRESS(2,COLUMN())),OFFSET($CL$2,0,0,ROW()-1,84),ROW()-1,FALSE))</f>
        <v/>
      </c>
      <c r="CD98" t="str">
        <f ca="1">IF(AND($B$252=1,LEN($CD$226) * LEN($CD$158)&gt;0),$CD$226/$CD$158,HLOOKUP(INDIRECT(ADDRESS(2,COLUMN())),OFFSET($CL$2,0,0,ROW()-1,84),ROW()-1,FALSE))</f>
        <v/>
      </c>
      <c r="CE98" t="str">
        <f ca="1">IF(AND($B$252=1,LEN($CE$226) * LEN($CE$158)&gt;0),$CE$226/$CE$158,HLOOKUP(INDIRECT(ADDRESS(2,COLUMN())),OFFSET($CL$2,0,0,ROW()-1,84),ROW()-1,FALSE))</f>
        <v/>
      </c>
      <c r="CF98" t="str">
        <f ca="1">IF(AND($B$252=1,LEN($CF$226) * LEN($CF$158)&gt;0),$CF$226/$CF$158,HLOOKUP(INDIRECT(ADDRESS(2,COLUMN())),OFFSET($CL$2,0,0,ROW()-1,84),ROW()-1,FALSE))</f>
        <v/>
      </c>
      <c r="CG98" t="str">
        <f ca="1">IF(AND($B$252=1,LEN($CG$226) * LEN($CG$158)&gt;0),$CG$226/$CG$158,HLOOKUP(INDIRECT(ADDRESS(2,COLUMN())),OFFSET($CL$2,0,0,ROW()-1,84),ROW()-1,FALSE))</f>
        <v/>
      </c>
      <c r="CH98" t="str">
        <f ca="1">IF(AND($B$252=1,LEN($CH$226) * LEN($CH$158)&gt;0),$CH$226/$CH$158,HLOOKUP(INDIRECT(ADDRESS(2,COLUMN())),OFFSET($CL$2,0,0,ROW()-1,84),ROW()-1,FALSE))</f>
        <v/>
      </c>
      <c r="CI98" t="str">
        <f ca="1">IF(AND($B$252=1,LEN($CI$226) * LEN($CI$158)&gt;0),$CI$226/$CI$158,HLOOKUP(INDIRECT(ADDRESS(2,COLUMN())),OFFSET($CL$2,0,0,ROW()-1,84),ROW()-1,FALSE))</f>
        <v/>
      </c>
      <c r="CJ98" t="str">
        <f ca="1">IF(AND($B$252=1,LEN($CJ$226) * LEN($CJ$158)&gt;0),$CJ$226/$CJ$158,HLOOKUP(INDIRECT(ADDRESS(2,COLUMN())),OFFSET($CL$2,0,0,ROW()-1,84),ROW()-1,FALSE))</f>
        <v/>
      </c>
      <c r="CK98" t="str">
        <f ca="1">IF(AND($B$252=1,LEN($CK$226) * LEN($CK$158)&gt;0),$CK$226/$CK$158,HLOOKUP(INDIRECT(ADDRESS(2,COLUMN())),OFFSET($CL$2,0,0,ROW()-1,84),ROW()-1,FALSE))</f>
        <v/>
      </c>
      <c r="CL98" t="str">
        <f>""</f>
        <v/>
      </c>
      <c r="CM98" t="str">
        <f>""</f>
        <v/>
      </c>
      <c r="CN98">
        <f>17.75646993</f>
        <v>17.756469930000002</v>
      </c>
      <c r="CO98">
        <f>18.95212966</f>
        <v>18.952129660000001</v>
      </c>
      <c r="CP98">
        <f>19.01262064</f>
        <v>19.012620640000002</v>
      </c>
      <c r="CQ98">
        <f>19.23149192</f>
        <v>19.23149192</v>
      </c>
      <c r="CR98">
        <f>19.81828296</f>
        <v>19.818282960000001</v>
      </c>
      <c r="CS98">
        <f>19.96249766</f>
        <v>19.96249766</v>
      </c>
      <c r="CT98">
        <f>19.38764045</f>
        <v>19.387640449999999</v>
      </c>
      <c r="CU98">
        <f>19.73777861</f>
        <v>19.737778609999999</v>
      </c>
      <c r="CV98">
        <f>19.09704009</f>
        <v>19.09704009</v>
      </c>
      <c r="CW98">
        <f>18.84330484</f>
        <v>18.843304839999998</v>
      </c>
      <c r="CX98">
        <f>19.39752145</f>
        <v>19.397521449999999</v>
      </c>
      <c r="CY98">
        <f>19.54528158</f>
        <v>19.545281580000001</v>
      </c>
      <c r="CZ98">
        <f>17.87125918</f>
        <v>17.871259179999999</v>
      </c>
      <c r="DA98">
        <f>18.47198642</f>
        <v>18.47198642</v>
      </c>
      <c r="DB98">
        <f>16.92776649</f>
        <v>16.92776649</v>
      </c>
      <c r="DC98">
        <f>17.07474227</f>
        <v>17.074742270000002</v>
      </c>
      <c r="DD98">
        <f>17.47350809</f>
        <v>17.473508089999999</v>
      </c>
      <c r="DE98">
        <f>17.48976554</f>
        <v>17.48976554</v>
      </c>
      <c r="DF98">
        <f>19.13718412</f>
        <v>19.137184120000001</v>
      </c>
      <c r="DG98">
        <f>19.27187104</f>
        <v>19.271871040000001</v>
      </c>
      <c r="DH98">
        <f>18.6576087</f>
        <v>18.657608700000001</v>
      </c>
      <c r="DI98">
        <f>17.40498272</f>
        <v>17.40498272</v>
      </c>
      <c r="DJ98">
        <f>18.64465524</f>
        <v>18.644655239999999</v>
      </c>
      <c r="DK98">
        <f>16.45444566</f>
        <v>16.454445660000001</v>
      </c>
      <c r="DL98">
        <f>17.06438705</f>
        <v>17.064387050000001</v>
      </c>
      <c r="DM98">
        <f>16.46898803</f>
        <v>16.468988029999998</v>
      </c>
      <c r="DN98">
        <f>16.00289122</f>
        <v>16.002891219999999</v>
      </c>
      <c r="DO98">
        <f>15.20435481</f>
        <v>15.20435481</v>
      </c>
      <c r="DP98">
        <f>15.04963235</f>
        <v>15.04963235</v>
      </c>
      <c r="DQ98">
        <f>14.44669118</f>
        <v>14.44669118</v>
      </c>
      <c r="DR98">
        <f>14.76838235</f>
        <v>14.76838235</v>
      </c>
      <c r="DS98">
        <f>13.33516484</f>
        <v>13.335164839999999</v>
      </c>
      <c r="DT98">
        <f>13.99084249</f>
        <v>13.99084249</v>
      </c>
      <c r="DU98">
        <f>14.18441065</f>
        <v>14.18441065</v>
      </c>
      <c r="DV98" t="str">
        <f>""</f>
        <v/>
      </c>
      <c r="DW98" t="str">
        <f>""</f>
        <v/>
      </c>
      <c r="DX98" t="str">
        <f>""</f>
        <v/>
      </c>
      <c r="DY98" t="str">
        <f>""</f>
        <v/>
      </c>
      <c r="DZ98" t="str">
        <f>""</f>
        <v/>
      </c>
      <c r="EA98" t="str">
        <f>""</f>
        <v/>
      </c>
      <c r="EB98" t="str">
        <f>""</f>
        <v/>
      </c>
      <c r="EC98" t="str">
        <f>""</f>
        <v/>
      </c>
      <c r="ED98" t="str">
        <f>""</f>
        <v/>
      </c>
      <c r="EE98" t="str">
        <f>""</f>
        <v/>
      </c>
      <c r="EF98" t="str">
        <f>""</f>
        <v/>
      </c>
      <c r="EG98" t="str">
        <f>""</f>
        <v/>
      </c>
      <c r="EH98" t="str">
        <f>""</f>
        <v/>
      </c>
      <c r="EI98" t="str">
        <f>""</f>
        <v/>
      </c>
      <c r="EJ98" t="str">
        <f>""</f>
        <v/>
      </c>
      <c r="EK98" t="str">
        <f>""</f>
        <v/>
      </c>
      <c r="EL98" t="str">
        <f>""</f>
        <v/>
      </c>
      <c r="EM98" t="str">
        <f>""</f>
        <v/>
      </c>
      <c r="EN98" t="str">
        <f>""</f>
        <v/>
      </c>
      <c r="EO98" t="str">
        <f>""</f>
        <v/>
      </c>
      <c r="EP98" t="str">
        <f>""</f>
        <v/>
      </c>
      <c r="EQ98" t="str">
        <f>""</f>
        <v/>
      </c>
      <c r="ER98" t="str">
        <f>""</f>
        <v/>
      </c>
      <c r="ES98" t="str">
        <f>""</f>
        <v/>
      </c>
      <c r="ET98" t="str">
        <f>""</f>
        <v/>
      </c>
      <c r="EU98" t="str">
        <f>""</f>
        <v/>
      </c>
      <c r="EV98" t="str">
        <f>""</f>
        <v/>
      </c>
      <c r="EW98" t="str">
        <f>""</f>
        <v/>
      </c>
      <c r="EX98" t="str">
        <f>""</f>
        <v/>
      </c>
      <c r="EY98" t="str">
        <f>""</f>
        <v/>
      </c>
      <c r="EZ98" t="str">
        <f>""</f>
        <v/>
      </c>
      <c r="FA98" t="str">
        <f>""</f>
        <v/>
      </c>
      <c r="FB98" t="str">
        <f>""</f>
        <v/>
      </c>
      <c r="FC98" t="str">
        <f>""</f>
        <v/>
      </c>
      <c r="FD98" t="str">
        <f>""</f>
        <v/>
      </c>
      <c r="FE98" t="str">
        <f>""</f>
        <v/>
      </c>
      <c r="FF98" t="str">
        <f>""</f>
        <v/>
      </c>
      <c r="FG98" t="str">
        <f>""</f>
        <v/>
      </c>
      <c r="FH98" t="str">
        <f>""</f>
        <v/>
      </c>
      <c r="FI98" t="str">
        <f>""</f>
        <v/>
      </c>
      <c r="FJ98" t="str">
        <f>""</f>
        <v/>
      </c>
      <c r="FK98" t="str">
        <f>""</f>
        <v/>
      </c>
      <c r="FL98" t="str">
        <f>""</f>
        <v/>
      </c>
      <c r="FM98" t="str">
        <f>""</f>
        <v/>
      </c>
      <c r="FN98" t="str">
        <f>""</f>
        <v/>
      </c>
      <c r="FO98" t="str">
        <f>""</f>
        <v/>
      </c>
      <c r="FP98" t="str">
        <f>""</f>
        <v/>
      </c>
      <c r="FQ98" t="str">
        <f>""</f>
        <v/>
      </c>
    </row>
    <row r="99" spans="1:173">
      <c r="A99" t="str">
        <f>"    Monogram Residential Trust Inc"</f>
        <v xml:space="preserve">    Monogram Residential Trust Inc</v>
      </c>
      <c r="B99" t="str">
        <f>"MORE US Equity"</f>
        <v>MORE US Equity</v>
      </c>
      <c r="E99" t="str">
        <f t="shared" si="31"/>
        <v>Expression</v>
      </c>
      <c r="F99" t="str">
        <f ca="1">IF(AND($B$252=1,LEN($F$227) * LEN($F$159)&gt;0),$F$227/$F$159,HLOOKUP(INDIRECT(ADDRESS(2,COLUMN())),OFFSET($CL$2,0,0,ROW()-1,84),ROW()-1,FALSE))</f>
        <v/>
      </c>
      <c r="G99" t="str">
        <f ca="1">IF(AND($B$252=1,LEN($G$227) * LEN($G$159)&gt;0),$G$227/$G$159,HLOOKUP(INDIRECT(ADDRESS(2,COLUMN())),OFFSET($CL$2,0,0,ROW()-1,84),ROW()-1,FALSE))</f>
        <v/>
      </c>
      <c r="H99" t="str">
        <f ca="1">IF(AND($B$252=1,LEN($H$227) * LEN($H$159)&gt;0),$H$227/$H$159,HLOOKUP(INDIRECT(ADDRESS(2,COLUMN())),OFFSET($CL$2,0,0,ROW()-1,84),ROW()-1,FALSE))</f>
        <v/>
      </c>
      <c r="I99" t="str">
        <f ca="1">IF(AND($B$252=1,LEN($I$227) * LEN($I$159)&gt;0),$I$227/$I$159,HLOOKUP(INDIRECT(ADDRESS(2,COLUMN())),OFFSET($CL$2,0,0,ROW()-1,84),ROW()-1,FALSE))</f>
        <v/>
      </c>
      <c r="J99" t="str">
        <f ca="1">IF(AND($B$252=1,LEN($J$227) * LEN($J$159)&gt;0),$J$227/$J$159,HLOOKUP(INDIRECT(ADDRESS(2,COLUMN())),OFFSET($CL$2,0,0,ROW()-1,84),ROW()-1,FALSE))</f>
        <v/>
      </c>
      <c r="K99" t="str">
        <f ca="1">IF(AND($B$252=1,LEN($K$227) * LEN($K$159)&gt;0),$K$227/$K$159,HLOOKUP(INDIRECT(ADDRESS(2,COLUMN())),OFFSET($CL$2,0,0,ROW()-1,84),ROW()-1,FALSE))</f>
        <v/>
      </c>
      <c r="L99">
        <f ca="1">IF(AND($B$252=1,LEN($L$227) * LEN($L$159)&gt;0),$L$227/$L$159,HLOOKUP(INDIRECT(ADDRESS(2,COLUMN())),OFFSET($CL$2,0,0,ROW()-1,84),ROW()-1,FALSE))</f>
        <v>29.243902439999999</v>
      </c>
      <c r="M99">
        <f ca="1">IF(AND($B$252=1,LEN($M$227) * LEN($M$159)&gt;0),$M$227/$M$159,HLOOKUP(INDIRECT(ADDRESS(2,COLUMN())),OFFSET($CL$2,0,0,ROW()-1,84),ROW()-1,FALSE))</f>
        <v>28.915662650000002</v>
      </c>
      <c r="N99">
        <f ca="1">IF(AND($B$252=1,LEN($N$227) * LEN($N$159)&gt;0),$N$227/$N$159,HLOOKUP(INDIRECT(ADDRESS(2,COLUMN())),OFFSET($CL$2,0,0,ROW()-1,84),ROW()-1,FALSE))</f>
        <v>29.313725489999999</v>
      </c>
      <c r="O99">
        <f ca="1">IF(AND($B$252=1,LEN($O$227) * LEN($O$159)&gt;0),$O$227/$O$159,HLOOKUP(INDIRECT(ADDRESS(2,COLUMN())),OFFSET($CL$2,0,0,ROW()-1,84),ROW()-1,FALSE))</f>
        <v>23.68292683</v>
      </c>
      <c r="P99">
        <f ca="1">IF(AND($B$252=1,LEN($P$227) * LEN($P$159)&gt;0),$P$227/$P$159,HLOOKUP(INDIRECT(ADDRESS(2,COLUMN())),OFFSET($CL$2,0,0,ROW()-1,84),ROW()-1,FALSE))</f>
        <v>23.487804879999999</v>
      </c>
      <c r="Q99">
        <f ca="1">IF(AND($B$252=1,LEN($Q$227) * LEN($Q$159)&gt;0),$Q$227/$Q$159,HLOOKUP(INDIRECT(ADDRESS(2,COLUMN())),OFFSET($CL$2,0,0,ROW()-1,84),ROW()-1,FALSE))</f>
        <v>25.012285009999999</v>
      </c>
      <c r="R99">
        <f ca="1">IF(AND($B$252=1,LEN($R$227) * LEN($R$159)&gt;0),$R$227/$R$159,HLOOKUP(INDIRECT(ADDRESS(2,COLUMN())),OFFSET($CL$2,0,0,ROW()-1,84),ROW()-1,FALSE))</f>
        <v>24.4963145</v>
      </c>
      <c r="S99">
        <f ca="1">IF(AND($B$252=1,LEN($S$227) * LEN($S$159)&gt;0),$S$227/$S$159,HLOOKUP(INDIRECT(ADDRESS(2,COLUMN())),OFFSET($CL$2,0,0,ROW()-1,84),ROW()-1,FALSE))</f>
        <v>25.725000000000001</v>
      </c>
      <c r="T99">
        <f ca="1">IF(AND($B$252=1,LEN($T$227) * LEN($T$159)&gt;0),$T$227/$T$159,HLOOKUP(INDIRECT(ADDRESS(2,COLUMN())),OFFSET($CL$2,0,0,ROW()-1,84),ROW()-1,FALSE))</f>
        <v>24.388489209999999</v>
      </c>
      <c r="U99">
        <f ca="1">IF(AND($B$252=1,LEN($U$227) * LEN($U$159)&gt;0),$U$227/$U$159,HLOOKUP(INDIRECT(ADDRESS(2,COLUMN())),OFFSET($CL$2,0,0,ROW()-1,84),ROW()-1,FALSE))</f>
        <v>24.98845266</v>
      </c>
      <c r="V99">
        <f ca="1">IF(AND($B$252=1,LEN($V$227) * LEN($V$159)&gt;0),$V$227/$V$159,HLOOKUP(INDIRECT(ADDRESS(2,COLUMN())),OFFSET($CL$2,0,0,ROW()-1,84),ROW()-1,FALSE))</f>
        <v>24.488372089999999</v>
      </c>
      <c r="W99">
        <f ca="1">IF(AND($B$252=1,LEN($W$227) * LEN($W$159)&gt;0),$W$227/$W$159,HLOOKUP(INDIRECT(ADDRESS(2,COLUMN())),OFFSET($CL$2,0,0,ROW()-1,84),ROW()-1,FALSE))</f>
        <v>23.954545450000001</v>
      </c>
      <c r="X99">
        <f ca="1">IF(AND($B$252=1,LEN($X$227) * LEN($X$159)&gt;0),$X$227/$X$159,HLOOKUP(INDIRECT(ADDRESS(2,COLUMN())),OFFSET($CL$2,0,0,ROW()-1,84),ROW()-1,FALSE))</f>
        <v>23.644444440000001</v>
      </c>
      <c r="Y99">
        <f ca="1">IF(AND($B$252=1,LEN($Y$227) * LEN($Y$159)&gt;0),$Y$227/$Y$159,HLOOKUP(INDIRECT(ADDRESS(2,COLUMN())),OFFSET($CL$2,0,0,ROW()-1,84),ROW()-1,FALSE))</f>
        <v>23.377777779999999</v>
      </c>
      <c r="Z99">
        <f ca="1">IF(AND($B$252=1,LEN($Z$227) * LEN($Z$159)&gt;0),$Z$227/$Z$159,HLOOKUP(INDIRECT(ADDRESS(2,COLUMN())),OFFSET($CL$2,0,0,ROW()-1,84),ROW()-1,FALSE))</f>
        <v>22.3125</v>
      </c>
      <c r="AA99">
        <f ca="1">IF(AND($B$252=1,LEN($AA$227) * LEN($AA$159)&gt;0),$AA$227/$AA$159,HLOOKUP(INDIRECT(ADDRESS(2,COLUMN())),OFFSET($CL$2,0,0,ROW()-1,84),ROW()-1,FALSE))</f>
        <v>20.83673469</v>
      </c>
      <c r="AB99">
        <f ca="1">IF(AND($B$252=1,LEN($AB$227) * LEN($AB$159)&gt;0),$AB$227/$AB$159,HLOOKUP(INDIRECT(ADDRESS(2,COLUMN())),OFFSET($CL$2,0,0,ROW()-1,84),ROW()-1,FALSE))</f>
        <v>23.045454549999999</v>
      </c>
      <c r="AC99" t="str">
        <f ca="1">IF(AND($B$252=1,LEN($AC$227) * LEN($AC$159)&gt;0),$AC$227/$AC$159,HLOOKUP(INDIRECT(ADDRESS(2,COLUMN())),OFFSET($CL$2,0,0,ROW()-1,84),ROW()-1,FALSE))</f>
        <v/>
      </c>
      <c r="AD99" t="str">
        <f ca="1">IF(AND($B$252=1,LEN($AD$227) * LEN($AD$159)&gt;0),$AD$227/$AD$159,HLOOKUP(INDIRECT(ADDRESS(2,COLUMN())),OFFSET($CL$2,0,0,ROW()-1,84),ROW()-1,FALSE))</f>
        <v/>
      </c>
      <c r="AE99">
        <f ca="1">IF(AND($B$252=1,LEN($AE$227) * LEN($AE$159)&gt;0),$AE$227/$AE$159,HLOOKUP(INDIRECT(ADDRESS(2,COLUMN())),OFFSET($CL$2,0,0,ROW()-1,84),ROW()-1,FALSE))</f>
        <v>16.214285709999999</v>
      </c>
      <c r="AF99">
        <f ca="1">IF(AND($B$252=1,LEN($AF$227) * LEN($AF$159)&gt;0),$AF$227/$AF$159,HLOOKUP(INDIRECT(ADDRESS(2,COLUMN())),OFFSET($CL$2,0,0,ROW()-1,84),ROW()-1,FALSE))</f>
        <v>16.148148150000001</v>
      </c>
      <c r="AG99">
        <f ca="1">IF(AND($B$252=1,LEN($AG$227) * LEN($AG$159)&gt;0),$AG$227/$AG$159,HLOOKUP(INDIRECT(ADDRESS(2,COLUMN())),OFFSET($CL$2,0,0,ROW()-1,84),ROW()-1,FALSE))</f>
        <v>18.074074070000002</v>
      </c>
      <c r="AH99" t="str">
        <f ca="1">IF(AND($B$252=1,LEN($AH$227) * LEN($AH$159)&gt;0),$AH$227/$AH$159,HLOOKUP(INDIRECT(ADDRESS(2,COLUMN())),OFFSET($CL$2,0,0,ROW()-1,84),ROW()-1,FALSE))</f>
        <v/>
      </c>
      <c r="AI99" t="str">
        <f ca="1">IF(AND($B$252=1,LEN($AI$227) * LEN($AI$159)&gt;0),$AI$227/$AI$159,HLOOKUP(INDIRECT(ADDRESS(2,COLUMN())),OFFSET($CL$2,0,0,ROW()-1,84),ROW()-1,FALSE))</f>
        <v/>
      </c>
      <c r="AJ99" t="str">
        <f ca="1">IF(AND($B$252=1,LEN($AJ$227) * LEN($AJ$159)&gt;0),$AJ$227/$AJ$159,HLOOKUP(INDIRECT(ADDRESS(2,COLUMN())),OFFSET($CL$2,0,0,ROW()-1,84),ROW()-1,FALSE))</f>
        <v/>
      </c>
      <c r="AK99" t="str">
        <f ca="1">IF(AND($B$252=1,LEN($AK$227) * LEN($AK$159)&gt;0),$AK$227/$AK$159,HLOOKUP(INDIRECT(ADDRESS(2,COLUMN())),OFFSET($CL$2,0,0,ROW()-1,84),ROW()-1,FALSE))</f>
        <v/>
      </c>
      <c r="AL99" t="str">
        <f ca="1">IF(AND($B$252=1,LEN($AL$227) * LEN($AL$159)&gt;0),$AL$227/$AL$159,HLOOKUP(INDIRECT(ADDRESS(2,COLUMN())),OFFSET($CL$2,0,0,ROW()-1,84),ROW()-1,FALSE))</f>
        <v/>
      </c>
      <c r="AM99" t="str">
        <f ca="1">IF(AND($B$252=1,LEN($AM$227) * LEN($AM$159)&gt;0),$AM$227/$AM$159,HLOOKUP(INDIRECT(ADDRESS(2,COLUMN())),OFFSET($CL$2,0,0,ROW()-1,84),ROW()-1,FALSE))</f>
        <v/>
      </c>
      <c r="AN99" t="str">
        <f ca="1">IF(AND($B$252=1,LEN($AN$227) * LEN($AN$159)&gt;0),$AN$227/$AN$159,HLOOKUP(INDIRECT(ADDRESS(2,COLUMN())),OFFSET($CL$2,0,0,ROW()-1,84),ROW()-1,FALSE))</f>
        <v/>
      </c>
      <c r="AO99" t="str">
        <f ca="1">IF(AND($B$252=1,LEN($AO$227) * LEN($AO$159)&gt;0),$AO$227/$AO$159,HLOOKUP(INDIRECT(ADDRESS(2,COLUMN())),OFFSET($CL$2,0,0,ROW()-1,84),ROW()-1,FALSE))</f>
        <v/>
      </c>
      <c r="AP99" t="str">
        <f ca="1">IF(AND($B$252=1,LEN($AP$227) * LEN($AP$159)&gt;0),$AP$227/$AP$159,HLOOKUP(INDIRECT(ADDRESS(2,COLUMN())),OFFSET($CL$2,0,0,ROW()-1,84),ROW()-1,FALSE))</f>
        <v/>
      </c>
      <c r="AQ99" t="str">
        <f ca="1">IF(AND($B$252=1,LEN($AQ$227) * LEN($AQ$159)&gt;0),$AQ$227/$AQ$159,HLOOKUP(INDIRECT(ADDRESS(2,COLUMN())),OFFSET($CL$2,0,0,ROW()-1,84),ROW()-1,FALSE))</f>
        <v/>
      </c>
      <c r="AR99" t="str">
        <f ca="1">IF(AND($B$252=1,LEN($AR$227) * LEN($AR$159)&gt;0),$AR$227/$AR$159,HLOOKUP(INDIRECT(ADDRESS(2,COLUMN())),OFFSET($CL$2,0,0,ROW()-1,84),ROW()-1,FALSE))</f>
        <v/>
      </c>
      <c r="AS99" t="str">
        <f ca="1">IF(AND($B$252=1,LEN($AS$227) * LEN($AS$159)&gt;0),$AS$227/$AS$159,HLOOKUP(INDIRECT(ADDRESS(2,COLUMN())),OFFSET($CL$2,0,0,ROW()-1,84),ROW()-1,FALSE))</f>
        <v/>
      </c>
      <c r="AT99" t="str">
        <f ca="1">IF(AND($B$252=1,LEN($AT$227) * LEN($AT$159)&gt;0),$AT$227/$AT$159,HLOOKUP(INDIRECT(ADDRESS(2,COLUMN())),OFFSET($CL$2,0,0,ROW()-1,84),ROW()-1,FALSE))</f>
        <v/>
      </c>
      <c r="AU99" t="str">
        <f ca="1">IF(AND($B$252=1,LEN($AU$227) * LEN($AU$159)&gt;0),$AU$227/$AU$159,HLOOKUP(INDIRECT(ADDRESS(2,COLUMN())),OFFSET($CL$2,0,0,ROW()-1,84),ROW()-1,FALSE))</f>
        <v/>
      </c>
      <c r="AV99" t="str">
        <f ca="1">IF(AND($B$252=1,LEN($AV$227) * LEN($AV$159)&gt;0),$AV$227/$AV$159,HLOOKUP(INDIRECT(ADDRESS(2,COLUMN())),OFFSET($CL$2,0,0,ROW()-1,84),ROW()-1,FALSE))</f>
        <v/>
      </c>
      <c r="AW99" t="str">
        <f ca="1">IF(AND($B$252=1,LEN($AW$227) * LEN($AW$159)&gt;0),$AW$227/$AW$159,HLOOKUP(INDIRECT(ADDRESS(2,COLUMN())),OFFSET($CL$2,0,0,ROW()-1,84),ROW()-1,FALSE))</f>
        <v/>
      </c>
      <c r="AX99" t="str">
        <f ca="1">IF(AND($B$252=1,LEN($AX$227) * LEN($AX$159)&gt;0),$AX$227/$AX$159,HLOOKUP(INDIRECT(ADDRESS(2,COLUMN())),OFFSET($CL$2,0,0,ROW()-1,84),ROW()-1,FALSE))</f>
        <v/>
      </c>
      <c r="AY99" t="str">
        <f ca="1">IF(AND($B$252=1,LEN($AY$227) * LEN($AY$159)&gt;0),$AY$227/$AY$159,HLOOKUP(INDIRECT(ADDRESS(2,COLUMN())),OFFSET($CL$2,0,0,ROW()-1,84),ROW()-1,FALSE))</f>
        <v/>
      </c>
      <c r="AZ99" t="str">
        <f ca="1">IF(AND($B$252=1,LEN($AZ$227) * LEN($AZ$159)&gt;0),$AZ$227/$AZ$159,HLOOKUP(INDIRECT(ADDRESS(2,COLUMN())),OFFSET($CL$2,0,0,ROW()-1,84),ROW()-1,FALSE))</f>
        <v/>
      </c>
      <c r="BA99" t="str">
        <f ca="1">IF(AND($B$252=1,LEN($BA$227) * LEN($BA$159)&gt;0),$BA$227/$BA$159,HLOOKUP(INDIRECT(ADDRESS(2,COLUMN())),OFFSET($CL$2,0,0,ROW()-1,84),ROW()-1,FALSE))</f>
        <v/>
      </c>
      <c r="BB99" t="str">
        <f ca="1">IF(AND($B$252=1,LEN($BB$227) * LEN($BB$159)&gt;0),$BB$227/$BB$159,HLOOKUP(INDIRECT(ADDRESS(2,COLUMN())),OFFSET($CL$2,0,0,ROW()-1,84),ROW()-1,FALSE))</f>
        <v/>
      </c>
      <c r="BC99" t="str">
        <f ca="1">IF(AND($B$252=1,LEN($BC$227) * LEN($BC$159)&gt;0),$BC$227/$BC$159,HLOOKUP(INDIRECT(ADDRESS(2,COLUMN())),OFFSET($CL$2,0,0,ROW()-1,84),ROW()-1,FALSE))</f>
        <v/>
      </c>
      <c r="BD99" t="str">
        <f ca="1">IF(AND($B$252=1,LEN($BD$227) * LEN($BD$159)&gt;0),$BD$227/$BD$159,HLOOKUP(INDIRECT(ADDRESS(2,COLUMN())),OFFSET($CL$2,0,0,ROW()-1,84),ROW()-1,FALSE))</f>
        <v/>
      </c>
      <c r="BE99" t="str">
        <f ca="1">IF(AND($B$252=1,LEN($BE$227) * LEN($BE$159)&gt;0),$BE$227/$BE$159,HLOOKUP(INDIRECT(ADDRESS(2,COLUMN())),OFFSET($CL$2,0,0,ROW()-1,84),ROW()-1,FALSE))</f>
        <v/>
      </c>
      <c r="BF99" t="str">
        <f ca="1">IF(AND($B$252=1,LEN($BF$227) * LEN($BF$159)&gt;0),$BF$227/$BF$159,HLOOKUP(INDIRECT(ADDRESS(2,COLUMN())),OFFSET($CL$2,0,0,ROW()-1,84),ROW()-1,FALSE))</f>
        <v/>
      </c>
      <c r="BG99" t="str">
        <f ca="1">IF(AND($B$252=1,LEN($BG$227) * LEN($BG$159)&gt;0),$BG$227/$BG$159,HLOOKUP(INDIRECT(ADDRESS(2,COLUMN())),OFFSET($CL$2,0,0,ROW()-1,84),ROW()-1,FALSE))</f>
        <v/>
      </c>
      <c r="BH99" t="str">
        <f ca="1">IF(AND($B$252=1,LEN($BH$227) * LEN($BH$159)&gt;0),$BH$227/$BH$159,HLOOKUP(INDIRECT(ADDRESS(2,COLUMN())),OFFSET($CL$2,0,0,ROW()-1,84),ROW()-1,FALSE))</f>
        <v/>
      </c>
      <c r="BI99" t="str">
        <f ca="1">IF(AND($B$252=1,LEN($BI$227) * LEN($BI$159)&gt;0),$BI$227/$BI$159,HLOOKUP(INDIRECT(ADDRESS(2,COLUMN())),OFFSET($CL$2,0,0,ROW()-1,84),ROW()-1,FALSE))</f>
        <v/>
      </c>
      <c r="BJ99" t="str">
        <f ca="1">IF(AND($B$252=1,LEN($BJ$227) * LEN($BJ$159)&gt;0),$BJ$227/$BJ$159,HLOOKUP(INDIRECT(ADDRESS(2,COLUMN())),OFFSET($CL$2,0,0,ROW()-1,84),ROW()-1,FALSE))</f>
        <v/>
      </c>
      <c r="BK99" t="str">
        <f ca="1">IF(AND($B$252=1,LEN($BK$227) * LEN($BK$159)&gt;0),$BK$227/$BK$159,HLOOKUP(INDIRECT(ADDRESS(2,COLUMN())),OFFSET($CL$2,0,0,ROW()-1,84),ROW()-1,FALSE))</f>
        <v/>
      </c>
      <c r="BL99" t="str">
        <f ca="1">IF(AND($B$252=1,LEN($BL$227) * LEN($BL$159)&gt;0),$BL$227/$BL$159,HLOOKUP(INDIRECT(ADDRESS(2,COLUMN())),OFFSET($CL$2,0,0,ROW()-1,84),ROW()-1,FALSE))</f>
        <v/>
      </c>
      <c r="BM99" t="str">
        <f ca="1">IF(AND($B$252=1,LEN($BM$227) * LEN($BM$159)&gt;0),$BM$227/$BM$159,HLOOKUP(INDIRECT(ADDRESS(2,COLUMN())),OFFSET($CL$2,0,0,ROW()-1,84),ROW()-1,FALSE))</f>
        <v/>
      </c>
      <c r="BN99" t="str">
        <f ca="1">IF(AND($B$252=1,LEN($BN$227) * LEN($BN$159)&gt;0),$BN$227/$BN$159,HLOOKUP(INDIRECT(ADDRESS(2,COLUMN())),OFFSET($CL$2,0,0,ROW()-1,84),ROW()-1,FALSE))</f>
        <v/>
      </c>
      <c r="BO99" t="str">
        <f ca="1">IF(AND($B$252=1,LEN($BO$227) * LEN($BO$159)&gt;0),$BO$227/$BO$159,HLOOKUP(INDIRECT(ADDRESS(2,COLUMN())),OFFSET($CL$2,0,0,ROW()-1,84),ROW()-1,FALSE))</f>
        <v/>
      </c>
      <c r="BP99" t="str">
        <f ca="1">IF(AND($B$252=1,LEN($BP$227) * LEN($BP$159)&gt;0),$BP$227/$BP$159,HLOOKUP(INDIRECT(ADDRESS(2,COLUMN())),OFFSET($CL$2,0,0,ROW()-1,84),ROW()-1,FALSE))</f>
        <v/>
      </c>
      <c r="BQ99" t="str">
        <f ca="1">IF(AND($B$252=1,LEN($BQ$227) * LEN($BQ$159)&gt;0),$BQ$227/$BQ$159,HLOOKUP(INDIRECT(ADDRESS(2,COLUMN())),OFFSET($CL$2,0,0,ROW()-1,84),ROW()-1,FALSE))</f>
        <v/>
      </c>
      <c r="BR99" t="str">
        <f ca="1">IF(AND($B$252=1,LEN($BR$227) * LEN($BR$159)&gt;0),$BR$227/$BR$159,HLOOKUP(INDIRECT(ADDRESS(2,COLUMN())),OFFSET($CL$2,0,0,ROW()-1,84),ROW()-1,FALSE))</f>
        <v/>
      </c>
      <c r="BS99" t="str">
        <f ca="1">IF(AND($B$252=1,LEN($BS$227) * LEN($BS$159)&gt;0),$BS$227/$BS$159,HLOOKUP(INDIRECT(ADDRESS(2,COLUMN())),OFFSET($CL$2,0,0,ROW()-1,84),ROW()-1,FALSE))</f>
        <v/>
      </c>
      <c r="BT99" t="str">
        <f ca="1">IF(AND($B$252=1,LEN($BT$227) * LEN($BT$159)&gt;0),$BT$227/$BT$159,HLOOKUP(INDIRECT(ADDRESS(2,COLUMN())),OFFSET($CL$2,0,0,ROW()-1,84),ROW()-1,FALSE))</f>
        <v/>
      </c>
      <c r="BU99" t="str">
        <f ca="1">IF(AND($B$252=1,LEN($BU$227) * LEN($BU$159)&gt;0),$BU$227/$BU$159,HLOOKUP(INDIRECT(ADDRESS(2,COLUMN())),OFFSET($CL$2,0,0,ROW()-1,84),ROW()-1,FALSE))</f>
        <v/>
      </c>
      <c r="BV99" t="str">
        <f ca="1">IF(AND($B$252=1,LEN($BV$227) * LEN($BV$159)&gt;0),$BV$227/$BV$159,HLOOKUP(INDIRECT(ADDRESS(2,COLUMN())),OFFSET($CL$2,0,0,ROW()-1,84),ROW()-1,FALSE))</f>
        <v/>
      </c>
      <c r="BW99" t="str">
        <f ca="1">IF(AND($B$252=1,LEN($BW$227) * LEN($BW$159)&gt;0),$BW$227/$BW$159,HLOOKUP(INDIRECT(ADDRESS(2,COLUMN())),OFFSET($CL$2,0,0,ROW()-1,84),ROW()-1,FALSE))</f>
        <v/>
      </c>
      <c r="BX99" t="str">
        <f ca="1">IF(AND($B$252=1,LEN($BX$227) * LEN($BX$159)&gt;0),$BX$227/$BX$159,HLOOKUP(INDIRECT(ADDRESS(2,COLUMN())),OFFSET($CL$2,0,0,ROW()-1,84),ROW()-1,FALSE))</f>
        <v/>
      </c>
      <c r="BY99" t="str">
        <f ca="1">IF(AND($B$252=1,LEN($BY$227) * LEN($BY$159)&gt;0),$BY$227/$BY$159,HLOOKUP(INDIRECT(ADDRESS(2,COLUMN())),OFFSET($CL$2,0,0,ROW()-1,84),ROW()-1,FALSE))</f>
        <v/>
      </c>
      <c r="BZ99" t="str">
        <f ca="1">IF(AND($B$252=1,LEN($BZ$227) * LEN($BZ$159)&gt;0),$BZ$227/$BZ$159,HLOOKUP(INDIRECT(ADDRESS(2,COLUMN())),OFFSET($CL$2,0,0,ROW()-1,84),ROW()-1,FALSE))</f>
        <v/>
      </c>
      <c r="CA99" t="str">
        <f ca="1">IF(AND($B$252=1,LEN($CA$227) * LEN($CA$159)&gt;0),$CA$227/$CA$159,HLOOKUP(INDIRECT(ADDRESS(2,COLUMN())),OFFSET($CL$2,0,0,ROW()-1,84),ROW()-1,FALSE))</f>
        <v/>
      </c>
      <c r="CB99" t="str">
        <f ca="1">IF(AND($B$252=1,LEN($CB$227) * LEN($CB$159)&gt;0),$CB$227/$CB$159,HLOOKUP(INDIRECT(ADDRESS(2,COLUMN())),OFFSET($CL$2,0,0,ROW()-1,84),ROW()-1,FALSE))</f>
        <v/>
      </c>
      <c r="CC99" t="str">
        <f ca="1">IF(AND($B$252=1,LEN($CC$227) * LEN($CC$159)&gt;0),$CC$227/$CC$159,HLOOKUP(INDIRECT(ADDRESS(2,COLUMN())),OFFSET($CL$2,0,0,ROW()-1,84),ROW()-1,FALSE))</f>
        <v/>
      </c>
      <c r="CD99" t="str">
        <f ca="1">IF(AND($B$252=1,LEN($CD$227) * LEN($CD$159)&gt;0),$CD$227/$CD$159,HLOOKUP(INDIRECT(ADDRESS(2,COLUMN())),OFFSET($CL$2,0,0,ROW()-1,84),ROW()-1,FALSE))</f>
        <v/>
      </c>
      <c r="CE99" t="str">
        <f ca="1">IF(AND($B$252=1,LEN($CE$227) * LEN($CE$159)&gt;0),$CE$227/$CE$159,HLOOKUP(INDIRECT(ADDRESS(2,COLUMN())),OFFSET($CL$2,0,0,ROW()-1,84),ROW()-1,FALSE))</f>
        <v/>
      </c>
      <c r="CF99" t="str">
        <f ca="1">IF(AND($B$252=1,LEN($CF$227) * LEN($CF$159)&gt;0),$CF$227/$CF$159,HLOOKUP(INDIRECT(ADDRESS(2,COLUMN())),OFFSET($CL$2,0,0,ROW()-1,84),ROW()-1,FALSE))</f>
        <v/>
      </c>
      <c r="CG99" t="str">
        <f ca="1">IF(AND($B$252=1,LEN($CG$227) * LEN($CG$159)&gt;0),$CG$227/$CG$159,HLOOKUP(INDIRECT(ADDRESS(2,COLUMN())),OFFSET($CL$2,0,0,ROW()-1,84),ROW()-1,FALSE))</f>
        <v/>
      </c>
      <c r="CH99" t="str">
        <f ca="1">IF(AND($B$252=1,LEN($CH$227) * LEN($CH$159)&gt;0),$CH$227/$CH$159,HLOOKUP(INDIRECT(ADDRESS(2,COLUMN())),OFFSET($CL$2,0,0,ROW()-1,84),ROW()-1,FALSE))</f>
        <v/>
      </c>
      <c r="CI99" t="str">
        <f ca="1">IF(AND($B$252=1,LEN($CI$227) * LEN($CI$159)&gt;0),$CI$227/$CI$159,HLOOKUP(INDIRECT(ADDRESS(2,COLUMN())),OFFSET($CL$2,0,0,ROW()-1,84),ROW()-1,FALSE))</f>
        <v/>
      </c>
      <c r="CJ99" t="str">
        <f ca="1">IF(AND($B$252=1,LEN($CJ$227) * LEN($CJ$159)&gt;0),$CJ$227/$CJ$159,HLOOKUP(INDIRECT(ADDRESS(2,COLUMN())),OFFSET($CL$2,0,0,ROW()-1,84),ROW()-1,FALSE))</f>
        <v/>
      </c>
      <c r="CK99" t="str">
        <f ca="1">IF(AND($B$252=1,LEN($CK$227) * LEN($CK$159)&gt;0),$CK$227/$CK$159,HLOOKUP(INDIRECT(ADDRESS(2,COLUMN())),OFFSET($CL$2,0,0,ROW()-1,84),ROW()-1,FALSE))</f>
        <v/>
      </c>
      <c r="CL99" t="str">
        <f>""</f>
        <v/>
      </c>
      <c r="CM99" t="str">
        <f>""</f>
        <v/>
      </c>
      <c r="CN99" t="str">
        <f>""</f>
        <v/>
      </c>
      <c r="CO99" t="str">
        <f>""</f>
        <v/>
      </c>
      <c r="CP99" t="str">
        <f>""</f>
        <v/>
      </c>
      <c r="CQ99" t="str">
        <f>""</f>
        <v/>
      </c>
      <c r="CR99">
        <f>29.24390244</f>
        <v>29.243902439999999</v>
      </c>
      <c r="CS99">
        <f>28.91566265</f>
        <v>28.915662650000002</v>
      </c>
      <c r="CT99">
        <f>29.31372549</f>
        <v>29.313725489999999</v>
      </c>
      <c r="CU99">
        <f>23.68292683</f>
        <v>23.68292683</v>
      </c>
      <c r="CV99">
        <f>23.48780488</f>
        <v>23.487804879999999</v>
      </c>
      <c r="CW99">
        <f>25.01228501</f>
        <v>25.012285009999999</v>
      </c>
      <c r="CX99">
        <f>24.4963145</f>
        <v>24.4963145</v>
      </c>
      <c r="CY99">
        <f>25.725</f>
        <v>25.725000000000001</v>
      </c>
      <c r="CZ99">
        <f>24.38848921</f>
        <v>24.388489209999999</v>
      </c>
      <c r="DA99">
        <f>24.98845266</f>
        <v>24.98845266</v>
      </c>
      <c r="DB99">
        <f>24.48837209</f>
        <v>24.488372089999999</v>
      </c>
      <c r="DC99">
        <f>23.95454545</f>
        <v>23.954545450000001</v>
      </c>
      <c r="DD99">
        <f>23.64444444</f>
        <v>23.644444440000001</v>
      </c>
      <c r="DE99">
        <f>23.37777778</f>
        <v>23.377777779999999</v>
      </c>
      <c r="DF99">
        <f>22.3125</f>
        <v>22.3125</v>
      </c>
      <c r="DG99">
        <f>20.83673469</f>
        <v>20.83673469</v>
      </c>
      <c r="DH99">
        <f>23.04545455</f>
        <v>23.045454549999999</v>
      </c>
      <c r="DI99" t="str">
        <f>""</f>
        <v/>
      </c>
      <c r="DJ99" t="str">
        <f>""</f>
        <v/>
      </c>
      <c r="DK99">
        <f>16.21428571</f>
        <v>16.214285709999999</v>
      </c>
      <c r="DL99">
        <f>16.14814815</f>
        <v>16.148148150000001</v>
      </c>
      <c r="DM99">
        <f>18.07407407</f>
        <v>18.074074070000002</v>
      </c>
      <c r="DN99" t="str">
        <f>""</f>
        <v/>
      </c>
      <c r="DO99" t="str">
        <f>""</f>
        <v/>
      </c>
      <c r="DP99" t="str">
        <f>""</f>
        <v/>
      </c>
      <c r="DQ99" t="str">
        <f>""</f>
        <v/>
      </c>
      <c r="DR99" t="str">
        <f>""</f>
        <v/>
      </c>
      <c r="DS99" t="str">
        <f>""</f>
        <v/>
      </c>
      <c r="DT99" t="str">
        <f>""</f>
        <v/>
      </c>
      <c r="DU99" t="str">
        <f>""</f>
        <v/>
      </c>
      <c r="DV99" t="str">
        <f>""</f>
        <v/>
      </c>
      <c r="DW99" t="str">
        <f>""</f>
        <v/>
      </c>
      <c r="DX99" t="str">
        <f>""</f>
        <v/>
      </c>
      <c r="DY99" t="str">
        <f>""</f>
        <v/>
      </c>
      <c r="DZ99" t="str">
        <f>""</f>
        <v/>
      </c>
      <c r="EA99" t="str">
        <f>""</f>
        <v/>
      </c>
      <c r="EB99" t="str">
        <f>""</f>
        <v/>
      </c>
      <c r="EC99" t="str">
        <f>""</f>
        <v/>
      </c>
      <c r="ED99" t="str">
        <f>""</f>
        <v/>
      </c>
      <c r="EE99" t="str">
        <f>""</f>
        <v/>
      </c>
      <c r="EF99" t="str">
        <f>""</f>
        <v/>
      </c>
      <c r="EG99" t="str">
        <f>""</f>
        <v/>
      </c>
      <c r="EH99" t="str">
        <f>""</f>
        <v/>
      </c>
      <c r="EI99" t="str">
        <f>""</f>
        <v/>
      </c>
      <c r="EJ99" t="str">
        <f>""</f>
        <v/>
      </c>
      <c r="EK99" t="str">
        <f>""</f>
        <v/>
      </c>
      <c r="EL99" t="str">
        <f>""</f>
        <v/>
      </c>
      <c r="EM99" t="str">
        <f>""</f>
        <v/>
      </c>
      <c r="EN99" t="str">
        <f>""</f>
        <v/>
      </c>
      <c r="EO99" t="str">
        <f>""</f>
        <v/>
      </c>
      <c r="EP99" t="str">
        <f>""</f>
        <v/>
      </c>
      <c r="EQ99" t="str">
        <f>""</f>
        <v/>
      </c>
      <c r="ER99" t="str">
        <f>""</f>
        <v/>
      </c>
      <c r="ES99" t="str">
        <f>""</f>
        <v/>
      </c>
      <c r="ET99" t="str">
        <f>""</f>
        <v/>
      </c>
      <c r="EU99" t="str">
        <f>""</f>
        <v/>
      </c>
      <c r="EV99" t="str">
        <f>""</f>
        <v/>
      </c>
      <c r="EW99" t="str">
        <f>""</f>
        <v/>
      </c>
      <c r="EX99" t="str">
        <f>""</f>
        <v/>
      </c>
      <c r="EY99" t="str">
        <f>""</f>
        <v/>
      </c>
      <c r="EZ99" t="str">
        <f>""</f>
        <v/>
      </c>
      <c r="FA99" t="str">
        <f>""</f>
        <v/>
      </c>
      <c r="FB99" t="str">
        <f>""</f>
        <v/>
      </c>
      <c r="FC99" t="str">
        <f>""</f>
        <v/>
      </c>
      <c r="FD99" t="str">
        <f>""</f>
        <v/>
      </c>
      <c r="FE99" t="str">
        <f>""</f>
        <v/>
      </c>
      <c r="FF99" t="str">
        <f>""</f>
        <v/>
      </c>
      <c r="FG99" t="str">
        <f>""</f>
        <v/>
      </c>
      <c r="FH99" t="str">
        <f>""</f>
        <v/>
      </c>
      <c r="FI99" t="str">
        <f>""</f>
        <v/>
      </c>
      <c r="FJ99" t="str">
        <f>""</f>
        <v/>
      </c>
      <c r="FK99" t="str">
        <f>""</f>
        <v/>
      </c>
      <c r="FL99" t="str">
        <f>""</f>
        <v/>
      </c>
      <c r="FM99" t="str">
        <f>""</f>
        <v/>
      </c>
      <c r="FN99" t="str">
        <f>""</f>
        <v/>
      </c>
      <c r="FO99" t="str">
        <f>""</f>
        <v/>
      </c>
      <c r="FP99" t="str">
        <f>""</f>
        <v/>
      </c>
      <c r="FQ99" t="str">
        <f>""</f>
        <v/>
      </c>
    </row>
    <row r="100" spans="1:173">
      <c r="A100" t="str">
        <f>"    UDR Inc"</f>
        <v xml:space="preserve">    UDR Inc</v>
      </c>
      <c r="B100" t="str">
        <f>"UDR US Equity"</f>
        <v>UDR US Equity</v>
      </c>
      <c r="E100" t="str">
        <f t="shared" si="31"/>
        <v>Expression</v>
      </c>
      <c r="F100" t="str">
        <f ca="1">IF(AND($B$252=1,LEN($F$228) * LEN($F$160)&gt;0),$F$228/$F$160,HLOOKUP(INDIRECT(ADDRESS(2,COLUMN())),OFFSET($CL$2,0,0,ROW()-1,84),ROW()-1,FALSE))</f>
        <v/>
      </c>
      <c r="G100" t="str">
        <f ca="1">IF(AND($B$252=1,LEN($G$228) * LEN($G$160)&gt;0),$G$228/$G$160,HLOOKUP(INDIRECT(ADDRESS(2,COLUMN())),OFFSET($CL$2,0,0,ROW()-1,84),ROW()-1,FALSE))</f>
        <v/>
      </c>
      <c r="H100">
        <f ca="1">IF(AND($B$252=1,LEN($H$228) * LEN($H$160)&gt;0),$H$228/$H$160,HLOOKUP(INDIRECT(ADDRESS(2,COLUMN())),OFFSET($CL$2,0,0,ROW()-1,84),ROW()-1,FALSE))</f>
        <v>21.53891509</v>
      </c>
      <c r="I100">
        <f ca="1">IF(AND($B$252=1,LEN($I$228) * LEN($I$160)&gt;0),$I$228/$I$160,HLOOKUP(INDIRECT(ADDRESS(2,COLUMN())),OFFSET($CL$2,0,0,ROW()-1,84),ROW()-1,FALSE))</f>
        <v>22.552693210000001</v>
      </c>
      <c r="J100">
        <f ca="1">IF(AND($B$252=1,LEN($J$228) * LEN($J$160)&gt;0),$J$228/$J$160,HLOOKUP(INDIRECT(ADDRESS(2,COLUMN())),OFFSET($CL$2,0,0,ROW()-1,84),ROW()-1,FALSE))</f>
        <v>23.135294120000001</v>
      </c>
      <c r="K100">
        <f ca="1">IF(AND($B$252=1,LEN($K$228) * LEN($K$160)&gt;0),$K$228/$K$160,HLOOKUP(INDIRECT(ADDRESS(2,COLUMN())),OFFSET($CL$2,0,0,ROW()-1,84),ROW()-1,FALSE))</f>
        <v>22.817647059999999</v>
      </c>
      <c r="L100">
        <f ca="1">IF(AND($B$252=1,LEN($L$228) * LEN($L$160)&gt;0),$L$228/$L$160,HLOOKUP(INDIRECT(ADDRESS(2,COLUMN())),OFFSET($CL$2,0,0,ROW()-1,84),ROW()-1,FALSE))</f>
        <v>22.37058824</v>
      </c>
      <c r="M100">
        <f ca="1">IF(AND($B$252=1,LEN($M$228) * LEN($M$160)&gt;0),$M$228/$M$160,HLOOKUP(INDIRECT(ADDRESS(2,COLUMN())),OFFSET($CL$2,0,0,ROW()-1,84),ROW()-1,FALSE))</f>
        <v>22.83529412</v>
      </c>
      <c r="N100">
        <f ca="1">IF(AND($B$252=1,LEN($N$228) * LEN($N$160)&gt;0),$N$228/$N$160,HLOOKUP(INDIRECT(ADDRESS(2,COLUMN())),OFFSET($CL$2,0,0,ROW()-1,84),ROW()-1,FALSE))</f>
        <v>23.08919079</v>
      </c>
      <c r="O100">
        <f ca="1">IF(AND($B$252=1,LEN($O$228) * LEN($O$160)&gt;0),$O$228/$O$160,HLOOKUP(INDIRECT(ADDRESS(2,COLUMN())),OFFSET($CL$2,0,0,ROW()-1,84),ROW()-1,FALSE))</f>
        <v>22.991150439999998</v>
      </c>
      <c r="P100">
        <f ca="1">IF(AND($B$252=1,LEN($P$228) * LEN($P$160)&gt;0),$P$228/$P$160,HLOOKUP(INDIRECT(ADDRESS(2,COLUMN())),OFFSET($CL$2,0,0,ROW()-1,84),ROW()-1,FALSE))</f>
        <v>22.778761060000001</v>
      </c>
      <c r="Q100">
        <f ca="1">IF(AND($B$252=1,LEN($Q$228) * LEN($Q$160)&gt;0),$Q$228/$Q$160,HLOOKUP(INDIRECT(ADDRESS(2,COLUMN())),OFFSET($CL$2,0,0,ROW()-1,84),ROW()-1,FALSE))</f>
        <v>22.252681760000002</v>
      </c>
      <c r="R100">
        <f ca="1">IF(AND($B$252=1,LEN($R$228) * LEN($R$160)&gt;0),$R$228/$R$160,HLOOKUP(INDIRECT(ADDRESS(2,COLUMN())),OFFSET($CL$2,0,0,ROW()-1,84),ROW()-1,FALSE))</f>
        <v>21.81708785</v>
      </c>
      <c r="S100">
        <f ca="1">IF(AND($B$252=1,LEN($S$228) * LEN($S$160)&gt;0),$S$228/$S$160,HLOOKUP(INDIRECT(ADDRESS(2,COLUMN())),OFFSET($CL$2,0,0,ROW()-1,84),ROW()-1,FALSE))</f>
        <v>21.895620879999999</v>
      </c>
      <c r="T100">
        <f ca="1">IF(AND($B$252=1,LEN($T$228) * LEN($T$160)&gt;0),$T$228/$T$160,HLOOKUP(INDIRECT(ADDRESS(2,COLUMN())),OFFSET($CL$2,0,0,ROW()-1,84),ROW()-1,FALSE))</f>
        <v>20.438596489999998</v>
      </c>
      <c r="U100">
        <f ca="1">IF(AND($B$252=1,LEN($U$228) * LEN($U$160)&gt;0),$U$228/$U$160,HLOOKUP(INDIRECT(ADDRESS(2,COLUMN())),OFFSET($CL$2,0,0,ROW()-1,84),ROW()-1,FALSE))</f>
        <v>21.333333329999999</v>
      </c>
      <c r="V100">
        <f ca="1">IF(AND($B$252=1,LEN($V$228) * LEN($V$160)&gt;0),$V$228/$V$160,HLOOKUP(INDIRECT(ADDRESS(2,COLUMN())),OFFSET($CL$2,0,0,ROW()-1,84),ROW()-1,FALSE))</f>
        <v>19.929742390000001</v>
      </c>
      <c r="W100">
        <f ca="1">IF(AND($B$252=1,LEN($W$228) * LEN($W$160)&gt;0),$W$228/$W$160,HLOOKUP(INDIRECT(ADDRESS(2,COLUMN())),OFFSET($CL$2,0,0,ROW()-1,84),ROW()-1,FALSE))</f>
        <v>20.655640869999999</v>
      </c>
      <c r="X100">
        <f ca="1">IF(AND($B$252=1,LEN($X$228) * LEN($X$160)&gt;0),$X$228/$X$160,HLOOKUP(INDIRECT(ADDRESS(2,COLUMN())),OFFSET($CL$2,0,0,ROW()-1,84),ROW()-1,FALSE))</f>
        <v>21.059098890000001</v>
      </c>
      <c r="Y100">
        <f ca="1">IF(AND($B$252=1,LEN($Y$228) * LEN($Y$160)&gt;0),$Y$228/$Y$160,HLOOKUP(INDIRECT(ADDRESS(2,COLUMN())),OFFSET($CL$2,0,0,ROW()-1,84),ROW()-1,FALSE))</f>
        <v>21.10851809</v>
      </c>
      <c r="Z100">
        <f ca="1">IF(AND($B$252=1,LEN($Z$228) * LEN($Z$160)&gt;0),$Z$228/$Z$160,HLOOKUP(INDIRECT(ADDRESS(2,COLUMN())),OFFSET($CL$2,0,0,ROW()-1,84),ROW()-1,FALSE))</f>
        <v>21.620209060000001</v>
      </c>
      <c r="AA100">
        <f ca="1">IF(AND($B$252=1,LEN($AA$228) * LEN($AA$160)&gt;0),$AA$228/$AA$160,HLOOKUP(INDIRECT(ADDRESS(2,COLUMN())),OFFSET($CL$2,0,0,ROW()-1,84),ROW()-1,FALSE))</f>
        <v>21.452643810000001</v>
      </c>
      <c r="AB100">
        <f ca="1">IF(AND($B$252=1,LEN($AB$228) * LEN($AB$160)&gt;0),$AB$228/$AB$160,HLOOKUP(INDIRECT(ADDRESS(2,COLUMN())),OFFSET($CL$2,0,0,ROW()-1,84),ROW()-1,FALSE))</f>
        <v>20.850694440000002</v>
      </c>
      <c r="AC100">
        <f ca="1">IF(AND($B$252=1,LEN($AC$228) * LEN($AC$160)&gt;0),$AC$228/$AC$160,HLOOKUP(INDIRECT(ADDRESS(2,COLUMN())),OFFSET($CL$2,0,0,ROW()-1,84),ROW()-1,FALSE))</f>
        <v>20.103626940000002</v>
      </c>
      <c r="AD100">
        <f ca="1">IF(AND($B$252=1,LEN($AD$228) * LEN($AD$160)&gt;0),$AD$228/$AD$160,HLOOKUP(INDIRECT(ADDRESS(2,COLUMN())),OFFSET($CL$2,0,0,ROW()-1,84),ROW()-1,FALSE))</f>
        <v>22.09288991</v>
      </c>
      <c r="AE100">
        <f ca="1">IF(AND($B$252=1,LEN($AE$228) * LEN($AE$160)&gt;0),$AE$228/$AE$160,HLOOKUP(INDIRECT(ADDRESS(2,COLUMN())),OFFSET($CL$2,0,0,ROW()-1,84),ROW()-1,FALSE))</f>
        <v>19.69592656</v>
      </c>
      <c r="AF100">
        <f ca="1">IF(AND($B$252=1,LEN($AF$228) * LEN($AF$160)&gt;0),$AF$228/$AF$160,HLOOKUP(INDIRECT(ADDRESS(2,COLUMN())),OFFSET($CL$2,0,0,ROW()-1,84),ROW()-1,FALSE))</f>
        <v>20.152887880000002</v>
      </c>
      <c r="AG100">
        <f ca="1">IF(AND($B$252=1,LEN($AG$228) * LEN($AG$160)&gt;0),$AG$228/$AG$160,HLOOKUP(INDIRECT(ADDRESS(2,COLUMN())),OFFSET($CL$2,0,0,ROW()-1,84),ROW()-1,FALSE))</f>
        <v>21.27406569</v>
      </c>
      <c r="AH100">
        <f ca="1">IF(AND($B$252=1,LEN($AH$228) * LEN($AH$160)&gt;0),$AH$228/$AH$160,HLOOKUP(INDIRECT(ADDRESS(2,COLUMN())),OFFSET($CL$2,0,0,ROW()-1,84),ROW()-1,FALSE))</f>
        <v>20.759280090000001</v>
      </c>
      <c r="AI100">
        <f ca="1">IF(AND($B$252=1,LEN($AI$228) * LEN($AI$160)&gt;0),$AI$228/$AI$160,HLOOKUP(INDIRECT(ADDRESS(2,COLUMN())),OFFSET($CL$2,0,0,ROW()-1,84),ROW()-1,FALSE))</f>
        <v>19.804597699999999</v>
      </c>
      <c r="AJ100">
        <f ca="1">IF(AND($B$252=1,LEN($AJ$228) * LEN($AJ$160)&gt;0),$AJ$228/$AJ$160,HLOOKUP(INDIRECT(ADDRESS(2,COLUMN())),OFFSET($CL$2,0,0,ROW()-1,84),ROW()-1,FALSE))</f>
        <v>20.282352939999999</v>
      </c>
      <c r="AK100">
        <f ca="1">IF(AND($B$252=1,LEN($AK$228) * LEN($AK$160)&gt;0),$AK$228/$AK$160,HLOOKUP(INDIRECT(ADDRESS(2,COLUMN())),OFFSET($CL$2,0,0,ROW()-1,84),ROW()-1,FALSE))</f>
        <v>18.92208553</v>
      </c>
      <c r="AL100">
        <f ca="1">IF(AND($B$252=1,LEN($AL$228) * LEN($AL$160)&gt;0),$AL$228/$AL$160,HLOOKUP(INDIRECT(ADDRESS(2,COLUMN())),OFFSET($CL$2,0,0,ROW()-1,84),ROW()-1,FALSE))</f>
        <v>20.24550898</v>
      </c>
      <c r="AM100">
        <f ca="1">IF(AND($B$252=1,LEN($AM$228) * LEN($AM$160)&gt;0),$AM$228/$AM$160,HLOOKUP(INDIRECT(ADDRESS(2,COLUMN())),OFFSET($CL$2,0,0,ROW()-1,84),ROW()-1,FALSE))</f>
        <v>19.179640719999998</v>
      </c>
      <c r="AN100">
        <f ca="1">IF(AND($B$252=1,LEN($AN$228) * LEN($AN$160)&gt;0),$AN$228/$AN$160,HLOOKUP(INDIRECT(ADDRESS(2,COLUMN())),OFFSET($CL$2,0,0,ROW()-1,84),ROW()-1,FALSE))</f>
        <v>19.67371601</v>
      </c>
      <c r="AO100">
        <f ca="1">IF(AND($B$252=1,LEN($AO$228) * LEN($AO$160)&gt;0),$AO$228/$AO$160,HLOOKUP(INDIRECT(ADDRESS(2,COLUMN())),OFFSET($CL$2,0,0,ROW()-1,84),ROW()-1,FALSE))</f>
        <v>20.042813460000001</v>
      </c>
      <c r="AP100" t="str">
        <f ca="1">IF(AND($B$252=1,LEN($AP$228) * LEN($AP$160)&gt;0),$AP$228/$AP$160,HLOOKUP(INDIRECT(ADDRESS(2,COLUMN())),OFFSET($CL$2,0,0,ROW()-1,84),ROW()-1,FALSE))</f>
        <v/>
      </c>
      <c r="AQ100">
        <f ca="1">IF(AND($B$252=1,LEN($AQ$228) * LEN($AQ$160)&gt;0),$AQ$228/$AQ$160,HLOOKUP(INDIRECT(ADDRESS(2,COLUMN())),OFFSET($CL$2,0,0,ROW()-1,84),ROW()-1,FALSE))</f>
        <v>19.29909366</v>
      </c>
      <c r="AR100" t="str">
        <f ca="1">IF(AND($B$252=1,LEN($AR$228) * LEN($AR$160)&gt;0),$AR$228/$AR$160,HLOOKUP(INDIRECT(ADDRESS(2,COLUMN())),OFFSET($CL$2,0,0,ROW()-1,84),ROW()-1,FALSE))</f>
        <v/>
      </c>
      <c r="AS100" t="str">
        <f ca="1">IF(AND($B$252=1,LEN($AS$228) * LEN($AS$160)&gt;0),$AS$228/$AS$160,HLOOKUP(INDIRECT(ADDRESS(2,COLUMN())),OFFSET($CL$2,0,0,ROW()-1,84),ROW()-1,FALSE))</f>
        <v/>
      </c>
      <c r="AT100" t="str">
        <f ca="1">IF(AND($B$252=1,LEN($AT$228) * LEN($AT$160)&gt;0),$AT$228/$AT$160,HLOOKUP(INDIRECT(ADDRESS(2,COLUMN())),OFFSET($CL$2,0,0,ROW()-1,84),ROW()-1,FALSE))</f>
        <v/>
      </c>
      <c r="AU100" t="str">
        <f ca="1">IF(AND($B$252=1,LEN($AU$228) * LEN($AU$160)&gt;0),$AU$228/$AU$160,HLOOKUP(INDIRECT(ADDRESS(2,COLUMN())),OFFSET($CL$2,0,0,ROW()-1,84),ROW()-1,FALSE))</f>
        <v/>
      </c>
      <c r="AV100" t="str">
        <f ca="1">IF(AND($B$252=1,LEN($AV$228) * LEN($AV$160)&gt;0),$AV$228/$AV$160,HLOOKUP(INDIRECT(ADDRESS(2,COLUMN())),OFFSET($CL$2,0,0,ROW()-1,84),ROW()-1,FALSE))</f>
        <v/>
      </c>
      <c r="AW100" t="str">
        <f ca="1">IF(AND($B$252=1,LEN($AW$228) * LEN($AW$160)&gt;0),$AW$228/$AW$160,HLOOKUP(INDIRECT(ADDRESS(2,COLUMN())),OFFSET($CL$2,0,0,ROW()-1,84),ROW()-1,FALSE))</f>
        <v/>
      </c>
      <c r="AX100" t="str">
        <f ca="1">IF(AND($B$252=1,LEN($AX$228) * LEN($AX$160)&gt;0),$AX$228/$AX$160,HLOOKUP(INDIRECT(ADDRESS(2,COLUMN())),OFFSET($CL$2,0,0,ROW()-1,84),ROW()-1,FALSE))</f>
        <v/>
      </c>
      <c r="AY100" t="str">
        <f ca="1">IF(AND($B$252=1,LEN($AY$228) * LEN($AY$160)&gt;0),$AY$228/$AY$160,HLOOKUP(INDIRECT(ADDRESS(2,COLUMN())),OFFSET($CL$2,0,0,ROW()-1,84),ROW()-1,FALSE))</f>
        <v/>
      </c>
      <c r="AZ100" t="str">
        <f ca="1">IF(AND($B$252=1,LEN($AZ$228) * LEN($AZ$160)&gt;0),$AZ$228/$AZ$160,HLOOKUP(INDIRECT(ADDRESS(2,COLUMN())),OFFSET($CL$2,0,0,ROW()-1,84),ROW()-1,FALSE))</f>
        <v/>
      </c>
      <c r="BA100" t="str">
        <f ca="1">IF(AND($B$252=1,LEN($BA$228) * LEN($BA$160)&gt;0),$BA$228/$BA$160,HLOOKUP(INDIRECT(ADDRESS(2,COLUMN())),OFFSET($CL$2,0,0,ROW()-1,84),ROW()-1,FALSE))</f>
        <v/>
      </c>
      <c r="BB100" t="str">
        <f ca="1">IF(AND($B$252=1,LEN($BB$228) * LEN($BB$160)&gt;0),$BB$228/$BB$160,HLOOKUP(INDIRECT(ADDRESS(2,COLUMN())),OFFSET($CL$2,0,0,ROW()-1,84),ROW()-1,FALSE))</f>
        <v/>
      </c>
      <c r="BC100" t="str">
        <f ca="1">IF(AND($B$252=1,LEN($BC$228) * LEN($BC$160)&gt;0),$BC$228/$BC$160,HLOOKUP(INDIRECT(ADDRESS(2,COLUMN())),OFFSET($CL$2,0,0,ROW()-1,84),ROW()-1,FALSE))</f>
        <v/>
      </c>
      <c r="BD100" t="str">
        <f ca="1">IF(AND($B$252=1,LEN($BD$228) * LEN($BD$160)&gt;0),$BD$228/$BD$160,HLOOKUP(INDIRECT(ADDRESS(2,COLUMN())),OFFSET($CL$2,0,0,ROW()-1,84),ROW()-1,FALSE))</f>
        <v/>
      </c>
      <c r="BE100" t="str">
        <f ca="1">IF(AND($B$252=1,LEN($BE$228) * LEN($BE$160)&gt;0),$BE$228/$BE$160,HLOOKUP(INDIRECT(ADDRESS(2,COLUMN())),OFFSET($CL$2,0,0,ROW()-1,84),ROW()-1,FALSE))</f>
        <v/>
      </c>
      <c r="BF100" t="str">
        <f ca="1">IF(AND($B$252=1,LEN($BF$228) * LEN($BF$160)&gt;0),$BF$228/$BF$160,HLOOKUP(INDIRECT(ADDRESS(2,COLUMN())),OFFSET($CL$2,0,0,ROW()-1,84),ROW()-1,FALSE))</f>
        <v/>
      </c>
      <c r="BG100" t="str">
        <f ca="1">IF(AND($B$252=1,LEN($BG$228) * LEN($BG$160)&gt;0),$BG$228/$BG$160,HLOOKUP(INDIRECT(ADDRESS(2,COLUMN())),OFFSET($CL$2,0,0,ROW()-1,84),ROW()-1,FALSE))</f>
        <v/>
      </c>
      <c r="BH100" t="str">
        <f ca="1">IF(AND($B$252=1,LEN($BH$228) * LEN($BH$160)&gt;0),$BH$228/$BH$160,HLOOKUP(INDIRECT(ADDRESS(2,COLUMN())),OFFSET($CL$2,0,0,ROW()-1,84),ROW()-1,FALSE))</f>
        <v/>
      </c>
      <c r="BI100" t="str">
        <f ca="1">IF(AND($B$252=1,LEN($BI$228) * LEN($BI$160)&gt;0),$BI$228/$BI$160,HLOOKUP(INDIRECT(ADDRESS(2,COLUMN())),OFFSET($CL$2,0,0,ROW()-1,84),ROW()-1,FALSE))</f>
        <v/>
      </c>
      <c r="BJ100" t="str">
        <f ca="1">IF(AND($B$252=1,LEN($BJ$228) * LEN($BJ$160)&gt;0),$BJ$228/$BJ$160,HLOOKUP(INDIRECT(ADDRESS(2,COLUMN())),OFFSET($CL$2,0,0,ROW()-1,84),ROW()-1,FALSE))</f>
        <v/>
      </c>
      <c r="BK100" t="str">
        <f ca="1">IF(AND($B$252=1,LEN($BK$228) * LEN($BK$160)&gt;0),$BK$228/$BK$160,HLOOKUP(INDIRECT(ADDRESS(2,COLUMN())),OFFSET($CL$2,0,0,ROW()-1,84),ROW()-1,FALSE))</f>
        <v/>
      </c>
      <c r="BL100" t="str">
        <f ca="1">IF(AND($B$252=1,LEN($BL$228) * LEN($BL$160)&gt;0),$BL$228/$BL$160,HLOOKUP(INDIRECT(ADDRESS(2,COLUMN())),OFFSET($CL$2,0,0,ROW()-1,84),ROW()-1,FALSE))</f>
        <v/>
      </c>
      <c r="BM100" t="str">
        <f ca="1">IF(AND($B$252=1,LEN($BM$228) * LEN($BM$160)&gt;0),$BM$228/$BM$160,HLOOKUP(INDIRECT(ADDRESS(2,COLUMN())),OFFSET($CL$2,0,0,ROW()-1,84),ROW()-1,FALSE))</f>
        <v/>
      </c>
      <c r="BN100" t="str">
        <f ca="1">IF(AND($B$252=1,LEN($BN$228) * LEN($BN$160)&gt;0),$BN$228/$BN$160,HLOOKUP(INDIRECT(ADDRESS(2,COLUMN())),OFFSET($CL$2,0,0,ROW()-1,84),ROW()-1,FALSE))</f>
        <v/>
      </c>
      <c r="BO100" t="str">
        <f ca="1">IF(AND($B$252=1,LEN($BO$228) * LEN($BO$160)&gt;0),$BO$228/$BO$160,HLOOKUP(INDIRECT(ADDRESS(2,COLUMN())),OFFSET($CL$2,0,0,ROW()-1,84),ROW()-1,FALSE))</f>
        <v/>
      </c>
      <c r="BP100" t="str">
        <f ca="1">IF(AND($B$252=1,LEN($BP$228) * LEN($BP$160)&gt;0),$BP$228/$BP$160,HLOOKUP(INDIRECT(ADDRESS(2,COLUMN())),OFFSET($CL$2,0,0,ROW()-1,84),ROW()-1,FALSE))</f>
        <v/>
      </c>
      <c r="BQ100" t="str">
        <f ca="1">IF(AND($B$252=1,LEN($BQ$228) * LEN($BQ$160)&gt;0),$BQ$228/$BQ$160,HLOOKUP(INDIRECT(ADDRESS(2,COLUMN())),OFFSET($CL$2,0,0,ROW()-1,84),ROW()-1,FALSE))</f>
        <v/>
      </c>
      <c r="BR100" t="str">
        <f ca="1">IF(AND($B$252=1,LEN($BR$228) * LEN($BR$160)&gt;0),$BR$228/$BR$160,HLOOKUP(INDIRECT(ADDRESS(2,COLUMN())),OFFSET($CL$2,0,0,ROW()-1,84),ROW()-1,FALSE))</f>
        <v/>
      </c>
      <c r="BS100" t="str">
        <f ca="1">IF(AND($B$252=1,LEN($BS$228) * LEN($BS$160)&gt;0),$BS$228/$BS$160,HLOOKUP(INDIRECT(ADDRESS(2,COLUMN())),OFFSET($CL$2,0,0,ROW()-1,84),ROW()-1,FALSE))</f>
        <v/>
      </c>
      <c r="BT100" t="str">
        <f ca="1">IF(AND($B$252=1,LEN($BT$228) * LEN($BT$160)&gt;0),$BT$228/$BT$160,HLOOKUP(INDIRECT(ADDRESS(2,COLUMN())),OFFSET($CL$2,0,0,ROW()-1,84),ROW()-1,FALSE))</f>
        <v/>
      </c>
      <c r="BU100" t="str">
        <f ca="1">IF(AND($B$252=1,LEN($BU$228) * LEN($BU$160)&gt;0),$BU$228/$BU$160,HLOOKUP(INDIRECT(ADDRESS(2,COLUMN())),OFFSET($CL$2,0,0,ROW()-1,84),ROW()-1,FALSE))</f>
        <v/>
      </c>
      <c r="BV100" t="str">
        <f ca="1">IF(AND($B$252=1,LEN($BV$228) * LEN($BV$160)&gt;0),$BV$228/$BV$160,HLOOKUP(INDIRECT(ADDRESS(2,COLUMN())),OFFSET($CL$2,0,0,ROW()-1,84),ROW()-1,FALSE))</f>
        <v/>
      </c>
      <c r="BW100" t="str">
        <f ca="1">IF(AND($B$252=1,LEN($BW$228) * LEN($BW$160)&gt;0),$BW$228/$BW$160,HLOOKUP(INDIRECT(ADDRESS(2,COLUMN())),OFFSET($CL$2,0,0,ROW()-1,84),ROW()-1,FALSE))</f>
        <v/>
      </c>
      <c r="BX100" t="str">
        <f ca="1">IF(AND($B$252=1,LEN($BX$228) * LEN($BX$160)&gt;0),$BX$228/$BX$160,HLOOKUP(INDIRECT(ADDRESS(2,COLUMN())),OFFSET($CL$2,0,0,ROW()-1,84),ROW()-1,FALSE))</f>
        <v/>
      </c>
      <c r="BY100" t="str">
        <f ca="1">IF(AND($B$252=1,LEN($BY$228) * LEN($BY$160)&gt;0),$BY$228/$BY$160,HLOOKUP(INDIRECT(ADDRESS(2,COLUMN())),OFFSET($CL$2,0,0,ROW()-1,84),ROW()-1,FALSE))</f>
        <v/>
      </c>
      <c r="BZ100" t="str">
        <f ca="1">IF(AND($B$252=1,LEN($BZ$228) * LEN($BZ$160)&gt;0),$BZ$228/$BZ$160,HLOOKUP(INDIRECT(ADDRESS(2,COLUMN())),OFFSET($CL$2,0,0,ROW()-1,84),ROW()-1,FALSE))</f>
        <v/>
      </c>
      <c r="CA100" t="str">
        <f ca="1">IF(AND($B$252=1,LEN($CA$228) * LEN($CA$160)&gt;0),$CA$228/$CA$160,HLOOKUP(INDIRECT(ADDRESS(2,COLUMN())),OFFSET($CL$2,0,0,ROW()-1,84),ROW()-1,FALSE))</f>
        <v/>
      </c>
      <c r="CB100" t="str">
        <f ca="1">IF(AND($B$252=1,LEN($CB$228) * LEN($CB$160)&gt;0),$CB$228/$CB$160,HLOOKUP(INDIRECT(ADDRESS(2,COLUMN())),OFFSET($CL$2,0,0,ROW()-1,84),ROW()-1,FALSE))</f>
        <v/>
      </c>
      <c r="CC100" t="str">
        <f ca="1">IF(AND($B$252=1,LEN($CC$228) * LEN($CC$160)&gt;0),$CC$228/$CC$160,HLOOKUP(INDIRECT(ADDRESS(2,COLUMN())),OFFSET($CL$2,0,0,ROW()-1,84),ROW()-1,FALSE))</f>
        <v/>
      </c>
      <c r="CD100" t="str">
        <f ca="1">IF(AND($B$252=1,LEN($CD$228) * LEN($CD$160)&gt;0),$CD$228/$CD$160,HLOOKUP(INDIRECT(ADDRESS(2,COLUMN())),OFFSET($CL$2,0,0,ROW()-1,84),ROW()-1,FALSE))</f>
        <v/>
      </c>
      <c r="CE100" t="str">
        <f ca="1">IF(AND($B$252=1,LEN($CE$228) * LEN($CE$160)&gt;0),$CE$228/$CE$160,HLOOKUP(INDIRECT(ADDRESS(2,COLUMN())),OFFSET($CL$2,0,0,ROW()-1,84),ROW()-1,FALSE))</f>
        <v/>
      </c>
      <c r="CF100" t="str">
        <f ca="1">IF(AND($B$252=1,LEN($CF$228) * LEN($CF$160)&gt;0),$CF$228/$CF$160,HLOOKUP(INDIRECT(ADDRESS(2,COLUMN())),OFFSET($CL$2,0,0,ROW()-1,84),ROW()-1,FALSE))</f>
        <v/>
      </c>
      <c r="CG100" t="str">
        <f ca="1">IF(AND($B$252=1,LEN($CG$228) * LEN($CG$160)&gt;0),$CG$228/$CG$160,HLOOKUP(INDIRECT(ADDRESS(2,COLUMN())),OFFSET($CL$2,0,0,ROW()-1,84),ROW()-1,FALSE))</f>
        <v/>
      </c>
      <c r="CH100" t="str">
        <f ca="1">IF(AND($B$252=1,LEN($CH$228) * LEN($CH$160)&gt;0),$CH$228/$CH$160,HLOOKUP(INDIRECT(ADDRESS(2,COLUMN())),OFFSET($CL$2,0,0,ROW()-1,84),ROW()-1,FALSE))</f>
        <v/>
      </c>
      <c r="CI100" t="str">
        <f ca="1">IF(AND($B$252=1,LEN($CI$228) * LEN($CI$160)&gt;0),$CI$228/$CI$160,HLOOKUP(INDIRECT(ADDRESS(2,COLUMN())),OFFSET($CL$2,0,0,ROW()-1,84),ROW()-1,FALSE))</f>
        <v/>
      </c>
      <c r="CJ100" t="str">
        <f ca="1">IF(AND($B$252=1,LEN($CJ$228) * LEN($CJ$160)&gt;0),$CJ$228/$CJ$160,HLOOKUP(INDIRECT(ADDRESS(2,COLUMN())),OFFSET($CL$2,0,0,ROW()-1,84),ROW()-1,FALSE))</f>
        <v/>
      </c>
      <c r="CK100" t="str">
        <f ca="1">IF(AND($B$252=1,LEN($CK$228) * LEN($CK$160)&gt;0),$CK$228/$CK$160,HLOOKUP(INDIRECT(ADDRESS(2,COLUMN())),OFFSET($CL$2,0,0,ROW()-1,84),ROW()-1,FALSE))</f>
        <v/>
      </c>
      <c r="CL100" t="str">
        <f>""</f>
        <v/>
      </c>
      <c r="CM100" t="str">
        <f>""</f>
        <v/>
      </c>
      <c r="CN100">
        <f>21.53891509</f>
        <v>21.53891509</v>
      </c>
      <c r="CO100">
        <f>22.55269321</f>
        <v>22.552693210000001</v>
      </c>
      <c r="CP100">
        <f>23.13529412</f>
        <v>23.135294120000001</v>
      </c>
      <c r="CQ100">
        <f>22.81764706</f>
        <v>22.817647059999999</v>
      </c>
      <c r="CR100">
        <f>22.37058824</f>
        <v>22.37058824</v>
      </c>
      <c r="CS100">
        <f>22.83529412</f>
        <v>22.83529412</v>
      </c>
      <c r="CT100">
        <f>23.08919079</f>
        <v>23.08919079</v>
      </c>
      <c r="CU100">
        <f>22.99115044</f>
        <v>22.991150439999998</v>
      </c>
      <c r="CV100">
        <f>22.77876106</f>
        <v>22.778761060000001</v>
      </c>
      <c r="CW100">
        <f>22.25268176</f>
        <v>22.252681760000002</v>
      </c>
      <c r="CX100">
        <f>21.81708785</f>
        <v>21.81708785</v>
      </c>
      <c r="CY100">
        <f>21.89562088</f>
        <v>21.895620879999999</v>
      </c>
      <c r="CZ100">
        <f>20.43859649</f>
        <v>20.438596489999998</v>
      </c>
      <c r="DA100">
        <f>21.33333333</f>
        <v>21.333333329999999</v>
      </c>
      <c r="DB100">
        <f>19.92974239</f>
        <v>19.929742390000001</v>
      </c>
      <c r="DC100">
        <f>20.65564087</f>
        <v>20.655640869999999</v>
      </c>
      <c r="DD100">
        <f>21.05909889</f>
        <v>21.059098890000001</v>
      </c>
      <c r="DE100">
        <f>21.10851809</f>
        <v>21.10851809</v>
      </c>
      <c r="DF100">
        <f>21.62020906</f>
        <v>21.620209060000001</v>
      </c>
      <c r="DG100">
        <f>21.45264381</f>
        <v>21.452643810000001</v>
      </c>
      <c r="DH100">
        <f>20.85069444</f>
        <v>20.850694440000002</v>
      </c>
      <c r="DI100">
        <f>20.10362694</f>
        <v>20.103626940000002</v>
      </c>
      <c r="DJ100">
        <f>22.09288991</f>
        <v>22.09288991</v>
      </c>
      <c r="DK100">
        <f>19.69592656</f>
        <v>19.69592656</v>
      </c>
      <c r="DL100">
        <f>20.15288788</f>
        <v>20.152887880000002</v>
      </c>
      <c r="DM100">
        <f>21.27406569</f>
        <v>21.27406569</v>
      </c>
      <c r="DN100">
        <f>20.75928009</f>
        <v>20.759280090000001</v>
      </c>
      <c r="DO100">
        <f>19.8045977</f>
        <v>19.804597699999999</v>
      </c>
      <c r="DP100">
        <f>20.28235294</f>
        <v>20.282352939999999</v>
      </c>
      <c r="DQ100">
        <f>18.92208553</f>
        <v>18.92208553</v>
      </c>
      <c r="DR100">
        <f>20.24550898</f>
        <v>20.24550898</v>
      </c>
      <c r="DS100">
        <f>19.17964072</f>
        <v>19.179640719999998</v>
      </c>
      <c r="DT100">
        <f>19.67371601</f>
        <v>19.67371601</v>
      </c>
      <c r="DU100">
        <f>20.04281346</f>
        <v>20.042813460000001</v>
      </c>
      <c r="DV100" t="str">
        <f>""</f>
        <v/>
      </c>
      <c r="DW100">
        <f>19.29909366</f>
        <v>19.29909366</v>
      </c>
      <c r="DX100" t="str">
        <f>""</f>
        <v/>
      </c>
      <c r="DY100" t="str">
        <f>""</f>
        <v/>
      </c>
      <c r="DZ100" t="str">
        <f>""</f>
        <v/>
      </c>
      <c r="EA100" t="str">
        <f>""</f>
        <v/>
      </c>
      <c r="EB100" t="str">
        <f>""</f>
        <v/>
      </c>
      <c r="EC100" t="str">
        <f>""</f>
        <v/>
      </c>
      <c r="ED100" t="str">
        <f>""</f>
        <v/>
      </c>
      <c r="EE100" t="str">
        <f>""</f>
        <v/>
      </c>
      <c r="EF100" t="str">
        <f>""</f>
        <v/>
      </c>
      <c r="EG100" t="str">
        <f>""</f>
        <v/>
      </c>
      <c r="EH100" t="str">
        <f>""</f>
        <v/>
      </c>
      <c r="EI100" t="str">
        <f>""</f>
        <v/>
      </c>
      <c r="EJ100" t="str">
        <f>""</f>
        <v/>
      </c>
      <c r="EK100" t="str">
        <f>""</f>
        <v/>
      </c>
      <c r="EL100" t="str">
        <f>""</f>
        <v/>
      </c>
      <c r="EM100" t="str">
        <f>""</f>
        <v/>
      </c>
      <c r="EN100" t="str">
        <f>""</f>
        <v/>
      </c>
      <c r="EO100" t="str">
        <f>""</f>
        <v/>
      </c>
      <c r="EP100" t="str">
        <f>""</f>
        <v/>
      </c>
      <c r="EQ100" t="str">
        <f>""</f>
        <v/>
      </c>
      <c r="ER100" t="str">
        <f>""</f>
        <v/>
      </c>
      <c r="ES100" t="str">
        <f>""</f>
        <v/>
      </c>
      <c r="ET100" t="str">
        <f>""</f>
        <v/>
      </c>
      <c r="EU100" t="str">
        <f>""</f>
        <v/>
      </c>
      <c r="EV100" t="str">
        <f>""</f>
        <v/>
      </c>
      <c r="EW100" t="str">
        <f>""</f>
        <v/>
      </c>
      <c r="EX100" t="str">
        <f>""</f>
        <v/>
      </c>
      <c r="EY100" t="str">
        <f>""</f>
        <v/>
      </c>
      <c r="EZ100" t="str">
        <f>""</f>
        <v/>
      </c>
      <c r="FA100" t="str">
        <f>""</f>
        <v/>
      </c>
      <c r="FB100" t="str">
        <f>""</f>
        <v/>
      </c>
      <c r="FC100" t="str">
        <f>""</f>
        <v/>
      </c>
      <c r="FD100" t="str">
        <f>""</f>
        <v/>
      </c>
      <c r="FE100" t="str">
        <f>""</f>
        <v/>
      </c>
      <c r="FF100" t="str">
        <f>""</f>
        <v/>
      </c>
      <c r="FG100" t="str">
        <f>""</f>
        <v/>
      </c>
      <c r="FH100" t="str">
        <f>""</f>
        <v/>
      </c>
      <c r="FI100" t="str">
        <f>""</f>
        <v/>
      </c>
      <c r="FJ100" t="str">
        <f>""</f>
        <v/>
      </c>
      <c r="FK100" t="str">
        <f>""</f>
        <v/>
      </c>
      <c r="FL100" t="str">
        <f>""</f>
        <v/>
      </c>
      <c r="FM100" t="str">
        <f>""</f>
        <v/>
      </c>
      <c r="FN100" t="str">
        <f>""</f>
        <v/>
      </c>
      <c r="FO100" t="str">
        <f>""</f>
        <v/>
      </c>
      <c r="FP100" t="str">
        <f>""</f>
        <v/>
      </c>
      <c r="FQ100" t="str">
        <f>""</f>
        <v/>
      </c>
    </row>
    <row r="101" spans="1:173">
      <c r="A101" t="str">
        <f>"2018年预测P/FAD"</f>
        <v>2018年预测P/FAD</v>
      </c>
      <c r="B101" t="str">
        <f>"BRFREITV Index"</f>
        <v>BRFREITV Index</v>
      </c>
      <c r="E101" t="str">
        <f>"Median"</f>
        <v>Median</v>
      </c>
      <c r="F101">
        <f ca="1">IF(ISERROR(IF(MEDIAN($F$102:$F$108) = 0, "", MEDIAN($F$102:$F$108))), "", (IF(MEDIAN($F$102:$F$108) = 0, "", MEDIAN($F$102:$F$108))))</f>
        <v>19.776035830000001</v>
      </c>
      <c r="G101">
        <f ca="1">IF(ISERROR(IF(MEDIAN($G$102:$G$108) = 0, "", MEDIAN($G$102:$G$108))), "", (IF(MEDIAN($G$102:$G$108) = 0, "", MEDIAN($G$102:$G$108))))</f>
        <v>18.81365417</v>
      </c>
      <c r="H101">
        <f ca="1">IF(ISERROR(IF(MEDIAN($H$102:$H$108) = 0, "", MEDIAN($H$102:$H$108))), "", (IF(MEDIAN($H$102:$H$108) = 0, "", MEDIAN($H$102:$H$108))))</f>
        <v>20.23822715</v>
      </c>
      <c r="I101">
        <f ca="1">IF(ISERROR(IF(MEDIAN($I$102:$I$108) = 0, "", MEDIAN($I$102:$I$108))), "", (IF(MEDIAN($I$102:$I$108) = 0, "", MEDIAN($I$102:$I$108))))</f>
        <v>21.4</v>
      </c>
      <c r="J101">
        <f ca="1">IF(ISERROR(IF(MEDIAN($J$102:$J$108) = 0, "", MEDIAN($J$102:$J$108))), "", (IF(MEDIAN($J$102:$J$108) = 0, "", MEDIAN($J$102:$J$108))))</f>
        <v>21.85</v>
      </c>
      <c r="K101">
        <f ca="1">IF(ISERROR(IF(MEDIAN($K$102:$K$108) = 0, "", MEDIAN($K$102:$K$108))), "", (IF(MEDIAN($K$102:$K$108) = 0, "", MEDIAN($K$102:$K$108))))</f>
        <v>21.514143090000001</v>
      </c>
      <c r="L101">
        <f ca="1">IF(ISERROR(IF(MEDIAN($L$102:$L$108) = 0, "", MEDIAN($L$102:$L$108))), "", (IF(MEDIAN($L$102:$L$108) = 0, "", MEDIAN($L$102:$L$108))))</f>
        <v>21.092623410000002</v>
      </c>
      <c r="M101">
        <f ca="1">IF(ISERROR(IF(MEDIAN($M$102:$M$108) = 0, "", MEDIAN($M$102:$M$108))), "", (IF(MEDIAN($M$102:$M$108) = 0, "", MEDIAN($M$102:$M$108))))</f>
        <v>21.895264749999999</v>
      </c>
      <c r="N101">
        <f ca="1">IF(ISERROR(IF(MEDIAN($N$102:$N$108) = 0, "", MEDIAN($N$102:$N$108))), "", (IF(MEDIAN($N$102:$N$108) = 0, "", MEDIAN($N$102:$N$108))))</f>
        <v>22.093596059999999</v>
      </c>
      <c r="O101">
        <f ca="1">IF(ISERROR(IF(MEDIAN($O$102:$O$108) = 0, "", MEDIAN($O$102:$O$108))), "", (IF(MEDIAN($O$102:$O$108) = 0, "", MEDIAN($O$102:$O$108))))</f>
        <v>21.65</v>
      </c>
      <c r="P101">
        <f ca="1">IF(ISERROR(IF(MEDIAN($P$102:$P$108) = 0, "", MEDIAN($P$102:$P$108))), "", (IF(MEDIAN($P$102:$P$108) = 0, "", MEDIAN($P$102:$P$108))))</f>
        <v>21.45</v>
      </c>
      <c r="Q101">
        <f ca="1">IF(ISERROR(IF(MEDIAN($Q$102:$Q$108) = 0, "", MEDIAN($Q$102:$Q$108))), "", (IF(MEDIAN($Q$102:$Q$108) = 0, "", MEDIAN($Q$102:$Q$108))))</f>
        <v>21.300627500000001</v>
      </c>
      <c r="R101">
        <f ca="1">IF(ISERROR(IF(MEDIAN($R$102:$R$108) = 0, "", MEDIAN($R$102:$R$108))), "", (IF(MEDIAN($R$102:$R$108) = 0, "", MEDIAN($R$102:$R$108))))</f>
        <v>20.511162299999999</v>
      </c>
      <c r="S101">
        <f ca="1">IF(ISERROR(IF(MEDIAN($S$102:$S$108) = 0, "", MEDIAN($S$102:$S$108))), "", (IF(MEDIAN($S$102:$S$108) = 0, "", MEDIAN($S$102:$S$108))))</f>
        <v>20.869068039999998</v>
      </c>
      <c r="T101">
        <f ca="1">IF(ISERROR(IF(MEDIAN($T$102:$T$108) = 0, "", MEDIAN($T$102:$T$108))), "", (IF(MEDIAN($T$102:$T$108) = 0, "", MEDIAN($T$102:$T$108))))</f>
        <v>19.744623659999998</v>
      </c>
      <c r="U101">
        <f ca="1">IF(ISERROR(IF(MEDIAN($U$102:$U$108) = 0, "", MEDIAN($U$102:$U$108))), "", (IF(MEDIAN($U$102:$U$108) = 0, "", MEDIAN($U$102:$U$108))))</f>
        <v>20.486386469999999</v>
      </c>
      <c r="V101">
        <f ca="1">IF(ISERROR(IF(MEDIAN($V$102:$V$108) = 0, "", MEDIAN($V$102:$V$108))), "", (IF(MEDIAN($V$102:$V$108) = 0, "", MEDIAN($V$102:$V$108))))</f>
        <v>19.075727700000002</v>
      </c>
      <c r="W101">
        <f ca="1">IF(ISERROR(IF(MEDIAN($W$102:$W$108) = 0, "", MEDIAN($W$102:$W$108))), "", (IF(MEDIAN($W$102:$W$108) = 0, "", MEDIAN($W$102:$W$108))))</f>
        <v>19.723632259999999</v>
      </c>
      <c r="X101">
        <f ca="1">IF(ISERROR(IF(MEDIAN($X$102:$X$108) = 0, "", MEDIAN($X$102:$X$108))), "", (IF(MEDIAN($X$102:$X$108) = 0, "", MEDIAN($X$102:$X$108))))</f>
        <v>19.984018265000003</v>
      </c>
      <c r="Y101">
        <f ca="1">IF(ISERROR(IF(MEDIAN($Y$102:$Y$108) = 0, "", MEDIAN($Y$102:$Y$108))), "", (IF(MEDIAN($Y$102:$Y$108) = 0, "", MEDIAN($Y$102:$Y$108))))</f>
        <v>19.886164619999999</v>
      </c>
      <c r="Z101">
        <f ca="1">IF(ISERROR(IF(MEDIAN($Z$102:$Z$108) = 0, "", MEDIAN($Z$102:$Z$108))), "", (IF(MEDIAN($Z$102:$Z$108) = 0, "", MEDIAN($Z$102:$Z$108))))</f>
        <v>20.422380690000001</v>
      </c>
      <c r="AA101">
        <f ca="1">IF(ISERROR(IF(MEDIAN($AA$102:$AA$108) = 0, "", MEDIAN($AA$102:$AA$108))), "", (IF(MEDIAN($AA$102:$AA$108) = 0, "", MEDIAN($AA$102:$AA$108))))</f>
        <v>20.54597133</v>
      </c>
      <c r="AB101">
        <f ca="1">IF(ISERROR(IF(MEDIAN($AB$102:$AB$108) = 0, "", MEDIAN($AB$102:$AB$108))), "", (IF(MEDIAN($AB$102:$AB$108) = 0, "", MEDIAN($AB$102:$AB$108))))</f>
        <v>19.416388959999999</v>
      </c>
      <c r="AC101">
        <f ca="1">IF(ISERROR(IF(MEDIAN($AC$102:$AC$108) = 0, "", MEDIAN($AC$102:$AC$108))), "", (IF(MEDIAN($AC$102:$AC$108) = 0, "", MEDIAN($AC$102:$AC$108))))</f>
        <v>18.97826087</v>
      </c>
      <c r="AD101" t="str">
        <f ca="1">IF(ISERROR(IF(MEDIAN($AD$102:$AD$108) = 0, "", MEDIAN($AD$102:$AD$108))), "", (IF(MEDIAN($AD$102:$AD$108) = 0, "", MEDIAN($AD$102:$AD$108))))</f>
        <v/>
      </c>
      <c r="AE101">
        <f ca="1">IF(ISERROR(IF(MEDIAN($AE$102:$AE$108) = 0, "", MEDIAN($AE$102:$AE$108))), "", (IF(MEDIAN($AE$102:$AE$108) = 0, "", MEDIAN($AE$102:$AE$108))))</f>
        <v>18.456989249999999</v>
      </c>
      <c r="AF101">
        <f ca="1">IF(ISERROR(IF(MEDIAN($AF$102:$AF$108) = 0, "", MEDIAN($AF$102:$AF$108))), "", (IF(MEDIAN($AF$102:$AF$108) = 0, "", MEDIAN($AF$102:$AF$108))))</f>
        <v>16.955555560000001</v>
      </c>
      <c r="AG101" t="str">
        <f ca="1">IF(ISERROR(IF(MEDIAN($AG$102:$AG$108) = 0, "", MEDIAN($AG$102:$AG$108))), "", (IF(MEDIAN($AG$102:$AG$108) = 0, "", MEDIAN($AG$102:$AG$108))))</f>
        <v/>
      </c>
      <c r="AH101" t="str">
        <f ca="1">IF(ISERROR(IF(MEDIAN($AH$102:$AH$108) = 0, "", MEDIAN($AH$102:$AH$108))), "", (IF(MEDIAN($AH$102:$AH$108) = 0, "", MEDIAN($AH$102:$AH$108))))</f>
        <v/>
      </c>
      <c r="AI101" t="str">
        <f ca="1">IF(ISERROR(IF(MEDIAN($AI$102:$AI$108) = 0, "", MEDIAN($AI$102:$AI$108))), "", (IF(MEDIAN($AI$102:$AI$108) = 0, "", MEDIAN($AI$102:$AI$108))))</f>
        <v/>
      </c>
      <c r="AJ101" t="str">
        <f ca="1">IF(ISERROR(IF(MEDIAN($AJ$102:$AJ$108) = 0, "", MEDIAN($AJ$102:$AJ$108))), "", (IF(MEDIAN($AJ$102:$AJ$108) = 0, "", MEDIAN($AJ$102:$AJ$108))))</f>
        <v/>
      </c>
      <c r="AK101" t="str">
        <f ca="1">IF(ISERROR(IF(MEDIAN($AK$102:$AK$108) = 0, "", MEDIAN($AK$102:$AK$108))), "", (IF(MEDIAN($AK$102:$AK$108) = 0, "", MEDIAN($AK$102:$AK$108))))</f>
        <v/>
      </c>
      <c r="AL101" t="str">
        <f ca="1">IF(ISERROR(IF(MEDIAN($AL$102:$AL$108) = 0, "", MEDIAN($AL$102:$AL$108))), "", (IF(MEDIAN($AL$102:$AL$108) = 0, "", MEDIAN($AL$102:$AL$108))))</f>
        <v/>
      </c>
      <c r="AM101" t="str">
        <f ca="1">IF(ISERROR(IF(MEDIAN($AM$102:$AM$108) = 0, "", MEDIAN($AM$102:$AM$108))), "", (IF(MEDIAN($AM$102:$AM$108) = 0, "", MEDIAN($AM$102:$AM$108))))</f>
        <v/>
      </c>
      <c r="AN101" t="str">
        <f ca="1">IF(ISERROR(IF(MEDIAN($AN$102:$AN$108) = 0, "", MEDIAN($AN$102:$AN$108))), "", (IF(MEDIAN($AN$102:$AN$108) = 0, "", MEDIAN($AN$102:$AN$108))))</f>
        <v/>
      </c>
      <c r="AO101" t="str">
        <f ca="1">IF(ISERROR(IF(MEDIAN($AO$102:$AO$108) = 0, "", MEDIAN($AO$102:$AO$108))), "", (IF(MEDIAN($AO$102:$AO$108) = 0, "", MEDIAN($AO$102:$AO$108))))</f>
        <v/>
      </c>
      <c r="AP101" t="str">
        <f ca="1">IF(ISERROR(IF(MEDIAN($AP$102:$AP$108) = 0, "", MEDIAN($AP$102:$AP$108))), "", (IF(MEDIAN($AP$102:$AP$108) = 0, "", MEDIAN($AP$102:$AP$108))))</f>
        <v/>
      </c>
      <c r="AQ101" t="str">
        <f ca="1">IF(ISERROR(IF(MEDIAN($AQ$102:$AQ$108) = 0, "", MEDIAN($AQ$102:$AQ$108))), "", (IF(MEDIAN($AQ$102:$AQ$108) = 0, "", MEDIAN($AQ$102:$AQ$108))))</f>
        <v/>
      </c>
      <c r="AR101" t="str">
        <f ca="1">IF(ISERROR(IF(MEDIAN($AR$102:$AR$108) = 0, "", MEDIAN($AR$102:$AR$108))), "", (IF(MEDIAN($AR$102:$AR$108) = 0, "", MEDIAN($AR$102:$AR$108))))</f>
        <v/>
      </c>
      <c r="AS101" t="str">
        <f ca="1">IF(ISERROR(IF(MEDIAN($AS$102:$AS$108) = 0, "", MEDIAN($AS$102:$AS$108))), "", (IF(MEDIAN($AS$102:$AS$108) = 0, "", MEDIAN($AS$102:$AS$108))))</f>
        <v/>
      </c>
      <c r="AT101" t="str">
        <f ca="1">IF(ISERROR(IF(MEDIAN($AT$102:$AT$108) = 0, "", MEDIAN($AT$102:$AT$108))), "", (IF(MEDIAN($AT$102:$AT$108) = 0, "", MEDIAN($AT$102:$AT$108))))</f>
        <v/>
      </c>
      <c r="AU101" t="str">
        <f ca="1">IF(ISERROR(IF(MEDIAN($AU$102:$AU$108) = 0, "", MEDIAN($AU$102:$AU$108))), "", (IF(MEDIAN($AU$102:$AU$108) = 0, "", MEDIAN($AU$102:$AU$108))))</f>
        <v/>
      </c>
      <c r="AV101" t="str">
        <f ca="1">IF(ISERROR(IF(MEDIAN($AV$102:$AV$108) = 0, "", MEDIAN($AV$102:$AV$108))), "", (IF(MEDIAN($AV$102:$AV$108) = 0, "", MEDIAN($AV$102:$AV$108))))</f>
        <v/>
      </c>
      <c r="AW101" t="str">
        <f ca="1">IF(ISERROR(IF(MEDIAN($AW$102:$AW$108) = 0, "", MEDIAN($AW$102:$AW$108))), "", (IF(MEDIAN($AW$102:$AW$108) = 0, "", MEDIAN($AW$102:$AW$108))))</f>
        <v/>
      </c>
      <c r="AX101" t="str">
        <f ca="1">IF(ISERROR(IF(MEDIAN($AX$102:$AX$108) = 0, "", MEDIAN($AX$102:$AX$108))), "", (IF(MEDIAN($AX$102:$AX$108) = 0, "", MEDIAN($AX$102:$AX$108))))</f>
        <v/>
      </c>
      <c r="AY101" t="str">
        <f ca="1">IF(ISERROR(IF(MEDIAN($AY$102:$AY$108) = 0, "", MEDIAN($AY$102:$AY$108))), "", (IF(MEDIAN($AY$102:$AY$108) = 0, "", MEDIAN($AY$102:$AY$108))))</f>
        <v/>
      </c>
      <c r="AZ101" t="str">
        <f ca="1">IF(ISERROR(IF(MEDIAN($AZ$102:$AZ$108) = 0, "", MEDIAN($AZ$102:$AZ$108))), "", (IF(MEDIAN($AZ$102:$AZ$108) = 0, "", MEDIAN($AZ$102:$AZ$108))))</f>
        <v/>
      </c>
      <c r="BA101" t="str">
        <f ca="1">IF(ISERROR(IF(MEDIAN($BA$102:$BA$108) = 0, "", MEDIAN($BA$102:$BA$108))), "", (IF(MEDIAN($BA$102:$BA$108) = 0, "", MEDIAN($BA$102:$BA$108))))</f>
        <v/>
      </c>
      <c r="BB101" t="str">
        <f ca="1">IF(ISERROR(IF(MEDIAN($BB$102:$BB$108) = 0, "", MEDIAN($BB$102:$BB$108))), "", (IF(MEDIAN($BB$102:$BB$108) = 0, "", MEDIAN($BB$102:$BB$108))))</f>
        <v/>
      </c>
      <c r="BC101" t="str">
        <f ca="1">IF(ISERROR(IF(MEDIAN($BC$102:$BC$108) = 0, "", MEDIAN($BC$102:$BC$108))), "", (IF(MEDIAN($BC$102:$BC$108) = 0, "", MEDIAN($BC$102:$BC$108))))</f>
        <v/>
      </c>
      <c r="BD101" t="str">
        <f ca="1">IF(ISERROR(IF(MEDIAN($BD$102:$BD$108) = 0, "", MEDIAN($BD$102:$BD$108))), "", (IF(MEDIAN($BD$102:$BD$108) = 0, "", MEDIAN($BD$102:$BD$108))))</f>
        <v/>
      </c>
      <c r="BE101" t="str">
        <f ca="1">IF(ISERROR(IF(MEDIAN($BE$102:$BE$108) = 0, "", MEDIAN($BE$102:$BE$108))), "", (IF(MEDIAN($BE$102:$BE$108) = 0, "", MEDIAN($BE$102:$BE$108))))</f>
        <v/>
      </c>
      <c r="BF101" t="str">
        <f ca="1">IF(ISERROR(IF(MEDIAN($BF$102:$BF$108) = 0, "", MEDIAN($BF$102:$BF$108))), "", (IF(MEDIAN($BF$102:$BF$108) = 0, "", MEDIAN($BF$102:$BF$108))))</f>
        <v/>
      </c>
      <c r="BG101" t="str">
        <f ca="1">IF(ISERROR(IF(MEDIAN($BG$102:$BG$108) = 0, "", MEDIAN($BG$102:$BG$108))), "", (IF(MEDIAN($BG$102:$BG$108) = 0, "", MEDIAN($BG$102:$BG$108))))</f>
        <v/>
      </c>
      <c r="BH101" t="str">
        <f ca="1">IF(ISERROR(IF(MEDIAN($BH$102:$BH$108) = 0, "", MEDIAN($BH$102:$BH$108))), "", (IF(MEDIAN($BH$102:$BH$108) = 0, "", MEDIAN($BH$102:$BH$108))))</f>
        <v/>
      </c>
      <c r="BI101" t="str">
        <f ca="1">IF(ISERROR(IF(MEDIAN($BI$102:$BI$108) = 0, "", MEDIAN($BI$102:$BI$108))), "", (IF(MEDIAN($BI$102:$BI$108) = 0, "", MEDIAN($BI$102:$BI$108))))</f>
        <v/>
      </c>
      <c r="BJ101" t="str">
        <f ca="1">IF(ISERROR(IF(MEDIAN($BJ$102:$BJ$108) = 0, "", MEDIAN($BJ$102:$BJ$108))), "", (IF(MEDIAN($BJ$102:$BJ$108) = 0, "", MEDIAN($BJ$102:$BJ$108))))</f>
        <v/>
      </c>
      <c r="BK101" t="str">
        <f ca="1">IF(ISERROR(IF(MEDIAN($BK$102:$BK$108) = 0, "", MEDIAN($BK$102:$BK$108))), "", (IF(MEDIAN($BK$102:$BK$108) = 0, "", MEDIAN($BK$102:$BK$108))))</f>
        <v/>
      </c>
      <c r="BL101" t="str">
        <f ca="1">IF(ISERROR(IF(MEDIAN($BL$102:$BL$108) = 0, "", MEDIAN($BL$102:$BL$108))), "", (IF(MEDIAN($BL$102:$BL$108) = 0, "", MEDIAN($BL$102:$BL$108))))</f>
        <v/>
      </c>
      <c r="BM101" t="str">
        <f ca="1">IF(ISERROR(IF(MEDIAN($BM$102:$BM$108) = 0, "", MEDIAN($BM$102:$BM$108))), "", (IF(MEDIAN($BM$102:$BM$108) = 0, "", MEDIAN($BM$102:$BM$108))))</f>
        <v/>
      </c>
      <c r="BN101" t="str">
        <f ca="1">IF(ISERROR(IF(MEDIAN($BN$102:$BN$108) = 0, "", MEDIAN($BN$102:$BN$108))), "", (IF(MEDIAN($BN$102:$BN$108) = 0, "", MEDIAN($BN$102:$BN$108))))</f>
        <v/>
      </c>
      <c r="BO101" t="str">
        <f ca="1">IF(ISERROR(IF(MEDIAN($BO$102:$BO$108) = 0, "", MEDIAN($BO$102:$BO$108))), "", (IF(MEDIAN($BO$102:$BO$108) = 0, "", MEDIAN($BO$102:$BO$108))))</f>
        <v/>
      </c>
      <c r="BP101" t="str">
        <f ca="1">IF(ISERROR(IF(MEDIAN($BP$102:$BP$108) = 0, "", MEDIAN($BP$102:$BP$108))), "", (IF(MEDIAN($BP$102:$BP$108) = 0, "", MEDIAN($BP$102:$BP$108))))</f>
        <v/>
      </c>
      <c r="BQ101" t="str">
        <f ca="1">IF(ISERROR(IF(MEDIAN($BQ$102:$BQ$108) = 0, "", MEDIAN($BQ$102:$BQ$108))), "", (IF(MEDIAN($BQ$102:$BQ$108) = 0, "", MEDIAN($BQ$102:$BQ$108))))</f>
        <v/>
      </c>
      <c r="BR101" t="str">
        <f ca="1">IF(ISERROR(IF(MEDIAN($BR$102:$BR$108) = 0, "", MEDIAN($BR$102:$BR$108))), "", (IF(MEDIAN($BR$102:$BR$108) = 0, "", MEDIAN($BR$102:$BR$108))))</f>
        <v/>
      </c>
      <c r="BS101" t="str">
        <f ca="1">IF(ISERROR(IF(MEDIAN($BS$102:$BS$108) = 0, "", MEDIAN($BS$102:$BS$108))), "", (IF(MEDIAN($BS$102:$BS$108) = 0, "", MEDIAN($BS$102:$BS$108))))</f>
        <v/>
      </c>
      <c r="BT101" t="str">
        <f ca="1">IF(ISERROR(IF(MEDIAN($BT$102:$BT$108) = 0, "", MEDIAN($BT$102:$BT$108))), "", (IF(MEDIAN($BT$102:$BT$108) = 0, "", MEDIAN($BT$102:$BT$108))))</f>
        <v/>
      </c>
      <c r="BU101" t="str">
        <f ca="1">IF(ISERROR(IF(MEDIAN($BU$102:$BU$108) = 0, "", MEDIAN($BU$102:$BU$108))), "", (IF(MEDIAN($BU$102:$BU$108) = 0, "", MEDIAN($BU$102:$BU$108))))</f>
        <v/>
      </c>
      <c r="BV101" t="str">
        <f ca="1">IF(ISERROR(IF(MEDIAN($BV$102:$BV$108) = 0, "", MEDIAN($BV$102:$BV$108))), "", (IF(MEDIAN($BV$102:$BV$108) = 0, "", MEDIAN($BV$102:$BV$108))))</f>
        <v/>
      </c>
      <c r="BW101" t="str">
        <f ca="1">IF(ISERROR(IF(MEDIAN($BW$102:$BW$108) = 0, "", MEDIAN($BW$102:$BW$108))), "", (IF(MEDIAN($BW$102:$BW$108) = 0, "", MEDIAN($BW$102:$BW$108))))</f>
        <v/>
      </c>
      <c r="BX101" t="str">
        <f ca="1">IF(ISERROR(IF(MEDIAN($BX$102:$BX$108) = 0, "", MEDIAN($BX$102:$BX$108))), "", (IF(MEDIAN($BX$102:$BX$108) = 0, "", MEDIAN($BX$102:$BX$108))))</f>
        <v/>
      </c>
      <c r="BY101" t="str">
        <f ca="1">IF(ISERROR(IF(MEDIAN($BY$102:$BY$108) = 0, "", MEDIAN($BY$102:$BY$108))), "", (IF(MEDIAN($BY$102:$BY$108) = 0, "", MEDIAN($BY$102:$BY$108))))</f>
        <v/>
      </c>
      <c r="BZ101" t="str">
        <f ca="1">IF(ISERROR(IF(MEDIAN($BZ$102:$BZ$108) = 0, "", MEDIAN($BZ$102:$BZ$108))), "", (IF(MEDIAN($BZ$102:$BZ$108) = 0, "", MEDIAN($BZ$102:$BZ$108))))</f>
        <v/>
      </c>
      <c r="CA101" t="str">
        <f ca="1">IF(ISERROR(IF(MEDIAN($CA$102:$CA$108) = 0, "", MEDIAN($CA$102:$CA$108))), "", (IF(MEDIAN($CA$102:$CA$108) = 0, "", MEDIAN($CA$102:$CA$108))))</f>
        <v/>
      </c>
      <c r="CB101" t="str">
        <f ca="1">IF(ISERROR(IF(MEDIAN($CB$102:$CB$108) = 0, "", MEDIAN($CB$102:$CB$108))), "", (IF(MEDIAN($CB$102:$CB$108) = 0, "", MEDIAN($CB$102:$CB$108))))</f>
        <v/>
      </c>
      <c r="CC101" t="str">
        <f ca="1">IF(ISERROR(IF(MEDIAN($CC$102:$CC$108) = 0, "", MEDIAN($CC$102:$CC$108))), "", (IF(MEDIAN($CC$102:$CC$108) = 0, "", MEDIAN($CC$102:$CC$108))))</f>
        <v/>
      </c>
      <c r="CD101" t="str">
        <f ca="1">IF(ISERROR(IF(MEDIAN($CD$102:$CD$108) = 0, "", MEDIAN($CD$102:$CD$108))), "", (IF(MEDIAN($CD$102:$CD$108) = 0, "", MEDIAN($CD$102:$CD$108))))</f>
        <v/>
      </c>
      <c r="CE101" t="str">
        <f ca="1">IF(ISERROR(IF(MEDIAN($CE$102:$CE$108) = 0, "", MEDIAN($CE$102:$CE$108))), "", (IF(MEDIAN($CE$102:$CE$108) = 0, "", MEDIAN($CE$102:$CE$108))))</f>
        <v/>
      </c>
      <c r="CF101" t="str">
        <f ca="1">IF(ISERROR(IF(MEDIAN($CF$102:$CF$108) = 0, "", MEDIAN($CF$102:$CF$108))), "", (IF(MEDIAN($CF$102:$CF$108) = 0, "", MEDIAN($CF$102:$CF$108))))</f>
        <v/>
      </c>
      <c r="CG101" t="str">
        <f ca="1">IF(ISERROR(IF(MEDIAN($CG$102:$CG$108) = 0, "", MEDIAN($CG$102:$CG$108))), "", (IF(MEDIAN($CG$102:$CG$108) = 0, "", MEDIAN($CG$102:$CG$108))))</f>
        <v/>
      </c>
      <c r="CH101" t="str">
        <f ca="1">IF(ISERROR(IF(MEDIAN($CH$102:$CH$108) = 0, "", MEDIAN($CH$102:$CH$108))), "", (IF(MEDIAN($CH$102:$CH$108) = 0, "", MEDIAN($CH$102:$CH$108))))</f>
        <v/>
      </c>
      <c r="CI101" t="str">
        <f ca="1">IF(ISERROR(IF(MEDIAN($CI$102:$CI$108) = 0, "", MEDIAN($CI$102:$CI$108))), "", (IF(MEDIAN($CI$102:$CI$108) = 0, "", MEDIAN($CI$102:$CI$108))))</f>
        <v/>
      </c>
      <c r="CJ101" t="str">
        <f ca="1">IF(ISERROR(IF(MEDIAN($CJ$102:$CJ$108) = 0, "", MEDIAN($CJ$102:$CJ$108))), "", (IF(MEDIAN($CJ$102:$CJ$108) = 0, "", MEDIAN($CJ$102:$CJ$108))))</f>
        <v/>
      </c>
      <c r="CK101" t="str">
        <f ca="1">IF(ISERROR(IF(MEDIAN($CK$102:$CK$108) = 0, "", MEDIAN($CK$102:$CK$108))), "", (IF(MEDIAN($CK$102:$CK$108) = 0, "", MEDIAN($CK$102:$CK$108))))</f>
        <v/>
      </c>
      <c r="CL101">
        <f>19.77603583</f>
        <v>19.776035830000001</v>
      </c>
      <c r="CM101">
        <f>18.81365417</f>
        <v>18.81365417</v>
      </c>
      <c r="CN101">
        <f>20.23822715</f>
        <v>20.23822715</v>
      </c>
      <c r="CO101">
        <f>21.4</f>
        <v>21.4</v>
      </c>
      <c r="CP101">
        <f>21.85</f>
        <v>21.85</v>
      </c>
      <c r="CQ101">
        <f>21.51414309</f>
        <v>21.514143090000001</v>
      </c>
      <c r="CR101">
        <f>21.09262341</f>
        <v>21.092623410000002</v>
      </c>
      <c r="CS101">
        <f>21.89526475</f>
        <v>21.895264749999999</v>
      </c>
      <c r="CT101">
        <f>22.09359606</f>
        <v>22.093596059999999</v>
      </c>
      <c r="CU101">
        <f>21.65</f>
        <v>21.65</v>
      </c>
      <c r="CV101">
        <f>21.45</f>
        <v>21.45</v>
      </c>
      <c r="CW101">
        <f>21.3006275</f>
        <v>21.300627500000001</v>
      </c>
      <c r="CX101">
        <f>20.5111623</f>
        <v>20.511162299999999</v>
      </c>
      <c r="CY101">
        <f>20.86906804</f>
        <v>20.869068039999998</v>
      </c>
      <c r="CZ101">
        <f>19.74462366</f>
        <v>19.744623659999998</v>
      </c>
      <c r="DA101">
        <f>20.48638647</f>
        <v>20.486386469999999</v>
      </c>
      <c r="DB101">
        <f>19.0757277</f>
        <v>19.075727700000002</v>
      </c>
      <c r="DC101">
        <f>19.72363226</f>
        <v>19.723632259999999</v>
      </c>
      <c r="DD101">
        <f>19.98401826</f>
        <v>19.984018259999999</v>
      </c>
      <c r="DE101">
        <f>19.88616462</f>
        <v>19.886164619999999</v>
      </c>
      <c r="DF101">
        <f>20.42238069</f>
        <v>20.422380690000001</v>
      </c>
      <c r="DG101">
        <f>20.54597133</f>
        <v>20.54597133</v>
      </c>
      <c r="DH101">
        <f>19.41638896</f>
        <v>19.416388959999999</v>
      </c>
      <c r="DI101">
        <f>18.97826087</f>
        <v>18.97826087</v>
      </c>
      <c r="DJ101" t="str">
        <f>""</f>
        <v/>
      </c>
      <c r="DK101">
        <f>18.45698925</f>
        <v>18.456989249999999</v>
      </c>
      <c r="DL101">
        <f>16.95555556</f>
        <v>16.955555560000001</v>
      </c>
      <c r="DM101" t="str">
        <f>""</f>
        <v/>
      </c>
      <c r="DN101" t="str">
        <f>""</f>
        <v/>
      </c>
      <c r="DO101" t="str">
        <f>""</f>
        <v/>
      </c>
      <c r="DP101" t="str">
        <f>""</f>
        <v/>
      </c>
      <c r="DQ101" t="str">
        <f>""</f>
        <v/>
      </c>
      <c r="DR101" t="str">
        <f>""</f>
        <v/>
      </c>
      <c r="DS101" t="str">
        <f>""</f>
        <v/>
      </c>
      <c r="DT101" t="str">
        <f>""</f>
        <v/>
      </c>
      <c r="DU101" t="str">
        <f>""</f>
        <v/>
      </c>
      <c r="DV101" t="str">
        <f>""</f>
        <v/>
      </c>
      <c r="DW101" t="str">
        <f>""</f>
        <v/>
      </c>
      <c r="DX101" t="str">
        <f>""</f>
        <v/>
      </c>
      <c r="DY101" t="str">
        <f>""</f>
        <v/>
      </c>
      <c r="DZ101" t="str">
        <f>""</f>
        <v/>
      </c>
      <c r="EA101" t="str">
        <f>""</f>
        <v/>
      </c>
      <c r="EB101" t="str">
        <f>""</f>
        <v/>
      </c>
      <c r="EC101" t="str">
        <f>""</f>
        <v/>
      </c>
      <c r="ED101" t="str">
        <f>""</f>
        <v/>
      </c>
      <c r="EE101" t="str">
        <f>""</f>
        <v/>
      </c>
      <c r="EF101" t="str">
        <f>""</f>
        <v/>
      </c>
      <c r="EG101" t="str">
        <f>""</f>
        <v/>
      </c>
      <c r="EH101" t="str">
        <f>""</f>
        <v/>
      </c>
      <c r="EI101" t="str">
        <f>""</f>
        <v/>
      </c>
      <c r="EJ101" t="str">
        <f>""</f>
        <v/>
      </c>
      <c r="EK101" t="str">
        <f>""</f>
        <v/>
      </c>
      <c r="EL101" t="str">
        <f>""</f>
        <v/>
      </c>
      <c r="EM101" t="str">
        <f>""</f>
        <v/>
      </c>
      <c r="EN101" t="str">
        <f>""</f>
        <v/>
      </c>
      <c r="EO101" t="str">
        <f>""</f>
        <v/>
      </c>
      <c r="EP101" t="str">
        <f>""</f>
        <v/>
      </c>
      <c r="EQ101" t="str">
        <f>""</f>
        <v/>
      </c>
      <c r="ER101" t="str">
        <f>""</f>
        <v/>
      </c>
      <c r="ES101" t="str">
        <f>""</f>
        <v/>
      </c>
      <c r="ET101" t="str">
        <f>""</f>
        <v/>
      </c>
      <c r="EU101" t="str">
        <f>""</f>
        <v/>
      </c>
      <c r="EV101" t="str">
        <f>""</f>
        <v/>
      </c>
      <c r="EW101" t="str">
        <f>""</f>
        <v/>
      </c>
      <c r="EX101" t="str">
        <f>""</f>
        <v/>
      </c>
      <c r="EY101" t="str">
        <f>""</f>
        <v/>
      </c>
      <c r="EZ101" t="str">
        <f>""</f>
        <v/>
      </c>
      <c r="FA101" t="str">
        <f>""</f>
        <v/>
      </c>
      <c r="FB101" t="str">
        <f>""</f>
        <v/>
      </c>
      <c r="FC101" t="str">
        <f>""</f>
        <v/>
      </c>
      <c r="FD101" t="str">
        <f>""</f>
        <v/>
      </c>
      <c r="FE101" t="str">
        <f>""</f>
        <v/>
      </c>
      <c r="FF101" t="str">
        <f>""</f>
        <v/>
      </c>
      <c r="FG101" t="str">
        <f>""</f>
        <v/>
      </c>
      <c r="FH101" t="str">
        <f>""</f>
        <v/>
      </c>
      <c r="FI101" t="str">
        <f>""</f>
        <v/>
      </c>
      <c r="FJ101" t="str">
        <f>""</f>
        <v/>
      </c>
      <c r="FK101" t="str">
        <f>""</f>
        <v/>
      </c>
      <c r="FL101" t="str">
        <f>""</f>
        <v/>
      </c>
      <c r="FM101" t="str">
        <f>""</f>
        <v/>
      </c>
      <c r="FN101" t="str">
        <f>""</f>
        <v/>
      </c>
      <c r="FO101" t="str">
        <f>""</f>
        <v/>
      </c>
      <c r="FP101" t="str">
        <f>""</f>
        <v/>
      </c>
      <c r="FQ101" t="str">
        <f>""</f>
        <v/>
      </c>
    </row>
    <row r="102" spans="1:173">
      <c r="A102" t="str">
        <f>"    Apartment Investment &amp; Managem"</f>
        <v xml:space="preserve">    Apartment Investment &amp; Managem</v>
      </c>
      <c r="B102" t="str">
        <f>"AIV US Equity"</f>
        <v>AIV US Equity</v>
      </c>
      <c r="E102" t="str">
        <f t="shared" ref="E102:E108" si="32">"Expression"</f>
        <v>Expression</v>
      </c>
      <c r="F102">
        <f ca="1">IF(AND($B$252=1,LEN($F$221) * LEN($F$162)&gt;0),$F$221/$F$162,HLOOKUP(INDIRECT(ADDRESS(2,COLUMN())),OFFSET($CL$2,0,0,ROW()-1,84),ROW()-1,FALSE))</f>
        <v>18.97630332</v>
      </c>
      <c r="G102">
        <f ca="1">IF(AND($B$252=1,LEN($G$221) * LEN($G$162)&gt;0),$G$221/$G$162,HLOOKUP(INDIRECT(ADDRESS(2,COLUMN())),OFFSET($CL$2,0,0,ROW()-1,84),ROW()-1,FALSE))</f>
        <v>18.227251299999999</v>
      </c>
      <c r="H102">
        <f ca="1">IF(AND($B$252=1,LEN($H$221) * LEN($H$162)&gt;0),$H$221/$H$162,HLOOKUP(INDIRECT(ADDRESS(2,COLUMN())),OFFSET($CL$2,0,0,ROW()-1,84),ROW()-1,FALSE))</f>
        <v>18.779174149999999</v>
      </c>
      <c r="I102">
        <f ca="1">IF(AND($B$252=1,LEN($I$221) * LEN($I$162)&gt;0),$I$221/$I$162,HLOOKUP(INDIRECT(ADDRESS(2,COLUMN())),OFFSET($CL$2,0,0,ROW()-1,84),ROW()-1,FALSE))</f>
        <v>19.5308311</v>
      </c>
      <c r="J102">
        <f ca="1">IF(AND($B$252=1,LEN($J$221) * LEN($J$162)&gt;0),$J$221/$J$162,HLOOKUP(INDIRECT(ADDRESS(2,COLUMN())),OFFSET($CL$2,0,0,ROW()-1,84),ROW()-1,FALSE))</f>
        <v>19.656709759999998</v>
      </c>
      <c r="K102">
        <f ca="1">IF(AND($B$252=1,LEN($K$221) * LEN($K$162)&gt;0),$K$221/$K$162,HLOOKUP(INDIRECT(ADDRESS(2,COLUMN())),OFFSET($CL$2,0,0,ROW()-1,84),ROW()-1,FALSE))</f>
        <v>19.581478180000001</v>
      </c>
      <c r="L102">
        <f ca="1">IF(AND($B$252=1,LEN($L$221) * LEN($L$162)&gt;0),$L$221/$L$162,HLOOKUP(INDIRECT(ADDRESS(2,COLUMN())),OFFSET($CL$2,0,0,ROW()-1,84),ROW()-1,FALSE))</f>
        <v>19.510676159999999</v>
      </c>
      <c r="M102">
        <f ca="1">IF(AND($B$252=1,LEN($M$221) * LEN($M$162)&gt;0),$M$221/$M$162,HLOOKUP(INDIRECT(ADDRESS(2,COLUMN())),OFFSET($CL$2,0,0,ROW()-1,84),ROW()-1,FALSE))</f>
        <v>20.146666669999998</v>
      </c>
      <c r="N102">
        <f ca="1">IF(AND($B$252=1,LEN($N$221) * LEN($N$162)&gt;0),$N$221/$N$162,HLOOKUP(INDIRECT(ADDRESS(2,COLUMN())),OFFSET($CL$2,0,0,ROW()-1,84),ROW()-1,FALSE))</f>
        <v>19.84749455</v>
      </c>
      <c r="O102">
        <f ca="1">IF(AND($B$252=1,LEN($O$221) * LEN($O$162)&gt;0),$O$221/$O$162,HLOOKUP(INDIRECT(ADDRESS(2,COLUMN())),OFFSET($CL$2,0,0,ROW()-1,84),ROW()-1,FALSE))</f>
        <v>19.131789850000001</v>
      </c>
      <c r="P102">
        <f ca="1">IF(AND($B$252=1,LEN($P$221) * LEN($P$162)&gt;0),$P$221/$P$162,HLOOKUP(INDIRECT(ADDRESS(2,COLUMN())),OFFSET($CL$2,0,0,ROW()-1,84),ROW()-1,FALSE))</f>
        <v>19.109528050000002</v>
      </c>
      <c r="Q102">
        <f ca="1">IF(AND($B$252=1,LEN($Q$221) * LEN($Q$162)&gt;0),$Q$221/$Q$162,HLOOKUP(INDIRECT(ADDRESS(2,COLUMN())),OFFSET($CL$2,0,0,ROW()-1,84),ROW()-1,FALSE))</f>
        <v>19.414114510000001</v>
      </c>
      <c r="R102">
        <f ca="1">IF(AND($B$252=1,LEN($R$221) * LEN($R$162)&gt;0),$R$221/$R$162,HLOOKUP(INDIRECT(ADDRESS(2,COLUMN())),OFFSET($CL$2,0,0,ROW()-1,84),ROW()-1,FALSE))</f>
        <v>19.597878919999999</v>
      </c>
      <c r="S102">
        <f ca="1">IF(AND($B$252=1,LEN($S$221) * LEN($S$162)&gt;0),$S$221/$S$162,HLOOKUP(INDIRECT(ADDRESS(2,COLUMN())),OFFSET($CL$2,0,0,ROW()-1,84),ROW()-1,FALSE))</f>
        <v>20.56120194</v>
      </c>
      <c r="T102">
        <f ca="1">IF(AND($B$252=1,LEN($T$221) * LEN($T$162)&gt;0),$T$221/$T$162,HLOOKUP(INDIRECT(ADDRESS(2,COLUMN())),OFFSET($CL$2,0,0,ROW()-1,84),ROW()-1,FALSE))</f>
        <v>19.744623659999998</v>
      </c>
      <c r="U102">
        <f ca="1">IF(AND($B$252=1,LEN($U$221) * LEN($U$162)&gt;0),$U$221/$U$162,HLOOKUP(INDIRECT(ADDRESS(2,COLUMN())),OFFSET($CL$2,0,0,ROW()-1,84),ROW()-1,FALSE))</f>
        <v>20.472972970000001</v>
      </c>
      <c r="V102">
        <f ca="1">IF(AND($B$252=1,LEN($V$221) * LEN($V$162)&gt;0),$V$221/$V$162,HLOOKUP(INDIRECT(ADDRESS(2,COLUMN())),OFFSET($CL$2,0,0,ROW()-1,84),ROW()-1,FALSE))</f>
        <v>18.587196469999999</v>
      </c>
      <c r="W102">
        <f ca="1">IF(AND($B$252=1,LEN($W$221) * LEN($W$162)&gt;0),$W$221/$W$162,HLOOKUP(INDIRECT(ADDRESS(2,COLUMN())),OFFSET($CL$2,0,0,ROW()-1,84),ROW()-1,FALSE))</f>
        <v>19.5</v>
      </c>
      <c r="X102" t="str">
        <f ca="1">IF(AND($B$252=1,LEN($X$221) * LEN($X$162)&gt;0),$X$221/$X$162,HLOOKUP(INDIRECT(ADDRESS(2,COLUMN())),OFFSET($CL$2,0,0,ROW()-1,84),ROW()-1,FALSE))</f>
        <v/>
      </c>
      <c r="Y102">
        <f ca="1">IF(AND($B$252=1,LEN($Y$221) * LEN($Y$162)&gt;0),$Y$221/$Y$162,HLOOKUP(INDIRECT(ADDRESS(2,COLUMN())),OFFSET($CL$2,0,0,ROW()-1,84),ROW()-1,FALSE))</f>
        <v>19.282970550000002</v>
      </c>
      <c r="Z102">
        <f ca="1">IF(AND($B$252=1,LEN($Z$221) * LEN($Z$162)&gt;0),$Z$221/$Z$162,HLOOKUP(INDIRECT(ADDRESS(2,COLUMN())),OFFSET($CL$2,0,0,ROW()-1,84),ROW()-1,FALSE))</f>
        <v>19.56170213</v>
      </c>
      <c r="AA102">
        <f ca="1">IF(AND($B$252=1,LEN($AA$221) * LEN($AA$162)&gt;0),$AA$221/$AA$162,HLOOKUP(INDIRECT(ADDRESS(2,COLUMN())),OFFSET($CL$2,0,0,ROW()-1,84),ROW()-1,FALSE))</f>
        <v>18.79148936</v>
      </c>
      <c r="AB102">
        <f ca="1">IF(AND($B$252=1,LEN($AB$221) * LEN($AB$162)&gt;0),$AB$221/$AB$162,HLOOKUP(INDIRECT(ADDRESS(2,COLUMN())),OFFSET($CL$2,0,0,ROW()-1,84),ROW()-1,FALSE))</f>
        <v>18.148936169999999</v>
      </c>
      <c r="AC102" t="str">
        <f ca="1">IF(AND($B$252=1,LEN($AC$221) * LEN($AC$162)&gt;0),$AC$221/$AC$162,HLOOKUP(INDIRECT(ADDRESS(2,COLUMN())),OFFSET($CL$2,0,0,ROW()-1,84),ROW()-1,FALSE))</f>
        <v/>
      </c>
      <c r="AD102" t="str">
        <f ca="1">IF(AND($B$252=1,LEN($AD$221) * LEN($AD$162)&gt;0),$AD$221/$AD$162,HLOOKUP(INDIRECT(ADDRESS(2,COLUMN())),OFFSET($CL$2,0,0,ROW()-1,84),ROW()-1,FALSE))</f>
        <v/>
      </c>
      <c r="AE102" t="str">
        <f ca="1">IF(AND($B$252=1,LEN($AE$221) * LEN($AE$162)&gt;0),$AE$221/$AE$162,HLOOKUP(INDIRECT(ADDRESS(2,COLUMN())),OFFSET($CL$2,0,0,ROW()-1,84),ROW()-1,FALSE))</f>
        <v/>
      </c>
      <c r="AF102" t="str">
        <f ca="1">IF(AND($B$252=1,LEN($AF$221) * LEN($AF$162)&gt;0),$AF$221/$AF$162,HLOOKUP(INDIRECT(ADDRESS(2,COLUMN())),OFFSET($CL$2,0,0,ROW()-1,84),ROW()-1,FALSE))</f>
        <v/>
      </c>
      <c r="AG102" t="str">
        <f ca="1">IF(AND($B$252=1,LEN($AG$221) * LEN($AG$162)&gt;0),$AG$221/$AG$162,HLOOKUP(INDIRECT(ADDRESS(2,COLUMN())),OFFSET($CL$2,0,0,ROW()-1,84),ROW()-1,FALSE))</f>
        <v/>
      </c>
      <c r="AH102" t="str">
        <f ca="1">IF(AND($B$252=1,LEN($AH$221) * LEN($AH$162)&gt;0),$AH$221/$AH$162,HLOOKUP(INDIRECT(ADDRESS(2,COLUMN())),OFFSET($CL$2,0,0,ROW()-1,84),ROW()-1,FALSE))</f>
        <v/>
      </c>
      <c r="AI102" t="str">
        <f ca="1">IF(AND($B$252=1,LEN($AI$221) * LEN($AI$162)&gt;0),$AI$221/$AI$162,HLOOKUP(INDIRECT(ADDRESS(2,COLUMN())),OFFSET($CL$2,0,0,ROW()-1,84),ROW()-1,FALSE))</f>
        <v/>
      </c>
      <c r="AJ102" t="str">
        <f ca="1">IF(AND($B$252=1,LEN($AJ$221) * LEN($AJ$162)&gt;0),$AJ$221/$AJ$162,HLOOKUP(INDIRECT(ADDRESS(2,COLUMN())),OFFSET($CL$2,0,0,ROW()-1,84),ROW()-1,FALSE))</f>
        <v/>
      </c>
      <c r="AK102" t="str">
        <f ca="1">IF(AND($B$252=1,LEN($AK$221) * LEN($AK$162)&gt;0),$AK$221/$AK$162,HLOOKUP(INDIRECT(ADDRESS(2,COLUMN())),OFFSET($CL$2,0,0,ROW()-1,84),ROW()-1,FALSE))</f>
        <v/>
      </c>
      <c r="AL102" t="str">
        <f ca="1">IF(AND($B$252=1,LEN($AL$221) * LEN($AL$162)&gt;0),$AL$221/$AL$162,HLOOKUP(INDIRECT(ADDRESS(2,COLUMN())),OFFSET($CL$2,0,0,ROW()-1,84),ROW()-1,FALSE))</f>
        <v/>
      </c>
      <c r="AM102" t="str">
        <f ca="1">IF(AND($B$252=1,LEN($AM$221) * LEN($AM$162)&gt;0),$AM$221/$AM$162,HLOOKUP(INDIRECT(ADDRESS(2,COLUMN())),OFFSET($CL$2,0,0,ROW()-1,84),ROW()-1,FALSE))</f>
        <v/>
      </c>
      <c r="AN102" t="str">
        <f ca="1">IF(AND($B$252=1,LEN($AN$221) * LEN($AN$162)&gt;0),$AN$221/$AN$162,HLOOKUP(INDIRECT(ADDRESS(2,COLUMN())),OFFSET($CL$2,0,0,ROW()-1,84),ROW()-1,FALSE))</f>
        <v/>
      </c>
      <c r="AO102" t="str">
        <f ca="1">IF(AND($B$252=1,LEN($AO$221) * LEN($AO$162)&gt;0),$AO$221/$AO$162,HLOOKUP(INDIRECT(ADDRESS(2,COLUMN())),OFFSET($CL$2,0,0,ROW()-1,84),ROW()-1,FALSE))</f>
        <v/>
      </c>
      <c r="AP102" t="str">
        <f ca="1">IF(AND($B$252=1,LEN($AP$221) * LEN($AP$162)&gt;0),$AP$221/$AP$162,HLOOKUP(INDIRECT(ADDRESS(2,COLUMN())),OFFSET($CL$2,0,0,ROW()-1,84),ROW()-1,FALSE))</f>
        <v/>
      </c>
      <c r="AQ102" t="str">
        <f ca="1">IF(AND($B$252=1,LEN($AQ$221) * LEN($AQ$162)&gt;0),$AQ$221/$AQ$162,HLOOKUP(INDIRECT(ADDRESS(2,COLUMN())),OFFSET($CL$2,0,0,ROW()-1,84),ROW()-1,FALSE))</f>
        <v/>
      </c>
      <c r="AR102" t="str">
        <f ca="1">IF(AND($B$252=1,LEN($AR$221) * LEN($AR$162)&gt;0),$AR$221/$AR$162,HLOOKUP(INDIRECT(ADDRESS(2,COLUMN())),OFFSET($CL$2,0,0,ROW()-1,84),ROW()-1,FALSE))</f>
        <v/>
      </c>
      <c r="AS102" t="str">
        <f ca="1">IF(AND($B$252=1,LEN($AS$221) * LEN($AS$162)&gt;0),$AS$221/$AS$162,HLOOKUP(INDIRECT(ADDRESS(2,COLUMN())),OFFSET($CL$2,0,0,ROW()-1,84),ROW()-1,FALSE))</f>
        <v/>
      </c>
      <c r="AT102" t="str">
        <f ca="1">IF(AND($B$252=1,LEN($AT$221) * LEN($AT$162)&gt;0),$AT$221/$AT$162,HLOOKUP(INDIRECT(ADDRESS(2,COLUMN())),OFFSET($CL$2,0,0,ROW()-1,84),ROW()-1,FALSE))</f>
        <v/>
      </c>
      <c r="AU102" t="str">
        <f ca="1">IF(AND($B$252=1,LEN($AU$221) * LEN($AU$162)&gt;0),$AU$221/$AU$162,HLOOKUP(INDIRECT(ADDRESS(2,COLUMN())),OFFSET($CL$2,0,0,ROW()-1,84),ROW()-1,FALSE))</f>
        <v/>
      </c>
      <c r="AV102" t="str">
        <f ca="1">IF(AND($B$252=1,LEN($AV$221) * LEN($AV$162)&gt;0),$AV$221/$AV$162,HLOOKUP(INDIRECT(ADDRESS(2,COLUMN())),OFFSET($CL$2,0,0,ROW()-1,84),ROW()-1,FALSE))</f>
        <v/>
      </c>
      <c r="AW102" t="str">
        <f ca="1">IF(AND($B$252=1,LEN($AW$221) * LEN($AW$162)&gt;0),$AW$221/$AW$162,HLOOKUP(INDIRECT(ADDRESS(2,COLUMN())),OFFSET($CL$2,0,0,ROW()-1,84),ROW()-1,FALSE))</f>
        <v/>
      </c>
      <c r="AX102" t="str">
        <f ca="1">IF(AND($B$252=1,LEN($AX$221) * LEN($AX$162)&gt;0),$AX$221/$AX$162,HLOOKUP(INDIRECT(ADDRESS(2,COLUMN())),OFFSET($CL$2,0,0,ROW()-1,84),ROW()-1,FALSE))</f>
        <v/>
      </c>
      <c r="AY102" t="str">
        <f ca="1">IF(AND($B$252=1,LEN($AY$221) * LEN($AY$162)&gt;0),$AY$221/$AY$162,HLOOKUP(INDIRECT(ADDRESS(2,COLUMN())),OFFSET($CL$2,0,0,ROW()-1,84),ROW()-1,FALSE))</f>
        <v/>
      </c>
      <c r="AZ102" t="str">
        <f ca="1">IF(AND($B$252=1,LEN($AZ$221) * LEN($AZ$162)&gt;0),$AZ$221/$AZ$162,HLOOKUP(INDIRECT(ADDRESS(2,COLUMN())),OFFSET($CL$2,0,0,ROW()-1,84),ROW()-1,FALSE))</f>
        <v/>
      </c>
      <c r="BA102" t="str">
        <f ca="1">IF(AND($B$252=1,LEN($BA$221) * LEN($BA$162)&gt;0),$BA$221/$BA$162,HLOOKUP(INDIRECT(ADDRESS(2,COLUMN())),OFFSET($CL$2,0,0,ROW()-1,84),ROW()-1,FALSE))</f>
        <v/>
      </c>
      <c r="BB102" t="str">
        <f ca="1">IF(AND($B$252=1,LEN($BB$221) * LEN($BB$162)&gt;0),$BB$221/$BB$162,HLOOKUP(INDIRECT(ADDRESS(2,COLUMN())),OFFSET($CL$2,0,0,ROW()-1,84),ROW()-1,FALSE))</f>
        <v/>
      </c>
      <c r="BC102" t="str">
        <f ca="1">IF(AND($B$252=1,LEN($BC$221) * LEN($BC$162)&gt;0),$BC$221/$BC$162,HLOOKUP(INDIRECT(ADDRESS(2,COLUMN())),OFFSET($CL$2,0,0,ROW()-1,84),ROW()-1,FALSE))</f>
        <v/>
      </c>
      <c r="BD102" t="str">
        <f ca="1">IF(AND($B$252=1,LEN($BD$221) * LEN($BD$162)&gt;0),$BD$221/$BD$162,HLOOKUP(INDIRECT(ADDRESS(2,COLUMN())),OFFSET($CL$2,0,0,ROW()-1,84),ROW()-1,FALSE))</f>
        <v/>
      </c>
      <c r="BE102" t="str">
        <f ca="1">IF(AND($B$252=1,LEN($BE$221) * LEN($BE$162)&gt;0),$BE$221/$BE$162,HLOOKUP(INDIRECT(ADDRESS(2,COLUMN())),OFFSET($CL$2,0,0,ROW()-1,84),ROW()-1,FALSE))</f>
        <v/>
      </c>
      <c r="BF102" t="str">
        <f ca="1">IF(AND($B$252=1,LEN($BF$221) * LEN($BF$162)&gt;0),$BF$221/$BF$162,HLOOKUP(INDIRECT(ADDRESS(2,COLUMN())),OFFSET($CL$2,0,0,ROW()-1,84),ROW()-1,FALSE))</f>
        <v/>
      </c>
      <c r="BG102" t="str">
        <f ca="1">IF(AND($B$252=1,LEN($BG$221) * LEN($BG$162)&gt;0),$BG$221/$BG$162,HLOOKUP(INDIRECT(ADDRESS(2,COLUMN())),OFFSET($CL$2,0,0,ROW()-1,84),ROW()-1,FALSE))</f>
        <v/>
      </c>
      <c r="BH102" t="str">
        <f ca="1">IF(AND($B$252=1,LEN($BH$221) * LEN($BH$162)&gt;0),$BH$221/$BH$162,HLOOKUP(INDIRECT(ADDRESS(2,COLUMN())),OFFSET($CL$2,0,0,ROW()-1,84),ROW()-1,FALSE))</f>
        <v/>
      </c>
      <c r="BI102" t="str">
        <f ca="1">IF(AND($B$252=1,LEN($BI$221) * LEN($BI$162)&gt;0),$BI$221/$BI$162,HLOOKUP(INDIRECT(ADDRESS(2,COLUMN())),OFFSET($CL$2,0,0,ROW()-1,84),ROW()-1,FALSE))</f>
        <v/>
      </c>
      <c r="BJ102" t="str">
        <f ca="1">IF(AND($B$252=1,LEN($BJ$221) * LEN($BJ$162)&gt;0),$BJ$221/$BJ$162,HLOOKUP(INDIRECT(ADDRESS(2,COLUMN())),OFFSET($CL$2,0,0,ROW()-1,84),ROW()-1,FALSE))</f>
        <v/>
      </c>
      <c r="BK102" t="str">
        <f ca="1">IF(AND($B$252=1,LEN($BK$221) * LEN($BK$162)&gt;0),$BK$221/$BK$162,HLOOKUP(INDIRECT(ADDRESS(2,COLUMN())),OFFSET($CL$2,0,0,ROW()-1,84),ROW()-1,FALSE))</f>
        <v/>
      </c>
      <c r="BL102" t="str">
        <f ca="1">IF(AND($B$252=1,LEN($BL$221) * LEN($BL$162)&gt;0),$BL$221/$BL$162,HLOOKUP(INDIRECT(ADDRESS(2,COLUMN())),OFFSET($CL$2,0,0,ROW()-1,84),ROW()-1,FALSE))</f>
        <v/>
      </c>
      <c r="BM102" t="str">
        <f ca="1">IF(AND($B$252=1,LEN($BM$221) * LEN($BM$162)&gt;0),$BM$221/$BM$162,HLOOKUP(INDIRECT(ADDRESS(2,COLUMN())),OFFSET($CL$2,0,0,ROW()-1,84),ROW()-1,FALSE))</f>
        <v/>
      </c>
      <c r="BN102" t="str">
        <f ca="1">IF(AND($B$252=1,LEN($BN$221) * LEN($BN$162)&gt;0),$BN$221/$BN$162,HLOOKUP(INDIRECT(ADDRESS(2,COLUMN())),OFFSET($CL$2,0,0,ROW()-1,84),ROW()-1,FALSE))</f>
        <v/>
      </c>
      <c r="BO102" t="str">
        <f ca="1">IF(AND($B$252=1,LEN($BO$221) * LEN($BO$162)&gt;0),$BO$221/$BO$162,HLOOKUP(INDIRECT(ADDRESS(2,COLUMN())),OFFSET($CL$2,0,0,ROW()-1,84),ROW()-1,FALSE))</f>
        <v/>
      </c>
      <c r="BP102" t="str">
        <f ca="1">IF(AND($B$252=1,LEN($BP$221) * LEN($BP$162)&gt;0),$BP$221/$BP$162,HLOOKUP(INDIRECT(ADDRESS(2,COLUMN())),OFFSET($CL$2,0,0,ROW()-1,84),ROW()-1,FALSE))</f>
        <v/>
      </c>
      <c r="BQ102" t="str">
        <f ca="1">IF(AND($B$252=1,LEN($BQ$221) * LEN($BQ$162)&gt;0),$BQ$221/$BQ$162,HLOOKUP(INDIRECT(ADDRESS(2,COLUMN())),OFFSET($CL$2,0,0,ROW()-1,84),ROW()-1,FALSE))</f>
        <v/>
      </c>
      <c r="BR102" t="str">
        <f ca="1">IF(AND($B$252=1,LEN($BR$221) * LEN($BR$162)&gt;0),$BR$221/$BR$162,HLOOKUP(INDIRECT(ADDRESS(2,COLUMN())),OFFSET($CL$2,0,0,ROW()-1,84),ROW()-1,FALSE))</f>
        <v/>
      </c>
      <c r="BS102" t="str">
        <f ca="1">IF(AND($B$252=1,LEN($BS$221) * LEN($BS$162)&gt;0),$BS$221/$BS$162,HLOOKUP(INDIRECT(ADDRESS(2,COLUMN())),OFFSET($CL$2,0,0,ROW()-1,84),ROW()-1,FALSE))</f>
        <v/>
      </c>
      <c r="BT102" t="str">
        <f ca="1">IF(AND($B$252=1,LEN($BT$221) * LEN($BT$162)&gt;0),$BT$221/$BT$162,HLOOKUP(INDIRECT(ADDRESS(2,COLUMN())),OFFSET($CL$2,0,0,ROW()-1,84),ROW()-1,FALSE))</f>
        <v/>
      </c>
      <c r="BU102" t="str">
        <f ca="1">IF(AND($B$252=1,LEN($BU$221) * LEN($BU$162)&gt;0),$BU$221/$BU$162,HLOOKUP(INDIRECT(ADDRESS(2,COLUMN())),OFFSET($CL$2,0,0,ROW()-1,84),ROW()-1,FALSE))</f>
        <v/>
      </c>
      <c r="BV102" t="str">
        <f ca="1">IF(AND($B$252=1,LEN($BV$221) * LEN($BV$162)&gt;0),$BV$221/$BV$162,HLOOKUP(INDIRECT(ADDRESS(2,COLUMN())),OFFSET($CL$2,0,0,ROW()-1,84),ROW()-1,FALSE))</f>
        <v/>
      </c>
      <c r="BW102" t="str">
        <f ca="1">IF(AND($B$252=1,LEN($BW$221) * LEN($BW$162)&gt;0),$BW$221/$BW$162,HLOOKUP(INDIRECT(ADDRESS(2,COLUMN())),OFFSET($CL$2,0,0,ROW()-1,84),ROW()-1,FALSE))</f>
        <v/>
      </c>
      <c r="BX102" t="str">
        <f ca="1">IF(AND($B$252=1,LEN($BX$221) * LEN($BX$162)&gt;0),$BX$221/$BX$162,HLOOKUP(INDIRECT(ADDRESS(2,COLUMN())),OFFSET($CL$2,0,0,ROW()-1,84),ROW()-1,FALSE))</f>
        <v/>
      </c>
      <c r="BY102" t="str">
        <f ca="1">IF(AND($B$252=1,LEN($BY$221) * LEN($BY$162)&gt;0),$BY$221/$BY$162,HLOOKUP(INDIRECT(ADDRESS(2,COLUMN())),OFFSET($CL$2,0,0,ROW()-1,84),ROW()-1,FALSE))</f>
        <v/>
      </c>
      <c r="BZ102" t="str">
        <f ca="1">IF(AND($B$252=1,LEN($BZ$221) * LEN($BZ$162)&gt;0),$BZ$221/$BZ$162,HLOOKUP(INDIRECT(ADDRESS(2,COLUMN())),OFFSET($CL$2,0,0,ROW()-1,84),ROW()-1,FALSE))</f>
        <v/>
      </c>
      <c r="CA102" t="str">
        <f ca="1">IF(AND($B$252=1,LEN($CA$221) * LEN($CA$162)&gt;0),$CA$221/$CA$162,HLOOKUP(INDIRECT(ADDRESS(2,COLUMN())),OFFSET($CL$2,0,0,ROW()-1,84),ROW()-1,FALSE))</f>
        <v/>
      </c>
      <c r="CB102" t="str">
        <f ca="1">IF(AND($B$252=1,LEN($CB$221) * LEN($CB$162)&gt;0),$CB$221/$CB$162,HLOOKUP(INDIRECT(ADDRESS(2,COLUMN())),OFFSET($CL$2,0,0,ROW()-1,84),ROW()-1,FALSE))</f>
        <v/>
      </c>
      <c r="CC102" t="str">
        <f ca="1">IF(AND($B$252=1,LEN($CC$221) * LEN($CC$162)&gt;0),$CC$221/$CC$162,HLOOKUP(INDIRECT(ADDRESS(2,COLUMN())),OFFSET($CL$2,0,0,ROW()-1,84),ROW()-1,FALSE))</f>
        <v/>
      </c>
      <c r="CD102" t="str">
        <f ca="1">IF(AND($B$252=1,LEN($CD$221) * LEN($CD$162)&gt;0),$CD$221/$CD$162,HLOOKUP(INDIRECT(ADDRESS(2,COLUMN())),OFFSET($CL$2,0,0,ROW()-1,84),ROW()-1,FALSE))</f>
        <v/>
      </c>
      <c r="CE102" t="str">
        <f ca="1">IF(AND($B$252=1,LEN($CE$221) * LEN($CE$162)&gt;0),$CE$221/$CE$162,HLOOKUP(INDIRECT(ADDRESS(2,COLUMN())),OFFSET($CL$2,0,0,ROW()-1,84),ROW()-1,FALSE))</f>
        <v/>
      </c>
      <c r="CF102" t="str">
        <f ca="1">IF(AND($B$252=1,LEN($CF$221) * LEN($CF$162)&gt;0),$CF$221/$CF$162,HLOOKUP(INDIRECT(ADDRESS(2,COLUMN())),OFFSET($CL$2,0,0,ROW()-1,84),ROW()-1,FALSE))</f>
        <v/>
      </c>
      <c r="CG102" t="str">
        <f ca="1">IF(AND($B$252=1,LEN($CG$221) * LEN($CG$162)&gt;0),$CG$221/$CG$162,HLOOKUP(INDIRECT(ADDRESS(2,COLUMN())),OFFSET($CL$2,0,0,ROW()-1,84),ROW()-1,FALSE))</f>
        <v/>
      </c>
      <c r="CH102" t="str">
        <f ca="1">IF(AND($B$252=1,LEN($CH$221) * LEN($CH$162)&gt;0),$CH$221/$CH$162,HLOOKUP(INDIRECT(ADDRESS(2,COLUMN())),OFFSET($CL$2,0,0,ROW()-1,84),ROW()-1,FALSE))</f>
        <v/>
      </c>
      <c r="CI102" t="str">
        <f ca="1">IF(AND($B$252=1,LEN($CI$221) * LEN($CI$162)&gt;0),$CI$221/$CI$162,HLOOKUP(INDIRECT(ADDRESS(2,COLUMN())),OFFSET($CL$2,0,0,ROW()-1,84),ROW()-1,FALSE))</f>
        <v/>
      </c>
      <c r="CJ102" t="str">
        <f ca="1">IF(AND($B$252=1,LEN($CJ$221) * LEN($CJ$162)&gt;0),$CJ$221/$CJ$162,HLOOKUP(INDIRECT(ADDRESS(2,COLUMN())),OFFSET($CL$2,0,0,ROW()-1,84),ROW()-1,FALSE))</f>
        <v/>
      </c>
      <c r="CK102" t="str">
        <f ca="1">IF(AND($B$252=1,LEN($CK$221) * LEN($CK$162)&gt;0),$CK$221/$CK$162,HLOOKUP(INDIRECT(ADDRESS(2,COLUMN())),OFFSET($CL$2,0,0,ROW()-1,84),ROW()-1,FALSE))</f>
        <v/>
      </c>
      <c r="CL102">
        <f>18.97630332</f>
        <v>18.97630332</v>
      </c>
      <c r="CM102">
        <f>18.2272513</f>
        <v>18.227251299999999</v>
      </c>
      <c r="CN102">
        <f>18.77917415</f>
        <v>18.779174149999999</v>
      </c>
      <c r="CO102">
        <f>19.5308311</f>
        <v>19.5308311</v>
      </c>
      <c r="CP102">
        <f>19.65670976</f>
        <v>19.656709759999998</v>
      </c>
      <c r="CQ102">
        <f>19.58147818</f>
        <v>19.581478180000001</v>
      </c>
      <c r="CR102">
        <f>19.51067616</f>
        <v>19.510676159999999</v>
      </c>
      <c r="CS102">
        <f>20.14666667</f>
        <v>20.146666669999998</v>
      </c>
      <c r="CT102">
        <f>19.84749455</f>
        <v>19.84749455</v>
      </c>
      <c r="CU102">
        <f>19.13178985</f>
        <v>19.131789850000001</v>
      </c>
      <c r="CV102">
        <f>19.10952805</f>
        <v>19.109528050000002</v>
      </c>
      <c r="CW102">
        <f>19.41411451</f>
        <v>19.414114510000001</v>
      </c>
      <c r="CX102">
        <f>19.59787892</f>
        <v>19.597878919999999</v>
      </c>
      <c r="CY102">
        <f>20.56120194</f>
        <v>20.56120194</v>
      </c>
      <c r="CZ102">
        <f>19.74462366</f>
        <v>19.744623659999998</v>
      </c>
      <c r="DA102">
        <f>20.47297297</f>
        <v>20.472972970000001</v>
      </c>
      <c r="DB102">
        <f>18.58719647</f>
        <v>18.587196469999999</v>
      </c>
      <c r="DC102">
        <f>19.5</f>
        <v>19.5</v>
      </c>
      <c r="DD102" t="str">
        <f>""</f>
        <v/>
      </c>
      <c r="DE102">
        <f>19.28297055</f>
        <v>19.282970550000002</v>
      </c>
      <c r="DF102">
        <f>19.56170213</f>
        <v>19.56170213</v>
      </c>
      <c r="DG102">
        <f>18.79148936</f>
        <v>18.79148936</v>
      </c>
      <c r="DH102">
        <f>18.14893617</f>
        <v>18.148936169999999</v>
      </c>
      <c r="DI102" t="str">
        <f>""</f>
        <v/>
      </c>
      <c r="DJ102" t="str">
        <f>""</f>
        <v/>
      </c>
      <c r="DK102" t="str">
        <f>""</f>
        <v/>
      </c>
      <c r="DL102" t="str">
        <f>""</f>
        <v/>
      </c>
      <c r="DM102" t="str">
        <f>""</f>
        <v/>
      </c>
      <c r="DN102" t="str">
        <f>""</f>
        <v/>
      </c>
      <c r="DO102" t="str">
        <f>""</f>
        <v/>
      </c>
      <c r="DP102" t="str">
        <f>""</f>
        <v/>
      </c>
      <c r="DQ102" t="str">
        <f>""</f>
        <v/>
      </c>
      <c r="DR102" t="str">
        <f>""</f>
        <v/>
      </c>
      <c r="DS102" t="str">
        <f>""</f>
        <v/>
      </c>
      <c r="DT102" t="str">
        <f>""</f>
        <v/>
      </c>
      <c r="DU102" t="str">
        <f>""</f>
        <v/>
      </c>
      <c r="DV102" t="str">
        <f>""</f>
        <v/>
      </c>
      <c r="DW102" t="str">
        <f>""</f>
        <v/>
      </c>
      <c r="DX102" t="str">
        <f>""</f>
        <v/>
      </c>
      <c r="DY102" t="str">
        <f>""</f>
        <v/>
      </c>
      <c r="DZ102" t="str">
        <f>""</f>
        <v/>
      </c>
      <c r="EA102" t="str">
        <f>""</f>
        <v/>
      </c>
      <c r="EB102" t="str">
        <f>""</f>
        <v/>
      </c>
      <c r="EC102" t="str">
        <f>""</f>
        <v/>
      </c>
      <c r="ED102" t="str">
        <f>""</f>
        <v/>
      </c>
      <c r="EE102" t="str">
        <f>""</f>
        <v/>
      </c>
      <c r="EF102" t="str">
        <f>""</f>
        <v/>
      </c>
      <c r="EG102" t="str">
        <f>""</f>
        <v/>
      </c>
      <c r="EH102" t="str">
        <f>""</f>
        <v/>
      </c>
      <c r="EI102" t="str">
        <f>""</f>
        <v/>
      </c>
      <c r="EJ102" t="str">
        <f>""</f>
        <v/>
      </c>
      <c r="EK102" t="str">
        <f>""</f>
        <v/>
      </c>
      <c r="EL102" t="str">
        <f>""</f>
        <v/>
      </c>
      <c r="EM102" t="str">
        <f>""</f>
        <v/>
      </c>
      <c r="EN102" t="str">
        <f>""</f>
        <v/>
      </c>
      <c r="EO102" t="str">
        <f>""</f>
        <v/>
      </c>
      <c r="EP102" t="str">
        <f>""</f>
        <v/>
      </c>
      <c r="EQ102" t="str">
        <f>""</f>
        <v/>
      </c>
      <c r="ER102" t="str">
        <f>""</f>
        <v/>
      </c>
      <c r="ES102" t="str">
        <f>""</f>
        <v/>
      </c>
      <c r="ET102" t="str">
        <f>""</f>
        <v/>
      </c>
      <c r="EU102" t="str">
        <f>""</f>
        <v/>
      </c>
      <c r="EV102" t="str">
        <f>""</f>
        <v/>
      </c>
      <c r="EW102" t="str">
        <f>""</f>
        <v/>
      </c>
      <c r="EX102" t="str">
        <f>""</f>
        <v/>
      </c>
      <c r="EY102" t="str">
        <f>""</f>
        <v/>
      </c>
      <c r="EZ102" t="str">
        <f>""</f>
        <v/>
      </c>
      <c r="FA102" t="str">
        <f>""</f>
        <v/>
      </c>
      <c r="FB102" t="str">
        <f>""</f>
        <v/>
      </c>
      <c r="FC102" t="str">
        <f>""</f>
        <v/>
      </c>
      <c r="FD102" t="str">
        <f>""</f>
        <v/>
      </c>
      <c r="FE102" t="str">
        <f>""</f>
        <v/>
      </c>
      <c r="FF102" t="str">
        <f>""</f>
        <v/>
      </c>
      <c r="FG102" t="str">
        <f>""</f>
        <v/>
      </c>
      <c r="FH102" t="str">
        <f>""</f>
        <v/>
      </c>
      <c r="FI102" t="str">
        <f>""</f>
        <v/>
      </c>
      <c r="FJ102" t="str">
        <f>""</f>
        <v/>
      </c>
      <c r="FK102" t="str">
        <f>""</f>
        <v/>
      </c>
      <c r="FL102" t="str">
        <f>""</f>
        <v/>
      </c>
      <c r="FM102" t="str">
        <f>""</f>
        <v/>
      </c>
      <c r="FN102" t="str">
        <f>""</f>
        <v/>
      </c>
      <c r="FO102" t="str">
        <f>""</f>
        <v/>
      </c>
      <c r="FP102" t="str">
        <f>""</f>
        <v/>
      </c>
      <c r="FQ102" t="str">
        <f>""</f>
        <v/>
      </c>
    </row>
    <row r="103" spans="1:173">
      <c r="A103" t="str">
        <f>"    AvalonBay Communities Inc"</f>
        <v xml:space="preserve">    AvalonBay Communities Inc</v>
      </c>
      <c r="B103" t="str">
        <f>"AVB US Equity"</f>
        <v>AVB US Equity</v>
      </c>
      <c r="E103" t="str">
        <f t="shared" si="32"/>
        <v>Expression</v>
      </c>
      <c r="F103">
        <f ca="1">IF(AND($B$252=1,LEN($F$222) * LEN($F$163)&gt;0),$F$222/$F$163,HLOOKUP(INDIRECT(ADDRESS(2,COLUMN())),OFFSET($CL$2,0,0,ROW()-1,84),ROW()-1,FALSE))</f>
        <v>19.128478390000001</v>
      </c>
      <c r="G103">
        <f ca="1">IF(AND($B$252=1,LEN($G$222) * LEN($G$163)&gt;0),$G$222/$G$163,HLOOKUP(INDIRECT(ADDRESS(2,COLUMN())),OFFSET($CL$2,0,0,ROW()-1,84),ROW()-1,FALSE))</f>
        <v>18.413784960000001</v>
      </c>
      <c r="H103">
        <f ca="1">IF(AND($B$252=1,LEN($H$222) * LEN($H$163)&gt;0),$H$222/$H$163,HLOOKUP(INDIRECT(ADDRESS(2,COLUMN())),OFFSET($CL$2,0,0,ROW()-1,84),ROW()-1,FALSE))</f>
        <v>19.953161590000001</v>
      </c>
      <c r="I103">
        <f ca="1">IF(AND($B$252=1,LEN($I$222) * LEN($I$163)&gt;0),$I$222/$I$163,HLOOKUP(INDIRECT(ADDRESS(2,COLUMN())),OFFSET($CL$2,0,0,ROW()-1,84),ROW()-1,FALSE))</f>
        <v>20.905788609999998</v>
      </c>
      <c r="J103">
        <f ca="1">IF(AND($B$252=1,LEN($J$222) * LEN($J$163)&gt;0),$J$222/$J$163,HLOOKUP(INDIRECT(ADDRESS(2,COLUMN())),OFFSET($CL$2,0,0,ROW()-1,84),ROW()-1,FALSE))</f>
        <v>21.23799485</v>
      </c>
      <c r="K103">
        <f ca="1">IF(AND($B$252=1,LEN($K$222) * LEN($K$163)&gt;0),$K$222/$K$163,HLOOKUP(INDIRECT(ADDRESS(2,COLUMN())),OFFSET($CL$2,0,0,ROW()-1,84),ROW()-1,FALSE))</f>
        <v>21.208187129999999</v>
      </c>
      <c r="L103">
        <f ca="1">IF(AND($B$252=1,LEN($L$222) * LEN($L$163)&gt;0),$L$222/$L$163,HLOOKUP(INDIRECT(ADDRESS(2,COLUMN())),OFFSET($CL$2,0,0,ROW()-1,84),ROW()-1,FALSE))</f>
        <v>20.84832905</v>
      </c>
      <c r="M103">
        <f ca="1">IF(AND($B$252=1,LEN($M$222) * LEN($M$163)&gt;0),$M$222/$M$163,HLOOKUP(INDIRECT(ADDRESS(2,COLUMN())),OFFSET($CL$2,0,0,ROW()-1,84),ROW()-1,FALSE))</f>
        <v>21.895264749999999</v>
      </c>
      <c r="N103">
        <f ca="1">IF(AND($B$252=1,LEN($N$222) * LEN($N$163)&gt;0),$N$222/$N$163,HLOOKUP(INDIRECT(ADDRESS(2,COLUMN())),OFFSET($CL$2,0,0,ROW()-1,84),ROW()-1,FALSE))</f>
        <v>22.316974129999998</v>
      </c>
      <c r="O103">
        <f ca="1">IF(AND($B$252=1,LEN($O$222) * LEN($O$163)&gt;0),$O$222/$O$163,HLOOKUP(INDIRECT(ADDRESS(2,COLUMN())),OFFSET($CL$2,0,0,ROW()-1,84),ROW()-1,FALSE))</f>
        <v>22.26767092</v>
      </c>
      <c r="P103">
        <f ca="1">IF(AND($B$252=1,LEN($P$222) * LEN($P$163)&gt;0),$P$222/$P$163,HLOOKUP(INDIRECT(ADDRESS(2,COLUMN())),OFFSET($CL$2,0,0,ROW()-1,84),ROW()-1,FALSE))</f>
        <v>22.213962129999999</v>
      </c>
      <c r="Q103">
        <f ca="1">IF(AND($B$252=1,LEN($Q$222) * LEN($Q$163)&gt;0),$Q$222/$Q$163,HLOOKUP(INDIRECT(ADDRESS(2,COLUMN())),OFFSET($CL$2,0,0,ROW()-1,84),ROW()-1,FALSE))</f>
        <v>22.162035960000001</v>
      </c>
      <c r="R103">
        <f ca="1">IF(AND($B$252=1,LEN($R$222) * LEN($R$163)&gt;0),$R$222/$R$163,HLOOKUP(INDIRECT(ADDRESS(2,COLUMN())),OFFSET($CL$2,0,0,ROW()-1,84),ROW()-1,FALSE))</f>
        <v>21.333953059999999</v>
      </c>
      <c r="S103">
        <f ca="1">IF(AND($B$252=1,LEN($S$222) * LEN($S$163)&gt;0),$S$222/$S$163,HLOOKUP(INDIRECT(ADDRESS(2,COLUMN())),OFFSET($CL$2,0,0,ROW()-1,84),ROW()-1,FALSE))</f>
        <v>21.409599249999999</v>
      </c>
      <c r="T103">
        <f ca="1">IF(AND($B$252=1,LEN($T$222) * LEN($T$163)&gt;0),$T$222/$T$163,HLOOKUP(INDIRECT(ADDRESS(2,COLUMN())),OFFSET($CL$2,0,0,ROW()-1,84),ROW()-1,FALSE))</f>
        <v>20.199300699999998</v>
      </c>
      <c r="U103">
        <f ca="1">IF(AND($B$252=1,LEN($U$222) * LEN($U$163)&gt;0),$U$222/$U$163,HLOOKUP(INDIRECT(ADDRESS(2,COLUMN())),OFFSET($CL$2,0,0,ROW()-1,84),ROW()-1,FALSE))</f>
        <v>20.598837209999999</v>
      </c>
      <c r="V103">
        <f ca="1">IF(AND($B$252=1,LEN($V$222) * LEN($V$163)&gt;0),$V$222/$V$163,HLOOKUP(INDIRECT(ADDRESS(2,COLUMN())),OFFSET($CL$2,0,0,ROW()-1,84),ROW()-1,FALSE))</f>
        <v>19.075727700000002</v>
      </c>
      <c r="W103">
        <f ca="1">IF(AND($B$252=1,LEN($W$222) * LEN($W$163)&gt;0),$W$222/$W$163,HLOOKUP(INDIRECT(ADDRESS(2,COLUMN())),OFFSET($CL$2,0,0,ROW()-1,84),ROW()-1,FALSE))</f>
        <v>19.87460815</v>
      </c>
      <c r="X103">
        <f ca="1">IF(AND($B$252=1,LEN($X$222) * LEN($X$163)&gt;0),$X$222/$X$163,HLOOKUP(INDIRECT(ADDRESS(2,COLUMN())),OFFSET($CL$2,0,0,ROW()-1,84),ROW()-1,FALSE))</f>
        <v>20.301369860000001</v>
      </c>
      <c r="Y103">
        <f ca="1">IF(AND($B$252=1,LEN($Y$222) * LEN($Y$163)&gt;0),$Y$222/$Y$163,HLOOKUP(INDIRECT(ADDRESS(2,COLUMN())),OFFSET($CL$2,0,0,ROW()-1,84),ROW()-1,FALSE))</f>
        <v>19.894282140000001</v>
      </c>
      <c r="Z103">
        <f ca="1">IF(AND($B$252=1,LEN($Z$222) * LEN($Z$163)&gt;0),$Z$222/$Z$163,HLOOKUP(INDIRECT(ADDRESS(2,COLUMN())),OFFSET($CL$2,0,0,ROW()-1,84),ROW()-1,FALSE))</f>
        <v>21.103785380000001</v>
      </c>
      <c r="AA103">
        <f ca="1">IF(AND($B$252=1,LEN($AA$222) * LEN($AA$163)&gt;0),$AA$222/$AA$163,HLOOKUP(INDIRECT(ADDRESS(2,COLUMN())),OFFSET($CL$2,0,0,ROW()-1,84),ROW()-1,FALSE))</f>
        <v>20.806228369999999</v>
      </c>
      <c r="AB103" t="str">
        <f ca="1">IF(AND($B$252=1,LEN($AB$222) * LEN($AB$163)&gt;0),$AB$222/$AB$163,HLOOKUP(INDIRECT(ADDRESS(2,COLUMN())),OFFSET($CL$2,0,0,ROW()-1,84),ROW()-1,FALSE))</f>
        <v/>
      </c>
      <c r="AC103">
        <f ca="1">IF(AND($B$252=1,LEN($AC$222) * LEN($AC$163)&gt;0),$AC$222/$AC$163,HLOOKUP(INDIRECT(ADDRESS(2,COLUMN())),OFFSET($CL$2,0,0,ROW()-1,84),ROW()-1,FALSE))</f>
        <v>20.274082570000001</v>
      </c>
      <c r="AD103" t="str">
        <f ca="1">IF(AND($B$252=1,LEN($AD$222) * LEN($AD$163)&gt;0),$AD$222/$AD$163,HLOOKUP(INDIRECT(ADDRESS(2,COLUMN())),OFFSET($CL$2,0,0,ROW()-1,84),ROW()-1,FALSE))</f>
        <v/>
      </c>
      <c r="AE103">
        <f ca="1">IF(AND($B$252=1,LEN($AE$222) * LEN($AE$163)&gt;0),$AE$222/$AE$163,HLOOKUP(INDIRECT(ADDRESS(2,COLUMN())),OFFSET($CL$2,0,0,ROW()-1,84),ROW()-1,FALSE))</f>
        <v>19.113585749999999</v>
      </c>
      <c r="AF103" t="str">
        <f ca="1">IF(AND($B$252=1,LEN($AF$222) * LEN($AF$163)&gt;0),$AF$222/$AF$163,HLOOKUP(INDIRECT(ADDRESS(2,COLUMN())),OFFSET($CL$2,0,0,ROW()-1,84),ROW()-1,FALSE))</f>
        <v/>
      </c>
      <c r="AG103" t="str">
        <f ca="1">IF(AND($B$252=1,LEN($AG$222) * LEN($AG$163)&gt;0),$AG$222/$AG$163,HLOOKUP(INDIRECT(ADDRESS(2,COLUMN())),OFFSET($CL$2,0,0,ROW()-1,84),ROW()-1,FALSE))</f>
        <v/>
      </c>
      <c r="AH103" t="str">
        <f ca="1">IF(AND($B$252=1,LEN($AH$222) * LEN($AH$163)&gt;0),$AH$222/$AH$163,HLOOKUP(INDIRECT(ADDRESS(2,COLUMN())),OFFSET($CL$2,0,0,ROW()-1,84),ROW()-1,FALSE))</f>
        <v/>
      </c>
      <c r="AI103" t="str">
        <f ca="1">IF(AND($B$252=1,LEN($AI$222) * LEN($AI$163)&gt;0),$AI$222/$AI$163,HLOOKUP(INDIRECT(ADDRESS(2,COLUMN())),OFFSET($CL$2,0,0,ROW()-1,84),ROW()-1,FALSE))</f>
        <v/>
      </c>
      <c r="AJ103" t="str">
        <f ca="1">IF(AND($B$252=1,LEN($AJ$222) * LEN($AJ$163)&gt;0),$AJ$222/$AJ$163,HLOOKUP(INDIRECT(ADDRESS(2,COLUMN())),OFFSET($CL$2,0,0,ROW()-1,84),ROW()-1,FALSE))</f>
        <v/>
      </c>
      <c r="AK103" t="str">
        <f ca="1">IF(AND($B$252=1,LEN($AK$222) * LEN($AK$163)&gt;0),$AK$222/$AK$163,HLOOKUP(INDIRECT(ADDRESS(2,COLUMN())),OFFSET($CL$2,0,0,ROW()-1,84),ROW()-1,FALSE))</f>
        <v/>
      </c>
      <c r="AL103" t="str">
        <f ca="1">IF(AND($B$252=1,LEN($AL$222) * LEN($AL$163)&gt;0),$AL$222/$AL$163,HLOOKUP(INDIRECT(ADDRESS(2,COLUMN())),OFFSET($CL$2,0,0,ROW()-1,84),ROW()-1,FALSE))</f>
        <v/>
      </c>
      <c r="AM103" t="str">
        <f ca="1">IF(AND($B$252=1,LEN($AM$222) * LEN($AM$163)&gt;0),$AM$222/$AM$163,HLOOKUP(INDIRECT(ADDRESS(2,COLUMN())),OFFSET($CL$2,0,0,ROW()-1,84),ROW()-1,FALSE))</f>
        <v/>
      </c>
      <c r="AN103" t="str">
        <f ca="1">IF(AND($B$252=1,LEN($AN$222) * LEN($AN$163)&gt;0),$AN$222/$AN$163,HLOOKUP(INDIRECT(ADDRESS(2,COLUMN())),OFFSET($CL$2,0,0,ROW()-1,84),ROW()-1,FALSE))</f>
        <v/>
      </c>
      <c r="AO103" t="str">
        <f ca="1">IF(AND($B$252=1,LEN($AO$222) * LEN($AO$163)&gt;0),$AO$222/$AO$163,HLOOKUP(INDIRECT(ADDRESS(2,COLUMN())),OFFSET($CL$2,0,0,ROW()-1,84),ROW()-1,FALSE))</f>
        <v/>
      </c>
      <c r="AP103" t="str">
        <f ca="1">IF(AND($B$252=1,LEN($AP$222) * LEN($AP$163)&gt;0),$AP$222/$AP$163,HLOOKUP(INDIRECT(ADDRESS(2,COLUMN())),OFFSET($CL$2,0,0,ROW()-1,84),ROW()-1,FALSE))</f>
        <v/>
      </c>
      <c r="AQ103" t="str">
        <f ca="1">IF(AND($B$252=1,LEN($AQ$222) * LEN($AQ$163)&gt;0),$AQ$222/$AQ$163,HLOOKUP(INDIRECT(ADDRESS(2,COLUMN())),OFFSET($CL$2,0,0,ROW()-1,84),ROW()-1,FALSE))</f>
        <v/>
      </c>
      <c r="AR103" t="str">
        <f ca="1">IF(AND($B$252=1,LEN($AR$222) * LEN($AR$163)&gt;0),$AR$222/$AR$163,HLOOKUP(INDIRECT(ADDRESS(2,COLUMN())),OFFSET($CL$2,0,0,ROW()-1,84),ROW()-1,FALSE))</f>
        <v/>
      </c>
      <c r="AS103" t="str">
        <f ca="1">IF(AND($B$252=1,LEN($AS$222) * LEN($AS$163)&gt;0),$AS$222/$AS$163,HLOOKUP(INDIRECT(ADDRESS(2,COLUMN())),OFFSET($CL$2,0,0,ROW()-1,84),ROW()-1,FALSE))</f>
        <v/>
      </c>
      <c r="AT103" t="str">
        <f ca="1">IF(AND($B$252=1,LEN($AT$222) * LEN($AT$163)&gt;0),$AT$222/$AT$163,HLOOKUP(INDIRECT(ADDRESS(2,COLUMN())),OFFSET($CL$2,0,0,ROW()-1,84),ROW()-1,FALSE))</f>
        <v/>
      </c>
      <c r="AU103" t="str">
        <f ca="1">IF(AND($B$252=1,LEN($AU$222) * LEN($AU$163)&gt;0),$AU$222/$AU$163,HLOOKUP(INDIRECT(ADDRESS(2,COLUMN())),OFFSET($CL$2,0,0,ROW()-1,84),ROW()-1,FALSE))</f>
        <v/>
      </c>
      <c r="AV103" t="str">
        <f ca="1">IF(AND($B$252=1,LEN($AV$222) * LEN($AV$163)&gt;0),$AV$222/$AV$163,HLOOKUP(INDIRECT(ADDRESS(2,COLUMN())),OFFSET($CL$2,0,0,ROW()-1,84),ROW()-1,FALSE))</f>
        <v/>
      </c>
      <c r="AW103" t="str">
        <f ca="1">IF(AND($B$252=1,LEN($AW$222) * LEN($AW$163)&gt;0),$AW$222/$AW$163,HLOOKUP(INDIRECT(ADDRESS(2,COLUMN())),OFFSET($CL$2,0,0,ROW()-1,84),ROW()-1,FALSE))</f>
        <v/>
      </c>
      <c r="AX103" t="str">
        <f ca="1">IF(AND($B$252=1,LEN($AX$222) * LEN($AX$163)&gt;0),$AX$222/$AX$163,HLOOKUP(INDIRECT(ADDRESS(2,COLUMN())),OFFSET($CL$2,0,0,ROW()-1,84),ROW()-1,FALSE))</f>
        <v/>
      </c>
      <c r="AY103" t="str">
        <f ca="1">IF(AND($B$252=1,LEN($AY$222) * LEN($AY$163)&gt;0),$AY$222/$AY$163,HLOOKUP(INDIRECT(ADDRESS(2,COLUMN())),OFFSET($CL$2,0,0,ROW()-1,84),ROW()-1,FALSE))</f>
        <v/>
      </c>
      <c r="AZ103" t="str">
        <f ca="1">IF(AND($B$252=1,LEN($AZ$222) * LEN($AZ$163)&gt;0),$AZ$222/$AZ$163,HLOOKUP(INDIRECT(ADDRESS(2,COLUMN())),OFFSET($CL$2,0,0,ROW()-1,84),ROW()-1,FALSE))</f>
        <v/>
      </c>
      <c r="BA103" t="str">
        <f ca="1">IF(AND($B$252=1,LEN($BA$222) * LEN($BA$163)&gt;0),$BA$222/$BA$163,HLOOKUP(INDIRECT(ADDRESS(2,COLUMN())),OFFSET($CL$2,0,0,ROW()-1,84),ROW()-1,FALSE))</f>
        <v/>
      </c>
      <c r="BB103" t="str">
        <f ca="1">IF(AND($B$252=1,LEN($BB$222) * LEN($BB$163)&gt;0),$BB$222/$BB$163,HLOOKUP(INDIRECT(ADDRESS(2,COLUMN())),OFFSET($CL$2,0,0,ROW()-1,84),ROW()-1,FALSE))</f>
        <v/>
      </c>
      <c r="BC103" t="str">
        <f ca="1">IF(AND($B$252=1,LEN($BC$222) * LEN($BC$163)&gt;0),$BC$222/$BC$163,HLOOKUP(INDIRECT(ADDRESS(2,COLUMN())),OFFSET($CL$2,0,0,ROW()-1,84),ROW()-1,FALSE))</f>
        <v/>
      </c>
      <c r="BD103" t="str">
        <f ca="1">IF(AND($B$252=1,LEN($BD$222) * LEN($BD$163)&gt;0),$BD$222/$BD$163,HLOOKUP(INDIRECT(ADDRESS(2,COLUMN())),OFFSET($CL$2,0,0,ROW()-1,84),ROW()-1,FALSE))</f>
        <v/>
      </c>
      <c r="BE103" t="str">
        <f ca="1">IF(AND($B$252=1,LEN($BE$222) * LEN($BE$163)&gt;0),$BE$222/$BE$163,HLOOKUP(INDIRECT(ADDRESS(2,COLUMN())),OFFSET($CL$2,0,0,ROW()-1,84),ROW()-1,FALSE))</f>
        <v/>
      </c>
      <c r="BF103" t="str">
        <f ca="1">IF(AND($B$252=1,LEN($BF$222) * LEN($BF$163)&gt;0),$BF$222/$BF$163,HLOOKUP(INDIRECT(ADDRESS(2,COLUMN())),OFFSET($CL$2,0,0,ROW()-1,84),ROW()-1,FALSE))</f>
        <v/>
      </c>
      <c r="BG103" t="str">
        <f ca="1">IF(AND($B$252=1,LEN($BG$222) * LEN($BG$163)&gt;0),$BG$222/$BG$163,HLOOKUP(INDIRECT(ADDRESS(2,COLUMN())),OFFSET($CL$2,0,0,ROW()-1,84),ROW()-1,FALSE))</f>
        <v/>
      </c>
      <c r="BH103" t="str">
        <f ca="1">IF(AND($B$252=1,LEN($BH$222) * LEN($BH$163)&gt;0),$BH$222/$BH$163,HLOOKUP(INDIRECT(ADDRESS(2,COLUMN())),OFFSET($CL$2,0,0,ROW()-1,84),ROW()-1,FALSE))</f>
        <v/>
      </c>
      <c r="BI103" t="str">
        <f ca="1">IF(AND($B$252=1,LEN($BI$222) * LEN($BI$163)&gt;0),$BI$222/$BI$163,HLOOKUP(INDIRECT(ADDRESS(2,COLUMN())),OFFSET($CL$2,0,0,ROW()-1,84),ROW()-1,FALSE))</f>
        <v/>
      </c>
      <c r="BJ103" t="str">
        <f ca="1">IF(AND($B$252=1,LEN($BJ$222) * LEN($BJ$163)&gt;0),$BJ$222/$BJ$163,HLOOKUP(INDIRECT(ADDRESS(2,COLUMN())),OFFSET($CL$2,0,0,ROW()-1,84),ROW()-1,FALSE))</f>
        <v/>
      </c>
      <c r="BK103" t="str">
        <f ca="1">IF(AND($B$252=1,LEN($BK$222) * LEN($BK$163)&gt;0),$BK$222/$BK$163,HLOOKUP(INDIRECT(ADDRESS(2,COLUMN())),OFFSET($CL$2,0,0,ROW()-1,84),ROW()-1,FALSE))</f>
        <v/>
      </c>
      <c r="BL103" t="str">
        <f ca="1">IF(AND($B$252=1,LEN($BL$222) * LEN($BL$163)&gt;0),$BL$222/$BL$163,HLOOKUP(INDIRECT(ADDRESS(2,COLUMN())),OFFSET($CL$2,0,0,ROW()-1,84),ROW()-1,FALSE))</f>
        <v/>
      </c>
      <c r="BM103" t="str">
        <f ca="1">IF(AND($B$252=1,LEN($BM$222) * LEN($BM$163)&gt;0),$BM$222/$BM$163,HLOOKUP(INDIRECT(ADDRESS(2,COLUMN())),OFFSET($CL$2,0,0,ROW()-1,84),ROW()-1,FALSE))</f>
        <v/>
      </c>
      <c r="BN103" t="str">
        <f ca="1">IF(AND($B$252=1,LEN($BN$222) * LEN($BN$163)&gt;0),$BN$222/$BN$163,HLOOKUP(INDIRECT(ADDRESS(2,COLUMN())),OFFSET($CL$2,0,0,ROW()-1,84),ROW()-1,FALSE))</f>
        <v/>
      </c>
      <c r="BO103" t="str">
        <f ca="1">IF(AND($B$252=1,LEN($BO$222) * LEN($BO$163)&gt;0),$BO$222/$BO$163,HLOOKUP(INDIRECT(ADDRESS(2,COLUMN())),OFFSET($CL$2,0,0,ROW()-1,84),ROW()-1,FALSE))</f>
        <v/>
      </c>
      <c r="BP103" t="str">
        <f ca="1">IF(AND($B$252=1,LEN($BP$222) * LEN($BP$163)&gt;0),$BP$222/$BP$163,HLOOKUP(INDIRECT(ADDRESS(2,COLUMN())),OFFSET($CL$2,0,0,ROW()-1,84),ROW()-1,FALSE))</f>
        <v/>
      </c>
      <c r="BQ103" t="str">
        <f ca="1">IF(AND($B$252=1,LEN($BQ$222) * LEN($BQ$163)&gt;0),$BQ$222/$BQ$163,HLOOKUP(INDIRECT(ADDRESS(2,COLUMN())),OFFSET($CL$2,0,0,ROW()-1,84),ROW()-1,FALSE))</f>
        <v/>
      </c>
      <c r="BR103" t="str">
        <f ca="1">IF(AND($B$252=1,LEN($BR$222) * LEN($BR$163)&gt;0),$BR$222/$BR$163,HLOOKUP(INDIRECT(ADDRESS(2,COLUMN())),OFFSET($CL$2,0,0,ROW()-1,84),ROW()-1,FALSE))</f>
        <v/>
      </c>
      <c r="BS103" t="str">
        <f ca="1">IF(AND($B$252=1,LEN($BS$222) * LEN($BS$163)&gt;0),$BS$222/$BS$163,HLOOKUP(INDIRECT(ADDRESS(2,COLUMN())),OFFSET($CL$2,0,0,ROW()-1,84),ROW()-1,FALSE))</f>
        <v/>
      </c>
      <c r="BT103" t="str">
        <f ca="1">IF(AND($B$252=1,LEN($BT$222) * LEN($BT$163)&gt;0),$BT$222/$BT$163,HLOOKUP(INDIRECT(ADDRESS(2,COLUMN())),OFFSET($CL$2,0,0,ROW()-1,84),ROW()-1,FALSE))</f>
        <v/>
      </c>
      <c r="BU103" t="str">
        <f ca="1">IF(AND($B$252=1,LEN($BU$222) * LEN($BU$163)&gt;0),$BU$222/$BU$163,HLOOKUP(INDIRECT(ADDRESS(2,COLUMN())),OFFSET($CL$2,0,0,ROW()-1,84),ROW()-1,FALSE))</f>
        <v/>
      </c>
      <c r="BV103" t="str">
        <f ca="1">IF(AND($B$252=1,LEN($BV$222) * LEN($BV$163)&gt;0),$BV$222/$BV$163,HLOOKUP(INDIRECT(ADDRESS(2,COLUMN())),OFFSET($CL$2,0,0,ROW()-1,84),ROW()-1,FALSE))</f>
        <v/>
      </c>
      <c r="BW103" t="str">
        <f ca="1">IF(AND($B$252=1,LEN($BW$222) * LEN($BW$163)&gt;0),$BW$222/$BW$163,HLOOKUP(INDIRECT(ADDRESS(2,COLUMN())),OFFSET($CL$2,0,0,ROW()-1,84),ROW()-1,FALSE))</f>
        <v/>
      </c>
      <c r="BX103" t="str">
        <f ca="1">IF(AND($B$252=1,LEN($BX$222) * LEN($BX$163)&gt;0),$BX$222/$BX$163,HLOOKUP(INDIRECT(ADDRESS(2,COLUMN())),OFFSET($CL$2,0,0,ROW()-1,84),ROW()-1,FALSE))</f>
        <v/>
      </c>
      <c r="BY103" t="str">
        <f ca="1">IF(AND($B$252=1,LEN($BY$222) * LEN($BY$163)&gt;0),$BY$222/$BY$163,HLOOKUP(INDIRECT(ADDRESS(2,COLUMN())),OFFSET($CL$2,0,0,ROW()-1,84),ROW()-1,FALSE))</f>
        <v/>
      </c>
      <c r="BZ103" t="str">
        <f ca="1">IF(AND($B$252=1,LEN($BZ$222) * LEN($BZ$163)&gt;0),$BZ$222/$BZ$163,HLOOKUP(INDIRECT(ADDRESS(2,COLUMN())),OFFSET($CL$2,0,0,ROW()-1,84),ROW()-1,FALSE))</f>
        <v/>
      </c>
      <c r="CA103" t="str">
        <f ca="1">IF(AND($B$252=1,LEN($CA$222) * LEN($CA$163)&gt;0),$CA$222/$CA$163,HLOOKUP(INDIRECT(ADDRESS(2,COLUMN())),OFFSET($CL$2,0,0,ROW()-1,84),ROW()-1,FALSE))</f>
        <v/>
      </c>
      <c r="CB103" t="str">
        <f ca="1">IF(AND($B$252=1,LEN($CB$222) * LEN($CB$163)&gt;0),$CB$222/$CB$163,HLOOKUP(INDIRECT(ADDRESS(2,COLUMN())),OFFSET($CL$2,0,0,ROW()-1,84),ROW()-1,FALSE))</f>
        <v/>
      </c>
      <c r="CC103" t="str">
        <f ca="1">IF(AND($B$252=1,LEN($CC$222) * LEN($CC$163)&gt;0),$CC$222/$CC$163,HLOOKUP(INDIRECT(ADDRESS(2,COLUMN())),OFFSET($CL$2,0,0,ROW()-1,84),ROW()-1,FALSE))</f>
        <v/>
      </c>
      <c r="CD103" t="str">
        <f ca="1">IF(AND($B$252=1,LEN($CD$222) * LEN($CD$163)&gt;0),$CD$222/$CD$163,HLOOKUP(INDIRECT(ADDRESS(2,COLUMN())),OFFSET($CL$2,0,0,ROW()-1,84),ROW()-1,FALSE))</f>
        <v/>
      </c>
      <c r="CE103" t="str">
        <f ca="1">IF(AND($B$252=1,LEN($CE$222) * LEN($CE$163)&gt;0),$CE$222/$CE$163,HLOOKUP(INDIRECT(ADDRESS(2,COLUMN())),OFFSET($CL$2,0,0,ROW()-1,84),ROW()-1,FALSE))</f>
        <v/>
      </c>
      <c r="CF103" t="str">
        <f ca="1">IF(AND($B$252=1,LEN($CF$222) * LEN($CF$163)&gt;0),$CF$222/$CF$163,HLOOKUP(INDIRECT(ADDRESS(2,COLUMN())),OFFSET($CL$2,0,0,ROW()-1,84),ROW()-1,FALSE))</f>
        <v/>
      </c>
      <c r="CG103" t="str">
        <f ca="1">IF(AND($B$252=1,LEN($CG$222) * LEN($CG$163)&gt;0),$CG$222/$CG$163,HLOOKUP(INDIRECT(ADDRESS(2,COLUMN())),OFFSET($CL$2,0,0,ROW()-1,84),ROW()-1,FALSE))</f>
        <v/>
      </c>
      <c r="CH103" t="str">
        <f ca="1">IF(AND($B$252=1,LEN($CH$222) * LEN($CH$163)&gt;0),$CH$222/$CH$163,HLOOKUP(INDIRECT(ADDRESS(2,COLUMN())),OFFSET($CL$2,0,0,ROW()-1,84),ROW()-1,FALSE))</f>
        <v/>
      </c>
      <c r="CI103" t="str">
        <f ca="1">IF(AND($B$252=1,LEN($CI$222) * LEN($CI$163)&gt;0),$CI$222/$CI$163,HLOOKUP(INDIRECT(ADDRESS(2,COLUMN())),OFFSET($CL$2,0,0,ROW()-1,84),ROW()-1,FALSE))</f>
        <v/>
      </c>
      <c r="CJ103" t="str">
        <f ca="1">IF(AND($B$252=1,LEN($CJ$222) * LEN($CJ$163)&gt;0),$CJ$222/$CJ$163,HLOOKUP(INDIRECT(ADDRESS(2,COLUMN())),OFFSET($CL$2,0,0,ROW()-1,84),ROW()-1,FALSE))</f>
        <v/>
      </c>
      <c r="CK103" t="str">
        <f ca="1">IF(AND($B$252=1,LEN($CK$222) * LEN($CK$163)&gt;0),$CK$222/$CK$163,HLOOKUP(INDIRECT(ADDRESS(2,COLUMN())),OFFSET($CL$2,0,0,ROW()-1,84),ROW()-1,FALSE))</f>
        <v/>
      </c>
      <c r="CL103">
        <f>19.12847839</f>
        <v>19.128478390000001</v>
      </c>
      <c r="CM103">
        <f>18.41378496</f>
        <v>18.413784960000001</v>
      </c>
      <c r="CN103">
        <f>19.95316159</f>
        <v>19.953161590000001</v>
      </c>
      <c r="CO103">
        <f>20.90578861</f>
        <v>20.905788609999998</v>
      </c>
      <c r="CP103">
        <f>21.23799485</f>
        <v>21.23799485</v>
      </c>
      <c r="CQ103">
        <f>21.20818713</f>
        <v>21.208187129999999</v>
      </c>
      <c r="CR103">
        <f>20.84832905</f>
        <v>20.84832905</v>
      </c>
      <c r="CS103">
        <f>21.89526475</f>
        <v>21.895264749999999</v>
      </c>
      <c r="CT103">
        <f>22.31697413</f>
        <v>22.316974129999998</v>
      </c>
      <c r="CU103">
        <f>22.26767092</f>
        <v>22.26767092</v>
      </c>
      <c r="CV103">
        <f>22.21396213</f>
        <v>22.213962129999999</v>
      </c>
      <c r="CW103">
        <f>22.16203596</f>
        <v>22.162035960000001</v>
      </c>
      <c r="CX103">
        <f>21.33395306</f>
        <v>21.333953059999999</v>
      </c>
      <c r="CY103">
        <f>21.40959925</f>
        <v>21.409599249999999</v>
      </c>
      <c r="CZ103">
        <f>20.1993007</f>
        <v>20.199300699999998</v>
      </c>
      <c r="DA103">
        <f>20.59883721</f>
        <v>20.598837209999999</v>
      </c>
      <c r="DB103">
        <f>19.0757277</f>
        <v>19.075727700000002</v>
      </c>
      <c r="DC103">
        <f>19.87460815</f>
        <v>19.87460815</v>
      </c>
      <c r="DD103">
        <f>20.30136986</f>
        <v>20.301369860000001</v>
      </c>
      <c r="DE103">
        <f>19.89428214</f>
        <v>19.894282140000001</v>
      </c>
      <c r="DF103">
        <f>21.10378538</f>
        <v>21.103785380000001</v>
      </c>
      <c r="DG103">
        <f>20.80622837</f>
        <v>20.806228369999999</v>
      </c>
      <c r="DH103" t="str">
        <f>""</f>
        <v/>
      </c>
      <c r="DI103">
        <f>20.27408257</f>
        <v>20.274082570000001</v>
      </c>
      <c r="DJ103" t="str">
        <f>""</f>
        <v/>
      </c>
      <c r="DK103">
        <f>19.11358575</f>
        <v>19.113585749999999</v>
      </c>
      <c r="DL103" t="str">
        <f>""</f>
        <v/>
      </c>
      <c r="DM103" t="str">
        <f>""</f>
        <v/>
      </c>
      <c r="DN103" t="str">
        <f>""</f>
        <v/>
      </c>
      <c r="DO103" t="str">
        <f>""</f>
        <v/>
      </c>
      <c r="DP103" t="str">
        <f>""</f>
        <v/>
      </c>
      <c r="DQ103" t="str">
        <f>""</f>
        <v/>
      </c>
      <c r="DR103" t="str">
        <f>""</f>
        <v/>
      </c>
      <c r="DS103" t="str">
        <f>""</f>
        <v/>
      </c>
      <c r="DT103" t="str">
        <f>""</f>
        <v/>
      </c>
      <c r="DU103" t="str">
        <f>""</f>
        <v/>
      </c>
      <c r="DV103" t="str">
        <f>""</f>
        <v/>
      </c>
      <c r="DW103" t="str">
        <f>""</f>
        <v/>
      </c>
      <c r="DX103" t="str">
        <f>""</f>
        <v/>
      </c>
      <c r="DY103" t="str">
        <f>""</f>
        <v/>
      </c>
      <c r="DZ103" t="str">
        <f>""</f>
        <v/>
      </c>
      <c r="EA103" t="str">
        <f>""</f>
        <v/>
      </c>
      <c r="EB103" t="str">
        <f>""</f>
        <v/>
      </c>
      <c r="EC103" t="str">
        <f>""</f>
        <v/>
      </c>
      <c r="ED103" t="str">
        <f>""</f>
        <v/>
      </c>
      <c r="EE103" t="str">
        <f>""</f>
        <v/>
      </c>
      <c r="EF103" t="str">
        <f>""</f>
        <v/>
      </c>
      <c r="EG103" t="str">
        <f>""</f>
        <v/>
      </c>
      <c r="EH103" t="str">
        <f>""</f>
        <v/>
      </c>
      <c r="EI103" t="str">
        <f>""</f>
        <v/>
      </c>
      <c r="EJ103" t="str">
        <f>""</f>
        <v/>
      </c>
      <c r="EK103" t="str">
        <f>""</f>
        <v/>
      </c>
      <c r="EL103" t="str">
        <f>""</f>
        <v/>
      </c>
      <c r="EM103" t="str">
        <f>""</f>
        <v/>
      </c>
      <c r="EN103" t="str">
        <f>""</f>
        <v/>
      </c>
      <c r="EO103" t="str">
        <f>""</f>
        <v/>
      </c>
      <c r="EP103" t="str">
        <f>""</f>
        <v/>
      </c>
      <c r="EQ103" t="str">
        <f>""</f>
        <v/>
      </c>
      <c r="ER103" t="str">
        <f>""</f>
        <v/>
      </c>
      <c r="ES103" t="str">
        <f>""</f>
        <v/>
      </c>
      <c r="ET103" t="str">
        <f>""</f>
        <v/>
      </c>
      <c r="EU103" t="str">
        <f>""</f>
        <v/>
      </c>
      <c r="EV103" t="str">
        <f>""</f>
        <v/>
      </c>
      <c r="EW103" t="str">
        <f>""</f>
        <v/>
      </c>
      <c r="EX103" t="str">
        <f>""</f>
        <v/>
      </c>
      <c r="EY103" t="str">
        <f>""</f>
        <v/>
      </c>
      <c r="EZ103" t="str">
        <f>""</f>
        <v/>
      </c>
      <c r="FA103" t="str">
        <f>""</f>
        <v/>
      </c>
      <c r="FB103" t="str">
        <f>""</f>
        <v/>
      </c>
      <c r="FC103" t="str">
        <f>""</f>
        <v/>
      </c>
      <c r="FD103" t="str">
        <f>""</f>
        <v/>
      </c>
      <c r="FE103" t="str">
        <f>""</f>
        <v/>
      </c>
      <c r="FF103" t="str">
        <f>""</f>
        <v/>
      </c>
      <c r="FG103" t="str">
        <f>""</f>
        <v/>
      </c>
      <c r="FH103" t="str">
        <f>""</f>
        <v/>
      </c>
      <c r="FI103" t="str">
        <f>""</f>
        <v/>
      </c>
      <c r="FJ103" t="str">
        <f>""</f>
        <v/>
      </c>
      <c r="FK103" t="str">
        <f>""</f>
        <v/>
      </c>
      <c r="FL103" t="str">
        <f>""</f>
        <v/>
      </c>
      <c r="FM103" t="str">
        <f>""</f>
        <v/>
      </c>
      <c r="FN103" t="str">
        <f>""</f>
        <v/>
      </c>
      <c r="FO103" t="str">
        <f>""</f>
        <v/>
      </c>
      <c r="FP103" t="str">
        <f>""</f>
        <v/>
      </c>
      <c r="FQ103" t="str">
        <f>""</f>
        <v/>
      </c>
    </row>
    <row r="104" spans="1:173">
      <c r="A104" t="str">
        <f>"    Camden Property Trust"</f>
        <v xml:space="preserve">    Camden Property Trust</v>
      </c>
      <c r="B104" t="str">
        <f>"CPT US Equity"</f>
        <v>CPT US Equity</v>
      </c>
      <c r="E104" t="str">
        <f t="shared" si="32"/>
        <v>Expression</v>
      </c>
      <c r="F104">
        <f ca="1">IF(AND($B$252=1,LEN($F$223) * LEN($F$164)&gt;0),$F$223/$F$164,HLOOKUP(INDIRECT(ADDRESS(2,COLUMN())),OFFSET($CL$2,0,0,ROW()-1,84),ROW()-1,FALSE))</f>
        <v>20.321788260000002</v>
      </c>
      <c r="G104">
        <f ca="1">IF(AND($B$252=1,LEN($G$223) * LEN($G$164)&gt;0),$G$223/$G$164,HLOOKUP(INDIRECT(ADDRESS(2,COLUMN())),OFFSET($CL$2,0,0,ROW()-1,84),ROW()-1,FALSE))</f>
        <v>19.53676471</v>
      </c>
      <c r="H104">
        <f ca="1">IF(AND($B$252=1,LEN($H$223) * LEN($H$164)&gt;0),$H$223/$H$164,HLOOKUP(INDIRECT(ADDRESS(2,COLUMN())),OFFSET($CL$2,0,0,ROW()-1,84),ROW()-1,FALSE))</f>
        <v>20.968992249999999</v>
      </c>
      <c r="I104">
        <f ca="1">IF(AND($B$252=1,LEN($I$223) * LEN($I$164)&gt;0),$I$223/$I$164,HLOOKUP(INDIRECT(ADDRESS(2,COLUMN())),OFFSET($CL$2,0,0,ROW()-1,84),ROW()-1,FALSE))</f>
        <v>22.409931839999999</v>
      </c>
      <c r="J104">
        <f ca="1">IF(AND($B$252=1,LEN($J$223) * LEN($J$164)&gt;0),$J$223/$J$164,HLOOKUP(INDIRECT(ADDRESS(2,COLUMN())),OFFSET($CL$2,0,0,ROW()-1,84),ROW()-1,FALSE))</f>
        <v>22.155339810000001</v>
      </c>
      <c r="K104">
        <f ca="1">IF(AND($B$252=1,LEN($K$223) * LEN($K$164)&gt;0),$K$223/$K$164,HLOOKUP(INDIRECT(ADDRESS(2,COLUMN())),OFFSET($CL$2,0,0,ROW()-1,84),ROW()-1,FALSE))</f>
        <v>22.395679919999999</v>
      </c>
      <c r="L104">
        <f ca="1">IF(AND($B$252=1,LEN($L$223) * LEN($L$164)&gt;0),$L$223/$L$164,HLOOKUP(INDIRECT(ADDRESS(2,COLUMN())),OFFSET($CL$2,0,0,ROW()-1,84),ROW()-1,FALSE))</f>
        <v>22.239785990000001</v>
      </c>
      <c r="M104">
        <f ca="1">IF(AND($B$252=1,LEN($M$223) * LEN($M$164)&gt;0),$M$223/$M$164,HLOOKUP(INDIRECT(ADDRESS(2,COLUMN())),OFFSET($CL$2,0,0,ROW()-1,84),ROW()-1,FALSE))</f>
        <v>22.050271070000001</v>
      </c>
      <c r="N104">
        <f ca="1">IF(AND($B$252=1,LEN($N$223) * LEN($N$164)&gt;0),$N$223/$N$164,HLOOKUP(INDIRECT(ADDRESS(2,COLUMN())),OFFSET($CL$2,0,0,ROW()-1,84),ROW()-1,FALSE))</f>
        <v>22.093596059999999</v>
      </c>
      <c r="O104">
        <f ca="1">IF(AND($B$252=1,LEN($O$223) * LEN($O$164)&gt;0),$O$223/$O$164,HLOOKUP(INDIRECT(ADDRESS(2,COLUMN())),OFFSET($CL$2,0,0,ROW()-1,84),ROW()-1,FALSE))</f>
        <v>21.186818630000001</v>
      </c>
      <c r="P104">
        <f ca="1">IF(AND($B$252=1,LEN($P$223) * LEN($P$164)&gt;0),$P$223/$P$164,HLOOKUP(INDIRECT(ADDRESS(2,COLUMN())),OFFSET($CL$2,0,0,ROW()-1,84),ROW()-1,FALSE))</f>
        <v>20.723880600000001</v>
      </c>
      <c r="Q104">
        <f ca="1">IF(AND($B$252=1,LEN($Q$223) * LEN($Q$164)&gt;0),$Q$223/$Q$164,HLOOKUP(INDIRECT(ADDRESS(2,COLUMN())),OFFSET($CL$2,0,0,ROW()-1,84),ROW()-1,FALSE))</f>
        <v>19.852905710000002</v>
      </c>
      <c r="R104">
        <f ca="1">IF(AND($B$252=1,LEN($R$223) * LEN($R$164)&gt;0),$R$223/$R$164,HLOOKUP(INDIRECT(ADDRESS(2,COLUMN())),OFFSET($CL$2,0,0,ROW()-1,84),ROW()-1,FALSE))</f>
        <v>20.114999999999998</v>
      </c>
      <c r="S104">
        <f ca="1">IF(AND($B$252=1,LEN($S$223) * LEN($S$164)&gt;0),$S$223/$S$164,HLOOKUP(INDIRECT(ADDRESS(2,COLUMN())),OFFSET($CL$2,0,0,ROW()-1,84),ROW()-1,FALSE))</f>
        <v>21.136079899999999</v>
      </c>
      <c r="T104">
        <f ca="1">IF(AND($B$252=1,LEN($T$223) * LEN($T$164)&gt;0),$T$223/$T$164,HLOOKUP(INDIRECT(ADDRESS(2,COLUMN())),OFFSET($CL$2,0,0,ROW()-1,84),ROW()-1,FALSE))</f>
        <v>20.472807450000001</v>
      </c>
      <c r="U104">
        <f ca="1">IF(AND($B$252=1,LEN($U$223) * LEN($U$164)&gt;0),$U$223/$U$164,HLOOKUP(INDIRECT(ADDRESS(2,COLUMN())),OFFSET($CL$2,0,0,ROW()-1,84),ROW()-1,FALSE))</f>
        <v>20.758024689999999</v>
      </c>
      <c r="V104">
        <f ca="1">IF(AND($B$252=1,LEN($V$223) * LEN($V$164)&gt;0),$V$223/$V$164,HLOOKUP(INDIRECT(ADDRESS(2,COLUMN())),OFFSET($CL$2,0,0,ROW()-1,84),ROW()-1,FALSE))</f>
        <v>19.911459650000001</v>
      </c>
      <c r="W104">
        <f ca="1">IF(AND($B$252=1,LEN($W$223) * LEN($W$164)&gt;0),$W$223/$W$164,HLOOKUP(INDIRECT(ADDRESS(2,COLUMN())),OFFSET($CL$2,0,0,ROW()-1,84),ROW()-1,FALSE))</f>
        <v>20.55008832</v>
      </c>
      <c r="X104">
        <f ca="1">IF(AND($B$252=1,LEN($X$223) * LEN($X$164)&gt;0),$X$223/$X$164,HLOOKUP(INDIRECT(ADDRESS(2,COLUMN())),OFFSET($CL$2,0,0,ROW()-1,84),ROW()-1,FALSE))</f>
        <v>21.25380711</v>
      </c>
      <c r="Y104">
        <f ca="1">IF(AND($B$252=1,LEN($Y$223) * LEN($Y$164)&gt;0),$Y$223/$Y$164,HLOOKUP(INDIRECT(ADDRESS(2,COLUMN())),OFFSET($CL$2,0,0,ROW()-1,84),ROW()-1,FALSE))</f>
        <v>22.119455649999999</v>
      </c>
      <c r="Z104">
        <f ca="1">IF(AND($B$252=1,LEN($Z$223) * LEN($Z$164)&gt;0),$Z$223/$Z$164,HLOOKUP(INDIRECT(ADDRESS(2,COLUMN())),OFFSET($CL$2,0,0,ROW()-1,84),ROW()-1,FALSE))</f>
        <v>22.578125</v>
      </c>
      <c r="AA104">
        <f ca="1">IF(AND($B$252=1,LEN($AA$223) * LEN($AA$164)&gt;0),$AA$223/$AA$164,HLOOKUP(INDIRECT(ADDRESS(2,COLUMN())),OFFSET($CL$2,0,0,ROW()-1,84),ROW()-1,FALSE))</f>
        <v>22.631174810000001</v>
      </c>
      <c r="AB104">
        <f ca="1">IF(AND($B$252=1,LEN($AB$223) * LEN($AB$164)&gt;0),$AB$223/$AB$164,HLOOKUP(INDIRECT(ADDRESS(2,COLUMN())),OFFSET($CL$2,0,0,ROW()-1,84),ROW()-1,FALSE))</f>
        <v>21.626903550000002</v>
      </c>
      <c r="AC104">
        <f ca="1">IF(AND($B$252=1,LEN($AC$223) * LEN($AC$164)&gt;0),$AC$223/$AC$164,HLOOKUP(INDIRECT(ADDRESS(2,COLUMN())),OFFSET($CL$2,0,0,ROW()-1,84),ROW()-1,FALSE))</f>
        <v>18.579976989999999</v>
      </c>
      <c r="AD104" t="str">
        <f ca="1">IF(AND($B$252=1,LEN($AD$223) * LEN($AD$164)&gt;0),$AD$223/$AD$164,HLOOKUP(INDIRECT(ADDRESS(2,COLUMN())),OFFSET($CL$2,0,0,ROW()-1,84),ROW()-1,FALSE))</f>
        <v/>
      </c>
      <c r="AE104" t="str">
        <f ca="1">IF(AND($B$252=1,LEN($AE$223) * LEN($AE$164)&gt;0),$AE$223/$AE$164,HLOOKUP(INDIRECT(ADDRESS(2,COLUMN())),OFFSET($CL$2,0,0,ROW()-1,84),ROW()-1,FALSE))</f>
        <v/>
      </c>
      <c r="AF104">
        <f ca="1">IF(AND($B$252=1,LEN($AF$223) * LEN($AF$164)&gt;0),$AF$223/$AF$164,HLOOKUP(INDIRECT(ADDRESS(2,COLUMN())),OFFSET($CL$2,0,0,ROW()-1,84),ROW()-1,FALSE))</f>
        <v>16.955555560000001</v>
      </c>
      <c r="AG104" t="str">
        <f ca="1">IF(AND($B$252=1,LEN($AG$223) * LEN($AG$164)&gt;0),$AG$223/$AG$164,HLOOKUP(INDIRECT(ADDRESS(2,COLUMN())),OFFSET($CL$2,0,0,ROW()-1,84),ROW()-1,FALSE))</f>
        <v/>
      </c>
      <c r="AH104" t="str">
        <f ca="1">IF(AND($B$252=1,LEN($AH$223) * LEN($AH$164)&gt;0),$AH$223/$AH$164,HLOOKUP(INDIRECT(ADDRESS(2,COLUMN())),OFFSET($CL$2,0,0,ROW()-1,84),ROW()-1,FALSE))</f>
        <v/>
      </c>
      <c r="AI104" t="str">
        <f ca="1">IF(AND($B$252=1,LEN($AI$223) * LEN($AI$164)&gt;0),$AI$223/$AI$164,HLOOKUP(INDIRECT(ADDRESS(2,COLUMN())),OFFSET($CL$2,0,0,ROW()-1,84),ROW()-1,FALSE))</f>
        <v/>
      </c>
      <c r="AJ104" t="str">
        <f ca="1">IF(AND($B$252=1,LEN($AJ$223) * LEN($AJ$164)&gt;0),$AJ$223/$AJ$164,HLOOKUP(INDIRECT(ADDRESS(2,COLUMN())),OFFSET($CL$2,0,0,ROW()-1,84),ROW()-1,FALSE))</f>
        <v/>
      </c>
      <c r="AK104" t="str">
        <f ca="1">IF(AND($B$252=1,LEN($AK$223) * LEN($AK$164)&gt;0),$AK$223/$AK$164,HLOOKUP(INDIRECT(ADDRESS(2,COLUMN())),OFFSET($CL$2,0,0,ROW()-1,84),ROW()-1,FALSE))</f>
        <v/>
      </c>
      <c r="AL104" t="str">
        <f ca="1">IF(AND($B$252=1,LEN($AL$223) * LEN($AL$164)&gt;0),$AL$223/$AL$164,HLOOKUP(INDIRECT(ADDRESS(2,COLUMN())),OFFSET($CL$2,0,0,ROW()-1,84),ROW()-1,FALSE))</f>
        <v/>
      </c>
      <c r="AM104" t="str">
        <f ca="1">IF(AND($B$252=1,LEN($AM$223) * LEN($AM$164)&gt;0),$AM$223/$AM$164,HLOOKUP(INDIRECT(ADDRESS(2,COLUMN())),OFFSET($CL$2,0,0,ROW()-1,84),ROW()-1,FALSE))</f>
        <v/>
      </c>
      <c r="AN104" t="str">
        <f ca="1">IF(AND($B$252=1,LEN($AN$223) * LEN($AN$164)&gt;0),$AN$223/$AN$164,HLOOKUP(INDIRECT(ADDRESS(2,COLUMN())),OFFSET($CL$2,0,0,ROW()-1,84),ROW()-1,FALSE))</f>
        <v/>
      </c>
      <c r="AO104" t="str">
        <f ca="1">IF(AND($B$252=1,LEN($AO$223) * LEN($AO$164)&gt;0),$AO$223/$AO$164,HLOOKUP(INDIRECT(ADDRESS(2,COLUMN())),OFFSET($CL$2,0,0,ROW()-1,84),ROW()-1,FALSE))</f>
        <v/>
      </c>
      <c r="AP104" t="str">
        <f ca="1">IF(AND($B$252=1,LEN($AP$223) * LEN($AP$164)&gt;0),$AP$223/$AP$164,HLOOKUP(INDIRECT(ADDRESS(2,COLUMN())),OFFSET($CL$2,0,0,ROW()-1,84),ROW()-1,FALSE))</f>
        <v/>
      </c>
      <c r="AQ104" t="str">
        <f ca="1">IF(AND($B$252=1,LEN($AQ$223) * LEN($AQ$164)&gt;0),$AQ$223/$AQ$164,HLOOKUP(INDIRECT(ADDRESS(2,COLUMN())),OFFSET($CL$2,0,0,ROW()-1,84),ROW()-1,FALSE))</f>
        <v/>
      </c>
      <c r="AR104" t="str">
        <f ca="1">IF(AND($B$252=1,LEN($AR$223) * LEN($AR$164)&gt;0),$AR$223/$AR$164,HLOOKUP(INDIRECT(ADDRESS(2,COLUMN())),OFFSET($CL$2,0,0,ROW()-1,84),ROW()-1,FALSE))</f>
        <v/>
      </c>
      <c r="AS104" t="str">
        <f ca="1">IF(AND($B$252=1,LEN($AS$223) * LEN($AS$164)&gt;0),$AS$223/$AS$164,HLOOKUP(INDIRECT(ADDRESS(2,COLUMN())),OFFSET($CL$2,0,0,ROW()-1,84),ROW()-1,FALSE))</f>
        <v/>
      </c>
      <c r="AT104" t="str">
        <f ca="1">IF(AND($B$252=1,LEN($AT$223) * LEN($AT$164)&gt;0),$AT$223/$AT$164,HLOOKUP(INDIRECT(ADDRESS(2,COLUMN())),OFFSET($CL$2,0,0,ROW()-1,84),ROW()-1,FALSE))</f>
        <v/>
      </c>
      <c r="AU104" t="str">
        <f ca="1">IF(AND($B$252=1,LEN($AU$223) * LEN($AU$164)&gt;0),$AU$223/$AU$164,HLOOKUP(INDIRECT(ADDRESS(2,COLUMN())),OFFSET($CL$2,0,0,ROW()-1,84),ROW()-1,FALSE))</f>
        <v/>
      </c>
      <c r="AV104" t="str">
        <f ca="1">IF(AND($B$252=1,LEN($AV$223) * LEN($AV$164)&gt;0),$AV$223/$AV$164,HLOOKUP(INDIRECT(ADDRESS(2,COLUMN())),OFFSET($CL$2,0,0,ROW()-1,84),ROW()-1,FALSE))</f>
        <v/>
      </c>
      <c r="AW104" t="str">
        <f ca="1">IF(AND($B$252=1,LEN($AW$223) * LEN($AW$164)&gt;0),$AW$223/$AW$164,HLOOKUP(INDIRECT(ADDRESS(2,COLUMN())),OFFSET($CL$2,0,0,ROW()-1,84),ROW()-1,FALSE))</f>
        <v/>
      </c>
      <c r="AX104" t="str">
        <f ca="1">IF(AND($B$252=1,LEN($AX$223) * LEN($AX$164)&gt;0),$AX$223/$AX$164,HLOOKUP(INDIRECT(ADDRESS(2,COLUMN())),OFFSET($CL$2,0,0,ROW()-1,84),ROW()-1,FALSE))</f>
        <v/>
      </c>
      <c r="AY104" t="str">
        <f ca="1">IF(AND($B$252=1,LEN($AY$223) * LEN($AY$164)&gt;0),$AY$223/$AY$164,HLOOKUP(INDIRECT(ADDRESS(2,COLUMN())),OFFSET($CL$2,0,0,ROW()-1,84),ROW()-1,FALSE))</f>
        <v/>
      </c>
      <c r="AZ104" t="str">
        <f ca="1">IF(AND($B$252=1,LEN($AZ$223) * LEN($AZ$164)&gt;0),$AZ$223/$AZ$164,HLOOKUP(INDIRECT(ADDRESS(2,COLUMN())),OFFSET($CL$2,0,0,ROW()-1,84),ROW()-1,FALSE))</f>
        <v/>
      </c>
      <c r="BA104" t="str">
        <f ca="1">IF(AND($B$252=1,LEN($BA$223) * LEN($BA$164)&gt;0),$BA$223/$BA$164,HLOOKUP(INDIRECT(ADDRESS(2,COLUMN())),OFFSET($CL$2,0,0,ROW()-1,84),ROW()-1,FALSE))</f>
        <v/>
      </c>
      <c r="BB104" t="str">
        <f ca="1">IF(AND($B$252=1,LEN($BB$223) * LEN($BB$164)&gt;0),$BB$223/$BB$164,HLOOKUP(INDIRECT(ADDRESS(2,COLUMN())),OFFSET($CL$2,0,0,ROW()-1,84),ROW()-1,FALSE))</f>
        <v/>
      </c>
      <c r="BC104" t="str">
        <f ca="1">IF(AND($B$252=1,LEN($BC$223) * LEN($BC$164)&gt;0),$BC$223/$BC$164,HLOOKUP(INDIRECT(ADDRESS(2,COLUMN())),OFFSET($CL$2,0,0,ROW()-1,84),ROW()-1,FALSE))</f>
        <v/>
      </c>
      <c r="BD104" t="str">
        <f ca="1">IF(AND($B$252=1,LEN($BD$223) * LEN($BD$164)&gt;0),$BD$223/$BD$164,HLOOKUP(INDIRECT(ADDRESS(2,COLUMN())),OFFSET($CL$2,0,0,ROW()-1,84),ROW()-1,FALSE))</f>
        <v/>
      </c>
      <c r="BE104" t="str">
        <f ca="1">IF(AND($B$252=1,LEN($BE$223) * LEN($BE$164)&gt;0),$BE$223/$BE$164,HLOOKUP(INDIRECT(ADDRESS(2,COLUMN())),OFFSET($CL$2,0,0,ROW()-1,84),ROW()-1,FALSE))</f>
        <v/>
      </c>
      <c r="BF104" t="str">
        <f ca="1">IF(AND($B$252=1,LEN($BF$223) * LEN($BF$164)&gt;0),$BF$223/$BF$164,HLOOKUP(INDIRECT(ADDRESS(2,COLUMN())),OFFSET($CL$2,0,0,ROW()-1,84),ROW()-1,FALSE))</f>
        <v/>
      </c>
      <c r="BG104" t="str">
        <f ca="1">IF(AND($B$252=1,LEN($BG$223) * LEN($BG$164)&gt;0),$BG$223/$BG$164,HLOOKUP(INDIRECT(ADDRESS(2,COLUMN())),OFFSET($CL$2,0,0,ROW()-1,84),ROW()-1,FALSE))</f>
        <v/>
      </c>
      <c r="BH104" t="str">
        <f ca="1">IF(AND($B$252=1,LEN($BH$223) * LEN($BH$164)&gt;0),$BH$223/$BH$164,HLOOKUP(INDIRECT(ADDRESS(2,COLUMN())),OFFSET($CL$2,0,0,ROW()-1,84),ROW()-1,FALSE))</f>
        <v/>
      </c>
      <c r="BI104" t="str">
        <f ca="1">IF(AND($B$252=1,LEN($BI$223) * LEN($BI$164)&gt;0),$BI$223/$BI$164,HLOOKUP(INDIRECT(ADDRESS(2,COLUMN())),OFFSET($CL$2,0,0,ROW()-1,84),ROW()-1,FALSE))</f>
        <v/>
      </c>
      <c r="BJ104" t="str">
        <f ca="1">IF(AND($B$252=1,LEN($BJ$223) * LEN($BJ$164)&gt;0),$BJ$223/$BJ$164,HLOOKUP(INDIRECT(ADDRESS(2,COLUMN())),OFFSET($CL$2,0,0,ROW()-1,84),ROW()-1,FALSE))</f>
        <v/>
      </c>
      <c r="BK104" t="str">
        <f ca="1">IF(AND($B$252=1,LEN($BK$223) * LEN($BK$164)&gt;0),$BK$223/$BK$164,HLOOKUP(INDIRECT(ADDRESS(2,COLUMN())),OFFSET($CL$2,0,0,ROW()-1,84),ROW()-1,FALSE))</f>
        <v/>
      </c>
      <c r="BL104" t="str">
        <f ca="1">IF(AND($B$252=1,LEN($BL$223) * LEN($BL$164)&gt;0),$BL$223/$BL$164,HLOOKUP(INDIRECT(ADDRESS(2,COLUMN())),OFFSET($CL$2,0,0,ROW()-1,84),ROW()-1,FALSE))</f>
        <v/>
      </c>
      <c r="BM104" t="str">
        <f ca="1">IF(AND($B$252=1,LEN($BM$223) * LEN($BM$164)&gt;0),$BM$223/$BM$164,HLOOKUP(INDIRECT(ADDRESS(2,COLUMN())),OFFSET($CL$2,0,0,ROW()-1,84),ROW()-1,FALSE))</f>
        <v/>
      </c>
      <c r="BN104" t="str">
        <f ca="1">IF(AND($B$252=1,LEN($BN$223) * LEN($BN$164)&gt;0),$BN$223/$BN$164,HLOOKUP(INDIRECT(ADDRESS(2,COLUMN())),OFFSET($CL$2,0,0,ROW()-1,84),ROW()-1,FALSE))</f>
        <v/>
      </c>
      <c r="BO104" t="str">
        <f ca="1">IF(AND($B$252=1,LEN($BO$223) * LEN($BO$164)&gt;0),$BO$223/$BO$164,HLOOKUP(INDIRECT(ADDRESS(2,COLUMN())),OFFSET($CL$2,0,0,ROW()-1,84),ROW()-1,FALSE))</f>
        <v/>
      </c>
      <c r="BP104" t="str">
        <f ca="1">IF(AND($B$252=1,LEN($BP$223) * LEN($BP$164)&gt;0),$BP$223/$BP$164,HLOOKUP(INDIRECT(ADDRESS(2,COLUMN())),OFFSET($CL$2,0,0,ROW()-1,84),ROW()-1,FALSE))</f>
        <v/>
      </c>
      <c r="BQ104" t="str">
        <f ca="1">IF(AND($B$252=1,LEN($BQ$223) * LEN($BQ$164)&gt;0),$BQ$223/$BQ$164,HLOOKUP(INDIRECT(ADDRESS(2,COLUMN())),OFFSET($CL$2,0,0,ROW()-1,84),ROW()-1,FALSE))</f>
        <v/>
      </c>
      <c r="BR104" t="str">
        <f ca="1">IF(AND($B$252=1,LEN($BR$223) * LEN($BR$164)&gt;0),$BR$223/$BR$164,HLOOKUP(INDIRECT(ADDRESS(2,COLUMN())),OFFSET($CL$2,0,0,ROW()-1,84),ROW()-1,FALSE))</f>
        <v/>
      </c>
      <c r="BS104" t="str">
        <f ca="1">IF(AND($B$252=1,LEN($BS$223) * LEN($BS$164)&gt;0),$BS$223/$BS$164,HLOOKUP(INDIRECT(ADDRESS(2,COLUMN())),OFFSET($CL$2,0,0,ROW()-1,84),ROW()-1,FALSE))</f>
        <v/>
      </c>
      <c r="BT104" t="str">
        <f ca="1">IF(AND($B$252=1,LEN($BT$223) * LEN($BT$164)&gt;0),$BT$223/$BT$164,HLOOKUP(INDIRECT(ADDRESS(2,COLUMN())),OFFSET($CL$2,0,0,ROW()-1,84),ROW()-1,FALSE))</f>
        <v/>
      </c>
      <c r="BU104" t="str">
        <f ca="1">IF(AND($B$252=1,LEN($BU$223) * LEN($BU$164)&gt;0),$BU$223/$BU$164,HLOOKUP(INDIRECT(ADDRESS(2,COLUMN())),OFFSET($CL$2,0,0,ROW()-1,84),ROW()-1,FALSE))</f>
        <v/>
      </c>
      <c r="BV104" t="str">
        <f ca="1">IF(AND($B$252=1,LEN($BV$223) * LEN($BV$164)&gt;0),$BV$223/$BV$164,HLOOKUP(INDIRECT(ADDRESS(2,COLUMN())),OFFSET($CL$2,0,0,ROW()-1,84),ROW()-1,FALSE))</f>
        <v/>
      </c>
      <c r="BW104" t="str">
        <f ca="1">IF(AND($B$252=1,LEN($BW$223) * LEN($BW$164)&gt;0),$BW$223/$BW$164,HLOOKUP(INDIRECT(ADDRESS(2,COLUMN())),OFFSET($CL$2,0,0,ROW()-1,84),ROW()-1,FALSE))</f>
        <v/>
      </c>
      <c r="BX104" t="str">
        <f ca="1">IF(AND($B$252=1,LEN($BX$223) * LEN($BX$164)&gt;0),$BX$223/$BX$164,HLOOKUP(INDIRECT(ADDRESS(2,COLUMN())),OFFSET($CL$2,0,0,ROW()-1,84),ROW()-1,FALSE))</f>
        <v/>
      </c>
      <c r="BY104" t="str">
        <f ca="1">IF(AND($B$252=1,LEN($BY$223) * LEN($BY$164)&gt;0),$BY$223/$BY$164,HLOOKUP(INDIRECT(ADDRESS(2,COLUMN())),OFFSET($CL$2,0,0,ROW()-1,84),ROW()-1,FALSE))</f>
        <v/>
      </c>
      <c r="BZ104" t="str">
        <f ca="1">IF(AND($B$252=1,LEN($BZ$223) * LEN($BZ$164)&gt;0),$BZ$223/$BZ$164,HLOOKUP(INDIRECT(ADDRESS(2,COLUMN())),OFFSET($CL$2,0,0,ROW()-1,84),ROW()-1,FALSE))</f>
        <v/>
      </c>
      <c r="CA104" t="str">
        <f ca="1">IF(AND($B$252=1,LEN($CA$223) * LEN($CA$164)&gt;0),$CA$223/$CA$164,HLOOKUP(INDIRECT(ADDRESS(2,COLUMN())),OFFSET($CL$2,0,0,ROW()-1,84),ROW()-1,FALSE))</f>
        <v/>
      </c>
      <c r="CB104" t="str">
        <f ca="1">IF(AND($B$252=1,LEN($CB$223) * LEN($CB$164)&gt;0),$CB$223/$CB$164,HLOOKUP(INDIRECT(ADDRESS(2,COLUMN())),OFFSET($CL$2,0,0,ROW()-1,84),ROW()-1,FALSE))</f>
        <v/>
      </c>
      <c r="CC104" t="str">
        <f ca="1">IF(AND($B$252=1,LEN($CC$223) * LEN($CC$164)&gt;0),$CC$223/$CC$164,HLOOKUP(INDIRECT(ADDRESS(2,COLUMN())),OFFSET($CL$2,0,0,ROW()-1,84),ROW()-1,FALSE))</f>
        <v/>
      </c>
      <c r="CD104" t="str">
        <f ca="1">IF(AND($B$252=1,LEN($CD$223) * LEN($CD$164)&gt;0),$CD$223/$CD$164,HLOOKUP(INDIRECT(ADDRESS(2,COLUMN())),OFFSET($CL$2,0,0,ROW()-1,84),ROW()-1,FALSE))</f>
        <v/>
      </c>
      <c r="CE104" t="str">
        <f ca="1">IF(AND($B$252=1,LEN($CE$223) * LEN($CE$164)&gt;0),$CE$223/$CE$164,HLOOKUP(INDIRECT(ADDRESS(2,COLUMN())),OFFSET($CL$2,0,0,ROW()-1,84),ROW()-1,FALSE))</f>
        <v/>
      </c>
      <c r="CF104" t="str">
        <f ca="1">IF(AND($B$252=1,LEN($CF$223) * LEN($CF$164)&gt;0),$CF$223/$CF$164,HLOOKUP(INDIRECT(ADDRESS(2,COLUMN())),OFFSET($CL$2,0,0,ROW()-1,84),ROW()-1,FALSE))</f>
        <v/>
      </c>
      <c r="CG104" t="str">
        <f ca="1">IF(AND($B$252=1,LEN($CG$223) * LEN($CG$164)&gt;0),$CG$223/$CG$164,HLOOKUP(INDIRECT(ADDRESS(2,COLUMN())),OFFSET($CL$2,0,0,ROW()-1,84),ROW()-1,FALSE))</f>
        <v/>
      </c>
      <c r="CH104" t="str">
        <f ca="1">IF(AND($B$252=1,LEN($CH$223) * LEN($CH$164)&gt;0),$CH$223/$CH$164,HLOOKUP(INDIRECT(ADDRESS(2,COLUMN())),OFFSET($CL$2,0,0,ROW()-1,84),ROW()-1,FALSE))</f>
        <v/>
      </c>
      <c r="CI104" t="str">
        <f ca="1">IF(AND($B$252=1,LEN($CI$223) * LEN($CI$164)&gt;0),$CI$223/$CI$164,HLOOKUP(INDIRECT(ADDRESS(2,COLUMN())),OFFSET($CL$2,0,0,ROW()-1,84),ROW()-1,FALSE))</f>
        <v/>
      </c>
      <c r="CJ104" t="str">
        <f ca="1">IF(AND($B$252=1,LEN($CJ$223) * LEN($CJ$164)&gt;0),$CJ$223/$CJ$164,HLOOKUP(INDIRECT(ADDRESS(2,COLUMN())),OFFSET($CL$2,0,0,ROW()-1,84),ROW()-1,FALSE))</f>
        <v/>
      </c>
      <c r="CK104" t="str">
        <f ca="1">IF(AND($B$252=1,LEN($CK$223) * LEN($CK$164)&gt;0),$CK$223/$CK$164,HLOOKUP(INDIRECT(ADDRESS(2,COLUMN())),OFFSET($CL$2,0,0,ROW()-1,84),ROW()-1,FALSE))</f>
        <v/>
      </c>
      <c r="CL104">
        <f>20.32178826</f>
        <v>20.321788260000002</v>
      </c>
      <c r="CM104">
        <f>19.53676471</f>
        <v>19.53676471</v>
      </c>
      <c r="CN104">
        <f>20.96899225</f>
        <v>20.968992249999999</v>
      </c>
      <c r="CO104">
        <f>22.40993184</f>
        <v>22.409931839999999</v>
      </c>
      <c r="CP104">
        <f>22.15533981</f>
        <v>22.155339810000001</v>
      </c>
      <c r="CQ104">
        <f>22.39567992</f>
        <v>22.395679919999999</v>
      </c>
      <c r="CR104">
        <f>22.23978599</f>
        <v>22.239785990000001</v>
      </c>
      <c r="CS104">
        <f>22.05027107</f>
        <v>22.050271070000001</v>
      </c>
      <c r="CT104">
        <f>22.09359606</f>
        <v>22.093596059999999</v>
      </c>
      <c r="CU104">
        <f>21.18681863</f>
        <v>21.186818630000001</v>
      </c>
      <c r="CV104">
        <f>20.7238806</f>
        <v>20.723880600000001</v>
      </c>
      <c r="CW104">
        <f>19.85290571</f>
        <v>19.852905710000002</v>
      </c>
      <c r="CX104">
        <f>20.115</f>
        <v>20.114999999999998</v>
      </c>
      <c r="CY104">
        <f>21.1360799</f>
        <v>21.136079899999999</v>
      </c>
      <c r="CZ104">
        <f>20.47280745</f>
        <v>20.472807450000001</v>
      </c>
      <c r="DA104">
        <f>20.75802469</f>
        <v>20.758024689999999</v>
      </c>
      <c r="DB104">
        <f>19.91145965</f>
        <v>19.911459650000001</v>
      </c>
      <c r="DC104">
        <f>20.55008832</f>
        <v>20.55008832</v>
      </c>
      <c r="DD104">
        <f>21.25380711</f>
        <v>21.25380711</v>
      </c>
      <c r="DE104">
        <f>22.11945565</f>
        <v>22.119455649999999</v>
      </c>
      <c r="DF104">
        <f>22.578125</f>
        <v>22.578125</v>
      </c>
      <c r="DG104">
        <f>22.63117481</f>
        <v>22.631174810000001</v>
      </c>
      <c r="DH104">
        <f>21.62690355</f>
        <v>21.626903550000002</v>
      </c>
      <c r="DI104">
        <f>18.57997699</f>
        <v>18.579976989999999</v>
      </c>
      <c r="DJ104" t="str">
        <f>""</f>
        <v/>
      </c>
      <c r="DK104" t="str">
        <f>""</f>
        <v/>
      </c>
      <c r="DL104">
        <f>16.95555556</f>
        <v>16.955555560000001</v>
      </c>
      <c r="DM104" t="str">
        <f>""</f>
        <v/>
      </c>
      <c r="DN104" t="str">
        <f>""</f>
        <v/>
      </c>
      <c r="DO104" t="str">
        <f>""</f>
        <v/>
      </c>
      <c r="DP104" t="str">
        <f>""</f>
        <v/>
      </c>
      <c r="DQ104" t="str">
        <f>""</f>
        <v/>
      </c>
      <c r="DR104" t="str">
        <f>""</f>
        <v/>
      </c>
      <c r="DS104" t="str">
        <f>""</f>
        <v/>
      </c>
      <c r="DT104" t="str">
        <f>""</f>
        <v/>
      </c>
      <c r="DU104" t="str">
        <f>""</f>
        <v/>
      </c>
      <c r="DV104" t="str">
        <f>""</f>
        <v/>
      </c>
      <c r="DW104" t="str">
        <f>""</f>
        <v/>
      </c>
      <c r="DX104" t="str">
        <f>""</f>
        <v/>
      </c>
      <c r="DY104" t="str">
        <f>""</f>
        <v/>
      </c>
      <c r="DZ104" t="str">
        <f>""</f>
        <v/>
      </c>
      <c r="EA104" t="str">
        <f>""</f>
        <v/>
      </c>
      <c r="EB104" t="str">
        <f>""</f>
        <v/>
      </c>
      <c r="EC104" t="str">
        <f>""</f>
        <v/>
      </c>
      <c r="ED104" t="str">
        <f>""</f>
        <v/>
      </c>
      <c r="EE104" t="str">
        <f>""</f>
        <v/>
      </c>
      <c r="EF104" t="str">
        <f>""</f>
        <v/>
      </c>
      <c r="EG104" t="str">
        <f>""</f>
        <v/>
      </c>
      <c r="EH104" t="str">
        <f>""</f>
        <v/>
      </c>
      <c r="EI104" t="str">
        <f>""</f>
        <v/>
      </c>
      <c r="EJ104" t="str">
        <f>""</f>
        <v/>
      </c>
      <c r="EK104" t="str">
        <f>""</f>
        <v/>
      </c>
      <c r="EL104" t="str">
        <f>""</f>
        <v/>
      </c>
      <c r="EM104" t="str">
        <f>""</f>
        <v/>
      </c>
      <c r="EN104" t="str">
        <f>""</f>
        <v/>
      </c>
      <c r="EO104" t="str">
        <f>""</f>
        <v/>
      </c>
      <c r="EP104" t="str">
        <f>""</f>
        <v/>
      </c>
      <c r="EQ104" t="str">
        <f>""</f>
        <v/>
      </c>
      <c r="ER104" t="str">
        <f>""</f>
        <v/>
      </c>
      <c r="ES104" t="str">
        <f>""</f>
        <v/>
      </c>
      <c r="ET104" t="str">
        <f>""</f>
        <v/>
      </c>
      <c r="EU104" t="str">
        <f>""</f>
        <v/>
      </c>
      <c r="EV104" t="str">
        <f>""</f>
        <v/>
      </c>
      <c r="EW104" t="str">
        <f>""</f>
        <v/>
      </c>
      <c r="EX104" t="str">
        <f>""</f>
        <v/>
      </c>
      <c r="EY104" t="str">
        <f>""</f>
        <v/>
      </c>
      <c r="EZ104" t="str">
        <f>""</f>
        <v/>
      </c>
      <c r="FA104" t="str">
        <f>""</f>
        <v/>
      </c>
      <c r="FB104" t="str">
        <f>""</f>
        <v/>
      </c>
      <c r="FC104" t="str">
        <f>""</f>
        <v/>
      </c>
      <c r="FD104" t="str">
        <f>""</f>
        <v/>
      </c>
      <c r="FE104" t="str">
        <f>""</f>
        <v/>
      </c>
      <c r="FF104" t="str">
        <f>""</f>
        <v/>
      </c>
      <c r="FG104" t="str">
        <f>""</f>
        <v/>
      </c>
      <c r="FH104" t="str">
        <f>""</f>
        <v/>
      </c>
      <c r="FI104" t="str">
        <f>""</f>
        <v/>
      </c>
      <c r="FJ104" t="str">
        <f>""</f>
        <v/>
      </c>
      <c r="FK104" t="str">
        <f>""</f>
        <v/>
      </c>
      <c r="FL104" t="str">
        <f>""</f>
        <v/>
      </c>
      <c r="FM104" t="str">
        <f>""</f>
        <v/>
      </c>
      <c r="FN104" t="str">
        <f>""</f>
        <v/>
      </c>
      <c r="FO104" t="str">
        <f>""</f>
        <v/>
      </c>
      <c r="FP104" t="str">
        <f>""</f>
        <v/>
      </c>
      <c r="FQ104" t="str">
        <f>""</f>
        <v/>
      </c>
    </row>
    <row r="105" spans="1:173">
      <c r="A105" t="str">
        <f>"    Equity Residential"</f>
        <v xml:space="preserve">    Equity Residential</v>
      </c>
      <c r="B105" t="str">
        <f>"EQR US Equity"</f>
        <v>EQR US Equity</v>
      </c>
      <c r="E105" t="str">
        <f t="shared" si="32"/>
        <v>Expression</v>
      </c>
      <c r="F105">
        <f ca="1">IF(AND($B$252=1,LEN($F$224) * LEN($F$165)&gt;0),$F$224/$F$165,HLOOKUP(INDIRECT(ADDRESS(2,COLUMN())),OFFSET($CL$2,0,0,ROW()-1,84),ROW()-1,FALSE))</f>
        <v>21.17437722</v>
      </c>
      <c r="G105">
        <f ca="1">IF(AND($B$252=1,LEN($G$224) * LEN($G$165)&gt;0),$G$224/$G$165,HLOOKUP(INDIRECT(ADDRESS(2,COLUMN())),OFFSET($CL$2,0,0,ROW()-1,84),ROW()-1,FALSE))</f>
        <v>19.848217439999999</v>
      </c>
      <c r="H105">
        <f ca="1">IF(AND($B$252=1,LEN($H$224) * LEN($H$165)&gt;0),$H$224/$H$165,HLOOKUP(INDIRECT(ADDRESS(2,COLUMN())),OFFSET($CL$2,0,0,ROW()-1,84),ROW()-1,FALSE))</f>
        <v>21.617543860000001</v>
      </c>
      <c r="I105">
        <f ca="1">IF(AND($B$252=1,LEN($I$224) * LEN($I$165)&gt;0),$I$224/$I$165,HLOOKUP(INDIRECT(ADDRESS(2,COLUMN())),OFFSET($CL$2,0,0,ROW()-1,84),ROW()-1,FALSE))</f>
        <v>22.27383863</v>
      </c>
      <c r="J105">
        <f ca="1">IF(AND($B$252=1,LEN($J$224) * LEN($J$165)&gt;0),$J$224/$J$165,HLOOKUP(INDIRECT(ADDRESS(2,COLUMN())),OFFSET($CL$2,0,0,ROW()-1,84),ROW()-1,FALSE))</f>
        <v>23.478566409999999</v>
      </c>
      <c r="K105">
        <f ca="1">IF(AND($B$252=1,LEN($K$224) * LEN($K$165)&gt;0),$K$224/$K$165,HLOOKUP(INDIRECT(ADDRESS(2,COLUMN())),OFFSET($CL$2,0,0,ROW()-1,84),ROW()-1,FALSE))</f>
        <v>23.435540069999998</v>
      </c>
      <c r="L105">
        <f ca="1">IF(AND($B$252=1,LEN($L$224) * LEN($L$165)&gt;0),$L$224/$L$165,HLOOKUP(INDIRECT(ADDRESS(2,COLUMN())),OFFSET($CL$2,0,0,ROW()-1,84),ROW()-1,FALSE))</f>
        <v>22.710988629999999</v>
      </c>
      <c r="M105">
        <f ca="1">IF(AND($B$252=1,LEN($M$224) * LEN($M$165)&gt;0),$M$224/$M$165,HLOOKUP(INDIRECT(ADDRESS(2,COLUMN())),OFFSET($CL$2,0,0,ROW()-1,84),ROW()-1,FALSE))</f>
        <v>23.14719062</v>
      </c>
      <c r="N105">
        <f ca="1">IF(AND($B$252=1,LEN($N$224) * LEN($N$165)&gt;0),$N$224/$N$165,HLOOKUP(INDIRECT(ADDRESS(2,COLUMN())),OFFSET($CL$2,0,0,ROW()-1,84),ROW()-1,FALSE))</f>
        <v>23.550173010000002</v>
      </c>
      <c r="O105">
        <f ca="1">IF(AND($B$252=1,LEN($O$224) * LEN($O$165)&gt;0),$O$224/$O$165,HLOOKUP(INDIRECT(ADDRESS(2,COLUMN())),OFFSET($CL$2,0,0,ROW()-1,84),ROW()-1,FALSE))</f>
        <v>22.841776540000001</v>
      </c>
      <c r="P105">
        <f ca="1">IF(AND($B$252=1,LEN($P$224) * LEN($P$165)&gt;0),$P$224/$P$165,HLOOKUP(INDIRECT(ADDRESS(2,COLUMN())),OFFSET($CL$2,0,0,ROW()-1,84),ROW()-1,FALSE))</f>
        <v>22.592849699999999</v>
      </c>
      <c r="Q105">
        <f ca="1">IF(AND($B$252=1,LEN($Q$224) * LEN($Q$165)&gt;0),$Q$224/$Q$165,HLOOKUP(INDIRECT(ADDRESS(2,COLUMN())),OFFSET($CL$2,0,0,ROW()-1,84),ROW()-1,FALSE))</f>
        <v>22.268965519999998</v>
      </c>
      <c r="R105">
        <f ca="1">IF(AND($B$252=1,LEN($R$224) * LEN($R$165)&gt;0),$R$224/$R$165,HLOOKUP(INDIRECT(ADDRESS(2,COLUMN())),OFFSET($CL$2,0,0,ROW()-1,84),ROW()-1,FALSE))</f>
        <v>21.440385939999999</v>
      </c>
      <c r="S105">
        <f ca="1">IF(AND($B$252=1,LEN($S$224) * LEN($S$165)&gt;0),$S$224/$S$165,HLOOKUP(INDIRECT(ADDRESS(2,COLUMN())),OFFSET($CL$2,0,0,ROW()-1,84),ROW()-1,FALSE))</f>
        <v>21.55502392</v>
      </c>
      <c r="T105">
        <f ca="1">IF(AND($B$252=1,LEN($T$224) * LEN($T$165)&gt;0),$T$224/$T$165,HLOOKUP(INDIRECT(ADDRESS(2,COLUMN())),OFFSET($CL$2,0,0,ROW()-1,84),ROW()-1,FALSE))</f>
        <v>20.46127946</v>
      </c>
      <c r="U105">
        <f ca="1">IF(AND($B$252=1,LEN($U$224) * LEN($U$165)&gt;0),$U$224/$U$165,HLOOKUP(INDIRECT(ADDRESS(2,COLUMN())),OFFSET($CL$2,0,0,ROW()-1,84),ROW()-1,FALSE))</f>
        <v>21.96587031</v>
      </c>
      <c r="V105">
        <f ca="1">IF(AND($B$252=1,LEN($V$224) * LEN($V$165)&gt;0),$V$224/$V$165,HLOOKUP(INDIRECT(ADDRESS(2,COLUMN())),OFFSET($CL$2,0,0,ROW()-1,84),ROW()-1,FALSE))</f>
        <v>20.48122867</v>
      </c>
      <c r="W105">
        <f ca="1">IF(AND($B$252=1,LEN($W$224) * LEN($W$165)&gt;0),$W$224/$W$165,HLOOKUP(INDIRECT(ADDRESS(2,COLUMN())),OFFSET($CL$2,0,0,ROW()-1,84),ROW()-1,FALSE))</f>
        <v>21.59090909</v>
      </c>
      <c r="X105">
        <f ca="1">IF(AND($B$252=1,LEN($X$224) * LEN($X$165)&gt;0),$X$224/$X$165,HLOOKUP(INDIRECT(ADDRESS(2,COLUMN())),OFFSET($CL$2,0,0,ROW()-1,84),ROW()-1,FALSE))</f>
        <v>21.3013245</v>
      </c>
      <c r="Y105">
        <f ca="1">IF(AND($B$252=1,LEN($Y$224) * LEN($Y$165)&gt;0),$Y$224/$Y$165,HLOOKUP(INDIRECT(ADDRESS(2,COLUMN())),OFFSET($CL$2,0,0,ROW()-1,84),ROW()-1,FALSE))</f>
        <v>21.31777851</v>
      </c>
      <c r="Z105">
        <f ca="1">IF(AND($B$252=1,LEN($Z$224) * LEN($Z$165)&gt;0),$Z$224/$Z$165,HLOOKUP(INDIRECT(ADDRESS(2,COLUMN())),OFFSET($CL$2,0,0,ROW()-1,84),ROW()-1,FALSE))</f>
        <v>22.34308248</v>
      </c>
      <c r="AA105">
        <f ca="1">IF(AND($B$252=1,LEN($AA$224) * LEN($AA$165)&gt;0),$AA$224/$AA$165,HLOOKUP(INDIRECT(ADDRESS(2,COLUMN())),OFFSET($CL$2,0,0,ROW()-1,84),ROW()-1,FALSE))</f>
        <v>21.797468349999999</v>
      </c>
      <c r="AB105">
        <f ca="1">IF(AND($B$252=1,LEN($AB$224) * LEN($AB$165)&gt;0),$AB$224/$AB$165,HLOOKUP(INDIRECT(ADDRESS(2,COLUMN())),OFFSET($CL$2,0,0,ROW()-1,84),ROW()-1,FALSE))</f>
        <v>21.648420389999998</v>
      </c>
      <c r="AC105">
        <f ca="1">IF(AND($B$252=1,LEN($AC$224) * LEN($AC$165)&gt;0),$AC$224/$AC$165,HLOOKUP(INDIRECT(ADDRESS(2,COLUMN())),OFFSET($CL$2,0,0,ROW()-1,84),ROW()-1,FALSE))</f>
        <v>21.37205651</v>
      </c>
      <c r="AD105" t="str">
        <f ca="1">IF(AND($B$252=1,LEN($AD$224) * LEN($AD$165)&gt;0),$AD$224/$AD$165,HLOOKUP(INDIRECT(ADDRESS(2,COLUMN())),OFFSET($CL$2,0,0,ROW()-1,84),ROW()-1,FALSE))</f>
        <v/>
      </c>
      <c r="AE105" t="str">
        <f ca="1">IF(AND($B$252=1,LEN($AE$224) * LEN($AE$165)&gt;0),$AE$224/$AE$165,HLOOKUP(INDIRECT(ADDRESS(2,COLUMN())),OFFSET($CL$2,0,0,ROW()-1,84),ROW()-1,FALSE))</f>
        <v/>
      </c>
      <c r="AF105" t="str">
        <f ca="1">IF(AND($B$252=1,LEN($AF$224) * LEN($AF$165)&gt;0),$AF$224/$AF$165,HLOOKUP(INDIRECT(ADDRESS(2,COLUMN())),OFFSET($CL$2,0,0,ROW()-1,84),ROW()-1,FALSE))</f>
        <v/>
      </c>
      <c r="AG105" t="str">
        <f ca="1">IF(AND($B$252=1,LEN($AG$224) * LEN($AG$165)&gt;0),$AG$224/$AG$165,HLOOKUP(INDIRECT(ADDRESS(2,COLUMN())),OFFSET($CL$2,0,0,ROW()-1,84),ROW()-1,FALSE))</f>
        <v/>
      </c>
      <c r="AH105" t="str">
        <f ca="1">IF(AND($B$252=1,LEN($AH$224) * LEN($AH$165)&gt;0),$AH$224/$AH$165,HLOOKUP(INDIRECT(ADDRESS(2,COLUMN())),OFFSET($CL$2,0,0,ROW()-1,84),ROW()-1,FALSE))</f>
        <v/>
      </c>
      <c r="AI105" t="str">
        <f ca="1">IF(AND($B$252=1,LEN($AI$224) * LEN($AI$165)&gt;0),$AI$224/$AI$165,HLOOKUP(INDIRECT(ADDRESS(2,COLUMN())),OFFSET($CL$2,0,0,ROW()-1,84),ROW()-1,FALSE))</f>
        <v/>
      </c>
      <c r="AJ105" t="str">
        <f ca="1">IF(AND($B$252=1,LEN($AJ$224) * LEN($AJ$165)&gt;0),$AJ$224/$AJ$165,HLOOKUP(INDIRECT(ADDRESS(2,COLUMN())),OFFSET($CL$2,0,0,ROW()-1,84),ROW()-1,FALSE))</f>
        <v/>
      </c>
      <c r="AK105" t="str">
        <f ca="1">IF(AND($B$252=1,LEN($AK$224) * LEN($AK$165)&gt;0),$AK$224/$AK$165,HLOOKUP(INDIRECT(ADDRESS(2,COLUMN())),OFFSET($CL$2,0,0,ROW()-1,84),ROW()-1,FALSE))</f>
        <v/>
      </c>
      <c r="AL105" t="str">
        <f ca="1">IF(AND($B$252=1,LEN($AL$224) * LEN($AL$165)&gt;0),$AL$224/$AL$165,HLOOKUP(INDIRECT(ADDRESS(2,COLUMN())),OFFSET($CL$2,0,0,ROW()-1,84),ROW()-1,FALSE))</f>
        <v/>
      </c>
      <c r="AM105" t="str">
        <f ca="1">IF(AND($B$252=1,LEN($AM$224) * LEN($AM$165)&gt;0),$AM$224/$AM$165,HLOOKUP(INDIRECT(ADDRESS(2,COLUMN())),OFFSET($CL$2,0,0,ROW()-1,84),ROW()-1,FALSE))</f>
        <v/>
      </c>
      <c r="AN105" t="str">
        <f ca="1">IF(AND($B$252=1,LEN($AN$224) * LEN($AN$165)&gt;0),$AN$224/$AN$165,HLOOKUP(INDIRECT(ADDRESS(2,COLUMN())),OFFSET($CL$2,0,0,ROW()-1,84),ROW()-1,FALSE))</f>
        <v/>
      </c>
      <c r="AO105" t="str">
        <f ca="1">IF(AND($B$252=1,LEN($AO$224) * LEN($AO$165)&gt;0),$AO$224/$AO$165,HLOOKUP(INDIRECT(ADDRESS(2,COLUMN())),OFFSET($CL$2,0,0,ROW()-1,84),ROW()-1,FALSE))</f>
        <v/>
      </c>
      <c r="AP105" t="str">
        <f ca="1">IF(AND($B$252=1,LEN($AP$224) * LEN($AP$165)&gt;0),$AP$224/$AP$165,HLOOKUP(INDIRECT(ADDRESS(2,COLUMN())),OFFSET($CL$2,0,0,ROW()-1,84),ROW()-1,FALSE))</f>
        <v/>
      </c>
      <c r="AQ105" t="str">
        <f ca="1">IF(AND($B$252=1,LEN($AQ$224) * LEN($AQ$165)&gt;0),$AQ$224/$AQ$165,HLOOKUP(INDIRECT(ADDRESS(2,COLUMN())),OFFSET($CL$2,0,0,ROW()-1,84),ROW()-1,FALSE))</f>
        <v/>
      </c>
      <c r="AR105" t="str">
        <f ca="1">IF(AND($B$252=1,LEN($AR$224) * LEN($AR$165)&gt;0),$AR$224/$AR$165,HLOOKUP(INDIRECT(ADDRESS(2,COLUMN())),OFFSET($CL$2,0,0,ROW()-1,84),ROW()-1,FALSE))</f>
        <v/>
      </c>
      <c r="AS105" t="str">
        <f ca="1">IF(AND($B$252=1,LEN($AS$224) * LEN($AS$165)&gt;0),$AS$224/$AS$165,HLOOKUP(INDIRECT(ADDRESS(2,COLUMN())),OFFSET($CL$2,0,0,ROW()-1,84),ROW()-1,FALSE))</f>
        <v/>
      </c>
      <c r="AT105" t="str">
        <f ca="1">IF(AND($B$252=1,LEN($AT$224) * LEN($AT$165)&gt;0),$AT$224/$AT$165,HLOOKUP(INDIRECT(ADDRESS(2,COLUMN())),OFFSET($CL$2,0,0,ROW()-1,84),ROW()-1,FALSE))</f>
        <v/>
      </c>
      <c r="AU105" t="str">
        <f ca="1">IF(AND($B$252=1,LEN($AU$224) * LEN($AU$165)&gt;0),$AU$224/$AU$165,HLOOKUP(INDIRECT(ADDRESS(2,COLUMN())),OFFSET($CL$2,0,0,ROW()-1,84),ROW()-1,FALSE))</f>
        <v/>
      </c>
      <c r="AV105" t="str">
        <f ca="1">IF(AND($B$252=1,LEN($AV$224) * LEN($AV$165)&gt;0),$AV$224/$AV$165,HLOOKUP(INDIRECT(ADDRESS(2,COLUMN())),OFFSET($CL$2,0,0,ROW()-1,84),ROW()-1,FALSE))</f>
        <v/>
      </c>
      <c r="AW105" t="str">
        <f ca="1">IF(AND($B$252=1,LEN($AW$224) * LEN($AW$165)&gt;0),$AW$224/$AW$165,HLOOKUP(INDIRECT(ADDRESS(2,COLUMN())),OFFSET($CL$2,0,0,ROW()-1,84),ROW()-1,FALSE))</f>
        <v/>
      </c>
      <c r="AX105" t="str">
        <f ca="1">IF(AND($B$252=1,LEN($AX$224) * LEN($AX$165)&gt;0),$AX$224/$AX$165,HLOOKUP(INDIRECT(ADDRESS(2,COLUMN())),OFFSET($CL$2,0,0,ROW()-1,84),ROW()-1,FALSE))</f>
        <v/>
      </c>
      <c r="AY105" t="str">
        <f ca="1">IF(AND($B$252=1,LEN($AY$224) * LEN($AY$165)&gt;0),$AY$224/$AY$165,HLOOKUP(INDIRECT(ADDRESS(2,COLUMN())),OFFSET($CL$2,0,0,ROW()-1,84),ROW()-1,FALSE))</f>
        <v/>
      </c>
      <c r="AZ105" t="str">
        <f ca="1">IF(AND($B$252=1,LEN($AZ$224) * LEN($AZ$165)&gt;0),$AZ$224/$AZ$165,HLOOKUP(INDIRECT(ADDRESS(2,COLUMN())),OFFSET($CL$2,0,0,ROW()-1,84),ROW()-1,FALSE))</f>
        <v/>
      </c>
      <c r="BA105" t="str">
        <f ca="1">IF(AND($B$252=1,LEN($BA$224) * LEN($BA$165)&gt;0),$BA$224/$BA$165,HLOOKUP(INDIRECT(ADDRESS(2,COLUMN())),OFFSET($CL$2,0,0,ROW()-1,84),ROW()-1,FALSE))</f>
        <v/>
      </c>
      <c r="BB105" t="str">
        <f ca="1">IF(AND($B$252=1,LEN($BB$224) * LEN($BB$165)&gt;0),$BB$224/$BB$165,HLOOKUP(INDIRECT(ADDRESS(2,COLUMN())),OFFSET($CL$2,0,0,ROW()-1,84),ROW()-1,FALSE))</f>
        <v/>
      </c>
      <c r="BC105" t="str">
        <f ca="1">IF(AND($B$252=1,LEN($BC$224) * LEN($BC$165)&gt;0),$BC$224/$BC$165,HLOOKUP(INDIRECT(ADDRESS(2,COLUMN())),OFFSET($CL$2,0,0,ROW()-1,84),ROW()-1,FALSE))</f>
        <v/>
      </c>
      <c r="BD105" t="str">
        <f ca="1">IF(AND($B$252=1,LEN($BD$224) * LEN($BD$165)&gt;0),$BD$224/$BD$165,HLOOKUP(INDIRECT(ADDRESS(2,COLUMN())),OFFSET($CL$2,0,0,ROW()-1,84),ROW()-1,FALSE))</f>
        <v/>
      </c>
      <c r="BE105" t="str">
        <f ca="1">IF(AND($B$252=1,LEN($BE$224) * LEN($BE$165)&gt;0),$BE$224/$BE$165,HLOOKUP(INDIRECT(ADDRESS(2,COLUMN())),OFFSET($CL$2,0,0,ROW()-1,84),ROW()-1,FALSE))</f>
        <v/>
      </c>
      <c r="BF105" t="str">
        <f ca="1">IF(AND($B$252=1,LEN($BF$224) * LEN($BF$165)&gt;0),$BF$224/$BF$165,HLOOKUP(INDIRECT(ADDRESS(2,COLUMN())),OFFSET($CL$2,0,0,ROW()-1,84),ROW()-1,FALSE))</f>
        <v/>
      </c>
      <c r="BG105" t="str">
        <f ca="1">IF(AND($B$252=1,LEN($BG$224) * LEN($BG$165)&gt;0),$BG$224/$BG$165,HLOOKUP(INDIRECT(ADDRESS(2,COLUMN())),OFFSET($CL$2,0,0,ROW()-1,84),ROW()-1,FALSE))</f>
        <v/>
      </c>
      <c r="BH105" t="str">
        <f ca="1">IF(AND($B$252=1,LEN($BH$224) * LEN($BH$165)&gt;0),$BH$224/$BH$165,HLOOKUP(INDIRECT(ADDRESS(2,COLUMN())),OFFSET($CL$2,0,0,ROW()-1,84),ROW()-1,FALSE))</f>
        <v/>
      </c>
      <c r="BI105" t="str">
        <f ca="1">IF(AND($B$252=1,LEN($BI$224) * LEN($BI$165)&gt;0),$BI$224/$BI$165,HLOOKUP(INDIRECT(ADDRESS(2,COLUMN())),OFFSET($CL$2,0,0,ROW()-1,84),ROW()-1,FALSE))</f>
        <v/>
      </c>
      <c r="BJ105" t="str">
        <f ca="1">IF(AND($B$252=1,LEN($BJ$224) * LEN($BJ$165)&gt;0),$BJ$224/$BJ$165,HLOOKUP(INDIRECT(ADDRESS(2,COLUMN())),OFFSET($CL$2,0,0,ROW()-1,84),ROW()-1,FALSE))</f>
        <v/>
      </c>
      <c r="BK105" t="str">
        <f ca="1">IF(AND($B$252=1,LEN($BK$224) * LEN($BK$165)&gt;0),$BK$224/$BK$165,HLOOKUP(INDIRECT(ADDRESS(2,COLUMN())),OFFSET($CL$2,0,0,ROW()-1,84),ROW()-1,FALSE))</f>
        <v/>
      </c>
      <c r="BL105" t="str">
        <f ca="1">IF(AND($B$252=1,LEN($BL$224) * LEN($BL$165)&gt;0),$BL$224/$BL$165,HLOOKUP(INDIRECT(ADDRESS(2,COLUMN())),OFFSET($CL$2,0,0,ROW()-1,84),ROW()-1,FALSE))</f>
        <v/>
      </c>
      <c r="BM105" t="str">
        <f ca="1">IF(AND($B$252=1,LEN($BM$224) * LEN($BM$165)&gt;0),$BM$224/$BM$165,HLOOKUP(INDIRECT(ADDRESS(2,COLUMN())),OFFSET($CL$2,0,0,ROW()-1,84),ROW()-1,FALSE))</f>
        <v/>
      </c>
      <c r="BN105" t="str">
        <f ca="1">IF(AND($B$252=1,LEN($BN$224) * LEN($BN$165)&gt;0),$BN$224/$BN$165,HLOOKUP(INDIRECT(ADDRESS(2,COLUMN())),OFFSET($CL$2,0,0,ROW()-1,84),ROW()-1,FALSE))</f>
        <v/>
      </c>
      <c r="BO105" t="str">
        <f ca="1">IF(AND($B$252=1,LEN($BO$224) * LEN($BO$165)&gt;0),$BO$224/$BO$165,HLOOKUP(INDIRECT(ADDRESS(2,COLUMN())),OFFSET($CL$2,0,0,ROW()-1,84),ROW()-1,FALSE))</f>
        <v/>
      </c>
      <c r="BP105" t="str">
        <f ca="1">IF(AND($B$252=1,LEN($BP$224) * LEN($BP$165)&gt;0),$BP$224/$BP$165,HLOOKUP(INDIRECT(ADDRESS(2,COLUMN())),OFFSET($CL$2,0,0,ROW()-1,84),ROW()-1,FALSE))</f>
        <v/>
      </c>
      <c r="BQ105" t="str">
        <f ca="1">IF(AND($B$252=1,LEN($BQ$224) * LEN($BQ$165)&gt;0),$BQ$224/$BQ$165,HLOOKUP(INDIRECT(ADDRESS(2,COLUMN())),OFFSET($CL$2,0,0,ROW()-1,84),ROW()-1,FALSE))</f>
        <v/>
      </c>
      <c r="BR105" t="str">
        <f ca="1">IF(AND($B$252=1,LEN($BR$224) * LEN($BR$165)&gt;0),$BR$224/$BR$165,HLOOKUP(INDIRECT(ADDRESS(2,COLUMN())),OFFSET($CL$2,0,0,ROW()-1,84),ROW()-1,FALSE))</f>
        <v/>
      </c>
      <c r="BS105" t="str">
        <f ca="1">IF(AND($B$252=1,LEN($BS$224) * LEN($BS$165)&gt;0),$BS$224/$BS$165,HLOOKUP(INDIRECT(ADDRESS(2,COLUMN())),OFFSET($CL$2,0,0,ROW()-1,84),ROW()-1,FALSE))</f>
        <v/>
      </c>
      <c r="BT105" t="str">
        <f ca="1">IF(AND($B$252=1,LEN($BT$224) * LEN($BT$165)&gt;0),$BT$224/$BT$165,HLOOKUP(INDIRECT(ADDRESS(2,COLUMN())),OFFSET($CL$2,0,0,ROW()-1,84),ROW()-1,FALSE))</f>
        <v/>
      </c>
      <c r="BU105" t="str">
        <f ca="1">IF(AND($B$252=1,LEN($BU$224) * LEN($BU$165)&gt;0),$BU$224/$BU$165,HLOOKUP(INDIRECT(ADDRESS(2,COLUMN())),OFFSET($CL$2,0,0,ROW()-1,84),ROW()-1,FALSE))</f>
        <v/>
      </c>
      <c r="BV105" t="str">
        <f ca="1">IF(AND($B$252=1,LEN($BV$224) * LEN($BV$165)&gt;0),$BV$224/$BV$165,HLOOKUP(INDIRECT(ADDRESS(2,COLUMN())),OFFSET($CL$2,0,0,ROW()-1,84),ROW()-1,FALSE))</f>
        <v/>
      </c>
      <c r="BW105" t="str">
        <f ca="1">IF(AND($B$252=1,LEN($BW$224) * LEN($BW$165)&gt;0),$BW$224/$BW$165,HLOOKUP(INDIRECT(ADDRESS(2,COLUMN())),OFFSET($CL$2,0,0,ROW()-1,84),ROW()-1,FALSE))</f>
        <v/>
      </c>
      <c r="BX105" t="str">
        <f ca="1">IF(AND($B$252=1,LEN($BX$224) * LEN($BX$165)&gt;0),$BX$224/$BX$165,HLOOKUP(INDIRECT(ADDRESS(2,COLUMN())),OFFSET($CL$2,0,0,ROW()-1,84),ROW()-1,FALSE))</f>
        <v/>
      </c>
      <c r="BY105" t="str">
        <f ca="1">IF(AND($B$252=1,LEN($BY$224) * LEN($BY$165)&gt;0),$BY$224/$BY$165,HLOOKUP(INDIRECT(ADDRESS(2,COLUMN())),OFFSET($CL$2,0,0,ROW()-1,84),ROW()-1,FALSE))</f>
        <v/>
      </c>
      <c r="BZ105" t="str">
        <f ca="1">IF(AND($B$252=1,LEN($BZ$224) * LEN($BZ$165)&gt;0),$BZ$224/$BZ$165,HLOOKUP(INDIRECT(ADDRESS(2,COLUMN())),OFFSET($CL$2,0,0,ROW()-1,84),ROW()-1,FALSE))</f>
        <v/>
      </c>
      <c r="CA105" t="str">
        <f ca="1">IF(AND($B$252=1,LEN($CA$224) * LEN($CA$165)&gt;0),$CA$224/$CA$165,HLOOKUP(INDIRECT(ADDRESS(2,COLUMN())),OFFSET($CL$2,0,0,ROW()-1,84),ROW()-1,FALSE))</f>
        <v/>
      </c>
      <c r="CB105" t="str">
        <f ca="1">IF(AND($B$252=1,LEN($CB$224) * LEN($CB$165)&gt;0),$CB$224/$CB$165,HLOOKUP(INDIRECT(ADDRESS(2,COLUMN())),OFFSET($CL$2,0,0,ROW()-1,84),ROW()-1,FALSE))</f>
        <v/>
      </c>
      <c r="CC105" t="str">
        <f ca="1">IF(AND($B$252=1,LEN($CC$224) * LEN($CC$165)&gt;0),$CC$224/$CC$165,HLOOKUP(INDIRECT(ADDRESS(2,COLUMN())),OFFSET($CL$2,0,0,ROW()-1,84),ROW()-1,FALSE))</f>
        <v/>
      </c>
      <c r="CD105" t="str">
        <f ca="1">IF(AND($B$252=1,LEN($CD$224) * LEN($CD$165)&gt;0),$CD$224/$CD$165,HLOOKUP(INDIRECT(ADDRESS(2,COLUMN())),OFFSET($CL$2,0,0,ROW()-1,84),ROW()-1,FALSE))</f>
        <v/>
      </c>
      <c r="CE105" t="str">
        <f ca="1">IF(AND($B$252=1,LEN($CE$224) * LEN($CE$165)&gt;0),$CE$224/$CE$165,HLOOKUP(INDIRECT(ADDRESS(2,COLUMN())),OFFSET($CL$2,0,0,ROW()-1,84),ROW()-1,FALSE))</f>
        <v/>
      </c>
      <c r="CF105" t="str">
        <f ca="1">IF(AND($B$252=1,LEN($CF$224) * LEN($CF$165)&gt;0),$CF$224/$CF$165,HLOOKUP(INDIRECT(ADDRESS(2,COLUMN())),OFFSET($CL$2,0,0,ROW()-1,84),ROW()-1,FALSE))</f>
        <v/>
      </c>
      <c r="CG105" t="str">
        <f ca="1">IF(AND($B$252=1,LEN($CG$224) * LEN($CG$165)&gt;0),$CG$224/$CG$165,HLOOKUP(INDIRECT(ADDRESS(2,COLUMN())),OFFSET($CL$2,0,0,ROW()-1,84),ROW()-1,FALSE))</f>
        <v/>
      </c>
      <c r="CH105" t="str">
        <f ca="1">IF(AND($B$252=1,LEN($CH$224) * LEN($CH$165)&gt;0),$CH$224/$CH$165,HLOOKUP(INDIRECT(ADDRESS(2,COLUMN())),OFFSET($CL$2,0,0,ROW()-1,84),ROW()-1,FALSE))</f>
        <v/>
      </c>
      <c r="CI105" t="str">
        <f ca="1">IF(AND($B$252=1,LEN($CI$224) * LEN($CI$165)&gt;0),$CI$224/$CI$165,HLOOKUP(INDIRECT(ADDRESS(2,COLUMN())),OFFSET($CL$2,0,0,ROW()-1,84),ROW()-1,FALSE))</f>
        <v/>
      </c>
      <c r="CJ105" t="str">
        <f ca="1">IF(AND($B$252=1,LEN($CJ$224) * LEN($CJ$165)&gt;0),$CJ$224/$CJ$165,HLOOKUP(INDIRECT(ADDRESS(2,COLUMN())),OFFSET($CL$2,0,0,ROW()-1,84),ROW()-1,FALSE))</f>
        <v/>
      </c>
      <c r="CK105" t="str">
        <f ca="1">IF(AND($B$252=1,LEN($CK$224) * LEN($CK$165)&gt;0),$CK$224/$CK$165,HLOOKUP(INDIRECT(ADDRESS(2,COLUMN())),OFFSET($CL$2,0,0,ROW()-1,84),ROW()-1,FALSE))</f>
        <v/>
      </c>
      <c r="CL105">
        <f>21.17437722</f>
        <v>21.17437722</v>
      </c>
      <c r="CM105">
        <f>19.84821744</f>
        <v>19.848217439999999</v>
      </c>
      <c r="CN105">
        <f>21.61754386</f>
        <v>21.617543860000001</v>
      </c>
      <c r="CO105">
        <f>22.27383863</f>
        <v>22.27383863</v>
      </c>
      <c r="CP105">
        <f>23.47856641</f>
        <v>23.478566409999999</v>
      </c>
      <c r="CQ105">
        <f>23.43554007</f>
        <v>23.435540069999998</v>
      </c>
      <c r="CR105">
        <f>22.71098863</f>
        <v>22.710988629999999</v>
      </c>
      <c r="CS105">
        <f>23.14719062</f>
        <v>23.14719062</v>
      </c>
      <c r="CT105">
        <f>23.55017301</f>
        <v>23.550173010000002</v>
      </c>
      <c r="CU105">
        <f>22.84177654</f>
        <v>22.841776540000001</v>
      </c>
      <c r="CV105">
        <f>22.5928497</f>
        <v>22.592849699999999</v>
      </c>
      <c r="CW105">
        <f>22.26896552</f>
        <v>22.268965519999998</v>
      </c>
      <c r="CX105">
        <f>21.44038594</f>
        <v>21.440385939999999</v>
      </c>
      <c r="CY105">
        <f>21.55502392</f>
        <v>21.55502392</v>
      </c>
      <c r="CZ105">
        <f>20.46127946</f>
        <v>20.46127946</v>
      </c>
      <c r="DA105">
        <f>21.96587031</f>
        <v>21.96587031</v>
      </c>
      <c r="DB105">
        <f>20.48122867</f>
        <v>20.48122867</v>
      </c>
      <c r="DC105">
        <f>21.59090909</f>
        <v>21.59090909</v>
      </c>
      <c r="DD105">
        <f>21.3013245</f>
        <v>21.3013245</v>
      </c>
      <c r="DE105">
        <f>21.31777851</f>
        <v>21.31777851</v>
      </c>
      <c r="DF105">
        <f>22.34308248</f>
        <v>22.34308248</v>
      </c>
      <c r="DG105">
        <f>21.79746835</f>
        <v>21.797468349999999</v>
      </c>
      <c r="DH105">
        <f>21.64842039</f>
        <v>21.648420389999998</v>
      </c>
      <c r="DI105">
        <f>21.37205651</f>
        <v>21.37205651</v>
      </c>
      <c r="DJ105" t="str">
        <f>""</f>
        <v/>
      </c>
      <c r="DK105" t="str">
        <f>""</f>
        <v/>
      </c>
      <c r="DL105" t="str">
        <f>""</f>
        <v/>
      </c>
      <c r="DM105" t="str">
        <f>""</f>
        <v/>
      </c>
      <c r="DN105" t="str">
        <f>""</f>
        <v/>
      </c>
      <c r="DO105" t="str">
        <f>""</f>
        <v/>
      </c>
      <c r="DP105" t="str">
        <f>""</f>
        <v/>
      </c>
      <c r="DQ105" t="str">
        <f>""</f>
        <v/>
      </c>
      <c r="DR105" t="str">
        <f>""</f>
        <v/>
      </c>
      <c r="DS105" t="str">
        <f>""</f>
        <v/>
      </c>
      <c r="DT105" t="str">
        <f>""</f>
        <v/>
      </c>
      <c r="DU105" t="str">
        <f>""</f>
        <v/>
      </c>
      <c r="DV105" t="str">
        <f>""</f>
        <v/>
      </c>
      <c r="DW105" t="str">
        <f>""</f>
        <v/>
      </c>
      <c r="DX105" t="str">
        <f>""</f>
        <v/>
      </c>
      <c r="DY105" t="str">
        <f>""</f>
        <v/>
      </c>
      <c r="DZ105" t="str">
        <f>""</f>
        <v/>
      </c>
      <c r="EA105" t="str">
        <f>""</f>
        <v/>
      </c>
      <c r="EB105" t="str">
        <f>""</f>
        <v/>
      </c>
      <c r="EC105" t="str">
        <f>""</f>
        <v/>
      </c>
      <c r="ED105" t="str">
        <f>""</f>
        <v/>
      </c>
      <c r="EE105" t="str">
        <f>""</f>
        <v/>
      </c>
      <c r="EF105" t="str">
        <f>""</f>
        <v/>
      </c>
      <c r="EG105" t="str">
        <f>""</f>
        <v/>
      </c>
      <c r="EH105" t="str">
        <f>""</f>
        <v/>
      </c>
      <c r="EI105" t="str">
        <f>""</f>
        <v/>
      </c>
      <c r="EJ105" t="str">
        <f>""</f>
        <v/>
      </c>
      <c r="EK105" t="str">
        <f>""</f>
        <v/>
      </c>
      <c r="EL105" t="str">
        <f>""</f>
        <v/>
      </c>
      <c r="EM105" t="str">
        <f>""</f>
        <v/>
      </c>
      <c r="EN105" t="str">
        <f>""</f>
        <v/>
      </c>
      <c r="EO105" t="str">
        <f>""</f>
        <v/>
      </c>
      <c r="EP105" t="str">
        <f>""</f>
        <v/>
      </c>
      <c r="EQ105" t="str">
        <f>""</f>
        <v/>
      </c>
      <c r="ER105" t="str">
        <f>""</f>
        <v/>
      </c>
      <c r="ES105" t="str">
        <f>""</f>
        <v/>
      </c>
      <c r="ET105" t="str">
        <f>""</f>
        <v/>
      </c>
      <c r="EU105" t="str">
        <f>""</f>
        <v/>
      </c>
      <c r="EV105" t="str">
        <f>""</f>
        <v/>
      </c>
      <c r="EW105" t="str">
        <f>""</f>
        <v/>
      </c>
      <c r="EX105" t="str">
        <f>""</f>
        <v/>
      </c>
      <c r="EY105" t="str">
        <f>""</f>
        <v/>
      </c>
      <c r="EZ105" t="str">
        <f>""</f>
        <v/>
      </c>
      <c r="FA105" t="str">
        <f>""</f>
        <v/>
      </c>
      <c r="FB105" t="str">
        <f>""</f>
        <v/>
      </c>
      <c r="FC105" t="str">
        <f>""</f>
        <v/>
      </c>
      <c r="FD105" t="str">
        <f>""</f>
        <v/>
      </c>
      <c r="FE105" t="str">
        <f>""</f>
        <v/>
      </c>
      <c r="FF105" t="str">
        <f>""</f>
        <v/>
      </c>
      <c r="FG105" t="str">
        <f>""</f>
        <v/>
      </c>
      <c r="FH105" t="str">
        <f>""</f>
        <v/>
      </c>
      <c r="FI105" t="str">
        <f>""</f>
        <v/>
      </c>
      <c r="FJ105" t="str">
        <f>""</f>
        <v/>
      </c>
      <c r="FK105" t="str">
        <f>""</f>
        <v/>
      </c>
      <c r="FL105" t="str">
        <f>""</f>
        <v/>
      </c>
      <c r="FM105" t="str">
        <f>""</f>
        <v/>
      </c>
      <c r="FN105" t="str">
        <f>""</f>
        <v/>
      </c>
      <c r="FO105" t="str">
        <f>""</f>
        <v/>
      </c>
      <c r="FP105" t="str">
        <f>""</f>
        <v/>
      </c>
      <c r="FQ105" t="str">
        <f>""</f>
        <v/>
      </c>
    </row>
    <row r="106" spans="1:173">
      <c r="A106" t="str">
        <f>"    Essex Property Trust Inc"</f>
        <v xml:space="preserve">    Essex Property Trust Inc</v>
      </c>
      <c r="B106" t="str">
        <f>"ESS US Equity"</f>
        <v>ESS US Equity</v>
      </c>
      <c r="E106" t="str">
        <f t="shared" si="32"/>
        <v>Expression</v>
      </c>
      <c r="F106">
        <f ca="1">IF(AND($B$252=1,LEN($F$225) * LEN($F$166)&gt;0),$F$225/$F$166,HLOOKUP(INDIRECT(ADDRESS(2,COLUMN())),OFFSET($CL$2,0,0,ROW()-1,84),ROW()-1,FALSE))</f>
        <v>21.0454866</v>
      </c>
      <c r="G106">
        <f ca="1">IF(AND($B$252=1,LEN($G$225) * LEN($G$166)&gt;0),$G$225/$G$166,HLOOKUP(INDIRECT(ADDRESS(2,COLUMN())),OFFSET($CL$2,0,0,ROW()-1,84),ROW()-1,FALSE))</f>
        <v>19.790450929999999</v>
      </c>
      <c r="H106">
        <f ca="1">IF(AND($B$252=1,LEN($H$225) * LEN($H$166)&gt;0),$H$225/$H$166,HLOOKUP(INDIRECT(ADDRESS(2,COLUMN())),OFFSET($CL$2,0,0,ROW()-1,84),ROW()-1,FALSE))</f>
        <v>20.584908989999999</v>
      </c>
      <c r="I106">
        <f ca="1">IF(AND($B$252=1,LEN($I$225) * LEN($I$166)&gt;0),$I$225/$I$166,HLOOKUP(INDIRECT(ADDRESS(2,COLUMN())),OFFSET($CL$2,0,0,ROW()-1,84),ROW()-1,FALSE))</f>
        <v>21.453204159999999</v>
      </c>
      <c r="J106">
        <f ca="1">IF(AND($B$252=1,LEN($J$225) * LEN($J$166)&gt;0),$J$225/$J$166,HLOOKUP(INDIRECT(ADDRESS(2,COLUMN())),OFFSET($CL$2,0,0,ROW()-1,84),ROW()-1,FALSE))</f>
        <v>21.8962766</v>
      </c>
      <c r="K106">
        <f ca="1">IF(AND($B$252=1,LEN($K$225) * LEN($K$166)&gt;0),$K$225/$K$166,HLOOKUP(INDIRECT(ADDRESS(2,COLUMN())),OFFSET($CL$2,0,0,ROW()-1,84),ROW()-1,FALSE))</f>
        <v>23.095133329999999</v>
      </c>
      <c r="L106">
        <f ca="1">IF(AND($B$252=1,LEN($L$225) * LEN($L$166)&gt;0),$L$225/$L$166,HLOOKUP(INDIRECT(ADDRESS(2,COLUMN())),OFFSET($CL$2,0,0,ROW()-1,84),ROW()-1,FALSE))</f>
        <v>22.35982748</v>
      </c>
      <c r="M106">
        <f ca="1">IF(AND($B$252=1,LEN($M$225) * LEN($M$166)&gt;0),$M$225/$M$166,HLOOKUP(INDIRECT(ADDRESS(2,COLUMN())),OFFSET($CL$2,0,0,ROW()-1,84),ROW()-1,FALSE))</f>
        <v>23.390203150000001</v>
      </c>
      <c r="N106">
        <f ca="1">IF(AND($B$252=1,LEN($N$225) * LEN($N$166)&gt;0),$N$225/$N$166,HLOOKUP(INDIRECT(ADDRESS(2,COLUMN())),OFFSET($CL$2,0,0,ROW()-1,84),ROW()-1,FALSE))</f>
        <v>23.130634610000001</v>
      </c>
      <c r="O106">
        <f ca="1">IF(AND($B$252=1,LEN($O$225) * LEN($O$166)&gt;0),$O$225/$O$166,HLOOKUP(INDIRECT(ADDRESS(2,COLUMN())),OFFSET($CL$2,0,0,ROW()-1,84),ROW()-1,FALSE))</f>
        <v>22.835966630000001</v>
      </c>
      <c r="P106">
        <f ca="1">IF(AND($B$252=1,LEN($P$225) * LEN($P$166)&gt;0),$P$225/$P$166,HLOOKUP(INDIRECT(ADDRESS(2,COLUMN())),OFFSET($CL$2,0,0,ROW()-1,84),ROW()-1,FALSE))</f>
        <v>22.85561783</v>
      </c>
      <c r="Q106">
        <f ca="1">IF(AND($B$252=1,LEN($Q$225) * LEN($Q$166)&gt;0),$Q$225/$Q$166,HLOOKUP(INDIRECT(ADDRESS(2,COLUMN())),OFFSET($CL$2,0,0,ROW()-1,84),ROW()-1,FALSE))</f>
        <v>21.70558466</v>
      </c>
      <c r="R106">
        <f ca="1">IF(AND($B$252=1,LEN($R$225) * LEN($R$166)&gt;0),$R$225/$R$166,HLOOKUP(INDIRECT(ADDRESS(2,COLUMN())),OFFSET($CL$2,0,0,ROW()-1,84),ROW()-1,FALSE))</f>
        <v>20.511162299999999</v>
      </c>
      <c r="S106">
        <f ca="1">IF(AND($B$252=1,LEN($S$225) * LEN($S$166)&gt;0),$S$225/$S$166,HLOOKUP(INDIRECT(ADDRESS(2,COLUMN())),OFFSET($CL$2,0,0,ROW()-1,84),ROW()-1,FALSE))</f>
        <v>20.786467099999999</v>
      </c>
      <c r="T106">
        <f ca="1">IF(AND($B$252=1,LEN($T$225) * LEN($T$166)&gt;0),$T$225/$T$166,HLOOKUP(INDIRECT(ADDRESS(2,COLUMN())),OFFSET($CL$2,0,0,ROW()-1,84),ROW()-1,FALSE))</f>
        <v>19.690984109999999</v>
      </c>
      <c r="U106">
        <f ca="1">IF(AND($B$252=1,LEN($U$225) * LEN($U$166)&gt;0),$U$225/$U$166,HLOOKUP(INDIRECT(ADDRESS(2,COLUMN())),OFFSET($CL$2,0,0,ROW()-1,84),ROW()-1,FALSE))</f>
        <v>20.486386469999999</v>
      </c>
      <c r="V106">
        <f ca="1">IF(AND($B$252=1,LEN($V$225) * LEN($V$166)&gt;0),$V$225/$V$166,HLOOKUP(INDIRECT(ADDRESS(2,COLUMN())),OFFSET($CL$2,0,0,ROW()-1,84),ROW()-1,FALSE))</f>
        <v>19.121501949999999</v>
      </c>
      <c r="W106">
        <f ca="1">IF(AND($B$252=1,LEN($W$225) * LEN($W$166)&gt;0),$W$225/$W$166,HLOOKUP(INDIRECT(ADDRESS(2,COLUMN())),OFFSET($CL$2,0,0,ROW()-1,84),ROW()-1,FALSE))</f>
        <v>18.93261408</v>
      </c>
      <c r="X106">
        <f ca="1">IF(AND($B$252=1,LEN($X$225) * LEN($X$166)&gt;0),$X$225/$X$166,HLOOKUP(INDIRECT(ADDRESS(2,COLUMN())),OFFSET($CL$2,0,0,ROW()-1,84),ROW()-1,FALSE))</f>
        <v>19.63325399</v>
      </c>
      <c r="Y106">
        <f ca="1">IF(AND($B$252=1,LEN($Y$225) * LEN($Y$166)&gt;0),$Y$225/$Y$166,HLOOKUP(INDIRECT(ADDRESS(2,COLUMN())),OFFSET($CL$2,0,0,ROW()-1,84),ROW()-1,FALSE))</f>
        <v>19.886164619999999</v>
      </c>
      <c r="Z106">
        <f ca="1">IF(AND($B$252=1,LEN($Z$225) * LEN($Z$166)&gt;0),$Z$225/$Z$166,HLOOKUP(INDIRECT(ADDRESS(2,COLUMN())),OFFSET($CL$2,0,0,ROW()-1,84),ROW()-1,FALSE))</f>
        <v>20.355091380000001</v>
      </c>
      <c r="AA106">
        <f ca="1">IF(AND($B$252=1,LEN($AA$225) * LEN($AA$166)&gt;0),$AA$225/$AA$166,HLOOKUP(INDIRECT(ADDRESS(2,COLUMN())),OFFSET($CL$2,0,0,ROW()-1,84),ROW()-1,FALSE))</f>
        <v>19.679896459999998</v>
      </c>
      <c r="AB106">
        <f ca="1">IF(AND($B$252=1,LEN($AB$225) * LEN($AB$166)&gt;0),$AB$225/$AB$166,HLOOKUP(INDIRECT(ADDRESS(2,COLUMN())),OFFSET($CL$2,0,0,ROW()-1,84),ROW()-1,FALSE))</f>
        <v>19.416388959999999</v>
      </c>
      <c r="AC106">
        <f ca="1">IF(AND($B$252=1,LEN($AC$225) * LEN($AC$166)&gt;0),$AC$225/$AC$166,HLOOKUP(INDIRECT(ADDRESS(2,COLUMN())),OFFSET($CL$2,0,0,ROW()-1,84),ROW()-1,FALSE))</f>
        <v>18.51742965</v>
      </c>
      <c r="AD106" t="str">
        <f ca="1">IF(AND($B$252=1,LEN($AD$225) * LEN($AD$166)&gt;0),$AD$225/$AD$166,HLOOKUP(INDIRECT(ADDRESS(2,COLUMN())),OFFSET($CL$2,0,0,ROW()-1,84),ROW()-1,FALSE))</f>
        <v/>
      </c>
      <c r="AE106">
        <f ca="1">IF(AND($B$252=1,LEN($AE$225) * LEN($AE$166)&gt;0),$AE$225/$AE$166,HLOOKUP(INDIRECT(ADDRESS(2,COLUMN())),OFFSET($CL$2,0,0,ROW()-1,84),ROW()-1,FALSE))</f>
        <v>17.3820598</v>
      </c>
      <c r="AF106" t="str">
        <f ca="1">IF(AND($B$252=1,LEN($AF$225) * LEN($AF$166)&gt;0),$AF$225/$AF$166,HLOOKUP(INDIRECT(ADDRESS(2,COLUMN())),OFFSET($CL$2,0,0,ROW()-1,84),ROW()-1,FALSE))</f>
        <v/>
      </c>
      <c r="AG106" t="str">
        <f ca="1">IF(AND($B$252=1,LEN($AG$225) * LEN($AG$166)&gt;0),$AG$225/$AG$166,HLOOKUP(INDIRECT(ADDRESS(2,COLUMN())),OFFSET($CL$2,0,0,ROW()-1,84),ROW()-1,FALSE))</f>
        <v/>
      </c>
      <c r="AH106" t="str">
        <f ca="1">IF(AND($B$252=1,LEN($AH$225) * LEN($AH$166)&gt;0),$AH$225/$AH$166,HLOOKUP(INDIRECT(ADDRESS(2,COLUMN())),OFFSET($CL$2,0,0,ROW()-1,84),ROW()-1,FALSE))</f>
        <v/>
      </c>
      <c r="AI106" t="str">
        <f ca="1">IF(AND($B$252=1,LEN($AI$225) * LEN($AI$166)&gt;0),$AI$225/$AI$166,HLOOKUP(INDIRECT(ADDRESS(2,COLUMN())),OFFSET($CL$2,0,0,ROW()-1,84),ROW()-1,FALSE))</f>
        <v/>
      </c>
      <c r="AJ106" t="str">
        <f ca="1">IF(AND($B$252=1,LEN($AJ$225) * LEN($AJ$166)&gt;0),$AJ$225/$AJ$166,HLOOKUP(INDIRECT(ADDRESS(2,COLUMN())),OFFSET($CL$2,0,0,ROW()-1,84),ROW()-1,FALSE))</f>
        <v/>
      </c>
      <c r="AK106" t="str">
        <f ca="1">IF(AND($B$252=1,LEN($AK$225) * LEN($AK$166)&gt;0),$AK$225/$AK$166,HLOOKUP(INDIRECT(ADDRESS(2,COLUMN())),OFFSET($CL$2,0,0,ROW()-1,84),ROW()-1,FALSE))</f>
        <v/>
      </c>
      <c r="AL106" t="str">
        <f ca="1">IF(AND($B$252=1,LEN($AL$225) * LEN($AL$166)&gt;0),$AL$225/$AL$166,HLOOKUP(INDIRECT(ADDRESS(2,COLUMN())),OFFSET($CL$2,0,0,ROW()-1,84),ROW()-1,FALSE))</f>
        <v/>
      </c>
      <c r="AM106" t="str">
        <f ca="1">IF(AND($B$252=1,LEN($AM$225) * LEN($AM$166)&gt;0),$AM$225/$AM$166,HLOOKUP(INDIRECT(ADDRESS(2,COLUMN())),OFFSET($CL$2,0,0,ROW()-1,84),ROW()-1,FALSE))</f>
        <v/>
      </c>
      <c r="AN106" t="str">
        <f ca="1">IF(AND($B$252=1,LEN($AN$225) * LEN($AN$166)&gt;0),$AN$225/$AN$166,HLOOKUP(INDIRECT(ADDRESS(2,COLUMN())),OFFSET($CL$2,0,0,ROW()-1,84),ROW()-1,FALSE))</f>
        <v/>
      </c>
      <c r="AO106" t="str">
        <f ca="1">IF(AND($B$252=1,LEN($AO$225) * LEN($AO$166)&gt;0),$AO$225/$AO$166,HLOOKUP(INDIRECT(ADDRESS(2,COLUMN())),OFFSET($CL$2,0,0,ROW()-1,84),ROW()-1,FALSE))</f>
        <v/>
      </c>
      <c r="AP106" t="str">
        <f ca="1">IF(AND($B$252=1,LEN($AP$225) * LEN($AP$166)&gt;0),$AP$225/$AP$166,HLOOKUP(INDIRECT(ADDRESS(2,COLUMN())),OFFSET($CL$2,0,0,ROW()-1,84),ROW()-1,FALSE))</f>
        <v/>
      </c>
      <c r="AQ106" t="str">
        <f ca="1">IF(AND($B$252=1,LEN($AQ$225) * LEN($AQ$166)&gt;0),$AQ$225/$AQ$166,HLOOKUP(INDIRECT(ADDRESS(2,COLUMN())),OFFSET($CL$2,0,0,ROW()-1,84),ROW()-1,FALSE))</f>
        <v/>
      </c>
      <c r="AR106" t="str">
        <f ca="1">IF(AND($B$252=1,LEN($AR$225) * LEN($AR$166)&gt;0),$AR$225/$AR$166,HLOOKUP(INDIRECT(ADDRESS(2,COLUMN())),OFFSET($CL$2,0,0,ROW()-1,84),ROW()-1,FALSE))</f>
        <v/>
      </c>
      <c r="AS106" t="str">
        <f ca="1">IF(AND($B$252=1,LEN($AS$225) * LEN($AS$166)&gt;0),$AS$225/$AS$166,HLOOKUP(INDIRECT(ADDRESS(2,COLUMN())),OFFSET($CL$2,0,0,ROW()-1,84),ROW()-1,FALSE))</f>
        <v/>
      </c>
      <c r="AT106" t="str">
        <f ca="1">IF(AND($B$252=1,LEN($AT$225) * LEN($AT$166)&gt;0),$AT$225/$AT$166,HLOOKUP(INDIRECT(ADDRESS(2,COLUMN())),OFFSET($CL$2,0,0,ROW()-1,84),ROW()-1,FALSE))</f>
        <v/>
      </c>
      <c r="AU106" t="str">
        <f ca="1">IF(AND($B$252=1,LEN($AU$225) * LEN($AU$166)&gt;0),$AU$225/$AU$166,HLOOKUP(INDIRECT(ADDRESS(2,COLUMN())),OFFSET($CL$2,0,0,ROW()-1,84),ROW()-1,FALSE))</f>
        <v/>
      </c>
      <c r="AV106" t="str">
        <f ca="1">IF(AND($B$252=1,LEN($AV$225) * LEN($AV$166)&gt;0),$AV$225/$AV$166,HLOOKUP(INDIRECT(ADDRESS(2,COLUMN())),OFFSET($CL$2,0,0,ROW()-1,84),ROW()-1,FALSE))</f>
        <v/>
      </c>
      <c r="AW106" t="str">
        <f ca="1">IF(AND($B$252=1,LEN($AW$225) * LEN($AW$166)&gt;0),$AW$225/$AW$166,HLOOKUP(INDIRECT(ADDRESS(2,COLUMN())),OFFSET($CL$2,0,0,ROW()-1,84),ROW()-1,FALSE))</f>
        <v/>
      </c>
      <c r="AX106" t="str">
        <f ca="1">IF(AND($B$252=1,LEN($AX$225) * LEN($AX$166)&gt;0),$AX$225/$AX$166,HLOOKUP(INDIRECT(ADDRESS(2,COLUMN())),OFFSET($CL$2,0,0,ROW()-1,84),ROW()-1,FALSE))</f>
        <v/>
      </c>
      <c r="AY106" t="str">
        <f ca="1">IF(AND($B$252=1,LEN($AY$225) * LEN($AY$166)&gt;0),$AY$225/$AY$166,HLOOKUP(INDIRECT(ADDRESS(2,COLUMN())),OFFSET($CL$2,0,0,ROW()-1,84),ROW()-1,FALSE))</f>
        <v/>
      </c>
      <c r="AZ106" t="str">
        <f ca="1">IF(AND($B$252=1,LEN($AZ$225) * LEN($AZ$166)&gt;0),$AZ$225/$AZ$166,HLOOKUP(INDIRECT(ADDRESS(2,COLUMN())),OFFSET($CL$2,0,0,ROW()-1,84),ROW()-1,FALSE))</f>
        <v/>
      </c>
      <c r="BA106" t="str">
        <f ca="1">IF(AND($B$252=1,LEN($BA$225) * LEN($BA$166)&gt;0),$BA$225/$BA$166,HLOOKUP(INDIRECT(ADDRESS(2,COLUMN())),OFFSET($CL$2,0,0,ROW()-1,84),ROW()-1,FALSE))</f>
        <v/>
      </c>
      <c r="BB106" t="str">
        <f ca="1">IF(AND($B$252=1,LEN($BB$225) * LEN($BB$166)&gt;0),$BB$225/$BB$166,HLOOKUP(INDIRECT(ADDRESS(2,COLUMN())),OFFSET($CL$2,0,0,ROW()-1,84),ROW()-1,FALSE))</f>
        <v/>
      </c>
      <c r="BC106" t="str">
        <f ca="1">IF(AND($B$252=1,LEN($BC$225) * LEN($BC$166)&gt;0),$BC$225/$BC$166,HLOOKUP(INDIRECT(ADDRESS(2,COLUMN())),OFFSET($CL$2,0,0,ROW()-1,84),ROW()-1,FALSE))</f>
        <v/>
      </c>
      <c r="BD106" t="str">
        <f ca="1">IF(AND($B$252=1,LEN($BD$225) * LEN($BD$166)&gt;0),$BD$225/$BD$166,HLOOKUP(INDIRECT(ADDRESS(2,COLUMN())),OFFSET($CL$2,0,0,ROW()-1,84),ROW()-1,FALSE))</f>
        <v/>
      </c>
      <c r="BE106" t="str">
        <f ca="1">IF(AND($B$252=1,LEN($BE$225) * LEN($BE$166)&gt;0),$BE$225/$BE$166,HLOOKUP(INDIRECT(ADDRESS(2,COLUMN())),OFFSET($CL$2,0,0,ROW()-1,84),ROW()-1,FALSE))</f>
        <v/>
      </c>
      <c r="BF106" t="str">
        <f ca="1">IF(AND($B$252=1,LEN($BF$225) * LEN($BF$166)&gt;0),$BF$225/$BF$166,HLOOKUP(INDIRECT(ADDRESS(2,COLUMN())),OFFSET($CL$2,0,0,ROW()-1,84),ROW()-1,FALSE))</f>
        <v/>
      </c>
      <c r="BG106" t="str">
        <f ca="1">IF(AND($B$252=1,LEN($BG$225) * LEN($BG$166)&gt;0),$BG$225/$BG$166,HLOOKUP(INDIRECT(ADDRESS(2,COLUMN())),OFFSET($CL$2,0,0,ROW()-1,84),ROW()-1,FALSE))</f>
        <v/>
      </c>
      <c r="BH106" t="str">
        <f ca="1">IF(AND($B$252=1,LEN($BH$225) * LEN($BH$166)&gt;0),$BH$225/$BH$166,HLOOKUP(INDIRECT(ADDRESS(2,COLUMN())),OFFSET($CL$2,0,0,ROW()-1,84),ROW()-1,FALSE))</f>
        <v/>
      </c>
      <c r="BI106" t="str">
        <f ca="1">IF(AND($B$252=1,LEN($BI$225) * LEN($BI$166)&gt;0),$BI$225/$BI$166,HLOOKUP(INDIRECT(ADDRESS(2,COLUMN())),OFFSET($CL$2,0,0,ROW()-1,84),ROW()-1,FALSE))</f>
        <v/>
      </c>
      <c r="BJ106" t="str">
        <f ca="1">IF(AND($B$252=1,LEN($BJ$225) * LEN($BJ$166)&gt;0),$BJ$225/$BJ$166,HLOOKUP(INDIRECT(ADDRESS(2,COLUMN())),OFFSET($CL$2,0,0,ROW()-1,84),ROW()-1,FALSE))</f>
        <v/>
      </c>
      <c r="BK106" t="str">
        <f ca="1">IF(AND($B$252=1,LEN($BK$225) * LEN($BK$166)&gt;0),$BK$225/$BK$166,HLOOKUP(INDIRECT(ADDRESS(2,COLUMN())),OFFSET($CL$2,0,0,ROW()-1,84),ROW()-1,FALSE))</f>
        <v/>
      </c>
      <c r="BL106" t="str">
        <f ca="1">IF(AND($B$252=1,LEN($BL$225) * LEN($BL$166)&gt;0),$BL$225/$BL$166,HLOOKUP(INDIRECT(ADDRESS(2,COLUMN())),OFFSET($CL$2,0,0,ROW()-1,84),ROW()-1,FALSE))</f>
        <v/>
      </c>
      <c r="BM106" t="str">
        <f ca="1">IF(AND($B$252=1,LEN($BM$225) * LEN($BM$166)&gt;0),$BM$225/$BM$166,HLOOKUP(INDIRECT(ADDRESS(2,COLUMN())),OFFSET($CL$2,0,0,ROW()-1,84),ROW()-1,FALSE))</f>
        <v/>
      </c>
      <c r="BN106" t="str">
        <f ca="1">IF(AND($B$252=1,LEN($BN$225) * LEN($BN$166)&gt;0),$BN$225/$BN$166,HLOOKUP(INDIRECT(ADDRESS(2,COLUMN())),OFFSET($CL$2,0,0,ROW()-1,84),ROW()-1,FALSE))</f>
        <v/>
      </c>
      <c r="BO106" t="str">
        <f ca="1">IF(AND($B$252=1,LEN($BO$225) * LEN($BO$166)&gt;0),$BO$225/$BO$166,HLOOKUP(INDIRECT(ADDRESS(2,COLUMN())),OFFSET($CL$2,0,0,ROW()-1,84),ROW()-1,FALSE))</f>
        <v/>
      </c>
      <c r="BP106" t="str">
        <f ca="1">IF(AND($B$252=1,LEN($BP$225) * LEN($BP$166)&gt;0),$BP$225/$BP$166,HLOOKUP(INDIRECT(ADDRESS(2,COLUMN())),OFFSET($CL$2,0,0,ROW()-1,84),ROW()-1,FALSE))</f>
        <v/>
      </c>
      <c r="BQ106" t="str">
        <f ca="1">IF(AND($B$252=1,LEN($BQ$225) * LEN($BQ$166)&gt;0),$BQ$225/$BQ$166,HLOOKUP(INDIRECT(ADDRESS(2,COLUMN())),OFFSET($CL$2,0,0,ROW()-1,84),ROW()-1,FALSE))</f>
        <v/>
      </c>
      <c r="BR106" t="str">
        <f ca="1">IF(AND($B$252=1,LEN($BR$225) * LEN($BR$166)&gt;0),$BR$225/$BR$166,HLOOKUP(INDIRECT(ADDRESS(2,COLUMN())),OFFSET($CL$2,0,0,ROW()-1,84),ROW()-1,FALSE))</f>
        <v/>
      </c>
      <c r="BS106" t="str">
        <f ca="1">IF(AND($B$252=1,LEN($BS$225) * LEN($BS$166)&gt;0),$BS$225/$BS$166,HLOOKUP(INDIRECT(ADDRESS(2,COLUMN())),OFFSET($CL$2,0,0,ROW()-1,84),ROW()-1,FALSE))</f>
        <v/>
      </c>
      <c r="BT106" t="str">
        <f ca="1">IF(AND($B$252=1,LEN($BT$225) * LEN($BT$166)&gt;0),$BT$225/$BT$166,HLOOKUP(INDIRECT(ADDRESS(2,COLUMN())),OFFSET($CL$2,0,0,ROW()-1,84),ROW()-1,FALSE))</f>
        <v/>
      </c>
      <c r="BU106" t="str">
        <f ca="1">IF(AND($B$252=1,LEN($BU$225) * LEN($BU$166)&gt;0),$BU$225/$BU$166,HLOOKUP(INDIRECT(ADDRESS(2,COLUMN())),OFFSET($CL$2,0,0,ROW()-1,84),ROW()-1,FALSE))</f>
        <v/>
      </c>
      <c r="BV106" t="str">
        <f ca="1">IF(AND($B$252=1,LEN($BV$225) * LEN($BV$166)&gt;0),$BV$225/$BV$166,HLOOKUP(INDIRECT(ADDRESS(2,COLUMN())),OFFSET($CL$2,0,0,ROW()-1,84),ROW()-1,FALSE))</f>
        <v/>
      </c>
      <c r="BW106" t="str">
        <f ca="1">IF(AND($B$252=1,LEN($BW$225) * LEN($BW$166)&gt;0),$BW$225/$BW$166,HLOOKUP(INDIRECT(ADDRESS(2,COLUMN())),OFFSET($CL$2,0,0,ROW()-1,84),ROW()-1,FALSE))</f>
        <v/>
      </c>
      <c r="BX106" t="str">
        <f ca="1">IF(AND($B$252=1,LEN($BX$225) * LEN($BX$166)&gt;0),$BX$225/$BX$166,HLOOKUP(INDIRECT(ADDRESS(2,COLUMN())),OFFSET($CL$2,0,0,ROW()-1,84),ROW()-1,FALSE))</f>
        <v/>
      </c>
      <c r="BY106" t="str">
        <f ca="1">IF(AND($B$252=1,LEN($BY$225) * LEN($BY$166)&gt;0),$BY$225/$BY$166,HLOOKUP(INDIRECT(ADDRESS(2,COLUMN())),OFFSET($CL$2,0,0,ROW()-1,84),ROW()-1,FALSE))</f>
        <v/>
      </c>
      <c r="BZ106" t="str">
        <f ca="1">IF(AND($B$252=1,LEN($BZ$225) * LEN($BZ$166)&gt;0),$BZ$225/$BZ$166,HLOOKUP(INDIRECT(ADDRESS(2,COLUMN())),OFFSET($CL$2,0,0,ROW()-1,84),ROW()-1,FALSE))</f>
        <v/>
      </c>
      <c r="CA106" t="str">
        <f ca="1">IF(AND($B$252=1,LEN($CA$225) * LEN($CA$166)&gt;0),$CA$225/$CA$166,HLOOKUP(INDIRECT(ADDRESS(2,COLUMN())),OFFSET($CL$2,0,0,ROW()-1,84),ROW()-1,FALSE))</f>
        <v/>
      </c>
      <c r="CB106" t="str">
        <f ca="1">IF(AND($B$252=1,LEN($CB$225) * LEN($CB$166)&gt;0),$CB$225/$CB$166,HLOOKUP(INDIRECT(ADDRESS(2,COLUMN())),OFFSET($CL$2,0,0,ROW()-1,84),ROW()-1,FALSE))</f>
        <v/>
      </c>
      <c r="CC106" t="str">
        <f ca="1">IF(AND($B$252=1,LEN($CC$225) * LEN($CC$166)&gt;0),$CC$225/$CC$166,HLOOKUP(INDIRECT(ADDRESS(2,COLUMN())),OFFSET($CL$2,0,0,ROW()-1,84),ROW()-1,FALSE))</f>
        <v/>
      </c>
      <c r="CD106" t="str">
        <f ca="1">IF(AND($B$252=1,LEN($CD$225) * LEN($CD$166)&gt;0),$CD$225/$CD$166,HLOOKUP(INDIRECT(ADDRESS(2,COLUMN())),OFFSET($CL$2,0,0,ROW()-1,84),ROW()-1,FALSE))</f>
        <v/>
      </c>
      <c r="CE106" t="str">
        <f ca="1">IF(AND($B$252=1,LEN($CE$225) * LEN($CE$166)&gt;0),$CE$225/$CE$166,HLOOKUP(INDIRECT(ADDRESS(2,COLUMN())),OFFSET($CL$2,0,0,ROW()-1,84),ROW()-1,FALSE))</f>
        <v/>
      </c>
      <c r="CF106" t="str">
        <f ca="1">IF(AND($B$252=1,LEN($CF$225) * LEN($CF$166)&gt;0),$CF$225/$CF$166,HLOOKUP(INDIRECT(ADDRESS(2,COLUMN())),OFFSET($CL$2,0,0,ROW()-1,84),ROW()-1,FALSE))</f>
        <v/>
      </c>
      <c r="CG106" t="str">
        <f ca="1">IF(AND($B$252=1,LEN($CG$225) * LEN($CG$166)&gt;0),$CG$225/$CG$166,HLOOKUP(INDIRECT(ADDRESS(2,COLUMN())),OFFSET($CL$2,0,0,ROW()-1,84),ROW()-1,FALSE))</f>
        <v/>
      </c>
      <c r="CH106" t="str">
        <f ca="1">IF(AND($B$252=1,LEN($CH$225) * LEN($CH$166)&gt;0),$CH$225/$CH$166,HLOOKUP(INDIRECT(ADDRESS(2,COLUMN())),OFFSET($CL$2,0,0,ROW()-1,84),ROW()-1,FALSE))</f>
        <v/>
      </c>
      <c r="CI106" t="str">
        <f ca="1">IF(AND($B$252=1,LEN($CI$225) * LEN($CI$166)&gt;0),$CI$225/$CI$166,HLOOKUP(INDIRECT(ADDRESS(2,COLUMN())),OFFSET($CL$2,0,0,ROW()-1,84),ROW()-1,FALSE))</f>
        <v/>
      </c>
      <c r="CJ106" t="str">
        <f ca="1">IF(AND($B$252=1,LEN($CJ$225) * LEN($CJ$166)&gt;0),$CJ$225/$CJ$166,HLOOKUP(INDIRECT(ADDRESS(2,COLUMN())),OFFSET($CL$2,0,0,ROW()-1,84),ROW()-1,FALSE))</f>
        <v/>
      </c>
      <c r="CK106" t="str">
        <f ca="1">IF(AND($B$252=1,LEN($CK$225) * LEN($CK$166)&gt;0),$CK$225/$CK$166,HLOOKUP(INDIRECT(ADDRESS(2,COLUMN())),OFFSET($CL$2,0,0,ROW()-1,84),ROW()-1,FALSE))</f>
        <v/>
      </c>
      <c r="CL106">
        <f>21.0454866</f>
        <v>21.0454866</v>
      </c>
      <c r="CM106">
        <f>19.79045093</f>
        <v>19.790450929999999</v>
      </c>
      <c r="CN106">
        <f>20.58490899</f>
        <v>20.584908989999999</v>
      </c>
      <c r="CO106">
        <f>21.45320416</f>
        <v>21.453204159999999</v>
      </c>
      <c r="CP106">
        <f>21.8962766</f>
        <v>21.8962766</v>
      </c>
      <c r="CQ106">
        <f>23.09513333</f>
        <v>23.095133329999999</v>
      </c>
      <c r="CR106">
        <f>22.35982748</f>
        <v>22.35982748</v>
      </c>
      <c r="CS106">
        <f>23.39020315</f>
        <v>23.390203150000001</v>
      </c>
      <c r="CT106">
        <f>23.13063461</f>
        <v>23.130634610000001</v>
      </c>
      <c r="CU106">
        <f>22.83596663</f>
        <v>22.835966630000001</v>
      </c>
      <c r="CV106">
        <f>22.85561783</f>
        <v>22.85561783</v>
      </c>
      <c r="CW106">
        <f>21.70558466</f>
        <v>21.70558466</v>
      </c>
      <c r="CX106">
        <f>20.5111623</f>
        <v>20.511162299999999</v>
      </c>
      <c r="CY106">
        <f>20.7864671</f>
        <v>20.786467099999999</v>
      </c>
      <c r="CZ106">
        <f>19.69098411</f>
        <v>19.690984109999999</v>
      </c>
      <c r="DA106">
        <f>20.48638647</f>
        <v>20.486386469999999</v>
      </c>
      <c r="DB106">
        <f>19.12150195</f>
        <v>19.121501949999999</v>
      </c>
      <c r="DC106">
        <f>18.93261408</f>
        <v>18.93261408</v>
      </c>
      <c r="DD106">
        <f>19.63325399</f>
        <v>19.63325399</v>
      </c>
      <c r="DE106">
        <f>19.88616462</f>
        <v>19.886164619999999</v>
      </c>
      <c r="DF106">
        <f>20.35509138</f>
        <v>20.355091380000001</v>
      </c>
      <c r="DG106">
        <f>19.67989646</f>
        <v>19.679896459999998</v>
      </c>
      <c r="DH106">
        <f>19.41638896</f>
        <v>19.416388959999999</v>
      </c>
      <c r="DI106">
        <f>18.51742965</f>
        <v>18.51742965</v>
      </c>
      <c r="DJ106" t="str">
        <f>""</f>
        <v/>
      </c>
      <c r="DK106">
        <f>17.3820598</f>
        <v>17.3820598</v>
      </c>
      <c r="DL106" t="str">
        <f>""</f>
        <v/>
      </c>
      <c r="DM106" t="str">
        <f>""</f>
        <v/>
      </c>
      <c r="DN106" t="str">
        <f>""</f>
        <v/>
      </c>
      <c r="DO106" t="str">
        <f>""</f>
        <v/>
      </c>
      <c r="DP106" t="str">
        <f>""</f>
        <v/>
      </c>
      <c r="DQ106" t="str">
        <f>""</f>
        <v/>
      </c>
      <c r="DR106" t="str">
        <f>""</f>
        <v/>
      </c>
      <c r="DS106" t="str">
        <f>""</f>
        <v/>
      </c>
      <c r="DT106" t="str">
        <f>""</f>
        <v/>
      </c>
      <c r="DU106" t="str">
        <f>""</f>
        <v/>
      </c>
      <c r="DV106" t="str">
        <f>""</f>
        <v/>
      </c>
      <c r="DW106" t="str">
        <f>""</f>
        <v/>
      </c>
      <c r="DX106" t="str">
        <f>""</f>
        <v/>
      </c>
      <c r="DY106" t="str">
        <f>""</f>
        <v/>
      </c>
      <c r="DZ106" t="str">
        <f>""</f>
        <v/>
      </c>
      <c r="EA106" t="str">
        <f>""</f>
        <v/>
      </c>
      <c r="EB106" t="str">
        <f>""</f>
        <v/>
      </c>
      <c r="EC106" t="str">
        <f>""</f>
        <v/>
      </c>
      <c r="ED106" t="str">
        <f>""</f>
        <v/>
      </c>
      <c r="EE106" t="str">
        <f>""</f>
        <v/>
      </c>
      <c r="EF106" t="str">
        <f>""</f>
        <v/>
      </c>
      <c r="EG106" t="str">
        <f>""</f>
        <v/>
      </c>
      <c r="EH106" t="str">
        <f>""</f>
        <v/>
      </c>
      <c r="EI106" t="str">
        <f>""</f>
        <v/>
      </c>
      <c r="EJ106" t="str">
        <f>""</f>
        <v/>
      </c>
      <c r="EK106" t="str">
        <f>""</f>
        <v/>
      </c>
      <c r="EL106" t="str">
        <f>""</f>
        <v/>
      </c>
      <c r="EM106" t="str">
        <f>""</f>
        <v/>
      </c>
      <c r="EN106" t="str">
        <f>""</f>
        <v/>
      </c>
      <c r="EO106" t="str">
        <f>""</f>
        <v/>
      </c>
      <c r="EP106" t="str">
        <f>""</f>
        <v/>
      </c>
      <c r="EQ106" t="str">
        <f>""</f>
        <v/>
      </c>
      <c r="ER106" t="str">
        <f>""</f>
        <v/>
      </c>
      <c r="ES106" t="str">
        <f>""</f>
        <v/>
      </c>
      <c r="ET106" t="str">
        <f>""</f>
        <v/>
      </c>
      <c r="EU106" t="str">
        <f>""</f>
        <v/>
      </c>
      <c r="EV106" t="str">
        <f>""</f>
        <v/>
      </c>
      <c r="EW106" t="str">
        <f>""</f>
        <v/>
      </c>
      <c r="EX106" t="str">
        <f>""</f>
        <v/>
      </c>
      <c r="EY106" t="str">
        <f>""</f>
        <v/>
      </c>
      <c r="EZ106" t="str">
        <f>""</f>
        <v/>
      </c>
      <c r="FA106" t="str">
        <f>""</f>
        <v/>
      </c>
      <c r="FB106" t="str">
        <f>""</f>
        <v/>
      </c>
      <c r="FC106" t="str">
        <f>""</f>
        <v/>
      </c>
      <c r="FD106" t="str">
        <f>""</f>
        <v/>
      </c>
      <c r="FE106" t="str">
        <f>""</f>
        <v/>
      </c>
      <c r="FF106" t="str">
        <f>""</f>
        <v/>
      </c>
      <c r="FG106" t="str">
        <f>""</f>
        <v/>
      </c>
      <c r="FH106" t="str">
        <f>""</f>
        <v/>
      </c>
      <c r="FI106" t="str">
        <f>""</f>
        <v/>
      </c>
      <c r="FJ106" t="str">
        <f>""</f>
        <v/>
      </c>
      <c r="FK106" t="str">
        <f>""</f>
        <v/>
      </c>
      <c r="FL106" t="str">
        <f>""</f>
        <v/>
      </c>
      <c r="FM106" t="str">
        <f>""</f>
        <v/>
      </c>
      <c r="FN106" t="str">
        <f>""</f>
        <v/>
      </c>
      <c r="FO106" t="str">
        <f>""</f>
        <v/>
      </c>
      <c r="FP106" t="str">
        <f>""</f>
        <v/>
      </c>
      <c r="FQ106" t="str">
        <f>""</f>
        <v/>
      </c>
    </row>
    <row r="107" spans="1:173">
      <c r="A107" t="str">
        <f>"    Mid-America Apartment Communit"</f>
        <v xml:space="preserve">    Mid-America Apartment Communit</v>
      </c>
      <c r="B107" t="str">
        <f>"MAA US Equity"</f>
        <v>MAA US Equity</v>
      </c>
      <c r="E107" t="str">
        <f t="shared" si="32"/>
        <v>Expression</v>
      </c>
      <c r="F107">
        <f ca="1">IF(AND($B$252=1,LEN($F$226) * LEN($F$167)&gt;0),$F$226/$F$167,HLOOKUP(INDIRECT(ADDRESS(2,COLUMN())),OFFSET($CL$2,0,0,ROW()-1,84),ROW()-1,FALSE))</f>
        <v>16.3776352</v>
      </c>
      <c r="G107">
        <f ca="1">IF(AND($B$252=1,LEN($G$226) * LEN($G$167)&gt;0),$G$226/$G$167,HLOOKUP(INDIRECT(ADDRESS(2,COLUMN())),OFFSET($CL$2,0,0,ROW()-1,84),ROW()-1,FALSE))</f>
        <v>15.572491380000001</v>
      </c>
      <c r="H107">
        <f ca="1">IF(AND($B$252=1,LEN($H$226) * LEN($H$167)&gt;0),$H$226/$H$167,HLOOKUP(INDIRECT(ADDRESS(2,COLUMN())),OFFSET($CL$2,0,0,ROW()-1,84),ROW()-1,FALSE))</f>
        <v>17.16213784</v>
      </c>
      <c r="I107">
        <f ca="1">IF(AND($B$252=1,LEN($I$226) * LEN($I$167)&gt;0),$I$226/$I$167,HLOOKUP(INDIRECT(ADDRESS(2,COLUMN())),OFFSET($CL$2,0,0,ROW()-1,84),ROW()-1,FALSE))</f>
        <v>17.905982909999999</v>
      </c>
      <c r="J107">
        <f ca="1">IF(AND($B$252=1,LEN($J$226) * LEN($J$167)&gt;0),$J$226/$J$167,HLOOKUP(INDIRECT(ADDRESS(2,COLUMN())),OFFSET($CL$2,0,0,ROW()-1,84),ROW()-1,FALSE))</f>
        <v>17.912222419999999</v>
      </c>
      <c r="K107">
        <f ca="1">IF(AND($B$252=1,LEN($K$226) * LEN($K$167)&gt;0),$K$226/$K$167,HLOOKUP(INDIRECT(ADDRESS(2,COLUMN())),OFFSET($CL$2,0,0,ROW()-1,84),ROW()-1,FALSE))</f>
        <v>17.846556230000001</v>
      </c>
      <c r="L107">
        <f ca="1">IF(AND($B$252=1,LEN($L$226) * LEN($L$167)&gt;0),$L$226/$L$167,HLOOKUP(INDIRECT(ADDRESS(2,COLUMN())),OFFSET($CL$2,0,0,ROW()-1,84),ROW()-1,FALSE))</f>
        <v>18.58782609</v>
      </c>
      <c r="M107">
        <f ca="1">IF(AND($B$252=1,LEN($M$226) * LEN($M$167)&gt;0),$M$226/$M$167,HLOOKUP(INDIRECT(ADDRESS(2,COLUMN())),OFFSET($CL$2,0,0,ROW()-1,84),ROW()-1,FALSE))</f>
        <v>18.651016120000001</v>
      </c>
      <c r="N107">
        <f ca="1">IF(AND($B$252=1,LEN($N$226) * LEN($N$167)&gt;0),$N$226/$N$167,HLOOKUP(INDIRECT(ADDRESS(2,COLUMN())),OFFSET($CL$2,0,0,ROW()-1,84),ROW()-1,FALSE))</f>
        <v>18.096486630000001</v>
      </c>
      <c r="O107">
        <f ca="1">IF(AND($B$252=1,LEN($O$226) * LEN($O$167)&gt;0),$O$226/$O$167,HLOOKUP(INDIRECT(ADDRESS(2,COLUMN())),OFFSET($CL$2,0,0,ROW()-1,84),ROW()-1,FALSE))</f>
        <v>18.42952081</v>
      </c>
      <c r="P107">
        <f ca="1">IF(AND($B$252=1,LEN($P$226) * LEN($P$167)&gt;0),$P$226/$P$167,HLOOKUP(INDIRECT(ADDRESS(2,COLUMN())),OFFSET($CL$2,0,0,ROW()-1,84),ROW()-1,FALSE))</f>
        <v>17.84351479</v>
      </c>
      <c r="Q107">
        <f ca="1">IF(AND($B$252=1,LEN($Q$226) * LEN($Q$167)&gt;0),$Q$226/$Q$167,HLOOKUP(INDIRECT(ADDRESS(2,COLUMN())),OFFSET($CL$2,0,0,ROW()-1,84),ROW()-1,FALSE))</f>
        <v>17.41748596</v>
      </c>
      <c r="R107">
        <f ca="1">IF(AND($B$252=1,LEN($R$226) * LEN($R$167)&gt;0),$R$226/$R$167,HLOOKUP(INDIRECT(ADDRESS(2,COLUMN())),OFFSET($CL$2,0,0,ROW()-1,84),ROW()-1,FALSE))</f>
        <v>17.87420942</v>
      </c>
      <c r="S107">
        <f ca="1">IF(AND($B$252=1,LEN($S$226) * LEN($S$167)&gt;0),$S$226/$S$167,HLOOKUP(INDIRECT(ADDRESS(2,COLUMN())),OFFSET($CL$2,0,0,ROW()-1,84),ROW()-1,FALSE))</f>
        <v>18.08626761</v>
      </c>
      <c r="T107">
        <f ca="1">IF(AND($B$252=1,LEN($T$226) * LEN($T$167)&gt;0),$T$226/$T$167,HLOOKUP(INDIRECT(ADDRESS(2,COLUMN())),OFFSET($CL$2,0,0,ROW()-1,84),ROW()-1,FALSE))</f>
        <v>16.628721540000001</v>
      </c>
      <c r="U107">
        <f ca="1">IF(AND($B$252=1,LEN($U$226) * LEN($U$167)&gt;0),$U$226/$U$167,HLOOKUP(INDIRECT(ADDRESS(2,COLUMN())),OFFSET($CL$2,0,0,ROW()-1,84),ROW()-1,FALSE))</f>
        <v>17.414191710000001</v>
      </c>
      <c r="V107">
        <f ca="1">IF(AND($B$252=1,LEN($V$226) * LEN($V$167)&gt;0),$V$226/$V$167,HLOOKUP(INDIRECT(ADDRESS(2,COLUMN())),OFFSET($CL$2,0,0,ROW()-1,84),ROW()-1,FALSE))</f>
        <v>15.79827586</v>
      </c>
      <c r="W107">
        <f ca="1">IF(AND($B$252=1,LEN($W$226) * LEN($W$167)&gt;0),$W$226/$W$167,HLOOKUP(INDIRECT(ADDRESS(2,COLUMN())),OFFSET($CL$2,0,0,ROW()-1,84),ROW()-1,FALSE))</f>
        <v>15.720338979999999</v>
      </c>
      <c r="X107">
        <f ca="1">IF(AND($B$252=1,LEN($X$226) * LEN($X$167)&gt;0),$X$226/$X$167,HLOOKUP(INDIRECT(ADDRESS(2,COLUMN())),OFFSET($CL$2,0,0,ROW()-1,84),ROW()-1,FALSE))</f>
        <v>15.796638659999999</v>
      </c>
      <c r="Y107">
        <f ca="1">IF(AND($B$252=1,LEN($Y$226) * LEN($Y$167)&gt;0),$Y$226/$Y$167,HLOOKUP(INDIRECT(ADDRESS(2,COLUMN())),OFFSET($CL$2,0,0,ROW()-1,84),ROW()-1,FALSE))</f>
        <v>15.77013423</v>
      </c>
      <c r="Z107">
        <f ca="1">IF(AND($B$252=1,LEN($Z$226) * LEN($Z$167)&gt;0),$Z$226/$Z$167,HLOOKUP(INDIRECT(ADDRESS(2,COLUMN())),OFFSET($CL$2,0,0,ROW()-1,84),ROW()-1,FALSE))</f>
        <v>17.788590599999999</v>
      </c>
      <c r="AA107" t="str">
        <f ca="1">IF(AND($B$252=1,LEN($AA$226) * LEN($AA$167)&gt;0),$AA$226/$AA$167,HLOOKUP(INDIRECT(ADDRESS(2,COLUMN())),OFFSET($CL$2,0,0,ROW()-1,84),ROW()-1,FALSE))</f>
        <v/>
      </c>
      <c r="AB107">
        <f ca="1">IF(AND($B$252=1,LEN($AB$226) * LEN($AB$167)&gt;0),$AB$226/$AB$167,HLOOKUP(INDIRECT(ADDRESS(2,COLUMN())),OFFSET($CL$2,0,0,ROW()-1,84),ROW()-1,FALSE))</f>
        <v>17.280201340000001</v>
      </c>
      <c r="AC107" t="str">
        <f ca="1">IF(AND($B$252=1,LEN($AC$226) * LEN($AC$167)&gt;0),$AC$226/$AC$167,HLOOKUP(INDIRECT(ADDRESS(2,COLUMN())),OFFSET($CL$2,0,0,ROW()-1,84),ROW()-1,FALSE))</f>
        <v/>
      </c>
      <c r="AD107" t="str">
        <f ca="1">IF(AND($B$252=1,LEN($AD$226) * LEN($AD$167)&gt;0),$AD$226/$AD$167,HLOOKUP(INDIRECT(ADDRESS(2,COLUMN())),OFFSET($CL$2,0,0,ROW()-1,84),ROW()-1,FALSE))</f>
        <v/>
      </c>
      <c r="AE107" t="str">
        <f ca="1">IF(AND($B$252=1,LEN($AE$226) * LEN($AE$167)&gt;0),$AE$226/$AE$167,HLOOKUP(INDIRECT(ADDRESS(2,COLUMN())),OFFSET($CL$2,0,0,ROW()-1,84),ROW()-1,FALSE))</f>
        <v/>
      </c>
      <c r="AF107" t="str">
        <f ca="1">IF(AND($B$252=1,LEN($AF$226) * LEN($AF$167)&gt;0),$AF$226/$AF$167,HLOOKUP(INDIRECT(ADDRESS(2,COLUMN())),OFFSET($CL$2,0,0,ROW()-1,84),ROW()-1,FALSE))</f>
        <v/>
      </c>
      <c r="AG107" t="str">
        <f ca="1">IF(AND($B$252=1,LEN($AG$226) * LEN($AG$167)&gt;0),$AG$226/$AG$167,HLOOKUP(INDIRECT(ADDRESS(2,COLUMN())),OFFSET($CL$2,0,0,ROW()-1,84),ROW()-1,FALSE))</f>
        <v/>
      </c>
      <c r="AH107" t="str">
        <f ca="1">IF(AND($B$252=1,LEN($AH$226) * LEN($AH$167)&gt;0),$AH$226/$AH$167,HLOOKUP(INDIRECT(ADDRESS(2,COLUMN())),OFFSET($CL$2,0,0,ROW()-1,84),ROW()-1,FALSE))</f>
        <v/>
      </c>
      <c r="AI107" t="str">
        <f ca="1">IF(AND($B$252=1,LEN($AI$226) * LEN($AI$167)&gt;0),$AI$226/$AI$167,HLOOKUP(INDIRECT(ADDRESS(2,COLUMN())),OFFSET($CL$2,0,0,ROW()-1,84),ROW()-1,FALSE))</f>
        <v/>
      </c>
      <c r="AJ107" t="str">
        <f ca="1">IF(AND($B$252=1,LEN($AJ$226) * LEN($AJ$167)&gt;0),$AJ$226/$AJ$167,HLOOKUP(INDIRECT(ADDRESS(2,COLUMN())),OFFSET($CL$2,0,0,ROW()-1,84),ROW()-1,FALSE))</f>
        <v/>
      </c>
      <c r="AK107" t="str">
        <f ca="1">IF(AND($B$252=1,LEN($AK$226) * LEN($AK$167)&gt;0),$AK$226/$AK$167,HLOOKUP(INDIRECT(ADDRESS(2,COLUMN())),OFFSET($CL$2,0,0,ROW()-1,84),ROW()-1,FALSE))</f>
        <v/>
      </c>
      <c r="AL107" t="str">
        <f ca="1">IF(AND($B$252=1,LEN($AL$226) * LEN($AL$167)&gt;0),$AL$226/$AL$167,HLOOKUP(INDIRECT(ADDRESS(2,COLUMN())),OFFSET($CL$2,0,0,ROW()-1,84),ROW()-1,FALSE))</f>
        <v/>
      </c>
      <c r="AM107" t="str">
        <f ca="1">IF(AND($B$252=1,LEN($AM$226) * LEN($AM$167)&gt;0),$AM$226/$AM$167,HLOOKUP(INDIRECT(ADDRESS(2,COLUMN())),OFFSET($CL$2,0,0,ROW()-1,84),ROW()-1,FALSE))</f>
        <v/>
      </c>
      <c r="AN107" t="str">
        <f ca="1">IF(AND($B$252=1,LEN($AN$226) * LEN($AN$167)&gt;0),$AN$226/$AN$167,HLOOKUP(INDIRECT(ADDRESS(2,COLUMN())),OFFSET($CL$2,0,0,ROW()-1,84),ROW()-1,FALSE))</f>
        <v/>
      </c>
      <c r="AO107" t="str">
        <f ca="1">IF(AND($B$252=1,LEN($AO$226) * LEN($AO$167)&gt;0),$AO$226/$AO$167,HLOOKUP(INDIRECT(ADDRESS(2,COLUMN())),OFFSET($CL$2,0,0,ROW()-1,84),ROW()-1,FALSE))</f>
        <v/>
      </c>
      <c r="AP107" t="str">
        <f ca="1">IF(AND($B$252=1,LEN($AP$226) * LEN($AP$167)&gt;0),$AP$226/$AP$167,HLOOKUP(INDIRECT(ADDRESS(2,COLUMN())),OFFSET($CL$2,0,0,ROW()-1,84),ROW()-1,FALSE))</f>
        <v/>
      </c>
      <c r="AQ107" t="str">
        <f ca="1">IF(AND($B$252=1,LEN($AQ$226) * LEN($AQ$167)&gt;0),$AQ$226/$AQ$167,HLOOKUP(INDIRECT(ADDRESS(2,COLUMN())),OFFSET($CL$2,0,0,ROW()-1,84),ROW()-1,FALSE))</f>
        <v/>
      </c>
      <c r="AR107" t="str">
        <f ca="1">IF(AND($B$252=1,LEN($AR$226) * LEN($AR$167)&gt;0),$AR$226/$AR$167,HLOOKUP(INDIRECT(ADDRESS(2,COLUMN())),OFFSET($CL$2,0,0,ROW()-1,84),ROW()-1,FALSE))</f>
        <v/>
      </c>
      <c r="AS107" t="str">
        <f ca="1">IF(AND($B$252=1,LEN($AS$226) * LEN($AS$167)&gt;0),$AS$226/$AS$167,HLOOKUP(INDIRECT(ADDRESS(2,COLUMN())),OFFSET($CL$2,0,0,ROW()-1,84),ROW()-1,FALSE))</f>
        <v/>
      </c>
      <c r="AT107" t="str">
        <f ca="1">IF(AND($B$252=1,LEN($AT$226) * LEN($AT$167)&gt;0),$AT$226/$AT$167,HLOOKUP(INDIRECT(ADDRESS(2,COLUMN())),OFFSET($CL$2,0,0,ROW()-1,84),ROW()-1,FALSE))</f>
        <v/>
      </c>
      <c r="AU107" t="str">
        <f ca="1">IF(AND($B$252=1,LEN($AU$226) * LEN($AU$167)&gt;0),$AU$226/$AU$167,HLOOKUP(INDIRECT(ADDRESS(2,COLUMN())),OFFSET($CL$2,0,0,ROW()-1,84),ROW()-1,FALSE))</f>
        <v/>
      </c>
      <c r="AV107" t="str">
        <f ca="1">IF(AND($B$252=1,LEN($AV$226) * LEN($AV$167)&gt;0),$AV$226/$AV$167,HLOOKUP(INDIRECT(ADDRESS(2,COLUMN())),OFFSET($CL$2,0,0,ROW()-1,84),ROW()-1,FALSE))</f>
        <v/>
      </c>
      <c r="AW107" t="str">
        <f ca="1">IF(AND($B$252=1,LEN($AW$226) * LEN($AW$167)&gt;0),$AW$226/$AW$167,HLOOKUP(INDIRECT(ADDRESS(2,COLUMN())),OFFSET($CL$2,0,0,ROW()-1,84),ROW()-1,FALSE))</f>
        <v/>
      </c>
      <c r="AX107" t="str">
        <f ca="1">IF(AND($B$252=1,LEN($AX$226) * LEN($AX$167)&gt;0),$AX$226/$AX$167,HLOOKUP(INDIRECT(ADDRESS(2,COLUMN())),OFFSET($CL$2,0,0,ROW()-1,84),ROW()-1,FALSE))</f>
        <v/>
      </c>
      <c r="AY107" t="str">
        <f ca="1">IF(AND($B$252=1,LEN($AY$226) * LEN($AY$167)&gt;0),$AY$226/$AY$167,HLOOKUP(INDIRECT(ADDRESS(2,COLUMN())),OFFSET($CL$2,0,0,ROW()-1,84),ROW()-1,FALSE))</f>
        <v/>
      </c>
      <c r="AZ107" t="str">
        <f ca="1">IF(AND($B$252=1,LEN($AZ$226) * LEN($AZ$167)&gt;0),$AZ$226/$AZ$167,HLOOKUP(INDIRECT(ADDRESS(2,COLUMN())),OFFSET($CL$2,0,0,ROW()-1,84),ROW()-1,FALSE))</f>
        <v/>
      </c>
      <c r="BA107" t="str">
        <f ca="1">IF(AND($B$252=1,LEN($BA$226) * LEN($BA$167)&gt;0),$BA$226/$BA$167,HLOOKUP(INDIRECT(ADDRESS(2,COLUMN())),OFFSET($CL$2,0,0,ROW()-1,84),ROW()-1,FALSE))</f>
        <v/>
      </c>
      <c r="BB107" t="str">
        <f ca="1">IF(AND($B$252=1,LEN($BB$226) * LEN($BB$167)&gt;0),$BB$226/$BB$167,HLOOKUP(INDIRECT(ADDRESS(2,COLUMN())),OFFSET($CL$2,0,0,ROW()-1,84),ROW()-1,FALSE))</f>
        <v/>
      </c>
      <c r="BC107" t="str">
        <f ca="1">IF(AND($B$252=1,LEN($BC$226) * LEN($BC$167)&gt;0),$BC$226/$BC$167,HLOOKUP(INDIRECT(ADDRESS(2,COLUMN())),OFFSET($CL$2,0,0,ROW()-1,84),ROW()-1,FALSE))</f>
        <v/>
      </c>
      <c r="BD107" t="str">
        <f ca="1">IF(AND($B$252=1,LEN($BD$226) * LEN($BD$167)&gt;0),$BD$226/$BD$167,HLOOKUP(INDIRECT(ADDRESS(2,COLUMN())),OFFSET($CL$2,0,0,ROW()-1,84),ROW()-1,FALSE))</f>
        <v/>
      </c>
      <c r="BE107" t="str">
        <f ca="1">IF(AND($B$252=1,LEN($BE$226) * LEN($BE$167)&gt;0),$BE$226/$BE$167,HLOOKUP(INDIRECT(ADDRESS(2,COLUMN())),OFFSET($CL$2,0,0,ROW()-1,84),ROW()-1,FALSE))</f>
        <v/>
      </c>
      <c r="BF107" t="str">
        <f ca="1">IF(AND($B$252=1,LEN($BF$226) * LEN($BF$167)&gt;0),$BF$226/$BF$167,HLOOKUP(INDIRECT(ADDRESS(2,COLUMN())),OFFSET($CL$2,0,0,ROW()-1,84),ROW()-1,FALSE))</f>
        <v/>
      </c>
      <c r="BG107" t="str">
        <f ca="1">IF(AND($B$252=1,LEN($BG$226) * LEN($BG$167)&gt;0),$BG$226/$BG$167,HLOOKUP(INDIRECT(ADDRESS(2,COLUMN())),OFFSET($CL$2,0,0,ROW()-1,84),ROW()-1,FALSE))</f>
        <v/>
      </c>
      <c r="BH107" t="str">
        <f ca="1">IF(AND($B$252=1,LEN($BH$226) * LEN($BH$167)&gt;0),$BH$226/$BH$167,HLOOKUP(INDIRECT(ADDRESS(2,COLUMN())),OFFSET($CL$2,0,0,ROW()-1,84),ROW()-1,FALSE))</f>
        <v/>
      </c>
      <c r="BI107" t="str">
        <f ca="1">IF(AND($B$252=1,LEN($BI$226) * LEN($BI$167)&gt;0),$BI$226/$BI$167,HLOOKUP(INDIRECT(ADDRESS(2,COLUMN())),OFFSET($CL$2,0,0,ROW()-1,84),ROW()-1,FALSE))</f>
        <v/>
      </c>
      <c r="BJ107" t="str">
        <f ca="1">IF(AND($B$252=1,LEN($BJ$226) * LEN($BJ$167)&gt;0),$BJ$226/$BJ$167,HLOOKUP(INDIRECT(ADDRESS(2,COLUMN())),OFFSET($CL$2,0,0,ROW()-1,84),ROW()-1,FALSE))</f>
        <v/>
      </c>
      <c r="BK107" t="str">
        <f ca="1">IF(AND($B$252=1,LEN($BK$226) * LEN($BK$167)&gt;0),$BK$226/$BK$167,HLOOKUP(INDIRECT(ADDRESS(2,COLUMN())),OFFSET($CL$2,0,0,ROW()-1,84),ROW()-1,FALSE))</f>
        <v/>
      </c>
      <c r="BL107" t="str">
        <f ca="1">IF(AND($B$252=1,LEN($BL$226) * LEN($BL$167)&gt;0),$BL$226/$BL$167,HLOOKUP(INDIRECT(ADDRESS(2,COLUMN())),OFFSET($CL$2,0,0,ROW()-1,84),ROW()-1,FALSE))</f>
        <v/>
      </c>
      <c r="BM107" t="str">
        <f ca="1">IF(AND($B$252=1,LEN($BM$226) * LEN($BM$167)&gt;0),$BM$226/$BM$167,HLOOKUP(INDIRECT(ADDRESS(2,COLUMN())),OFFSET($CL$2,0,0,ROW()-1,84),ROW()-1,FALSE))</f>
        <v/>
      </c>
      <c r="BN107" t="str">
        <f ca="1">IF(AND($B$252=1,LEN($BN$226) * LEN($BN$167)&gt;0),$BN$226/$BN$167,HLOOKUP(INDIRECT(ADDRESS(2,COLUMN())),OFFSET($CL$2,0,0,ROW()-1,84),ROW()-1,FALSE))</f>
        <v/>
      </c>
      <c r="BO107" t="str">
        <f ca="1">IF(AND($B$252=1,LEN($BO$226) * LEN($BO$167)&gt;0),$BO$226/$BO$167,HLOOKUP(INDIRECT(ADDRESS(2,COLUMN())),OFFSET($CL$2,0,0,ROW()-1,84),ROW()-1,FALSE))</f>
        <v/>
      </c>
      <c r="BP107" t="str">
        <f ca="1">IF(AND($B$252=1,LEN($BP$226) * LEN($BP$167)&gt;0),$BP$226/$BP$167,HLOOKUP(INDIRECT(ADDRESS(2,COLUMN())),OFFSET($CL$2,0,0,ROW()-1,84),ROW()-1,FALSE))</f>
        <v/>
      </c>
      <c r="BQ107" t="str">
        <f ca="1">IF(AND($B$252=1,LEN($BQ$226) * LEN($BQ$167)&gt;0),$BQ$226/$BQ$167,HLOOKUP(INDIRECT(ADDRESS(2,COLUMN())),OFFSET($CL$2,0,0,ROW()-1,84),ROW()-1,FALSE))</f>
        <v/>
      </c>
      <c r="BR107" t="str">
        <f ca="1">IF(AND($B$252=1,LEN($BR$226) * LEN($BR$167)&gt;0),$BR$226/$BR$167,HLOOKUP(INDIRECT(ADDRESS(2,COLUMN())),OFFSET($CL$2,0,0,ROW()-1,84),ROW()-1,FALSE))</f>
        <v/>
      </c>
      <c r="BS107" t="str">
        <f ca="1">IF(AND($B$252=1,LEN($BS$226) * LEN($BS$167)&gt;0),$BS$226/$BS$167,HLOOKUP(INDIRECT(ADDRESS(2,COLUMN())),OFFSET($CL$2,0,0,ROW()-1,84),ROW()-1,FALSE))</f>
        <v/>
      </c>
      <c r="BT107" t="str">
        <f ca="1">IF(AND($B$252=1,LEN($BT$226) * LEN($BT$167)&gt;0),$BT$226/$BT$167,HLOOKUP(INDIRECT(ADDRESS(2,COLUMN())),OFFSET($CL$2,0,0,ROW()-1,84),ROW()-1,FALSE))</f>
        <v/>
      </c>
      <c r="BU107" t="str">
        <f ca="1">IF(AND($B$252=1,LEN($BU$226) * LEN($BU$167)&gt;0),$BU$226/$BU$167,HLOOKUP(INDIRECT(ADDRESS(2,COLUMN())),OFFSET($CL$2,0,0,ROW()-1,84),ROW()-1,FALSE))</f>
        <v/>
      </c>
      <c r="BV107" t="str">
        <f ca="1">IF(AND($B$252=1,LEN($BV$226) * LEN($BV$167)&gt;0),$BV$226/$BV$167,HLOOKUP(INDIRECT(ADDRESS(2,COLUMN())),OFFSET($CL$2,0,0,ROW()-1,84),ROW()-1,FALSE))</f>
        <v/>
      </c>
      <c r="BW107" t="str">
        <f ca="1">IF(AND($B$252=1,LEN($BW$226) * LEN($BW$167)&gt;0),$BW$226/$BW$167,HLOOKUP(INDIRECT(ADDRESS(2,COLUMN())),OFFSET($CL$2,0,0,ROW()-1,84),ROW()-1,FALSE))</f>
        <v/>
      </c>
      <c r="BX107" t="str">
        <f ca="1">IF(AND($B$252=1,LEN($BX$226) * LEN($BX$167)&gt;0),$BX$226/$BX$167,HLOOKUP(INDIRECT(ADDRESS(2,COLUMN())),OFFSET($CL$2,0,0,ROW()-1,84),ROW()-1,FALSE))</f>
        <v/>
      </c>
      <c r="BY107" t="str">
        <f ca="1">IF(AND($B$252=1,LEN($BY$226) * LEN($BY$167)&gt;0),$BY$226/$BY$167,HLOOKUP(INDIRECT(ADDRESS(2,COLUMN())),OFFSET($CL$2,0,0,ROW()-1,84),ROW()-1,FALSE))</f>
        <v/>
      </c>
      <c r="BZ107" t="str">
        <f ca="1">IF(AND($B$252=1,LEN($BZ$226) * LEN($BZ$167)&gt;0),$BZ$226/$BZ$167,HLOOKUP(INDIRECT(ADDRESS(2,COLUMN())),OFFSET($CL$2,0,0,ROW()-1,84),ROW()-1,FALSE))</f>
        <v/>
      </c>
      <c r="CA107" t="str">
        <f ca="1">IF(AND($B$252=1,LEN($CA$226) * LEN($CA$167)&gt;0),$CA$226/$CA$167,HLOOKUP(INDIRECT(ADDRESS(2,COLUMN())),OFFSET($CL$2,0,0,ROW()-1,84),ROW()-1,FALSE))</f>
        <v/>
      </c>
      <c r="CB107" t="str">
        <f ca="1">IF(AND($B$252=1,LEN($CB$226) * LEN($CB$167)&gt;0),$CB$226/$CB$167,HLOOKUP(INDIRECT(ADDRESS(2,COLUMN())),OFFSET($CL$2,0,0,ROW()-1,84),ROW()-1,FALSE))</f>
        <v/>
      </c>
      <c r="CC107" t="str">
        <f ca="1">IF(AND($B$252=1,LEN($CC$226) * LEN($CC$167)&gt;0),$CC$226/$CC$167,HLOOKUP(INDIRECT(ADDRESS(2,COLUMN())),OFFSET($CL$2,0,0,ROW()-1,84),ROW()-1,FALSE))</f>
        <v/>
      </c>
      <c r="CD107" t="str">
        <f ca="1">IF(AND($B$252=1,LEN($CD$226) * LEN($CD$167)&gt;0),$CD$226/$CD$167,HLOOKUP(INDIRECT(ADDRESS(2,COLUMN())),OFFSET($CL$2,0,0,ROW()-1,84),ROW()-1,FALSE))</f>
        <v/>
      </c>
      <c r="CE107" t="str">
        <f ca="1">IF(AND($B$252=1,LEN($CE$226) * LEN($CE$167)&gt;0),$CE$226/$CE$167,HLOOKUP(INDIRECT(ADDRESS(2,COLUMN())),OFFSET($CL$2,0,0,ROW()-1,84),ROW()-1,FALSE))</f>
        <v/>
      </c>
      <c r="CF107" t="str">
        <f ca="1">IF(AND($B$252=1,LEN($CF$226) * LEN($CF$167)&gt;0),$CF$226/$CF$167,HLOOKUP(INDIRECT(ADDRESS(2,COLUMN())),OFFSET($CL$2,0,0,ROW()-1,84),ROW()-1,FALSE))</f>
        <v/>
      </c>
      <c r="CG107" t="str">
        <f ca="1">IF(AND($B$252=1,LEN($CG$226) * LEN($CG$167)&gt;0),$CG$226/$CG$167,HLOOKUP(INDIRECT(ADDRESS(2,COLUMN())),OFFSET($CL$2,0,0,ROW()-1,84),ROW()-1,FALSE))</f>
        <v/>
      </c>
      <c r="CH107" t="str">
        <f ca="1">IF(AND($B$252=1,LEN($CH$226) * LEN($CH$167)&gt;0),$CH$226/$CH$167,HLOOKUP(INDIRECT(ADDRESS(2,COLUMN())),OFFSET($CL$2,0,0,ROW()-1,84),ROW()-1,FALSE))</f>
        <v/>
      </c>
      <c r="CI107" t="str">
        <f ca="1">IF(AND($B$252=1,LEN($CI$226) * LEN($CI$167)&gt;0),$CI$226/$CI$167,HLOOKUP(INDIRECT(ADDRESS(2,COLUMN())),OFFSET($CL$2,0,0,ROW()-1,84),ROW()-1,FALSE))</f>
        <v/>
      </c>
      <c r="CJ107" t="str">
        <f ca="1">IF(AND($B$252=1,LEN($CJ$226) * LEN($CJ$167)&gt;0),$CJ$226/$CJ$167,HLOOKUP(INDIRECT(ADDRESS(2,COLUMN())),OFFSET($CL$2,0,0,ROW()-1,84),ROW()-1,FALSE))</f>
        <v/>
      </c>
      <c r="CK107" t="str">
        <f ca="1">IF(AND($B$252=1,LEN($CK$226) * LEN($CK$167)&gt;0),$CK$226/$CK$167,HLOOKUP(INDIRECT(ADDRESS(2,COLUMN())),OFFSET($CL$2,0,0,ROW()-1,84),ROW()-1,FALSE))</f>
        <v/>
      </c>
      <c r="CL107">
        <f>16.3776352</f>
        <v>16.3776352</v>
      </c>
      <c r="CM107">
        <f>15.57249138</f>
        <v>15.572491380000001</v>
      </c>
      <c r="CN107">
        <f>17.16213784</f>
        <v>17.16213784</v>
      </c>
      <c r="CO107">
        <f>17.90598291</f>
        <v>17.905982909999999</v>
      </c>
      <c r="CP107">
        <f>17.91222242</f>
        <v>17.912222419999999</v>
      </c>
      <c r="CQ107">
        <f>17.84655623</f>
        <v>17.846556230000001</v>
      </c>
      <c r="CR107">
        <f>18.58782609</f>
        <v>18.58782609</v>
      </c>
      <c r="CS107">
        <f>18.65101612</f>
        <v>18.651016120000001</v>
      </c>
      <c r="CT107">
        <f>18.09648663</f>
        <v>18.096486630000001</v>
      </c>
      <c r="CU107">
        <f>18.42952081</f>
        <v>18.42952081</v>
      </c>
      <c r="CV107">
        <f>17.84351479</f>
        <v>17.84351479</v>
      </c>
      <c r="CW107">
        <f>17.41748596</f>
        <v>17.41748596</v>
      </c>
      <c r="CX107">
        <f>17.87420942</f>
        <v>17.87420942</v>
      </c>
      <c r="CY107">
        <f>18.08626761</f>
        <v>18.08626761</v>
      </c>
      <c r="CZ107">
        <f>16.62872154</f>
        <v>16.628721540000001</v>
      </c>
      <c r="DA107">
        <f>17.41419171</f>
        <v>17.414191710000001</v>
      </c>
      <c r="DB107">
        <f>15.79827586</f>
        <v>15.79827586</v>
      </c>
      <c r="DC107">
        <f>15.72033898</f>
        <v>15.720338979999999</v>
      </c>
      <c r="DD107">
        <f>15.79663866</f>
        <v>15.796638659999999</v>
      </c>
      <c r="DE107">
        <f>15.77013423</f>
        <v>15.77013423</v>
      </c>
      <c r="DF107">
        <f>17.7885906</f>
        <v>17.788590599999999</v>
      </c>
      <c r="DG107" t="str">
        <f>""</f>
        <v/>
      </c>
      <c r="DH107">
        <f>17.28020134</f>
        <v>17.280201340000001</v>
      </c>
      <c r="DI107" t="str">
        <f>""</f>
        <v/>
      </c>
      <c r="DJ107" t="str">
        <f>""</f>
        <v/>
      </c>
      <c r="DK107" t="str">
        <f>""</f>
        <v/>
      </c>
      <c r="DL107" t="str">
        <f>""</f>
        <v/>
      </c>
      <c r="DM107" t="str">
        <f>""</f>
        <v/>
      </c>
      <c r="DN107" t="str">
        <f>""</f>
        <v/>
      </c>
      <c r="DO107" t="str">
        <f>""</f>
        <v/>
      </c>
      <c r="DP107" t="str">
        <f>""</f>
        <v/>
      </c>
      <c r="DQ107" t="str">
        <f>""</f>
        <v/>
      </c>
      <c r="DR107" t="str">
        <f>""</f>
        <v/>
      </c>
      <c r="DS107" t="str">
        <f>""</f>
        <v/>
      </c>
      <c r="DT107" t="str">
        <f>""</f>
        <v/>
      </c>
      <c r="DU107" t="str">
        <f>""</f>
        <v/>
      </c>
      <c r="DV107" t="str">
        <f>""</f>
        <v/>
      </c>
      <c r="DW107" t="str">
        <f>""</f>
        <v/>
      </c>
      <c r="DX107" t="str">
        <f>""</f>
        <v/>
      </c>
      <c r="DY107" t="str">
        <f>""</f>
        <v/>
      </c>
      <c r="DZ107" t="str">
        <f>""</f>
        <v/>
      </c>
      <c r="EA107" t="str">
        <f>""</f>
        <v/>
      </c>
      <c r="EB107" t="str">
        <f>""</f>
        <v/>
      </c>
      <c r="EC107" t="str">
        <f>""</f>
        <v/>
      </c>
      <c r="ED107" t="str">
        <f>""</f>
        <v/>
      </c>
      <c r="EE107" t="str">
        <f>""</f>
        <v/>
      </c>
      <c r="EF107" t="str">
        <f>""</f>
        <v/>
      </c>
      <c r="EG107" t="str">
        <f>""</f>
        <v/>
      </c>
      <c r="EH107" t="str">
        <f>""</f>
        <v/>
      </c>
      <c r="EI107" t="str">
        <f>""</f>
        <v/>
      </c>
      <c r="EJ107" t="str">
        <f>""</f>
        <v/>
      </c>
      <c r="EK107" t="str">
        <f>""</f>
        <v/>
      </c>
      <c r="EL107" t="str">
        <f>""</f>
        <v/>
      </c>
      <c r="EM107" t="str">
        <f>""</f>
        <v/>
      </c>
      <c r="EN107" t="str">
        <f>""</f>
        <v/>
      </c>
      <c r="EO107" t="str">
        <f>""</f>
        <v/>
      </c>
      <c r="EP107" t="str">
        <f>""</f>
        <v/>
      </c>
      <c r="EQ107" t="str">
        <f>""</f>
        <v/>
      </c>
      <c r="ER107" t="str">
        <f>""</f>
        <v/>
      </c>
      <c r="ES107" t="str">
        <f>""</f>
        <v/>
      </c>
      <c r="ET107" t="str">
        <f>""</f>
        <v/>
      </c>
      <c r="EU107" t="str">
        <f>""</f>
        <v/>
      </c>
      <c r="EV107" t="str">
        <f>""</f>
        <v/>
      </c>
      <c r="EW107" t="str">
        <f>""</f>
        <v/>
      </c>
      <c r="EX107" t="str">
        <f>""</f>
        <v/>
      </c>
      <c r="EY107" t="str">
        <f>""</f>
        <v/>
      </c>
      <c r="EZ107" t="str">
        <f>""</f>
        <v/>
      </c>
      <c r="FA107" t="str">
        <f>""</f>
        <v/>
      </c>
      <c r="FB107" t="str">
        <f>""</f>
        <v/>
      </c>
      <c r="FC107" t="str">
        <f>""</f>
        <v/>
      </c>
      <c r="FD107" t="str">
        <f>""</f>
        <v/>
      </c>
      <c r="FE107" t="str">
        <f>""</f>
        <v/>
      </c>
      <c r="FF107" t="str">
        <f>""</f>
        <v/>
      </c>
      <c r="FG107" t="str">
        <f>""</f>
        <v/>
      </c>
      <c r="FH107" t="str">
        <f>""</f>
        <v/>
      </c>
      <c r="FI107" t="str">
        <f>""</f>
        <v/>
      </c>
      <c r="FJ107" t="str">
        <f>""</f>
        <v/>
      </c>
      <c r="FK107" t="str">
        <f>""</f>
        <v/>
      </c>
      <c r="FL107" t="str">
        <f>""</f>
        <v/>
      </c>
      <c r="FM107" t="str">
        <f>""</f>
        <v/>
      </c>
      <c r="FN107" t="str">
        <f>""</f>
        <v/>
      </c>
      <c r="FO107" t="str">
        <f>""</f>
        <v/>
      </c>
      <c r="FP107" t="str">
        <f>""</f>
        <v/>
      </c>
      <c r="FQ107" t="str">
        <f>""</f>
        <v/>
      </c>
    </row>
    <row r="108" spans="1:173">
      <c r="A108" t="str">
        <f>"    UDR Inc"</f>
        <v xml:space="preserve">    UDR Inc</v>
      </c>
      <c r="B108" t="str">
        <f>"UDR US Equity"</f>
        <v>UDR US Equity</v>
      </c>
      <c r="E108" t="str">
        <f t="shared" si="32"/>
        <v>Expression</v>
      </c>
      <c r="F108">
        <f ca="1">IF(AND($B$252=1,LEN($F$228) * LEN($F$169)&gt;0),$F$228/$F$169,HLOOKUP(INDIRECT(ADDRESS(2,COLUMN())),OFFSET($CL$2,0,0,ROW()-1,84),ROW()-1,FALSE))</f>
        <v>19.776035830000001</v>
      </c>
      <c r="G108">
        <f ca="1">IF(AND($B$252=1,LEN($G$228) * LEN($G$169)&gt;0),$G$228/$G$169,HLOOKUP(INDIRECT(ADDRESS(2,COLUMN())),OFFSET($CL$2,0,0,ROW()-1,84),ROW()-1,FALSE))</f>
        <v>18.81365417</v>
      </c>
      <c r="H108">
        <f ca="1">IF(AND($B$252=1,LEN($H$228) * LEN($H$169)&gt;0),$H$228/$H$169,HLOOKUP(INDIRECT(ADDRESS(2,COLUMN())),OFFSET($CL$2,0,0,ROW()-1,84),ROW()-1,FALSE))</f>
        <v>20.23822715</v>
      </c>
      <c r="I108">
        <f ca="1">IF(AND($B$252=1,LEN($I$228) * LEN($I$169)&gt;0),$I$228/$I$169,HLOOKUP(INDIRECT(ADDRESS(2,COLUMN())),OFFSET($CL$2,0,0,ROW()-1,84),ROW()-1,FALSE))</f>
        <v>21.4</v>
      </c>
      <c r="J108">
        <f ca="1">IF(AND($B$252=1,LEN($J$228) * LEN($J$169)&gt;0),$J$228/$J$169,HLOOKUP(INDIRECT(ADDRESS(2,COLUMN())),OFFSET($CL$2,0,0,ROW()-1,84),ROW()-1,FALSE))</f>
        <v>21.85</v>
      </c>
      <c r="K108">
        <f ca="1">IF(AND($B$252=1,LEN($K$228) * LEN($K$169)&gt;0),$K$228/$K$169,HLOOKUP(INDIRECT(ADDRESS(2,COLUMN())),OFFSET($CL$2,0,0,ROW()-1,84),ROW()-1,FALSE))</f>
        <v>21.514143090000001</v>
      </c>
      <c r="L108">
        <f ca="1">IF(AND($B$252=1,LEN($L$228) * LEN($L$169)&gt;0),$L$228/$L$169,HLOOKUP(INDIRECT(ADDRESS(2,COLUMN())),OFFSET($CL$2,0,0,ROW()-1,84),ROW()-1,FALSE))</f>
        <v>21.092623410000002</v>
      </c>
      <c r="M108">
        <f ca="1">IF(AND($B$252=1,LEN($M$228) * LEN($M$169)&gt;0),$M$228/$M$169,HLOOKUP(INDIRECT(ADDRESS(2,COLUMN())),OFFSET($CL$2,0,0,ROW()-1,84),ROW()-1,FALSE))</f>
        <v>21.38842975</v>
      </c>
      <c r="N108">
        <f ca="1">IF(AND($B$252=1,LEN($N$228) * LEN($N$169)&gt;0),$N$228/$N$169,HLOOKUP(INDIRECT(ADDRESS(2,COLUMN())),OFFSET($CL$2,0,0,ROW()-1,84),ROW()-1,FALSE))</f>
        <v>21.83798883</v>
      </c>
      <c r="O108">
        <f ca="1">IF(AND($B$252=1,LEN($O$228) * LEN($O$169)&gt;0),$O$228/$O$169,HLOOKUP(INDIRECT(ADDRESS(2,COLUMN())),OFFSET($CL$2,0,0,ROW()-1,84),ROW()-1,FALSE))</f>
        <v>21.65</v>
      </c>
      <c r="P108">
        <f ca="1">IF(AND($B$252=1,LEN($P$228) * LEN($P$169)&gt;0),$P$228/$P$169,HLOOKUP(INDIRECT(ADDRESS(2,COLUMN())),OFFSET($CL$2,0,0,ROW()-1,84),ROW()-1,FALSE))</f>
        <v>21.45</v>
      </c>
      <c r="Q108">
        <f ca="1">IF(AND($B$252=1,LEN($Q$228) * LEN($Q$169)&gt;0),$Q$228/$Q$169,HLOOKUP(INDIRECT(ADDRESS(2,COLUMN())),OFFSET($CL$2,0,0,ROW()-1,84),ROW()-1,FALSE))</f>
        <v>21.300627500000001</v>
      </c>
      <c r="R108">
        <f ca="1">IF(AND($B$252=1,LEN($R$228) * LEN($R$169)&gt;0),$R$228/$R$169,HLOOKUP(INDIRECT(ADDRESS(2,COLUMN())),OFFSET($CL$2,0,0,ROW()-1,84),ROW()-1,FALSE))</f>
        <v>20.839080460000002</v>
      </c>
      <c r="S108">
        <f ca="1">IF(AND($B$252=1,LEN($S$228) * LEN($S$169)&gt;0),$S$228/$S$169,HLOOKUP(INDIRECT(ADDRESS(2,COLUMN())),OFFSET($CL$2,0,0,ROW()-1,84),ROW()-1,FALSE))</f>
        <v>20.869068039999998</v>
      </c>
      <c r="T108">
        <f ca="1">IF(AND($B$252=1,LEN($T$228) * LEN($T$169)&gt;0),$T$228/$T$169,HLOOKUP(INDIRECT(ADDRESS(2,COLUMN())),OFFSET($CL$2,0,0,ROW()-1,84),ROW()-1,FALSE))</f>
        <v>19.459910910000001</v>
      </c>
      <c r="U108">
        <f ca="1">IF(AND($B$252=1,LEN($U$228) * LEN($U$169)&gt;0),$U$228/$U$169,HLOOKUP(INDIRECT(ADDRESS(2,COLUMN())),OFFSET($CL$2,0,0,ROW()-1,84),ROW()-1,FALSE))</f>
        <v>20.289210229999998</v>
      </c>
      <c r="V108">
        <f ca="1">IF(AND($B$252=1,LEN($V$228) * LEN($V$169)&gt;0),$V$228/$V$169,HLOOKUP(INDIRECT(ADDRESS(2,COLUMN())),OFFSET($CL$2,0,0,ROW()-1,84),ROW()-1,FALSE))</f>
        <v>19.038031320000002</v>
      </c>
      <c r="W108">
        <f ca="1">IF(AND($B$252=1,LEN($W$228) * LEN($W$169)&gt;0),$W$228/$W$169,HLOOKUP(INDIRECT(ADDRESS(2,COLUMN())),OFFSET($CL$2,0,0,ROW()-1,84),ROW()-1,FALSE))</f>
        <v>19.723632259999999</v>
      </c>
      <c r="X108">
        <f ca="1">IF(AND($B$252=1,LEN($X$228) * LEN($X$169)&gt;0),$X$228/$X$169,HLOOKUP(INDIRECT(ADDRESS(2,COLUMN())),OFFSET($CL$2,0,0,ROW()-1,84),ROW()-1,FALSE))</f>
        <v>19.666666670000001</v>
      </c>
      <c r="Y108">
        <f ca="1">IF(AND($B$252=1,LEN($Y$228) * LEN($Y$169)&gt;0),$Y$228/$Y$169,HLOOKUP(INDIRECT(ADDRESS(2,COLUMN())),OFFSET($CL$2,0,0,ROW()-1,84),ROW()-1,FALSE))</f>
        <v>19.846407020000001</v>
      </c>
      <c r="Z108">
        <f ca="1">IF(AND($B$252=1,LEN($Z$228) * LEN($Z$169)&gt;0),$Z$228/$Z$169,HLOOKUP(INDIRECT(ADDRESS(2,COLUMN())),OFFSET($CL$2,0,0,ROW()-1,84),ROW()-1,FALSE))</f>
        <v>20.422380690000001</v>
      </c>
      <c r="AA108">
        <f ca="1">IF(AND($B$252=1,LEN($AA$228) * LEN($AA$169)&gt;0),$AA$228/$AA$169,HLOOKUP(INDIRECT(ADDRESS(2,COLUMN())),OFFSET($CL$2,0,0,ROW()-1,84),ROW()-1,FALSE))</f>
        <v>20.285714290000001</v>
      </c>
      <c r="AB108" t="str">
        <f ca="1">IF(AND($B$252=1,LEN($AB$228) * LEN($AB$169)&gt;0),$AB$228/$AB$169,HLOOKUP(INDIRECT(ADDRESS(2,COLUMN())),OFFSET($CL$2,0,0,ROW()-1,84),ROW()-1,FALSE))</f>
        <v/>
      </c>
      <c r="AC108">
        <f ca="1">IF(AND($B$252=1,LEN($AC$228) * LEN($AC$169)&gt;0),$AC$228/$AC$169,HLOOKUP(INDIRECT(ADDRESS(2,COLUMN())),OFFSET($CL$2,0,0,ROW()-1,84),ROW()-1,FALSE))</f>
        <v>18.97826087</v>
      </c>
      <c r="AD108" t="str">
        <f ca="1">IF(AND($B$252=1,LEN($AD$228) * LEN($AD$169)&gt;0),$AD$228/$AD$169,HLOOKUP(INDIRECT(ADDRESS(2,COLUMN())),OFFSET($CL$2,0,0,ROW()-1,84),ROW()-1,FALSE))</f>
        <v/>
      </c>
      <c r="AE108">
        <f ca="1">IF(AND($B$252=1,LEN($AE$228) * LEN($AE$169)&gt;0),$AE$228/$AE$169,HLOOKUP(INDIRECT(ADDRESS(2,COLUMN())),OFFSET($CL$2,0,0,ROW()-1,84),ROW()-1,FALSE))</f>
        <v>18.456989249999999</v>
      </c>
      <c r="AF108" t="str">
        <f ca="1">IF(AND($B$252=1,LEN($AF$228) * LEN($AF$169)&gt;0),$AF$228/$AF$169,HLOOKUP(INDIRECT(ADDRESS(2,COLUMN())),OFFSET($CL$2,0,0,ROW()-1,84),ROW()-1,FALSE))</f>
        <v/>
      </c>
      <c r="AG108" t="str">
        <f ca="1">IF(AND($B$252=1,LEN($AG$228) * LEN($AG$169)&gt;0),$AG$228/$AG$169,HLOOKUP(INDIRECT(ADDRESS(2,COLUMN())),OFFSET($CL$2,0,0,ROW()-1,84),ROW()-1,FALSE))</f>
        <v/>
      </c>
      <c r="AH108" t="str">
        <f ca="1">IF(AND($B$252=1,LEN($AH$228) * LEN($AH$169)&gt;0),$AH$228/$AH$169,HLOOKUP(INDIRECT(ADDRESS(2,COLUMN())),OFFSET($CL$2,0,0,ROW()-1,84),ROW()-1,FALSE))</f>
        <v/>
      </c>
      <c r="AI108" t="str">
        <f ca="1">IF(AND($B$252=1,LEN($AI$228) * LEN($AI$169)&gt;0),$AI$228/$AI$169,HLOOKUP(INDIRECT(ADDRESS(2,COLUMN())),OFFSET($CL$2,0,0,ROW()-1,84),ROW()-1,FALSE))</f>
        <v/>
      </c>
      <c r="AJ108" t="str">
        <f ca="1">IF(AND($B$252=1,LEN($AJ$228) * LEN($AJ$169)&gt;0),$AJ$228/$AJ$169,HLOOKUP(INDIRECT(ADDRESS(2,COLUMN())),OFFSET($CL$2,0,0,ROW()-1,84),ROW()-1,FALSE))</f>
        <v/>
      </c>
      <c r="AK108" t="str">
        <f ca="1">IF(AND($B$252=1,LEN($AK$228) * LEN($AK$169)&gt;0),$AK$228/$AK$169,HLOOKUP(INDIRECT(ADDRESS(2,COLUMN())),OFFSET($CL$2,0,0,ROW()-1,84),ROW()-1,FALSE))</f>
        <v/>
      </c>
      <c r="AL108" t="str">
        <f ca="1">IF(AND($B$252=1,LEN($AL$228) * LEN($AL$169)&gt;0),$AL$228/$AL$169,HLOOKUP(INDIRECT(ADDRESS(2,COLUMN())),OFFSET($CL$2,0,0,ROW()-1,84),ROW()-1,FALSE))</f>
        <v/>
      </c>
      <c r="AM108" t="str">
        <f ca="1">IF(AND($B$252=1,LEN($AM$228) * LEN($AM$169)&gt;0),$AM$228/$AM$169,HLOOKUP(INDIRECT(ADDRESS(2,COLUMN())),OFFSET($CL$2,0,0,ROW()-1,84),ROW()-1,FALSE))</f>
        <v/>
      </c>
      <c r="AN108" t="str">
        <f ca="1">IF(AND($B$252=1,LEN($AN$228) * LEN($AN$169)&gt;0),$AN$228/$AN$169,HLOOKUP(INDIRECT(ADDRESS(2,COLUMN())),OFFSET($CL$2,0,0,ROW()-1,84),ROW()-1,FALSE))</f>
        <v/>
      </c>
      <c r="AO108" t="str">
        <f ca="1">IF(AND($B$252=1,LEN($AO$228) * LEN($AO$169)&gt;0),$AO$228/$AO$169,HLOOKUP(INDIRECT(ADDRESS(2,COLUMN())),OFFSET($CL$2,0,0,ROW()-1,84),ROW()-1,FALSE))</f>
        <v/>
      </c>
      <c r="AP108" t="str">
        <f ca="1">IF(AND($B$252=1,LEN($AP$228) * LEN($AP$169)&gt;0),$AP$228/$AP$169,HLOOKUP(INDIRECT(ADDRESS(2,COLUMN())),OFFSET($CL$2,0,0,ROW()-1,84),ROW()-1,FALSE))</f>
        <v/>
      </c>
      <c r="AQ108" t="str">
        <f ca="1">IF(AND($B$252=1,LEN($AQ$228) * LEN($AQ$169)&gt;0),$AQ$228/$AQ$169,HLOOKUP(INDIRECT(ADDRESS(2,COLUMN())),OFFSET($CL$2,0,0,ROW()-1,84),ROW()-1,FALSE))</f>
        <v/>
      </c>
      <c r="AR108" t="str">
        <f ca="1">IF(AND($B$252=1,LEN($AR$228) * LEN($AR$169)&gt;0),$AR$228/$AR$169,HLOOKUP(INDIRECT(ADDRESS(2,COLUMN())),OFFSET($CL$2,0,0,ROW()-1,84),ROW()-1,FALSE))</f>
        <v/>
      </c>
      <c r="AS108" t="str">
        <f ca="1">IF(AND($B$252=1,LEN($AS$228) * LEN($AS$169)&gt;0),$AS$228/$AS$169,HLOOKUP(INDIRECT(ADDRESS(2,COLUMN())),OFFSET($CL$2,0,0,ROW()-1,84),ROW()-1,FALSE))</f>
        <v/>
      </c>
      <c r="AT108" t="str">
        <f ca="1">IF(AND($B$252=1,LEN($AT$228) * LEN($AT$169)&gt;0),$AT$228/$AT$169,HLOOKUP(INDIRECT(ADDRESS(2,COLUMN())),OFFSET($CL$2,0,0,ROW()-1,84),ROW()-1,FALSE))</f>
        <v/>
      </c>
      <c r="AU108" t="str">
        <f ca="1">IF(AND($B$252=1,LEN($AU$228) * LEN($AU$169)&gt;0),$AU$228/$AU$169,HLOOKUP(INDIRECT(ADDRESS(2,COLUMN())),OFFSET($CL$2,0,0,ROW()-1,84),ROW()-1,FALSE))</f>
        <v/>
      </c>
      <c r="AV108" t="str">
        <f ca="1">IF(AND($B$252=1,LEN($AV$228) * LEN($AV$169)&gt;0),$AV$228/$AV$169,HLOOKUP(INDIRECT(ADDRESS(2,COLUMN())),OFFSET($CL$2,0,0,ROW()-1,84),ROW()-1,FALSE))</f>
        <v/>
      </c>
      <c r="AW108" t="str">
        <f ca="1">IF(AND($B$252=1,LEN($AW$228) * LEN($AW$169)&gt;0),$AW$228/$AW$169,HLOOKUP(INDIRECT(ADDRESS(2,COLUMN())),OFFSET($CL$2,0,0,ROW()-1,84),ROW()-1,FALSE))</f>
        <v/>
      </c>
      <c r="AX108" t="str">
        <f ca="1">IF(AND($B$252=1,LEN($AX$228) * LEN($AX$169)&gt;0),$AX$228/$AX$169,HLOOKUP(INDIRECT(ADDRESS(2,COLUMN())),OFFSET($CL$2,0,0,ROW()-1,84),ROW()-1,FALSE))</f>
        <v/>
      </c>
      <c r="AY108" t="str">
        <f ca="1">IF(AND($B$252=1,LEN($AY$228) * LEN($AY$169)&gt;0),$AY$228/$AY$169,HLOOKUP(INDIRECT(ADDRESS(2,COLUMN())),OFFSET($CL$2,0,0,ROW()-1,84),ROW()-1,FALSE))</f>
        <v/>
      </c>
      <c r="AZ108" t="str">
        <f ca="1">IF(AND($B$252=1,LEN($AZ$228) * LEN($AZ$169)&gt;0),$AZ$228/$AZ$169,HLOOKUP(INDIRECT(ADDRESS(2,COLUMN())),OFFSET($CL$2,0,0,ROW()-1,84),ROW()-1,FALSE))</f>
        <v/>
      </c>
      <c r="BA108" t="str">
        <f ca="1">IF(AND($B$252=1,LEN($BA$228) * LEN($BA$169)&gt;0),$BA$228/$BA$169,HLOOKUP(INDIRECT(ADDRESS(2,COLUMN())),OFFSET($CL$2,0,0,ROW()-1,84),ROW()-1,FALSE))</f>
        <v/>
      </c>
      <c r="BB108" t="str">
        <f ca="1">IF(AND($B$252=1,LEN($BB$228) * LEN($BB$169)&gt;0),$BB$228/$BB$169,HLOOKUP(INDIRECT(ADDRESS(2,COLUMN())),OFFSET($CL$2,0,0,ROW()-1,84),ROW()-1,FALSE))</f>
        <v/>
      </c>
      <c r="BC108" t="str">
        <f ca="1">IF(AND($B$252=1,LEN($BC$228) * LEN($BC$169)&gt;0),$BC$228/$BC$169,HLOOKUP(INDIRECT(ADDRESS(2,COLUMN())),OFFSET($CL$2,0,0,ROW()-1,84),ROW()-1,FALSE))</f>
        <v/>
      </c>
      <c r="BD108" t="str">
        <f ca="1">IF(AND($B$252=1,LEN($BD$228) * LEN($BD$169)&gt;0),$BD$228/$BD$169,HLOOKUP(INDIRECT(ADDRESS(2,COLUMN())),OFFSET($CL$2,0,0,ROW()-1,84),ROW()-1,FALSE))</f>
        <v/>
      </c>
      <c r="BE108" t="str">
        <f ca="1">IF(AND($B$252=1,LEN($BE$228) * LEN($BE$169)&gt;0),$BE$228/$BE$169,HLOOKUP(INDIRECT(ADDRESS(2,COLUMN())),OFFSET($CL$2,0,0,ROW()-1,84),ROW()-1,FALSE))</f>
        <v/>
      </c>
      <c r="BF108" t="str">
        <f ca="1">IF(AND($B$252=1,LEN($BF$228) * LEN($BF$169)&gt;0),$BF$228/$BF$169,HLOOKUP(INDIRECT(ADDRESS(2,COLUMN())),OFFSET($CL$2,0,0,ROW()-1,84),ROW()-1,FALSE))</f>
        <v/>
      </c>
      <c r="BG108" t="str">
        <f ca="1">IF(AND($B$252=1,LEN($BG$228) * LEN($BG$169)&gt;0),$BG$228/$BG$169,HLOOKUP(INDIRECT(ADDRESS(2,COLUMN())),OFFSET($CL$2,0,0,ROW()-1,84),ROW()-1,FALSE))</f>
        <v/>
      </c>
      <c r="BH108" t="str">
        <f ca="1">IF(AND($B$252=1,LEN($BH$228) * LEN($BH$169)&gt;0),$BH$228/$BH$169,HLOOKUP(INDIRECT(ADDRESS(2,COLUMN())),OFFSET($CL$2,0,0,ROW()-1,84),ROW()-1,FALSE))</f>
        <v/>
      </c>
      <c r="BI108" t="str">
        <f ca="1">IF(AND($B$252=1,LEN($BI$228) * LEN($BI$169)&gt;0),$BI$228/$BI$169,HLOOKUP(INDIRECT(ADDRESS(2,COLUMN())),OFFSET($CL$2,0,0,ROW()-1,84),ROW()-1,FALSE))</f>
        <v/>
      </c>
      <c r="BJ108" t="str">
        <f ca="1">IF(AND($B$252=1,LEN($BJ$228) * LEN($BJ$169)&gt;0),$BJ$228/$BJ$169,HLOOKUP(INDIRECT(ADDRESS(2,COLUMN())),OFFSET($CL$2,0,0,ROW()-1,84),ROW()-1,FALSE))</f>
        <v/>
      </c>
      <c r="BK108" t="str">
        <f ca="1">IF(AND($B$252=1,LEN($BK$228) * LEN($BK$169)&gt;0),$BK$228/$BK$169,HLOOKUP(INDIRECT(ADDRESS(2,COLUMN())),OFFSET($CL$2,0,0,ROW()-1,84),ROW()-1,FALSE))</f>
        <v/>
      </c>
      <c r="BL108" t="str">
        <f ca="1">IF(AND($B$252=1,LEN($BL$228) * LEN($BL$169)&gt;0),$BL$228/$BL$169,HLOOKUP(INDIRECT(ADDRESS(2,COLUMN())),OFFSET($CL$2,0,0,ROW()-1,84),ROW()-1,FALSE))</f>
        <v/>
      </c>
      <c r="BM108" t="str">
        <f ca="1">IF(AND($B$252=1,LEN($BM$228) * LEN($BM$169)&gt;0),$BM$228/$BM$169,HLOOKUP(INDIRECT(ADDRESS(2,COLUMN())),OFFSET($CL$2,0,0,ROW()-1,84),ROW()-1,FALSE))</f>
        <v/>
      </c>
      <c r="BN108" t="str">
        <f ca="1">IF(AND($B$252=1,LEN($BN$228) * LEN($BN$169)&gt;0),$BN$228/$BN$169,HLOOKUP(INDIRECT(ADDRESS(2,COLUMN())),OFFSET($CL$2,0,0,ROW()-1,84),ROW()-1,FALSE))</f>
        <v/>
      </c>
      <c r="BO108" t="str">
        <f ca="1">IF(AND($B$252=1,LEN($BO$228) * LEN($BO$169)&gt;0),$BO$228/$BO$169,HLOOKUP(INDIRECT(ADDRESS(2,COLUMN())),OFFSET($CL$2,0,0,ROW()-1,84),ROW()-1,FALSE))</f>
        <v/>
      </c>
      <c r="BP108" t="str">
        <f ca="1">IF(AND($B$252=1,LEN($BP$228) * LEN($BP$169)&gt;0),$BP$228/$BP$169,HLOOKUP(INDIRECT(ADDRESS(2,COLUMN())),OFFSET($CL$2,0,0,ROW()-1,84),ROW()-1,FALSE))</f>
        <v/>
      </c>
      <c r="BQ108" t="str">
        <f ca="1">IF(AND($B$252=1,LEN($BQ$228) * LEN($BQ$169)&gt;0),$BQ$228/$BQ$169,HLOOKUP(INDIRECT(ADDRESS(2,COLUMN())),OFFSET($CL$2,0,0,ROW()-1,84),ROW()-1,FALSE))</f>
        <v/>
      </c>
      <c r="BR108" t="str">
        <f ca="1">IF(AND($B$252=1,LEN($BR$228) * LEN($BR$169)&gt;0),$BR$228/$BR$169,HLOOKUP(INDIRECT(ADDRESS(2,COLUMN())),OFFSET($CL$2,0,0,ROW()-1,84),ROW()-1,FALSE))</f>
        <v/>
      </c>
      <c r="BS108" t="str">
        <f ca="1">IF(AND($B$252=1,LEN($BS$228) * LEN($BS$169)&gt;0),$BS$228/$BS$169,HLOOKUP(INDIRECT(ADDRESS(2,COLUMN())),OFFSET($CL$2,0,0,ROW()-1,84),ROW()-1,FALSE))</f>
        <v/>
      </c>
      <c r="BT108" t="str">
        <f ca="1">IF(AND($B$252=1,LEN($BT$228) * LEN($BT$169)&gt;0),$BT$228/$BT$169,HLOOKUP(INDIRECT(ADDRESS(2,COLUMN())),OFFSET($CL$2,0,0,ROW()-1,84),ROW()-1,FALSE))</f>
        <v/>
      </c>
      <c r="BU108" t="str">
        <f ca="1">IF(AND($B$252=1,LEN($BU$228) * LEN($BU$169)&gt;0),$BU$228/$BU$169,HLOOKUP(INDIRECT(ADDRESS(2,COLUMN())),OFFSET($CL$2,0,0,ROW()-1,84),ROW()-1,FALSE))</f>
        <v/>
      </c>
      <c r="BV108" t="str">
        <f ca="1">IF(AND($B$252=1,LEN($BV$228) * LEN($BV$169)&gt;0),$BV$228/$BV$169,HLOOKUP(INDIRECT(ADDRESS(2,COLUMN())),OFFSET($CL$2,0,0,ROW()-1,84),ROW()-1,FALSE))</f>
        <v/>
      </c>
      <c r="BW108" t="str">
        <f ca="1">IF(AND($B$252=1,LEN($BW$228) * LEN($BW$169)&gt;0),$BW$228/$BW$169,HLOOKUP(INDIRECT(ADDRESS(2,COLUMN())),OFFSET($CL$2,0,0,ROW()-1,84),ROW()-1,FALSE))</f>
        <v/>
      </c>
      <c r="BX108" t="str">
        <f ca="1">IF(AND($B$252=1,LEN($BX$228) * LEN($BX$169)&gt;0),$BX$228/$BX$169,HLOOKUP(INDIRECT(ADDRESS(2,COLUMN())),OFFSET($CL$2,0,0,ROW()-1,84),ROW()-1,FALSE))</f>
        <v/>
      </c>
      <c r="BY108" t="str">
        <f ca="1">IF(AND($B$252=1,LEN($BY$228) * LEN($BY$169)&gt;0),$BY$228/$BY$169,HLOOKUP(INDIRECT(ADDRESS(2,COLUMN())),OFFSET($CL$2,0,0,ROW()-1,84),ROW()-1,FALSE))</f>
        <v/>
      </c>
      <c r="BZ108" t="str">
        <f ca="1">IF(AND($B$252=1,LEN($BZ$228) * LEN($BZ$169)&gt;0),$BZ$228/$BZ$169,HLOOKUP(INDIRECT(ADDRESS(2,COLUMN())),OFFSET($CL$2,0,0,ROW()-1,84),ROW()-1,FALSE))</f>
        <v/>
      </c>
      <c r="CA108" t="str">
        <f ca="1">IF(AND($B$252=1,LEN($CA$228) * LEN($CA$169)&gt;0),$CA$228/$CA$169,HLOOKUP(INDIRECT(ADDRESS(2,COLUMN())),OFFSET($CL$2,0,0,ROW()-1,84),ROW()-1,FALSE))</f>
        <v/>
      </c>
      <c r="CB108" t="str">
        <f ca="1">IF(AND($B$252=1,LEN($CB$228) * LEN($CB$169)&gt;0),$CB$228/$CB$169,HLOOKUP(INDIRECT(ADDRESS(2,COLUMN())),OFFSET($CL$2,0,0,ROW()-1,84),ROW()-1,FALSE))</f>
        <v/>
      </c>
      <c r="CC108" t="str">
        <f ca="1">IF(AND($B$252=1,LEN($CC$228) * LEN($CC$169)&gt;0),$CC$228/$CC$169,HLOOKUP(INDIRECT(ADDRESS(2,COLUMN())),OFFSET($CL$2,0,0,ROW()-1,84),ROW()-1,FALSE))</f>
        <v/>
      </c>
      <c r="CD108" t="str">
        <f ca="1">IF(AND($B$252=1,LEN($CD$228) * LEN($CD$169)&gt;0),$CD$228/$CD$169,HLOOKUP(INDIRECT(ADDRESS(2,COLUMN())),OFFSET($CL$2,0,0,ROW()-1,84),ROW()-1,FALSE))</f>
        <v/>
      </c>
      <c r="CE108" t="str">
        <f ca="1">IF(AND($B$252=1,LEN($CE$228) * LEN($CE$169)&gt;0),$CE$228/$CE$169,HLOOKUP(INDIRECT(ADDRESS(2,COLUMN())),OFFSET($CL$2,0,0,ROW()-1,84),ROW()-1,FALSE))</f>
        <v/>
      </c>
      <c r="CF108" t="str">
        <f ca="1">IF(AND($B$252=1,LEN($CF$228) * LEN($CF$169)&gt;0),$CF$228/$CF$169,HLOOKUP(INDIRECT(ADDRESS(2,COLUMN())),OFFSET($CL$2,0,0,ROW()-1,84),ROW()-1,FALSE))</f>
        <v/>
      </c>
      <c r="CG108" t="str">
        <f ca="1">IF(AND($B$252=1,LEN($CG$228) * LEN($CG$169)&gt;0),$CG$228/$CG$169,HLOOKUP(INDIRECT(ADDRESS(2,COLUMN())),OFFSET($CL$2,0,0,ROW()-1,84),ROW()-1,FALSE))</f>
        <v/>
      </c>
      <c r="CH108" t="str">
        <f ca="1">IF(AND($B$252=1,LEN($CH$228) * LEN($CH$169)&gt;0),$CH$228/$CH$169,HLOOKUP(INDIRECT(ADDRESS(2,COLUMN())),OFFSET($CL$2,0,0,ROW()-1,84),ROW()-1,FALSE))</f>
        <v/>
      </c>
      <c r="CI108" t="str">
        <f ca="1">IF(AND($B$252=1,LEN($CI$228) * LEN($CI$169)&gt;0),$CI$228/$CI$169,HLOOKUP(INDIRECT(ADDRESS(2,COLUMN())),OFFSET($CL$2,0,0,ROW()-1,84),ROW()-1,FALSE))</f>
        <v/>
      </c>
      <c r="CJ108" t="str">
        <f ca="1">IF(AND($B$252=1,LEN($CJ$228) * LEN($CJ$169)&gt;0),$CJ$228/$CJ$169,HLOOKUP(INDIRECT(ADDRESS(2,COLUMN())),OFFSET($CL$2,0,0,ROW()-1,84),ROW()-1,FALSE))</f>
        <v/>
      </c>
      <c r="CK108" t="str">
        <f ca="1">IF(AND($B$252=1,LEN($CK$228) * LEN($CK$169)&gt;0),$CK$228/$CK$169,HLOOKUP(INDIRECT(ADDRESS(2,COLUMN())),OFFSET($CL$2,0,0,ROW()-1,84),ROW()-1,FALSE))</f>
        <v/>
      </c>
      <c r="CL108">
        <f>19.77603583</f>
        <v>19.776035830000001</v>
      </c>
      <c r="CM108">
        <f>18.81365417</f>
        <v>18.81365417</v>
      </c>
      <c r="CN108">
        <f>20.23822715</f>
        <v>20.23822715</v>
      </c>
      <c r="CO108">
        <f>21.4</f>
        <v>21.4</v>
      </c>
      <c r="CP108">
        <f>21.85</f>
        <v>21.85</v>
      </c>
      <c r="CQ108">
        <f>21.51414309</f>
        <v>21.514143090000001</v>
      </c>
      <c r="CR108">
        <f>21.09262341</f>
        <v>21.092623410000002</v>
      </c>
      <c r="CS108">
        <f>21.38842975</f>
        <v>21.38842975</v>
      </c>
      <c r="CT108">
        <f>21.83798883</f>
        <v>21.83798883</v>
      </c>
      <c r="CU108">
        <f>21.65</f>
        <v>21.65</v>
      </c>
      <c r="CV108">
        <f>21.45</f>
        <v>21.45</v>
      </c>
      <c r="CW108">
        <f>21.3006275</f>
        <v>21.300627500000001</v>
      </c>
      <c r="CX108">
        <f>20.83908046</f>
        <v>20.839080460000002</v>
      </c>
      <c r="CY108">
        <f>20.86906804</f>
        <v>20.869068039999998</v>
      </c>
      <c r="CZ108">
        <f>19.45991091</f>
        <v>19.459910910000001</v>
      </c>
      <c r="DA108">
        <f>20.28921023</f>
        <v>20.289210229999998</v>
      </c>
      <c r="DB108">
        <f>19.03803132</f>
        <v>19.038031320000002</v>
      </c>
      <c r="DC108">
        <f>19.72363226</f>
        <v>19.723632259999999</v>
      </c>
      <c r="DD108">
        <f>19.66666667</f>
        <v>19.666666670000001</v>
      </c>
      <c r="DE108">
        <f>19.84640702</f>
        <v>19.846407020000001</v>
      </c>
      <c r="DF108">
        <f>20.42238069</f>
        <v>20.422380690000001</v>
      </c>
      <c r="DG108">
        <f>20.28571429</f>
        <v>20.285714290000001</v>
      </c>
      <c r="DH108" t="str">
        <f>""</f>
        <v/>
      </c>
      <c r="DI108">
        <f>18.97826087</f>
        <v>18.97826087</v>
      </c>
      <c r="DJ108" t="str">
        <f>""</f>
        <v/>
      </c>
      <c r="DK108">
        <f>18.45698925</f>
        <v>18.456989249999999</v>
      </c>
      <c r="DL108" t="str">
        <f>""</f>
        <v/>
      </c>
      <c r="DM108" t="str">
        <f>""</f>
        <v/>
      </c>
      <c r="DN108" t="str">
        <f>""</f>
        <v/>
      </c>
      <c r="DO108" t="str">
        <f>""</f>
        <v/>
      </c>
      <c r="DP108" t="str">
        <f>""</f>
        <v/>
      </c>
      <c r="DQ108" t="str">
        <f>""</f>
        <v/>
      </c>
      <c r="DR108" t="str">
        <f>""</f>
        <v/>
      </c>
      <c r="DS108" t="str">
        <f>""</f>
        <v/>
      </c>
      <c r="DT108" t="str">
        <f>""</f>
        <v/>
      </c>
      <c r="DU108" t="str">
        <f>""</f>
        <v/>
      </c>
      <c r="DV108" t="str">
        <f>""</f>
        <v/>
      </c>
      <c r="DW108" t="str">
        <f>""</f>
        <v/>
      </c>
      <c r="DX108" t="str">
        <f>""</f>
        <v/>
      </c>
      <c r="DY108" t="str">
        <f>""</f>
        <v/>
      </c>
      <c r="DZ108" t="str">
        <f>""</f>
        <v/>
      </c>
      <c r="EA108" t="str">
        <f>""</f>
        <v/>
      </c>
      <c r="EB108" t="str">
        <f>""</f>
        <v/>
      </c>
      <c r="EC108" t="str">
        <f>""</f>
        <v/>
      </c>
      <c r="ED108" t="str">
        <f>""</f>
        <v/>
      </c>
      <c r="EE108" t="str">
        <f>""</f>
        <v/>
      </c>
      <c r="EF108" t="str">
        <f>""</f>
        <v/>
      </c>
      <c r="EG108" t="str">
        <f>""</f>
        <v/>
      </c>
      <c r="EH108" t="str">
        <f>""</f>
        <v/>
      </c>
      <c r="EI108" t="str">
        <f>""</f>
        <v/>
      </c>
      <c r="EJ108" t="str">
        <f>""</f>
        <v/>
      </c>
      <c r="EK108" t="str">
        <f>""</f>
        <v/>
      </c>
      <c r="EL108" t="str">
        <f>""</f>
        <v/>
      </c>
      <c r="EM108" t="str">
        <f>""</f>
        <v/>
      </c>
      <c r="EN108" t="str">
        <f>""</f>
        <v/>
      </c>
      <c r="EO108" t="str">
        <f>""</f>
        <v/>
      </c>
      <c r="EP108" t="str">
        <f>""</f>
        <v/>
      </c>
      <c r="EQ108" t="str">
        <f>""</f>
        <v/>
      </c>
      <c r="ER108" t="str">
        <f>""</f>
        <v/>
      </c>
      <c r="ES108" t="str">
        <f>""</f>
        <v/>
      </c>
      <c r="ET108" t="str">
        <f>""</f>
        <v/>
      </c>
      <c r="EU108" t="str">
        <f>""</f>
        <v/>
      </c>
      <c r="EV108" t="str">
        <f>""</f>
        <v/>
      </c>
      <c r="EW108" t="str">
        <f>""</f>
        <v/>
      </c>
      <c r="EX108" t="str">
        <f>""</f>
        <v/>
      </c>
      <c r="EY108" t="str">
        <f>""</f>
        <v/>
      </c>
      <c r="EZ108" t="str">
        <f>""</f>
        <v/>
      </c>
      <c r="FA108" t="str">
        <f>""</f>
        <v/>
      </c>
      <c r="FB108" t="str">
        <f>""</f>
        <v/>
      </c>
      <c r="FC108" t="str">
        <f>""</f>
        <v/>
      </c>
      <c r="FD108" t="str">
        <f>""</f>
        <v/>
      </c>
      <c r="FE108" t="str">
        <f>""</f>
        <v/>
      </c>
      <c r="FF108" t="str">
        <f>""</f>
        <v/>
      </c>
      <c r="FG108" t="str">
        <f>""</f>
        <v/>
      </c>
      <c r="FH108" t="str">
        <f>""</f>
        <v/>
      </c>
      <c r="FI108" t="str">
        <f>""</f>
        <v/>
      </c>
      <c r="FJ108" t="str">
        <f>""</f>
        <v/>
      </c>
      <c r="FK108" t="str">
        <f>""</f>
        <v/>
      </c>
      <c r="FL108" t="str">
        <f>""</f>
        <v/>
      </c>
      <c r="FM108" t="str">
        <f>""</f>
        <v/>
      </c>
      <c r="FN108" t="str">
        <f>""</f>
        <v/>
      </c>
      <c r="FO108" t="str">
        <f>""</f>
        <v/>
      </c>
      <c r="FP108" t="str">
        <f>""</f>
        <v/>
      </c>
      <c r="FQ108" t="str">
        <f>""</f>
        <v/>
      </c>
    </row>
    <row r="109" spans="1:173">
      <c r="A109" t="str">
        <f>"AFFO/股(季度)"</f>
        <v>AFFO/股(季度)</v>
      </c>
      <c r="B109" t="str">
        <f>""</f>
        <v/>
      </c>
      <c r="E109" t="str">
        <f>"Sum"</f>
        <v>Sum</v>
      </c>
      <c r="F109" t="str">
        <f ca="1">IF(ISERROR(IF(SUM($F$110:$F$117) = 0, "", SUM($F$110:$F$117))), "", (IF(SUM($F$110:$F$117) = 0, "", SUM($F$110:$F$117))))</f>
        <v/>
      </c>
      <c r="G109" t="str">
        <f ca="1">IF(ISERROR(IF(SUM($G$110:$G$117) = 0, "", SUM($G$110:$G$117))), "", (IF(SUM($G$110:$G$117) = 0, "", SUM($G$110:$G$117))))</f>
        <v/>
      </c>
      <c r="H109" t="str">
        <f ca="1">IF(ISERROR(IF(SUM($H$110:$H$117) = 0, "", SUM($H$110:$H$117))), "", (IF(SUM($H$110:$H$117) = 0, "", SUM($H$110:$H$117))))</f>
        <v/>
      </c>
      <c r="I109">
        <f ca="1">IF(ISERROR(IF(SUM($I$110:$I$117) = 0, "", SUM($I$110:$I$117))), "", (IF(SUM($I$110:$I$117) = 0, "", SUM($I$110:$I$117))))</f>
        <v>9.8568108639999998</v>
      </c>
      <c r="J109" t="str">
        <f ca="1">IF(ISERROR(IF(SUM($J$110:$J$117) = 0, "", SUM($J$110:$J$117))), "", (IF(SUM($J$110:$J$117) = 0, "", SUM($J$110:$J$117))))</f>
        <v/>
      </c>
      <c r="K109" t="str">
        <f ca="1">IF(ISERROR(IF(SUM($K$110:$K$117) = 0, "", SUM($K$110:$K$117))), "", (IF(SUM($K$110:$K$117) = 0, "", SUM($K$110:$K$117))))</f>
        <v/>
      </c>
      <c r="L109">
        <f ca="1">IF(ISERROR(IF(SUM($L$110:$L$117) = 0, "", SUM($L$110:$L$117))), "", (IF(SUM($L$110:$L$117) = 0, "", SUM($L$110:$L$117))))</f>
        <v>9.6749235440000003</v>
      </c>
      <c r="M109" t="str">
        <f ca="1">IF(ISERROR(IF(SUM($M$110:$M$117) = 0, "", SUM($M$110:$M$117))), "", (IF(SUM($M$110:$M$117) = 0, "", SUM($M$110:$M$117))))</f>
        <v/>
      </c>
      <c r="N109" t="str">
        <f ca="1">IF(ISERROR(IF(SUM($N$110:$N$117) = 0, "", SUM($N$110:$N$117))), "", (IF(SUM($N$110:$N$117) = 0, "", SUM($N$110:$N$117))))</f>
        <v/>
      </c>
      <c r="O109">
        <f ca="1">IF(ISERROR(IF(SUM($O$110:$O$117) = 0, "", SUM($O$110:$O$117))), "", (IF(SUM($O$110:$O$117) = 0, "", SUM($O$110:$O$117))))</f>
        <v>9.6150511310000013</v>
      </c>
      <c r="P109" t="str">
        <f ca="1">IF(ISERROR(IF(SUM($P$110:$P$117) = 0, "", SUM($P$110:$P$117))), "", (IF(SUM($P$110:$P$117) = 0, "", SUM($P$110:$P$117))))</f>
        <v/>
      </c>
      <c r="Q109" t="str">
        <f ca="1">IF(ISERROR(IF(SUM($Q$110:$Q$117) = 0, "", SUM($Q$110:$Q$117))), "", (IF(SUM($Q$110:$Q$117) = 0, "", SUM($Q$110:$Q$117))))</f>
        <v/>
      </c>
      <c r="R109">
        <f ca="1">IF(ISERROR(IF(SUM($R$110:$R$117) = 0, "", SUM($R$110:$R$117))), "", (IF(SUM($R$110:$R$117) = 0, "", SUM($R$110:$R$117))))</f>
        <v>9.4147013770000001</v>
      </c>
      <c r="S109" t="str">
        <f ca="1">IF(ISERROR(IF(SUM($S$110:$S$117) = 0, "", SUM($S$110:$S$117))), "", (IF(SUM($S$110:$S$117) = 0, "", SUM($S$110:$S$117))))</f>
        <v/>
      </c>
      <c r="T109" t="str">
        <f ca="1">IF(ISERROR(IF(SUM($T$110:$T$117) = 0, "", SUM($T$110:$T$117))), "", (IF(SUM($T$110:$T$117) = 0, "", SUM($T$110:$T$117))))</f>
        <v/>
      </c>
      <c r="U109">
        <f ca="1">IF(ISERROR(IF(SUM($U$110:$U$117) = 0, "", SUM($U$110:$U$117))), "", (IF(SUM($U$110:$U$117) = 0, "", SUM($U$110:$U$117))))</f>
        <v>9.1681651280000001</v>
      </c>
      <c r="V109" t="str">
        <f ca="1">IF(ISERROR(IF(SUM($V$110:$V$117) = 0, "", SUM($V$110:$V$117))), "", (IF(SUM($V$110:$V$117) = 0, "", SUM($V$110:$V$117))))</f>
        <v/>
      </c>
      <c r="W109" t="str">
        <f ca="1">IF(ISERROR(IF(SUM($W$110:$W$117) = 0, "", SUM($W$110:$W$117))), "", (IF(SUM($W$110:$W$117) = 0, "", SUM($W$110:$W$117))))</f>
        <v/>
      </c>
      <c r="X109">
        <f ca="1">IF(ISERROR(IF(SUM($X$110:$X$117) = 0, "", SUM($X$110:$X$117))), "", (IF(SUM($X$110:$X$117) = 0, "", SUM($X$110:$X$117))))</f>
        <v>9.376449479999998</v>
      </c>
      <c r="Y109" t="str">
        <f ca="1">IF(ISERROR(IF(SUM($Y$110:$Y$117) = 0, "", SUM($Y$110:$Y$117))), "", (IF(SUM($Y$110:$Y$117) = 0, "", SUM($Y$110:$Y$117))))</f>
        <v/>
      </c>
      <c r="Z109" t="str">
        <f ca="1">IF(ISERROR(IF(SUM($Z$110:$Z$117) = 0, "", SUM($Z$110:$Z$117))), "", (IF(SUM($Z$110:$Z$117) = 0, "", SUM($Z$110:$Z$117))))</f>
        <v/>
      </c>
      <c r="AA109">
        <f ca="1">IF(ISERROR(IF(SUM($AA$110:$AA$117) = 0, "", SUM($AA$110:$AA$117))), "", (IF(SUM($AA$110:$AA$117) = 0, "", SUM($AA$110:$AA$117))))</f>
        <v>9.3247603100000021</v>
      </c>
      <c r="AB109" t="str">
        <f ca="1">IF(ISERROR(IF(SUM($AB$110:$AB$117) = 0, "", SUM($AB$110:$AB$117))), "", (IF(SUM($AB$110:$AB$117) = 0, "", SUM($AB$110:$AB$117))))</f>
        <v/>
      </c>
      <c r="AC109" t="str">
        <f ca="1">IF(ISERROR(IF(SUM($AC$110:$AC$117) = 0, "", SUM($AC$110:$AC$117))), "", (IF(SUM($AC$110:$AC$117) = 0, "", SUM($AC$110:$AC$117))))</f>
        <v/>
      </c>
      <c r="AD109">
        <f ca="1">IF(ISERROR(IF(SUM($AD$110:$AD$117) = 0, "", SUM($AD$110:$AD$117))), "", (IF(SUM($AD$110:$AD$117) = 0, "", SUM($AD$110:$AD$117))))</f>
        <v>9.1246518040000009</v>
      </c>
      <c r="AE109" t="str">
        <f ca="1">IF(ISERROR(IF(SUM($AE$110:$AE$117) = 0, "", SUM($AE$110:$AE$117))), "", (IF(SUM($AE$110:$AE$117) = 0, "", SUM($AE$110:$AE$117))))</f>
        <v/>
      </c>
      <c r="AF109" t="str">
        <f ca="1">IF(ISERROR(IF(SUM($AF$110:$AF$117) = 0, "", SUM($AF$110:$AF$117))), "", (IF(SUM($AF$110:$AF$117) = 0, "", SUM($AF$110:$AF$117))))</f>
        <v/>
      </c>
      <c r="AG109">
        <f ca="1">IF(ISERROR(IF(SUM($AG$110:$AG$117) = 0, "", SUM($AG$110:$AG$117))), "", (IF(SUM($AG$110:$AG$117) = 0, "", SUM($AG$110:$AG$117))))</f>
        <v>9.2840621490000004</v>
      </c>
      <c r="AH109" t="str">
        <f ca="1">IF(ISERROR(IF(SUM($AH$110:$AH$117) = 0, "", SUM($AH$110:$AH$117))), "", (IF(SUM($AH$110:$AH$117) = 0, "", SUM($AH$110:$AH$117))))</f>
        <v/>
      </c>
      <c r="AI109" t="str">
        <f ca="1">IF(ISERROR(IF(SUM($AI$110:$AI$117) = 0, "", SUM($AI$110:$AI$117))), "", (IF(SUM($AI$110:$AI$117) = 0, "", SUM($AI$110:$AI$117))))</f>
        <v/>
      </c>
      <c r="AJ109">
        <f ca="1">IF(ISERROR(IF(SUM($AJ$110:$AJ$117) = 0, "", SUM($AJ$110:$AJ$117))), "", (IF(SUM($AJ$110:$AJ$117) = 0, "", SUM($AJ$110:$AJ$117))))</f>
        <v>8.9162840020000012</v>
      </c>
      <c r="AK109" t="str">
        <f ca="1">IF(ISERROR(IF(SUM($AK$110:$AK$117) = 0, "", SUM($AK$110:$AK$117))), "", (IF(SUM($AK$110:$AK$117) = 0, "", SUM($AK$110:$AK$117))))</f>
        <v/>
      </c>
      <c r="AL109" t="str">
        <f ca="1">IF(ISERROR(IF(SUM($AL$110:$AL$117) = 0, "", SUM($AL$110:$AL$117))), "", (IF(SUM($AL$110:$AL$117) = 0, "", SUM($AL$110:$AL$117))))</f>
        <v/>
      </c>
      <c r="AM109">
        <f ca="1">IF(ISERROR(IF(SUM($AM$110:$AM$117) = 0, "", SUM($AM$110:$AM$117))), "", (IF(SUM($AM$110:$AM$117) = 0, "", SUM($AM$110:$AM$117))))</f>
        <v>8.7029488619999995</v>
      </c>
      <c r="AN109" t="str">
        <f ca="1">IF(ISERROR(IF(SUM($AN$110:$AN$117) = 0, "", SUM($AN$110:$AN$117))), "", (IF(SUM($AN$110:$AN$117) = 0, "", SUM($AN$110:$AN$117))))</f>
        <v/>
      </c>
      <c r="AO109" t="str">
        <f ca="1">IF(ISERROR(IF(SUM($AO$110:$AO$117) = 0, "", SUM($AO$110:$AO$117))), "", (IF(SUM($AO$110:$AO$117) = 0, "", SUM($AO$110:$AO$117))))</f>
        <v/>
      </c>
      <c r="AP109">
        <f ca="1">IF(ISERROR(IF(SUM($AP$110:$AP$117) = 0, "", SUM($AP$110:$AP$117))), "", (IF(SUM($AP$110:$AP$117) = 0, "", SUM($AP$110:$AP$117))))</f>
        <v>8.242504297</v>
      </c>
      <c r="AQ109" t="str">
        <f ca="1">IF(ISERROR(IF(SUM($AQ$110:$AQ$117) = 0, "", SUM($AQ$110:$AQ$117))), "", (IF(SUM($AQ$110:$AQ$117) = 0, "", SUM($AQ$110:$AQ$117))))</f>
        <v/>
      </c>
      <c r="AR109" t="str">
        <f ca="1">IF(ISERROR(IF(SUM($AR$110:$AR$117) = 0, "", SUM($AR$110:$AR$117))), "", (IF(SUM($AR$110:$AR$117) = 0, "", SUM($AR$110:$AR$117))))</f>
        <v/>
      </c>
      <c r="AS109">
        <f ca="1">IF(ISERROR(IF(SUM($AS$110:$AS$117) = 0, "", SUM($AS$110:$AS$117))), "", (IF(SUM($AS$110:$AS$117) = 0, "", SUM($AS$110:$AS$117))))</f>
        <v>8.2750138349999993</v>
      </c>
      <c r="AT109" t="str">
        <f ca="1">IF(ISERROR(IF(SUM($AT$110:$AT$117) = 0, "", SUM($AT$110:$AT$117))), "", (IF(SUM($AT$110:$AT$117) = 0, "", SUM($AT$110:$AT$117))))</f>
        <v/>
      </c>
      <c r="AU109" t="str">
        <f ca="1">IF(ISERROR(IF(SUM($AU$110:$AU$117) = 0, "", SUM($AU$110:$AU$117))), "", (IF(SUM($AU$110:$AU$117) = 0, "", SUM($AU$110:$AU$117))))</f>
        <v/>
      </c>
      <c r="AV109">
        <f ca="1">IF(ISERROR(IF(SUM($AV$110:$AV$117) = 0, "", SUM($AV$110:$AV$117))), "", (IF(SUM($AV$110:$AV$117) = 0, "", SUM($AV$110:$AV$117))))</f>
        <v>7.6563861030000009</v>
      </c>
      <c r="AW109" t="str">
        <f ca="1">IF(ISERROR(IF(SUM($AW$110:$AW$117) = 0, "", SUM($AW$110:$AW$117))), "", (IF(SUM($AW$110:$AW$117) = 0, "", SUM($AW$110:$AW$117))))</f>
        <v/>
      </c>
      <c r="AX109" t="str">
        <f ca="1">IF(ISERROR(IF(SUM($AX$110:$AX$117) = 0, "", SUM($AX$110:$AX$117))), "", (IF(SUM($AX$110:$AX$117) = 0, "", SUM($AX$110:$AX$117))))</f>
        <v/>
      </c>
      <c r="AY109">
        <f ca="1">IF(ISERROR(IF(SUM($AY$110:$AY$117) = 0, "", SUM($AY$110:$AY$117))), "", (IF(SUM($AY$110:$AY$117) = 0, "", SUM($AY$110:$AY$117))))</f>
        <v>7.3908676839999998</v>
      </c>
      <c r="AZ109" t="str">
        <f ca="1">IF(ISERROR(IF(SUM($AZ$110:$AZ$117) = 0, "", SUM($AZ$110:$AZ$117))), "", (IF(SUM($AZ$110:$AZ$117) = 0, "", SUM($AZ$110:$AZ$117))))</f>
        <v/>
      </c>
      <c r="BA109" t="str">
        <f ca="1">IF(ISERROR(IF(SUM($BA$110:$BA$117) = 0, "", SUM($BA$110:$BA$117))), "", (IF(SUM($BA$110:$BA$117) = 0, "", SUM($BA$110:$BA$117))))</f>
        <v/>
      </c>
      <c r="BB109">
        <f ca="1">IF(ISERROR(IF(SUM($BB$110:$BB$117) = 0, "", SUM($BB$110:$BB$117))), "", (IF(SUM($BB$110:$BB$117) = 0, "", SUM($BB$110:$BB$117))))</f>
        <v>7.5449386760000001</v>
      </c>
      <c r="BC109" t="str">
        <f ca="1">IF(ISERROR(IF(SUM($BC$110:$BC$117) = 0, "", SUM($BC$110:$BC$117))), "", (IF(SUM($BC$110:$BC$117) = 0, "", SUM($BC$110:$BC$117))))</f>
        <v/>
      </c>
      <c r="BD109" t="str">
        <f ca="1">IF(ISERROR(IF(SUM($BD$110:$BD$117) = 0, "", SUM($BD$110:$BD$117))), "", (IF(SUM($BD$110:$BD$117) = 0, "", SUM($BD$110:$BD$117))))</f>
        <v/>
      </c>
      <c r="BE109">
        <f ca="1">IF(ISERROR(IF(SUM($BE$110:$BE$117) = 0, "", SUM($BE$110:$BE$117))), "", (IF(SUM($BE$110:$BE$117) = 0, "", SUM($BE$110:$BE$117))))</f>
        <v>7.6636438789999994</v>
      </c>
      <c r="BF109" t="str">
        <f ca="1">IF(ISERROR(IF(SUM($BF$110:$BF$117) = 0, "", SUM($BF$110:$BF$117))), "", (IF(SUM($BF$110:$BF$117) = 0, "", SUM($BF$110:$BF$117))))</f>
        <v/>
      </c>
      <c r="BG109" t="str">
        <f ca="1">IF(ISERROR(IF(SUM($BG$110:$BG$117) = 0, "", SUM($BG$110:$BG$117))), "", (IF(SUM($BG$110:$BG$117) = 0, "", SUM($BG$110:$BG$117))))</f>
        <v/>
      </c>
      <c r="BH109">
        <f ca="1">IF(ISERROR(IF(SUM($BH$110:$BH$117) = 0, "", SUM($BH$110:$BH$117))), "", (IF(SUM($BH$110:$BH$117) = 0, "", SUM($BH$110:$BH$117))))</f>
        <v>7.4418697249999992</v>
      </c>
      <c r="BI109" t="str">
        <f ca="1">IF(ISERROR(IF(SUM($BI$110:$BI$117) = 0, "", SUM($BI$110:$BI$117))), "", (IF(SUM($BI$110:$BI$117) = 0, "", SUM($BI$110:$BI$117))))</f>
        <v/>
      </c>
      <c r="BJ109" t="str">
        <f ca="1">IF(ISERROR(IF(SUM($BJ$110:$BJ$117) = 0, "", SUM($BJ$110:$BJ$117))), "", (IF(SUM($BJ$110:$BJ$117) = 0, "", SUM($BJ$110:$BJ$117))))</f>
        <v/>
      </c>
      <c r="BK109">
        <f ca="1">IF(ISERROR(IF(SUM($BK$110:$BK$117) = 0, "", SUM($BK$110:$BK$117))), "", (IF(SUM($BK$110:$BK$117) = 0, "", SUM($BK$110:$BK$117))))</f>
        <v>7.4270459800000008</v>
      </c>
      <c r="BL109" t="str">
        <f ca="1">IF(ISERROR(IF(SUM($BL$110:$BL$117) = 0, "", SUM($BL$110:$BL$117))), "", (IF(SUM($BL$110:$BL$117) = 0, "", SUM($BL$110:$BL$117))))</f>
        <v/>
      </c>
      <c r="BM109" t="str">
        <f ca="1">IF(ISERROR(IF(SUM($BM$110:$BM$117) = 0, "", SUM($BM$110:$BM$117))), "", (IF(SUM($BM$110:$BM$117) = 0, "", SUM($BM$110:$BM$117))))</f>
        <v/>
      </c>
      <c r="BN109">
        <f ca="1">IF(ISERROR(IF(SUM($BN$110:$BN$117) = 0, "", SUM($BN$110:$BN$117))), "", (IF(SUM($BN$110:$BN$117) = 0, "", SUM($BN$110:$BN$117))))</f>
        <v>6.983185368</v>
      </c>
      <c r="BO109" t="str">
        <f ca="1">IF(ISERROR(IF(SUM($BO$110:$BO$117) = 0, "", SUM($BO$110:$BO$117))), "", (IF(SUM($BO$110:$BO$117) = 0, "", SUM($BO$110:$BO$117))))</f>
        <v/>
      </c>
      <c r="BP109" t="str">
        <f ca="1">IF(ISERROR(IF(SUM($BP$110:$BP$117) = 0, "", SUM($BP$110:$BP$117))), "", (IF(SUM($BP$110:$BP$117) = 0, "", SUM($BP$110:$BP$117))))</f>
        <v/>
      </c>
      <c r="BQ109">
        <f ca="1">IF(ISERROR(IF(SUM($BQ$110:$BQ$117) = 0, "", SUM($BQ$110:$BQ$117))), "", (IF(SUM($BQ$110:$BQ$117) = 0, "", SUM($BQ$110:$BQ$117))))</f>
        <v>6.9647095520000004</v>
      </c>
      <c r="BR109" t="str">
        <f ca="1">IF(ISERROR(IF(SUM($BR$110:$BR$117) = 0, "", SUM($BR$110:$BR$117))), "", (IF(SUM($BR$110:$BR$117) = 0, "", SUM($BR$110:$BR$117))))</f>
        <v/>
      </c>
      <c r="BS109" t="str">
        <f ca="1">IF(ISERROR(IF(SUM($BS$110:$BS$117) = 0, "", SUM($BS$110:$BS$117))), "", (IF(SUM($BS$110:$BS$117) = 0, "", SUM($BS$110:$BS$117))))</f>
        <v/>
      </c>
      <c r="BT109">
        <f ca="1">IF(ISERROR(IF(SUM($BT$110:$BT$117) = 0, "", SUM($BT$110:$BT$117))), "", (IF(SUM($BT$110:$BT$117) = 0, "", SUM($BT$110:$BT$117))))</f>
        <v>6.8068560519999997</v>
      </c>
      <c r="BU109" t="str">
        <f ca="1">IF(ISERROR(IF(SUM($BU$110:$BU$117) = 0, "", SUM($BU$110:$BU$117))), "", (IF(SUM($BU$110:$BU$117) = 0, "", SUM($BU$110:$BU$117))))</f>
        <v/>
      </c>
      <c r="BV109" t="str">
        <f ca="1">IF(ISERROR(IF(SUM($BV$110:$BV$117) = 0, "", SUM($BV$110:$BV$117))), "", (IF(SUM($BV$110:$BV$117) = 0, "", SUM($BV$110:$BV$117))))</f>
        <v/>
      </c>
      <c r="BW109">
        <f ca="1">IF(ISERROR(IF(SUM($BW$110:$BW$117) = 0, "", SUM($BW$110:$BW$117))), "", (IF(SUM($BW$110:$BW$117) = 0, "", SUM($BW$110:$BW$117))))</f>
        <v>6.6095891160000004</v>
      </c>
      <c r="BX109" t="str">
        <f ca="1">IF(ISERROR(IF(SUM($BX$110:$BX$117) = 0, "", SUM($BX$110:$BX$117))), "", (IF(SUM($BX$110:$BX$117) = 0, "", SUM($BX$110:$BX$117))))</f>
        <v/>
      </c>
      <c r="BY109" t="str">
        <f ca="1">IF(ISERROR(IF(SUM($BY$110:$BY$117) = 0, "", SUM($BY$110:$BY$117))), "", (IF(SUM($BY$110:$BY$117) = 0, "", SUM($BY$110:$BY$117))))</f>
        <v/>
      </c>
      <c r="BZ109">
        <f ca="1">IF(ISERROR(IF(SUM($BZ$110:$BZ$117) = 0, "", SUM($BZ$110:$BZ$117))), "", (IF(SUM($BZ$110:$BZ$117) = 0, "", SUM($BZ$110:$BZ$117))))</f>
        <v>6.2812961200000004</v>
      </c>
      <c r="CA109" t="str">
        <f ca="1">IF(ISERROR(IF(SUM($CA$110:$CA$117) = 0, "", SUM($CA$110:$CA$117))), "", (IF(SUM($CA$110:$CA$117) = 0, "", SUM($CA$110:$CA$117))))</f>
        <v/>
      </c>
      <c r="CB109" t="str">
        <f ca="1">IF(ISERROR(IF(SUM($CB$110:$CB$117) = 0, "", SUM($CB$110:$CB$117))), "", (IF(SUM($CB$110:$CB$117) = 0, "", SUM($CB$110:$CB$117))))</f>
        <v/>
      </c>
      <c r="CC109">
        <f ca="1">IF(ISERROR(IF(SUM($CC$110:$CC$117) = 0, "", SUM($CC$110:$CC$117))), "", (IF(SUM($CC$110:$CC$117) = 0, "", SUM($CC$110:$CC$117))))</f>
        <v>6.1145801749999995</v>
      </c>
      <c r="CD109" t="str">
        <f ca="1">IF(ISERROR(IF(SUM($CD$110:$CD$117) = 0, "", SUM($CD$110:$CD$117))), "", (IF(SUM($CD$110:$CD$117) = 0, "", SUM($CD$110:$CD$117))))</f>
        <v/>
      </c>
      <c r="CE109" t="str">
        <f ca="1">IF(ISERROR(IF(SUM($CE$110:$CE$117) = 0, "", SUM($CE$110:$CE$117))), "", (IF(SUM($CE$110:$CE$117) = 0, "", SUM($CE$110:$CE$117))))</f>
        <v/>
      </c>
      <c r="CF109">
        <f ca="1">IF(ISERROR(IF(SUM($CF$110:$CF$117) = 0, "", SUM($CF$110:$CF$117))), "", (IF(SUM($CF$110:$CF$117) = 0, "", SUM($CF$110:$CF$117))))</f>
        <v>5.7235872880000009</v>
      </c>
      <c r="CG109" t="str">
        <f ca="1">IF(ISERROR(IF(SUM($CG$110:$CG$117) = 0, "", SUM($CG$110:$CG$117))), "", (IF(SUM($CG$110:$CG$117) = 0, "", SUM($CG$110:$CG$117))))</f>
        <v/>
      </c>
      <c r="CH109" t="str">
        <f ca="1">IF(ISERROR(IF(SUM($CH$110:$CH$117) = 0, "", SUM($CH$110:$CH$117))), "", (IF(SUM($CH$110:$CH$117) = 0, "", SUM($CH$110:$CH$117))))</f>
        <v/>
      </c>
      <c r="CI109">
        <f ca="1">IF(ISERROR(IF(SUM($CI$110:$CI$117) = 0, "", SUM($CI$110:$CI$117))), "", (IF(SUM($CI$110:$CI$117) = 0, "", SUM($CI$110:$CI$117))))</f>
        <v>5.071319248</v>
      </c>
      <c r="CJ109" t="str">
        <f ca="1">IF(ISERROR(IF(SUM($CJ$110:$CJ$117) = 0, "", SUM($CJ$110:$CJ$117))), "", (IF(SUM($CJ$110:$CJ$117) = 0, "", SUM($CJ$110:$CJ$117))))</f>
        <v/>
      </c>
      <c r="CK109" t="str">
        <f ca="1">IF(ISERROR(IF(SUM($CK$110:$CK$117) = 0, "", SUM($CK$110:$CK$117))), "", (IF(SUM($CK$110:$CK$117) = 0, "", SUM($CK$110:$CK$117))))</f>
        <v/>
      </c>
      <c r="CL109" t="str">
        <f>""</f>
        <v/>
      </c>
      <c r="CM109" t="str">
        <f>""</f>
        <v/>
      </c>
      <c r="CN109" t="str">
        <f>""</f>
        <v/>
      </c>
      <c r="CO109">
        <f>9.856810865</f>
        <v>9.8568108649999999</v>
      </c>
      <c r="CP109" t="str">
        <f>""</f>
        <v/>
      </c>
      <c r="CQ109" t="str">
        <f>""</f>
        <v/>
      </c>
      <c r="CR109">
        <f>9.674923545</f>
        <v>9.6749235450000004</v>
      </c>
      <c r="CS109" t="str">
        <f>""</f>
        <v/>
      </c>
      <c r="CT109" t="str">
        <f>""</f>
        <v/>
      </c>
      <c r="CU109">
        <f>9.615051132</f>
        <v>9.6150511319999996</v>
      </c>
      <c r="CV109" t="str">
        <f>""</f>
        <v/>
      </c>
      <c r="CW109" t="str">
        <f>""</f>
        <v/>
      </c>
      <c r="CX109">
        <f>9.414701377</f>
        <v>9.4147013770000001</v>
      </c>
      <c r="CY109" t="str">
        <f>""</f>
        <v/>
      </c>
      <c r="CZ109" t="str">
        <f>""</f>
        <v/>
      </c>
      <c r="DA109">
        <f>9.168165128</f>
        <v>9.1681651280000001</v>
      </c>
      <c r="DB109" t="str">
        <f>""</f>
        <v/>
      </c>
      <c r="DC109" t="str">
        <f>""</f>
        <v/>
      </c>
      <c r="DD109">
        <f>9.376449479</f>
        <v>9.3764494789999997</v>
      </c>
      <c r="DE109" t="str">
        <f>""</f>
        <v/>
      </c>
      <c r="DF109" t="str">
        <f>""</f>
        <v/>
      </c>
      <c r="DG109">
        <f>9.324760311</f>
        <v>9.3247603110000004</v>
      </c>
      <c r="DH109" t="str">
        <f>""</f>
        <v/>
      </c>
      <c r="DI109" t="str">
        <f>""</f>
        <v/>
      </c>
      <c r="DJ109">
        <f>9.124651804</f>
        <v>9.1246518040000009</v>
      </c>
      <c r="DK109" t="str">
        <f>""</f>
        <v/>
      </c>
      <c r="DL109" t="str">
        <f>""</f>
        <v/>
      </c>
      <c r="DM109">
        <f>9.284062149</f>
        <v>9.2840621490000004</v>
      </c>
      <c r="DN109" t="str">
        <f>""</f>
        <v/>
      </c>
      <c r="DO109" t="str">
        <f>""</f>
        <v/>
      </c>
      <c r="DP109">
        <f>8.916284002</f>
        <v>8.9162840019999994</v>
      </c>
      <c r="DQ109" t="str">
        <f>""</f>
        <v/>
      </c>
      <c r="DR109" t="str">
        <f>""</f>
        <v/>
      </c>
      <c r="DS109">
        <f>8.702948861</f>
        <v>8.7029488609999994</v>
      </c>
      <c r="DT109" t="str">
        <f>""</f>
        <v/>
      </c>
      <c r="DU109" t="str">
        <f>""</f>
        <v/>
      </c>
      <c r="DV109">
        <f>8.242504296</f>
        <v>8.2425042959999999</v>
      </c>
      <c r="DW109" t="str">
        <f>""</f>
        <v/>
      </c>
      <c r="DX109" t="str">
        <f>""</f>
        <v/>
      </c>
      <c r="DY109">
        <f>8.275013835</f>
        <v>8.2750138349999993</v>
      </c>
      <c r="DZ109" t="str">
        <f>""</f>
        <v/>
      </c>
      <c r="EA109" t="str">
        <f>""</f>
        <v/>
      </c>
      <c r="EB109">
        <f>7.656386103</f>
        <v>7.656386103</v>
      </c>
      <c r="EC109" t="str">
        <f>""</f>
        <v/>
      </c>
      <c r="ED109" t="str">
        <f>""</f>
        <v/>
      </c>
      <c r="EE109">
        <f>7.390867684</f>
        <v>7.3908676839999998</v>
      </c>
      <c r="EF109" t="str">
        <f>""</f>
        <v/>
      </c>
      <c r="EG109" t="str">
        <f>""</f>
        <v/>
      </c>
      <c r="EH109">
        <f>7.544938676</f>
        <v>7.5449386760000001</v>
      </c>
      <c r="EI109" t="str">
        <f>""</f>
        <v/>
      </c>
      <c r="EJ109" t="str">
        <f>""</f>
        <v/>
      </c>
      <c r="EK109">
        <f>7.66364388</f>
        <v>7.6636438800000004</v>
      </c>
      <c r="EL109" t="str">
        <f>""</f>
        <v/>
      </c>
      <c r="EM109" t="str">
        <f>""</f>
        <v/>
      </c>
      <c r="EN109">
        <f>7.441869726</f>
        <v>7.4418697260000002</v>
      </c>
      <c r="EO109" t="str">
        <f>""</f>
        <v/>
      </c>
      <c r="EP109" t="str">
        <f>""</f>
        <v/>
      </c>
      <c r="EQ109">
        <f>7.427045979</f>
        <v>7.4270459789999999</v>
      </c>
      <c r="ER109" t="str">
        <f>""</f>
        <v/>
      </c>
      <c r="ES109" t="str">
        <f>""</f>
        <v/>
      </c>
      <c r="ET109">
        <f>6.983185368</f>
        <v>6.983185368</v>
      </c>
      <c r="EU109" t="str">
        <f>""</f>
        <v/>
      </c>
      <c r="EV109" t="str">
        <f>""</f>
        <v/>
      </c>
      <c r="EW109">
        <f>6.964709552</f>
        <v>6.9647095520000004</v>
      </c>
      <c r="EX109" t="str">
        <f>""</f>
        <v/>
      </c>
      <c r="EY109" t="str">
        <f>""</f>
        <v/>
      </c>
      <c r="EZ109">
        <f>6.806856051</f>
        <v>6.8068560509999996</v>
      </c>
      <c r="FA109" t="str">
        <f>""</f>
        <v/>
      </c>
      <c r="FB109" t="str">
        <f>""</f>
        <v/>
      </c>
      <c r="FC109">
        <f>6.609589116</f>
        <v>6.6095891160000004</v>
      </c>
      <c r="FD109" t="str">
        <f>""</f>
        <v/>
      </c>
      <c r="FE109" t="str">
        <f>""</f>
        <v/>
      </c>
      <c r="FF109">
        <f>6.28129612</f>
        <v>6.2812961200000004</v>
      </c>
      <c r="FG109" t="str">
        <f>""</f>
        <v/>
      </c>
      <c r="FH109" t="str">
        <f>""</f>
        <v/>
      </c>
      <c r="FI109">
        <f>6.114580174</f>
        <v>6.1145801740000003</v>
      </c>
      <c r="FJ109" t="str">
        <f>""</f>
        <v/>
      </c>
      <c r="FK109" t="str">
        <f>""</f>
        <v/>
      </c>
      <c r="FL109">
        <f>5.723587287</f>
        <v>5.723587287</v>
      </c>
      <c r="FM109" t="str">
        <f>""</f>
        <v/>
      </c>
      <c r="FN109" t="str">
        <f>""</f>
        <v/>
      </c>
      <c r="FO109">
        <f>5.071319248</f>
        <v>5.071319248</v>
      </c>
      <c r="FP109" t="str">
        <f>""</f>
        <v/>
      </c>
      <c r="FQ109" t="str">
        <f>""</f>
        <v/>
      </c>
    </row>
    <row r="110" spans="1:173">
      <c r="A110" t="str">
        <f>"    Apartment Investment &amp; Managem"</f>
        <v xml:space="preserve">    Apartment Investment &amp; Managem</v>
      </c>
      <c r="B110" t="str">
        <f>"AIV US Equity"</f>
        <v>AIV US Equity</v>
      </c>
      <c r="C110" t="str">
        <f t="shared" ref="C110:C117" si="33">"F0581"</f>
        <v>F0581</v>
      </c>
      <c r="D110" t="str">
        <f t="shared" ref="D110:D117" si="34">"ADJUSTED_FFOPS"</f>
        <v>ADJUSTED_FFOPS</v>
      </c>
      <c r="E110" t="str">
        <f t="shared" ref="E110:E117" si="35">"动态"</f>
        <v>动态</v>
      </c>
      <c r="F110" t="str">
        <f ca="1">IF(AND(ISNUMBER($F$324),$B$252=1),$F$324,HLOOKUP(INDIRECT(ADDRESS(2,COLUMN())),OFFSET($CL$2,0,0,ROW()-1,84),ROW()-1,FALSE))</f>
        <v/>
      </c>
      <c r="G110" t="str">
        <f ca="1">IF(AND(ISNUMBER($G$324),$B$252=1),$G$324,HLOOKUP(INDIRECT(ADDRESS(2,COLUMN())),OFFSET($CL$2,0,0,ROW()-1,84),ROW()-1,FALSE))</f>
        <v/>
      </c>
      <c r="H110" t="str">
        <f ca="1">IF(AND(ISNUMBER($H$324),$B$252=1),$H$324,HLOOKUP(INDIRECT(ADDRESS(2,COLUMN())),OFFSET($CL$2,0,0,ROW()-1,84),ROW()-1,FALSE))</f>
        <v/>
      </c>
      <c r="I110">
        <f ca="1">IF(AND(ISNUMBER($I$324),$B$252=1),$I$324,HLOOKUP(INDIRECT(ADDRESS(2,COLUMN())),OFFSET($CL$2,0,0,ROW()-1,84),ROW()-1,FALSE))</f>
        <v>0.63046443699999999</v>
      </c>
      <c r="J110" t="str">
        <f ca="1">IF(AND(ISNUMBER($J$324),$B$252=1),$J$324,HLOOKUP(INDIRECT(ADDRESS(2,COLUMN())),OFFSET($CL$2,0,0,ROW()-1,84),ROW()-1,FALSE))</f>
        <v/>
      </c>
      <c r="K110" t="str">
        <f ca="1">IF(AND(ISNUMBER($K$324),$B$252=1),$K$324,HLOOKUP(INDIRECT(ADDRESS(2,COLUMN())),OFFSET($CL$2,0,0,ROW()-1,84),ROW()-1,FALSE))</f>
        <v/>
      </c>
      <c r="L110">
        <f ca="1">IF(AND(ISNUMBER($L$324),$B$252=1),$L$324,HLOOKUP(INDIRECT(ADDRESS(2,COLUMN())),OFFSET($CL$2,0,0,ROW()-1,84),ROW()-1,FALSE))</f>
        <v>0.62749786399999996</v>
      </c>
      <c r="M110" t="str">
        <f ca="1">IF(AND(ISNUMBER($M$324),$B$252=1),$M$324,HLOOKUP(INDIRECT(ADDRESS(2,COLUMN())),OFFSET($CL$2,0,0,ROW()-1,84),ROW()-1,FALSE))</f>
        <v/>
      </c>
      <c r="N110" t="str">
        <f ca="1">IF(AND(ISNUMBER($N$324),$B$252=1),$N$324,HLOOKUP(INDIRECT(ADDRESS(2,COLUMN())),OFFSET($CL$2,0,0,ROW()-1,84),ROW()-1,FALSE))</f>
        <v/>
      </c>
      <c r="O110">
        <f ca="1">IF(AND(ISNUMBER($O$324),$B$252=1),$O$324,HLOOKUP(INDIRECT(ADDRESS(2,COLUMN())),OFFSET($CL$2,0,0,ROW()-1,84),ROW()-1,FALSE))</f>
        <v>0.60834636099999995</v>
      </c>
      <c r="P110" t="str">
        <f ca="1">IF(AND(ISNUMBER($P$324),$B$252=1),$P$324,HLOOKUP(INDIRECT(ADDRESS(2,COLUMN())),OFFSET($CL$2,0,0,ROW()-1,84),ROW()-1,FALSE))</f>
        <v/>
      </c>
      <c r="Q110" t="str">
        <f ca="1">IF(AND(ISNUMBER($Q$324),$B$252=1),$Q$324,HLOOKUP(INDIRECT(ADDRESS(2,COLUMN())),OFFSET($CL$2,0,0,ROW()-1,84),ROW()-1,FALSE))</f>
        <v/>
      </c>
      <c r="R110">
        <f ca="1">IF(AND(ISNUMBER($R$324),$B$252=1),$R$324,HLOOKUP(INDIRECT(ADDRESS(2,COLUMN())),OFFSET($CL$2,0,0,ROW()-1,84),ROW()-1,FALSE))</f>
        <v>0.58101866599999996</v>
      </c>
      <c r="S110" t="str">
        <f ca="1">IF(AND(ISNUMBER($S$324),$B$252=1),$S$324,HLOOKUP(INDIRECT(ADDRESS(2,COLUMN())),OFFSET($CL$2,0,0,ROW()-1,84),ROW()-1,FALSE))</f>
        <v/>
      </c>
      <c r="T110" t="str">
        <f ca="1">IF(AND(ISNUMBER($T$324),$B$252=1),$T$324,HLOOKUP(INDIRECT(ADDRESS(2,COLUMN())),OFFSET($CL$2,0,0,ROW()-1,84),ROW()-1,FALSE))</f>
        <v/>
      </c>
      <c r="U110">
        <f ca="1">IF(AND(ISNUMBER($U$324),$B$252=1),$U$324,HLOOKUP(INDIRECT(ADDRESS(2,COLUMN())),OFFSET($CL$2,0,0,ROW()-1,84),ROW()-1,FALSE))</f>
        <v>0.60169924600000002</v>
      </c>
      <c r="V110" t="str">
        <f ca="1">IF(AND(ISNUMBER($V$324),$B$252=1),$V$324,HLOOKUP(INDIRECT(ADDRESS(2,COLUMN())),OFFSET($CL$2,0,0,ROW()-1,84),ROW()-1,FALSE))</f>
        <v/>
      </c>
      <c r="W110" t="str">
        <f ca="1">IF(AND(ISNUMBER($W$324),$B$252=1),$W$324,HLOOKUP(INDIRECT(ADDRESS(2,COLUMN())),OFFSET($CL$2,0,0,ROW()-1,84),ROW()-1,FALSE))</f>
        <v/>
      </c>
      <c r="X110">
        <f ca="1">IF(AND(ISNUMBER($X$324),$B$252=1),$X$324,HLOOKUP(INDIRECT(ADDRESS(2,COLUMN())),OFFSET($CL$2,0,0,ROW()-1,84),ROW()-1,FALSE))</f>
        <v>0.55258198300000005</v>
      </c>
      <c r="Y110" t="str">
        <f ca="1">IF(AND(ISNUMBER($Y$324),$B$252=1),$Y$324,HLOOKUP(INDIRECT(ADDRESS(2,COLUMN())),OFFSET($CL$2,0,0,ROW()-1,84),ROW()-1,FALSE))</f>
        <v/>
      </c>
      <c r="Z110" t="str">
        <f ca="1">IF(AND(ISNUMBER($Z$324),$B$252=1),$Z$324,HLOOKUP(INDIRECT(ADDRESS(2,COLUMN())),OFFSET($CL$2,0,0,ROW()-1,84),ROW()-1,FALSE))</f>
        <v/>
      </c>
      <c r="AA110">
        <f ca="1">IF(AND(ISNUMBER($AA$324),$B$252=1),$AA$324,HLOOKUP(INDIRECT(ADDRESS(2,COLUMN())),OFFSET($CL$2,0,0,ROW()-1,84),ROW()-1,FALSE))</f>
        <v>0.59089372600000001</v>
      </c>
      <c r="AB110" t="str">
        <f ca="1">IF(AND(ISNUMBER($AB$324),$B$252=1),$AB$324,HLOOKUP(INDIRECT(ADDRESS(2,COLUMN())),OFFSET($CL$2,0,0,ROW()-1,84),ROW()-1,FALSE))</f>
        <v/>
      </c>
      <c r="AC110" t="str">
        <f ca="1">IF(AND(ISNUMBER($AC$324),$B$252=1),$AC$324,HLOOKUP(INDIRECT(ADDRESS(2,COLUMN())),OFFSET($CL$2,0,0,ROW()-1,84),ROW()-1,FALSE))</f>
        <v/>
      </c>
      <c r="AD110">
        <f ca="1">IF(AND(ISNUMBER($AD$324),$B$252=1),$AD$324,HLOOKUP(INDIRECT(ADDRESS(2,COLUMN())),OFFSET($CL$2,0,0,ROW()-1,84),ROW()-1,FALSE))</f>
        <v>0.57187237800000001</v>
      </c>
      <c r="AE110" t="str">
        <f ca="1">IF(AND(ISNUMBER($AE$324),$B$252=1),$AE$324,HLOOKUP(INDIRECT(ADDRESS(2,COLUMN())),OFFSET($CL$2,0,0,ROW()-1,84),ROW()-1,FALSE))</f>
        <v/>
      </c>
      <c r="AF110" t="str">
        <f ca="1">IF(AND(ISNUMBER($AF$324),$B$252=1),$AF$324,HLOOKUP(INDIRECT(ADDRESS(2,COLUMN())),OFFSET($CL$2,0,0,ROW()-1,84),ROW()-1,FALSE))</f>
        <v/>
      </c>
      <c r="AG110">
        <f ca="1">IF(AND(ISNUMBER($AG$324),$B$252=1),$AG$324,HLOOKUP(INDIRECT(ADDRESS(2,COLUMN())),OFFSET($CL$2,0,0,ROW()-1,84),ROW()-1,FALSE))</f>
        <v>0.58281477299999995</v>
      </c>
      <c r="AH110" t="str">
        <f ca="1">IF(AND(ISNUMBER($AH$324),$B$252=1),$AH$324,HLOOKUP(INDIRECT(ADDRESS(2,COLUMN())),OFFSET($CL$2,0,0,ROW()-1,84),ROW()-1,FALSE))</f>
        <v/>
      </c>
      <c r="AI110" t="str">
        <f ca="1">IF(AND(ISNUMBER($AI$324),$B$252=1),$AI$324,HLOOKUP(INDIRECT(ADDRESS(2,COLUMN())),OFFSET($CL$2,0,0,ROW()-1,84),ROW()-1,FALSE))</f>
        <v/>
      </c>
      <c r="AJ110">
        <f ca="1">IF(AND(ISNUMBER($AJ$324),$B$252=1),$AJ$324,HLOOKUP(INDIRECT(ADDRESS(2,COLUMN())),OFFSET($CL$2,0,0,ROW()-1,84),ROW()-1,FALSE))</f>
        <v>0.565265884</v>
      </c>
      <c r="AK110" t="str">
        <f ca="1">IF(AND(ISNUMBER($AK$324),$B$252=1),$AK$324,HLOOKUP(INDIRECT(ADDRESS(2,COLUMN())),OFFSET($CL$2,0,0,ROW()-1,84),ROW()-1,FALSE))</f>
        <v/>
      </c>
      <c r="AL110" t="str">
        <f ca="1">IF(AND(ISNUMBER($AL$324),$B$252=1),$AL$324,HLOOKUP(INDIRECT(ADDRESS(2,COLUMN())),OFFSET($CL$2,0,0,ROW()-1,84),ROW()-1,FALSE))</f>
        <v/>
      </c>
      <c r="AM110">
        <f ca="1">IF(AND(ISNUMBER($AM$324),$B$252=1),$AM$324,HLOOKUP(INDIRECT(ADDRESS(2,COLUMN())),OFFSET($CL$2,0,0,ROW()-1,84),ROW()-1,FALSE))</f>
        <v>0.55839542399999997</v>
      </c>
      <c r="AN110" t="str">
        <f ca="1">IF(AND(ISNUMBER($AN$324),$B$252=1),$AN$324,HLOOKUP(INDIRECT(ADDRESS(2,COLUMN())),OFFSET($CL$2,0,0,ROW()-1,84),ROW()-1,FALSE))</f>
        <v/>
      </c>
      <c r="AO110" t="str">
        <f ca="1">IF(AND(ISNUMBER($AO$324),$B$252=1),$AO$324,HLOOKUP(INDIRECT(ADDRESS(2,COLUMN())),OFFSET($CL$2,0,0,ROW()-1,84),ROW()-1,FALSE))</f>
        <v/>
      </c>
      <c r="AP110">
        <f ca="1">IF(AND(ISNUMBER($AP$324),$B$252=1),$AP$324,HLOOKUP(INDIRECT(ADDRESS(2,COLUMN())),OFFSET($CL$2,0,0,ROW()-1,84),ROW()-1,FALSE))</f>
        <v>0.51831446000000003</v>
      </c>
      <c r="AQ110" t="str">
        <f ca="1">IF(AND(ISNUMBER($AQ$324),$B$252=1),$AQ$324,HLOOKUP(INDIRECT(ADDRESS(2,COLUMN())),OFFSET($CL$2,0,0,ROW()-1,84),ROW()-1,FALSE))</f>
        <v/>
      </c>
      <c r="AR110" t="str">
        <f ca="1">IF(AND(ISNUMBER($AR$324),$B$252=1),$AR$324,HLOOKUP(INDIRECT(ADDRESS(2,COLUMN())),OFFSET($CL$2,0,0,ROW()-1,84),ROW()-1,FALSE))</f>
        <v/>
      </c>
      <c r="AS110">
        <f ca="1">IF(AND(ISNUMBER($AS$324),$B$252=1),$AS$324,HLOOKUP(INDIRECT(ADDRESS(2,COLUMN())),OFFSET($CL$2,0,0,ROW()-1,84),ROW()-1,FALSE))</f>
        <v>0.53888866099999999</v>
      </c>
      <c r="AT110" t="str">
        <f ca="1">IF(AND(ISNUMBER($AT$324),$B$252=1),$AT$324,HLOOKUP(INDIRECT(ADDRESS(2,COLUMN())),OFFSET($CL$2,0,0,ROW()-1,84),ROW()-1,FALSE))</f>
        <v/>
      </c>
      <c r="AU110" t="str">
        <f ca="1">IF(AND(ISNUMBER($AU$324),$B$252=1),$AU$324,HLOOKUP(INDIRECT(ADDRESS(2,COLUMN())),OFFSET($CL$2,0,0,ROW()-1,84),ROW()-1,FALSE))</f>
        <v/>
      </c>
      <c r="AV110">
        <f ca="1">IF(AND(ISNUMBER($AV$324),$B$252=1),$AV$324,HLOOKUP(INDIRECT(ADDRESS(2,COLUMN())),OFFSET($CL$2,0,0,ROW()-1,84),ROW()-1,FALSE))</f>
        <v>0.50506488500000002</v>
      </c>
      <c r="AW110" t="str">
        <f ca="1">IF(AND(ISNUMBER($AW$324),$B$252=1),$AW$324,HLOOKUP(INDIRECT(ADDRESS(2,COLUMN())),OFFSET($CL$2,0,0,ROW()-1,84),ROW()-1,FALSE))</f>
        <v/>
      </c>
      <c r="AX110" t="str">
        <f ca="1">IF(AND(ISNUMBER($AX$324),$B$252=1),$AX$324,HLOOKUP(INDIRECT(ADDRESS(2,COLUMN())),OFFSET($CL$2,0,0,ROW()-1,84),ROW()-1,FALSE))</f>
        <v/>
      </c>
      <c r="AY110">
        <f ca="1">IF(AND(ISNUMBER($AY$324),$B$252=1),$AY$324,HLOOKUP(INDIRECT(ADDRESS(2,COLUMN())),OFFSET($CL$2,0,0,ROW()-1,84),ROW()-1,FALSE))</f>
        <v>0.52058088199999997</v>
      </c>
      <c r="AZ110" t="str">
        <f ca="1">IF(AND(ISNUMBER($AZ$324),$B$252=1),$AZ$324,HLOOKUP(INDIRECT(ADDRESS(2,COLUMN())),OFFSET($CL$2,0,0,ROW()-1,84),ROW()-1,FALSE))</f>
        <v/>
      </c>
      <c r="BA110" t="str">
        <f ca="1">IF(AND(ISNUMBER($BA$324),$B$252=1),$BA$324,HLOOKUP(INDIRECT(ADDRESS(2,COLUMN())),OFFSET($CL$2,0,0,ROW()-1,84),ROW()-1,FALSE))</f>
        <v/>
      </c>
      <c r="BB110">
        <f ca="1">IF(AND(ISNUMBER($BB$324),$B$252=1),$BB$324,HLOOKUP(INDIRECT(ADDRESS(2,COLUMN())),OFFSET($CL$2,0,0,ROW()-1,84),ROW()-1,FALSE))</f>
        <v>0.50268051400000002</v>
      </c>
      <c r="BC110" t="str">
        <f ca="1">IF(AND(ISNUMBER($BC$324),$B$252=1),$BC$324,HLOOKUP(INDIRECT(ADDRESS(2,COLUMN())),OFFSET($CL$2,0,0,ROW()-1,84),ROW()-1,FALSE))</f>
        <v/>
      </c>
      <c r="BD110" t="str">
        <f ca="1">IF(AND(ISNUMBER($BD$324),$B$252=1),$BD$324,HLOOKUP(INDIRECT(ADDRESS(2,COLUMN())),OFFSET($CL$2,0,0,ROW()-1,84),ROW()-1,FALSE))</f>
        <v/>
      </c>
      <c r="BE110">
        <f ca="1">IF(AND(ISNUMBER($BE$324),$B$252=1),$BE$324,HLOOKUP(INDIRECT(ADDRESS(2,COLUMN())),OFFSET($CL$2,0,0,ROW()-1,84),ROW()-1,FALSE))</f>
        <v>0.566093238</v>
      </c>
      <c r="BF110" t="str">
        <f ca="1">IF(AND(ISNUMBER($BF$324),$B$252=1),$BF$324,HLOOKUP(INDIRECT(ADDRESS(2,COLUMN())),OFFSET($CL$2,0,0,ROW()-1,84),ROW()-1,FALSE))</f>
        <v/>
      </c>
      <c r="BG110" t="str">
        <f ca="1">IF(AND(ISNUMBER($BG$324),$B$252=1),$BG$324,HLOOKUP(INDIRECT(ADDRESS(2,COLUMN())),OFFSET($CL$2,0,0,ROW()-1,84),ROW()-1,FALSE))</f>
        <v/>
      </c>
      <c r="BH110">
        <f ca="1">IF(AND(ISNUMBER($BH$324),$B$252=1),$BH$324,HLOOKUP(INDIRECT(ADDRESS(2,COLUMN())),OFFSET($CL$2,0,0,ROW()-1,84),ROW()-1,FALSE))</f>
        <v>0.50443450599999995</v>
      </c>
      <c r="BI110" t="str">
        <f ca="1">IF(AND(ISNUMBER($BI$324),$B$252=1),$BI$324,HLOOKUP(INDIRECT(ADDRESS(2,COLUMN())),OFFSET($CL$2,0,0,ROW()-1,84),ROW()-1,FALSE))</f>
        <v/>
      </c>
      <c r="BJ110" t="str">
        <f ca="1">IF(AND(ISNUMBER($BJ$324),$B$252=1),$BJ$324,HLOOKUP(INDIRECT(ADDRESS(2,COLUMN())),OFFSET($CL$2,0,0,ROW()-1,84),ROW()-1,FALSE))</f>
        <v/>
      </c>
      <c r="BK110">
        <f ca="1">IF(AND(ISNUMBER($BK$324),$B$252=1),$BK$324,HLOOKUP(INDIRECT(ADDRESS(2,COLUMN())),OFFSET($CL$2,0,0,ROW()-1,84),ROW()-1,FALSE))</f>
        <v>0.48798001000000002</v>
      </c>
      <c r="BL110" t="str">
        <f ca="1">IF(AND(ISNUMBER($BL$324),$B$252=1),$BL$324,HLOOKUP(INDIRECT(ADDRESS(2,COLUMN())),OFFSET($CL$2,0,0,ROW()-1,84),ROW()-1,FALSE))</f>
        <v/>
      </c>
      <c r="BM110" t="str">
        <f ca="1">IF(AND(ISNUMBER($BM$324),$B$252=1),$BM$324,HLOOKUP(INDIRECT(ADDRESS(2,COLUMN())),OFFSET($CL$2,0,0,ROW()-1,84),ROW()-1,FALSE))</f>
        <v/>
      </c>
      <c r="BN110">
        <f ca="1">IF(AND(ISNUMBER($BN$324),$B$252=1),$BN$324,HLOOKUP(INDIRECT(ADDRESS(2,COLUMN())),OFFSET($CL$2,0,0,ROW()-1,84),ROW()-1,FALSE))</f>
        <v>0.48245408899999997</v>
      </c>
      <c r="BO110" t="str">
        <f ca="1">IF(AND(ISNUMBER($BO$324),$B$252=1),$BO$324,HLOOKUP(INDIRECT(ADDRESS(2,COLUMN())),OFFSET($CL$2,0,0,ROW()-1,84),ROW()-1,FALSE))</f>
        <v/>
      </c>
      <c r="BP110" t="str">
        <f ca="1">IF(AND(ISNUMBER($BP$324),$B$252=1),$BP$324,HLOOKUP(INDIRECT(ADDRESS(2,COLUMN())),OFFSET($CL$2,0,0,ROW()-1,84),ROW()-1,FALSE))</f>
        <v/>
      </c>
      <c r="BQ110">
        <f ca="1">IF(AND(ISNUMBER($BQ$324),$B$252=1),$BQ$324,HLOOKUP(INDIRECT(ADDRESS(2,COLUMN())),OFFSET($CL$2,0,0,ROW()-1,84),ROW()-1,FALSE))</f>
        <v>0.51661764600000004</v>
      </c>
      <c r="BR110" t="str">
        <f ca="1">IF(AND(ISNUMBER($BR$324),$B$252=1),$BR$324,HLOOKUP(INDIRECT(ADDRESS(2,COLUMN())),OFFSET($CL$2,0,0,ROW()-1,84),ROW()-1,FALSE))</f>
        <v/>
      </c>
      <c r="BS110" t="str">
        <f ca="1">IF(AND(ISNUMBER($BS$324),$B$252=1),$BS$324,HLOOKUP(INDIRECT(ADDRESS(2,COLUMN())),OFFSET($CL$2,0,0,ROW()-1,84),ROW()-1,FALSE))</f>
        <v/>
      </c>
      <c r="BT110">
        <f ca="1">IF(AND(ISNUMBER($BT$324),$B$252=1),$BT$324,HLOOKUP(INDIRECT(ADDRESS(2,COLUMN())),OFFSET($CL$2,0,0,ROW()-1,84),ROW()-1,FALSE))</f>
        <v>0.455288419</v>
      </c>
      <c r="BU110" t="str">
        <f ca="1">IF(AND(ISNUMBER($BU$324),$B$252=1),$BU$324,HLOOKUP(INDIRECT(ADDRESS(2,COLUMN())),OFFSET($CL$2,0,0,ROW()-1,84),ROW()-1,FALSE))</f>
        <v/>
      </c>
      <c r="BV110" t="str">
        <f ca="1">IF(AND(ISNUMBER($BV$324),$B$252=1),$BV$324,HLOOKUP(INDIRECT(ADDRESS(2,COLUMN())),OFFSET($CL$2,0,0,ROW()-1,84),ROW()-1,FALSE))</f>
        <v/>
      </c>
      <c r="BW110">
        <f ca="1">IF(AND(ISNUMBER($BW$324),$B$252=1),$BW$324,HLOOKUP(INDIRECT(ADDRESS(2,COLUMN())),OFFSET($CL$2,0,0,ROW()-1,84),ROW()-1,FALSE))</f>
        <v>0.45549148299999997</v>
      </c>
      <c r="BX110" t="str">
        <f ca="1">IF(AND(ISNUMBER($BX$324),$B$252=1),$BX$324,HLOOKUP(INDIRECT(ADDRESS(2,COLUMN())),OFFSET($CL$2,0,0,ROW()-1,84),ROW()-1,FALSE))</f>
        <v/>
      </c>
      <c r="BY110" t="str">
        <f ca="1">IF(AND(ISNUMBER($BY$324),$B$252=1),$BY$324,HLOOKUP(INDIRECT(ADDRESS(2,COLUMN())),OFFSET($CL$2,0,0,ROW()-1,84),ROW()-1,FALSE))</f>
        <v/>
      </c>
      <c r="BZ110">
        <f ca="1">IF(AND(ISNUMBER($BZ$324),$B$252=1),$BZ$324,HLOOKUP(INDIRECT(ADDRESS(2,COLUMN())),OFFSET($CL$2,0,0,ROW()-1,84),ROW()-1,FALSE))</f>
        <v>0.40025978499999998</v>
      </c>
      <c r="CA110" t="str">
        <f ca="1">IF(AND(ISNUMBER($CA$324),$B$252=1),$CA$324,HLOOKUP(INDIRECT(ADDRESS(2,COLUMN())),OFFSET($CL$2,0,0,ROW()-1,84),ROW()-1,FALSE))</f>
        <v/>
      </c>
      <c r="CB110" t="str">
        <f ca="1">IF(AND(ISNUMBER($CB$324),$B$252=1),$CB$324,HLOOKUP(INDIRECT(ADDRESS(2,COLUMN())),OFFSET($CL$2,0,0,ROW()-1,84),ROW()-1,FALSE))</f>
        <v/>
      </c>
      <c r="CC110">
        <f ca="1">IF(AND(ISNUMBER($CC$324),$B$252=1),$CC$324,HLOOKUP(INDIRECT(ADDRESS(2,COLUMN())),OFFSET($CL$2,0,0,ROW()-1,84),ROW()-1,FALSE))</f>
        <v>0.41793703399999999</v>
      </c>
      <c r="CD110" t="str">
        <f ca="1">IF(AND(ISNUMBER($CD$324),$B$252=1),$CD$324,HLOOKUP(INDIRECT(ADDRESS(2,COLUMN())),OFFSET($CL$2,0,0,ROW()-1,84),ROW()-1,FALSE))</f>
        <v/>
      </c>
      <c r="CE110" t="str">
        <f ca="1">IF(AND(ISNUMBER($CE$324),$B$252=1),$CE$324,HLOOKUP(INDIRECT(ADDRESS(2,COLUMN())),OFFSET($CL$2,0,0,ROW()-1,84),ROW()-1,FALSE))</f>
        <v/>
      </c>
      <c r="CF110">
        <f ca="1">IF(AND(ISNUMBER($CF$324),$B$252=1),$CF$324,HLOOKUP(INDIRECT(ADDRESS(2,COLUMN())),OFFSET($CL$2,0,0,ROW()-1,84),ROW()-1,FALSE))</f>
        <v>0.412123974</v>
      </c>
      <c r="CG110" t="str">
        <f ca="1">IF(AND(ISNUMBER($CG$324),$B$252=1),$CG$324,HLOOKUP(INDIRECT(ADDRESS(2,COLUMN())),OFFSET($CL$2,0,0,ROW()-1,84),ROW()-1,FALSE))</f>
        <v/>
      </c>
      <c r="CH110" t="str">
        <f ca="1">IF(AND(ISNUMBER($CH$324),$B$252=1),$CH$324,HLOOKUP(INDIRECT(ADDRESS(2,COLUMN())),OFFSET($CL$2,0,0,ROW()-1,84),ROW()-1,FALSE))</f>
        <v/>
      </c>
      <c r="CI110">
        <f ca="1">IF(AND(ISNUMBER($CI$324),$B$252=1),$CI$324,HLOOKUP(INDIRECT(ADDRESS(2,COLUMN())),OFFSET($CL$2,0,0,ROW()-1,84),ROW()-1,FALSE))</f>
        <v>0.26996083199999998</v>
      </c>
      <c r="CJ110" t="str">
        <f ca="1">IF(AND(ISNUMBER($CJ$324),$B$252=1),$CJ$324,HLOOKUP(INDIRECT(ADDRESS(2,COLUMN())),OFFSET($CL$2,0,0,ROW()-1,84),ROW()-1,FALSE))</f>
        <v/>
      </c>
      <c r="CK110" t="str">
        <f ca="1">IF(AND(ISNUMBER($CK$324),$B$252=1),$CK$324,HLOOKUP(INDIRECT(ADDRESS(2,COLUMN())),OFFSET($CL$2,0,0,ROW()-1,84),ROW()-1,FALSE))</f>
        <v/>
      </c>
      <c r="CL110" t="str">
        <f>""</f>
        <v/>
      </c>
      <c r="CM110" t="str">
        <f>""</f>
        <v/>
      </c>
      <c r="CN110" t="str">
        <f>""</f>
        <v/>
      </c>
      <c r="CO110">
        <f>0.630464437</f>
        <v>0.63046443699999999</v>
      </c>
      <c r="CP110" t="str">
        <f>""</f>
        <v/>
      </c>
      <c r="CQ110" t="str">
        <f>""</f>
        <v/>
      </c>
      <c r="CR110">
        <f>0.627497864</f>
        <v>0.62749786399999996</v>
      </c>
      <c r="CS110" t="str">
        <f>""</f>
        <v/>
      </c>
      <c r="CT110" t="str">
        <f>""</f>
        <v/>
      </c>
      <c r="CU110">
        <f>0.608346361</f>
        <v>0.60834636099999995</v>
      </c>
      <c r="CV110" t="str">
        <f>""</f>
        <v/>
      </c>
      <c r="CW110" t="str">
        <f>""</f>
        <v/>
      </c>
      <c r="CX110">
        <f>0.581018666</f>
        <v>0.58101866599999996</v>
      </c>
      <c r="CY110" t="str">
        <f>""</f>
        <v/>
      </c>
      <c r="CZ110" t="str">
        <f>""</f>
        <v/>
      </c>
      <c r="DA110">
        <f>0.601699246</f>
        <v>0.60169924600000002</v>
      </c>
      <c r="DB110" t="str">
        <f>""</f>
        <v/>
      </c>
      <c r="DC110" t="str">
        <f>""</f>
        <v/>
      </c>
      <c r="DD110">
        <f>0.552581983</f>
        <v>0.55258198300000005</v>
      </c>
      <c r="DE110" t="str">
        <f>""</f>
        <v/>
      </c>
      <c r="DF110" t="str">
        <f>""</f>
        <v/>
      </c>
      <c r="DG110">
        <f>0.590893726</f>
        <v>0.59089372600000001</v>
      </c>
      <c r="DH110" t="str">
        <f>""</f>
        <v/>
      </c>
      <c r="DI110" t="str">
        <f>""</f>
        <v/>
      </c>
      <c r="DJ110">
        <f>0.571872378</f>
        <v>0.57187237800000001</v>
      </c>
      <c r="DK110" t="str">
        <f>""</f>
        <v/>
      </c>
      <c r="DL110" t="str">
        <f>""</f>
        <v/>
      </c>
      <c r="DM110">
        <f>0.582814773</f>
        <v>0.58281477299999995</v>
      </c>
      <c r="DN110" t="str">
        <f>""</f>
        <v/>
      </c>
      <c r="DO110" t="str">
        <f>""</f>
        <v/>
      </c>
      <c r="DP110">
        <f>0.565265884</f>
        <v>0.565265884</v>
      </c>
      <c r="DQ110" t="str">
        <f>""</f>
        <v/>
      </c>
      <c r="DR110" t="str">
        <f>""</f>
        <v/>
      </c>
      <c r="DS110">
        <f>0.558395424</f>
        <v>0.55839542399999997</v>
      </c>
      <c r="DT110" t="str">
        <f>""</f>
        <v/>
      </c>
      <c r="DU110" t="str">
        <f>""</f>
        <v/>
      </c>
      <c r="DV110">
        <f>0.51831446</f>
        <v>0.51831446000000003</v>
      </c>
      <c r="DW110" t="str">
        <f>""</f>
        <v/>
      </c>
      <c r="DX110" t="str">
        <f>""</f>
        <v/>
      </c>
      <c r="DY110">
        <f>0.538888661</f>
        <v>0.53888866099999999</v>
      </c>
      <c r="DZ110" t="str">
        <f>""</f>
        <v/>
      </c>
      <c r="EA110" t="str">
        <f>""</f>
        <v/>
      </c>
      <c r="EB110">
        <f>0.505064885</f>
        <v>0.50506488500000002</v>
      </c>
      <c r="EC110" t="str">
        <f>""</f>
        <v/>
      </c>
      <c r="ED110" t="str">
        <f>""</f>
        <v/>
      </c>
      <c r="EE110">
        <f>0.520580882</f>
        <v>0.52058088199999997</v>
      </c>
      <c r="EF110" t="str">
        <f>""</f>
        <v/>
      </c>
      <c r="EG110" t="str">
        <f>""</f>
        <v/>
      </c>
      <c r="EH110">
        <f>0.502680514</f>
        <v>0.50268051400000002</v>
      </c>
      <c r="EI110" t="str">
        <f>""</f>
        <v/>
      </c>
      <c r="EJ110" t="str">
        <f>""</f>
        <v/>
      </c>
      <c r="EK110">
        <f>0.566093238</f>
        <v>0.566093238</v>
      </c>
      <c r="EL110" t="str">
        <f>""</f>
        <v/>
      </c>
      <c r="EM110" t="str">
        <f>""</f>
        <v/>
      </c>
      <c r="EN110">
        <f>0.504434506</f>
        <v>0.50443450599999995</v>
      </c>
      <c r="EO110" t="str">
        <f>""</f>
        <v/>
      </c>
      <c r="EP110" t="str">
        <f>""</f>
        <v/>
      </c>
      <c r="EQ110">
        <f>0.48798001</f>
        <v>0.48798001000000002</v>
      </c>
      <c r="ER110" t="str">
        <f>""</f>
        <v/>
      </c>
      <c r="ES110" t="str">
        <f>""</f>
        <v/>
      </c>
      <c r="ET110">
        <f>0.482454089</f>
        <v>0.48245408899999997</v>
      </c>
      <c r="EU110" t="str">
        <f>""</f>
        <v/>
      </c>
      <c r="EV110" t="str">
        <f>""</f>
        <v/>
      </c>
      <c r="EW110">
        <f>0.516617646</f>
        <v>0.51661764600000004</v>
      </c>
      <c r="EX110" t="str">
        <f>""</f>
        <v/>
      </c>
      <c r="EY110" t="str">
        <f>""</f>
        <v/>
      </c>
      <c r="EZ110">
        <f>0.455288419</f>
        <v>0.455288419</v>
      </c>
      <c r="FA110" t="str">
        <f>""</f>
        <v/>
      </c>
      <c r="FB110" t="str">
        <f>""</f>
        <v/>
      </c>
      <c r="FC110">
        <f>0.455491483</f>
        <v>0.45549148299999997</v>
      </c>
      <c r="FD110" t="str">
        <f>""</f>
        <v/>
      </c>
      <c r="FE110" t="str">
        <f>""</f>
        <v/>
      </c>
      <c r="FF110">
        <f>0.400259785</f>
        <v>0.40025978499999998</v>
      </c>
      <c r="FG110" t="str">
        <f>""</f>
        <v/>
      </c>
      <c r="FH110" t="str">
        <f>""</f>
        <v/>
      </c>
      <c r="FI110">
        <f>0.417937034</f>
        <v>0.41793703399999999</v>
      </c>
      <c r="FJ110" t="str">
        <f>""</f>
        <v/>
      </c>
      <c r="FK110" t="str">
        <f>""</f>
        <v/>
      </c>
      <c r="FL110">
        <f>0.412123974</f>
        <v>0.412123974</v>
      </c>
      <c r="FM110" t="str">
        <f>""</f>
        <v/>
      </c>
      <c r="FN110" t="str">
        <f>""</f>
        <v/>
      </c>
      <c r="FO110">
        <f>0.269960832</f>
        <v>0.26996083199999998</v>
      </c>
      <c r="FP110" t="str">
        <f>""</f>
        <v/>
      </c>
      <c r="FQ110" t="str">
        <f>""</f>
        <v/>
      </c>
    </row>
    <row r="111" spans="1:173">
      <c r="A111" t="str">
        <f>"    AvalonBay Communities Inc"</f>
        <v xml:space="preserve">    AvalonBay Communities Inc</v>
      </c>
      <c r="B111" t="str">
        <f>"AVB US Equity"</f>
        <v>AVB US Equity</v>
      </c>
      <c r="C111" t="str">
        <f t="shared" si="33"/>
        <v>F0581</v>
      </c>
      <c r="D111" t="str">
        <f t="shared" si="34"/>
        <v>ADJUSTED_FFOPS</v>
      </c>
      <c r="E111" t="str">
        <f t="shared" si="35"/>
        <v>动态</v>
      </c>
      <c r="F111" t="str">
        <f ca="1">IF(AND(ISNUMBER($F$325),$B$252=1),$F$325,HLOOKUP(INDIRECT(ADDRESS(2,COLUMN())),OFFSET($CL$2,0,0,ROW()-1,84),ROW()-1,FALSE))</f>
        <v/>
      </c>
      <c r="G111" t="str">
        <f ca="1">IF(AND(ISNUMBER($G$325),$B$252=1),$G$325,HLOOKUP(INDIRECT(ADDRESS(2,COLUMN())),OFFSET($CL$2,0,0,ROW()-1,84),ROW()-1,FALSE))</f>
        <v/>
      </c>
      <c r="H111" t="str">
        <f ca="1">IF(AND(ISNUMBER($H$325),$B$252=1),$H$325,HLOOKUP(INDIRECT(ADDRESS(2,COLUMN())),OFFSET($CL$2,0,0,ROW()-1,84),ROW()-1,FALSE))</f>
        <v/>
      </c>
      <c r="I111">
        <f ca="1">IF(AND(ISNUMBER($I$325),$B$252=1),$I$325,HLOOKUP(INDIRECT(ADDRESS(2,COLUMN())),OFFSET($CL$2,0,0,ROW()-1,84),ROW()-1,FALSE))</f>
        <v>2.2487169589999998</v>
      </c>
      <c r="J111" t="str">
        <f ca="1">IF(AND(ISNUMBER($J$325),$B$252=1),$J$325,HLOOKUP(INDIRECT(ADDRESS(2,COLUMN())),OFFSET($CL$2,0,0,ROW()-1,84),ROW()-1,FALSE))</f>
        <v/>
      </c>
      <c r="K111" t="str">
        <f ca="1">IF(AND(ISNUMBER($K$325),$B$252=1),$K$325,HLOOKUP(INDIRECT(ADDRESS(2,COLUMN())),OFFSET($CL$2,0,0,ROW()-1,84),ROW()-1,FALSE))</f>
        <v/>
      </c>
      <c r="L111">
        <f ca="1">IF(AND(ISNUMBER($L$325),$B$252=1),$L$325,HLOOKUP(INDIRECT(ADDRESS(2,COLUMN())),OFFSET($CL$2,0,0,ROW()-1,84),ROW()-1,FALSE))</f>
        <v>2.193079505</v>
      </c>
      <c r="M111" t="str">
        <f ca="1">IF(AND(ISNUMBER($M$325),$B$252=1),$M$325,HLOOKUP(INDIRECT(ADDRESS(2,COLUMN())),OFFSET($CL$2,0,0,ROW()-1,84),ROW()-1,FALSE))</f>
        <v/>
      </c>
      <c r="N111" t="str">
        <f ca="1">IF(AND(ISNUMBER($N$325),$B$252=1),$N$325,HLOOKUP(INDIRECT(ADDRESS(2,COLUMN())),OFFSET($CL$2,0,0,ROW()-1,84),ROW()-1,FALSE))</f>
        <v/>
      </c>
      <c r="O111">
        <f ca="1">IF(AND(ISNUMBER($O$325),$B$252=1),$O$325,HLOOKUP(INDIRECT(ADDRESS(2,COLUMN())),OFFSET($CL$2,0,0,ROW()-1,84),ROW()-1,FALSE))</f>
        <v>2.087156571</v>
      </c>
      <c r="P111" t="str">
        <f ca="1">IF(AND(ISNUMBER($P$325),$B$252=1),$P$325,HLOOKUP(INDIRECT(ADDRESS(2,COLUMN())),OFFSET($CL$2,0,0,ROW()-1,84),ROW()-1,FALSE))</f>
        <v/>
      </c>
      <c r="Q111" t="str">
        <f ca="1">IF(AND(ISNUMBER($Q$325),$B$252=1),$Q$325,HLOOKUP(INDIRECT(ADDRESS(2,COLUMN())),OFFSET($CL$2,0,0,ROW()-1,84),ROW()-1,FALSE))</f>
        <v/>
      </c>
      <c r="R111">
        <f ca="1">IF(AND(ISNUMBER($R$325),$B$252=1),$R$325,HLOOKUP(INDIRECT(ADDRESS(2,COLUMN())),OFFSET($CL$2,0,0,ROW()-1,84),ROW()-1,FALSE))</f>
        <v>2.0895034159999999</v>
      </c>
      <c r="S111" t="str">
        <f ca="1">IF(AND(ISNUMBER($S$325),$B$252=1),$S$325,HLOOKUP(INDIRECT(ADDRESS(2,COLUMN())),OFFSET($CL$2,0,0,ROW()-1,84),ROW()-1,FALSE))</f>
        <v/>
      </c>
      <c r="T111" t="str">
        <f ca="1">IF(AND(ISNUMBER($T$325),$B$252=1),$T$325,HLOOKUP(INDIRECT(ADDRESS(2,COLUMN())),OFFSET($CL$2,0,0,ROW()-1,84),ROW()-1,FALSE))</f>
        <v/>
      </c>
      <c r="U111">
        <f ca="1">IF(AND(ISNUMBER($U$325),$B$252=1),$U$325,HLOOKUP(INDIRECT(ADDRESS(2,COLUMN())),OFFSET($CL$2,0,0,ROW()-1,84),ROW()-1,FALSE))</f>
        <v>2.1171086629999998</v>
      </c>
      <c r="V111" t="str">
        <f ca="1">IF(AND(ISNUMBER($V$325),$B$252=1),$V$325,HLOOKUP(INDIRECT(ADDRESS(2,COLUMN())),OFFSET($CL$2,0,0,ROW()-1,84),ROW()-1,FALSE))</f>
        <v/>
      </c>
      <c r="W111" t="str">
        <f ca="1">IF(AND(ISNUMBER($W$325),$B$252=1),$W$325,HLOOKUP(INDIRECT(ADDRESS(2,COLUMN())),OFFSET($CL$2,0,0,ROW()-1,84),ROW()-1,FALSE))</f>
        <v/>
      </c>
      <c r="X111">
        <f ca="1">IF(AND(ISNUMBER($X$325),$B$252=1),$X$325,HLOOKUP(INDIRECT(ADDRESS(2,COLUMN())),OFFSET($CL$2,0,0,ROW()-1,84),ROW()-1,FALSE))</f>
        <v>2.0705257079999999</v>
      </c>
      <c r="Y111" t="str">
        <f ca="1">IF(AND(ISNUMBER($Y$325),$B$252=1),$Y$325,HLOOKUP(INDIRECT(ADDRESS(2,COLUMN())),OFFSET($CL$2,0,0,ROW()-1,84),ROW()-1,FALSE))</f>
        <v/>
      </c>
      <c r="Z111" t="str">
        <f ca="1">IF(AND(ISNUMBER($Z$325),$B$252=1),$Z$325,HLOOKUP(INDIRECT(ADDRESS(2,COLUMN())),OFFSET($CL$2,0,0,ROW()-1,84),ROW()-1,FALSE))</f>
        <v/>
      </c>
      <c r="AA111">
        <f ca="1">IF(AND(ISNUMBER($AA$325),$B$252=1),$AA$325,HLOOKUP(INDIRECT(ADDRESS(2,COLUMN())),OFFSET($CL$2,0,0,ROW()-1,84),ROW()-1,FALSE))</f>
        <v>2.026037493</v>
      </c>
      <c r="AB111" t="str">
        <f ca="1">IF(AND(ISNUMBER($AB$325),$B$252=1),$AB$325,HLOOKUP(INDIRECT(ADDRESS(2,COLUMN())),OFFSET($CL$2,0,0,ROW()-1,84),ROW()-1,FALSE))</f>
        <v/>
      </c>
      <c r="AC111" t="str">
        <f ca="1">IF(AND(ISNUMBER($AC$325),$B$252=1),$AC$325,HLOOKUP(INDIRECT(ADDRESS(2,COLUMN())),OFFSET($CL$2,0,0,ROW()-1,84),ROW()-1,FALSE))</f>
        <v/>
      </c>
      <c r="AD111">
        <f ca="1">IF(AND(ISNUMBER($AD$325),$B$252=1),$AD$325,HLOOKUP(INDIRECT(ADDRESS(2,COLUMN())),OFFSET($CL$2,0,0,ROW()-1,84),ROW()-1,FALSE))</f>
        <v>1.972834435</v>
      </c>
      <c r="AE111" t="str">
        <f ca="1">IF(AND(ISNUMBER($AE$325),$B$252=1),$AE$325,HLOOKUP(INDIRECT(ADDRESS(2,COLUMN())),OFFSET($CL$2,0,0,ROW()-1,84),ROW()-1,FALSE))</f>
        <v/>
      </c>
      <c r="AF111" t="str">
        <f ca="1">IF(AND(ISNUMBER($AF$325),$B$252=1),$AF$325,HLOOKUP(INDIRECT(ADDRESS(2,COLUMN())),OFFSET($CL$2,0,0,ROW()-1,84),ROW()-1,FALSE))</f>
        <v/>
      </c>
      <c r="AG111">
        <f ca="1">IF(AND(ISNUMBER($AG$325),$B$252=1),$AG$325,HLOOKUP(INDIRECT(ADDRESS(2,COLUMN())),OFFSET($CL$2,0,0,ROW()-1,84),ROW()-1,FALSE))</f>
        <v>1.9880713539999999</v>
      </c>
      <c r="AH111" t="str">
        <f ca="1">IF(AND(ISNUMBER($AH$325),$B$252=1),$AH$325,HLOOKUP(INDIRECT(ADDRESS(2,COLUMN())),OFFSET($CL$2,0,0,ROW()-1,84),ROW()-1,FALSE))</f>
        <v/>
      </c>
      <c r="AI111" t="str">
        <f ca="1">IF(AND(ISNUMBER($AI$325),$B$252=1),$AI$325,HLOOKUP(INDIRECT(ADDRESS(2,COLUMN())),OFFSET($CL$2,0,0,ROW()-1,84),ROW()-1,FALSE))</f>
        <v/>
      </c>
      <c r="AJ111">
        <f ca="1">IF(AND(ISNUMBER($AJ$325),$B$252=1),$AJ$325,HLOOKUP(INDIRECT(ADDRESS(2,COLUMN())),OFFSET($CL$2,0,0,ROW()-1,84),ROW()-1,FALSE))</f>
        <v>1.9282026219999999</v>
      </c>
      <c r="AK111" t="str">
        <f ca="1">IF(AND(ISNUMBER($AK$325),$B$252=1),$AK$325,HLOOKUP(INDIRECT(ADDRESS(2,COLUMN())),OFFSET($CL$2,0,0,ROW()-1,84),ROW()-1,FALSE))</f>
        <v/>
      </c>
      <c r="AL111" t="str">
        <f ca="1">IF(AND(ISNUMBER($AL$325),$B$252=1),$AL$325,HLOOKUP(INDIRECT(ADDRESS(2,COLUMN())),OFFSET($CL$2,0,0,ROW()-1,84),ROW()-1,FALSE))</f>
        <v/>
      </c>
      <c r="AM111">
        <f ca="1">IF(AND(ISNUMBER($AM$325),$B$252=1),$AM$325,HLOOKUP(INDIRECT(ADDRESS(2,COLUMN())),OFFSET($CL$2,0,0,ROW()-1,84),ROW()-1,FALSE))</f>
        <v>1.8669523530000001</v>
      </c>
      <c r="AN111" t="str">
        <f ca="1">IF(AND(ISNUMBER($AN$325),$B$252=1),$AN$325,HLOOKUP(INDIRECT(ADDRESS(2,COLUMN())),OFFSET($CL$2,0,0,ROW()-1,84),ROW()-1,FALSE))</f>
        <v/>
      </c>
      <c r="AO111" t="str">
        <f ca="1">IF(AND(ISNUMBER($AO$325),$B$252=1),$AO$325,HLOOKUP(INDIRECT(ADDRESS(2,COLUMN())),OFFSET($CL$2,0,0,ROW()-1,84),ROW()-1,FALSE))</f>
        <v/>
      </c>
      <c r="AP111">
        <f ca="1">IF(AND(ISNUMBER($AP$325),$B$252=1),$AP$325,HLOOKUP(INDIRECT(ADDRESS(2,COLUMN())),OFFSET($CL$2,0,0,ROW()-1,84),ROW()-1,FALSE))</f>
        <v>1.754448236</v>
      </c>
      <c r="AQ111" t="str">
        <f ca="1">IF(AND(ISNUMBER($AQ$325),$B$252=1),$AQ$325,HLOOKUP(INDIRECT(ADDRESS(2,COLUMN())),OFFSET($CL$2,0,0,ROW()-1,84),ROW()-1,FALSE))</f>
        <v/>
      </c>
      <c r="AR111" t="str">
        <f ca="1">IF(AND(ISNUMBER($AR$325),$B$252=1),$AR$325,HLOOKUP(INDIRECT(ADDRESS(2,COLUMN())),OFFSET($CL$2,0,0,ROW()-1,84),ROW()-1,FALSE))</f>
        <v/>
      </c>
      <c r="AS111">
        <f ca="1">IF(AND(ISNUMBER($AS$325),$B$252=1),$AS$325,HLOOKUP(INDIRECT(ADDRESS(2,COLUMN())),OFFSET($CL$2,0,0,ROW()-1,84),ROW()-1,FALSE))</f>
        <v>1.735582588</v>
      </c>
      <c r="AT111" t="str">
        <f ca="1">IF(AND(ISNUMBER($AT$325),$B$252=1),$AT$325,HLOOKUP(INDIRECT(ADDRESS(2,COLUMN())),OFFSET($CL$2,0,0,ROW()-1,84),ROW()-1,FALSE))</f>
        <v/>
      </c>
      <c r="AU111" t="str">
        <f ca="1">IF(AND(ISNUMBER($AU$325),$B$252=1),$AU$325,HLOOKUP(INDIRECT(ADDRESS(2,COLUMN())),OFFSET($CL$2,0,0,ROW()-1,84),ROW()-1,FALSE))</f>
        <v/>
      </c>
      <c r="AV111">
        <f ca="1">IF(AND(ISNUMBER($AV$325),$B$252=1),$AV$325,HLOOKUP(INDIRECT(ADDRESS(2,COLUMN())),OFFSET($CL$2,0,0,ROW()-1,84),ROW()-1,FALSE))</f>
        <v>1.727108764</v>
      </c>
      <c r="AW111" t="str">
        <f ca="1">IF(AND(ISNUMBER($AW$325),$B$252=1),$AW$325,HLOOKUP(INDIRECT(ADDRESS(2,COLUMN())),OFFSET($CL$2,0,0,ROW()-1,84),ROW()-1,FALSE))</f>
        <v/>
      </c>
      <c r="AX111" t="str">
        <f ca="1">IF(AND(ISNUMBER($AX$325),$B$252=1),$AX$325,HLOOKUP(INDIRECT(ADDRESS(2,COLUMN())),OFFSET($CL$2,0,0,ROW()-1,84),ROW()-1,FALSE))</f>
        <v/>
      </c>
      <c r="AY111">
        <f ca="1">IF(AND(ISNUMBER($AY$325),$B$252=1),$AY$325,HLOOKUP(INDIRECT(ADDRESS(2,COLUMN())),OFFSET($CL$2,0,0,ROW()-1,84),ROW()-1,FALSE))</f>
        <v>1.698609228</v>
      </c>
      <c r="AZ111" t="str">
        <f ca="1">IF(AND(ISNUMBER($AZ$325),$B$252=1),$AZ$325,HLOOKUP(INDIRECT(ADDRESS(2,COLUMN())),OFFSET($CL$2,0,0,ROW()-1,84),ROW()-1,FALSE))</f>
        <v/>
      </c>
      <c r="BA111" t="str">
        <f ca="1">IF(AND(ISNUMBER($BA$325),$B$252=1),$BA$325,HLOOKUP(INDIRECT(ADDRESS(2,COLUMN())),OFFSET($CL$2,0,0,ROW()-1,84),ROW()-1,FALSE))</f>
        <v/>
      </c>
      <c r="BB111">
        <f ca="1">IF(AND(ISNUMBER($BB$325),$B$252=1),$BB$325,HLOOKUP(INDIRECT(ADDRESS(2,COLUMN())),OFFSET($CL$2,0,0,ROW()-1,84),ROW()-1,FALSE))</f>
        <v>1.625802054</v>
      </c>
      <c r="BC111" t="str">
        <f ca="1">IF(AND(ISNUMBER($BC$325),$B$252=1),$BC$325,HLOOKUP(INDIRECT(ADDRESS(2,COLUMN())),OFFSET($CL$2,0,0,ROW()-1,84),ROW()-1,FALSE))</f>
        <v/>
      </c>
      <c r="BD111" t="str">
        <f ca="1">IF(AND(ISNUMBER($BD$325),$B$252=1),$BD$325,HLOOKUP(INDIRECT(ADDRESS(2,COLUMN())),OFFSET($CL$2,0,0,ROW()-1,84),ROW()-1,FALSE))</f>
        <v/>
      </c>
      <c r="BE111">
        <f ca="1">IF(AND(ISNUMBER($BE$325),$B$252=1),$BE$325,HLOOKUP(INDIRECT(ADDRESS(2,COLUMN())),OFFSET($CL$2,0,0,ROW()-1,84),ROW()-1,FALSE))</f>
        <v>1.605552385</v>
      </c>
      <c r="BF111" t="str">
        <f ca="1">IF(AND(ISNUMBER($BF$325),$B$252=1),$BF$325,HLOOKUP(INDIRECT(ADDRESS(2,COLUMN())),OFFSET($CL$2,0,0,ROW()-1,84),ROW()-1,FALSE))</f>
        <v/>
      </c>
      <c r="BG111" t="str">
        <f ca="1">IF(AND(ISNUMBER($BG$325),$B$252=1),$BG$325,HLOOKUP(INDIRECT(ADDRESS(2,COLUMN())),OFFSET($CL$2,0,0,ROW()-1,84),ROW()-1,FALSE))</f>
        <v/>
      </c>
      <c r="BH111">
        <f ca="1">IF(AND(ISNUMBER($BH$325),$B$252=1),$BH$325,HLOOKUP(INDIRECT(ADDRESS(2,COLUMN())),OFFSET($CL$2,0,0,ROW()-1,84),ROW()-1,FALSE))</f>
        <v>1.628550959</v>
      </c>
      <c r="BI111" t="str">
        <f ca="1">IF(AND(ISNUMBER($BI$325),$B$252=1),$BI$325,HLOOKUP(INDIRECT(ADDRESS(2,COLUMN())),OFFSET($CL$2,0,0,ROW()-1,84),ROW()-1,FALSE))</f>
        <v/>
      </c>
      <c r="BJ111" t="str">
        <f ca="1">IF(AND(ISNUMBER($BJ$325),$B$252=1),$BJ$325,HLOOKUP(INDIRECT(ADDRESS(2,COLUMN())),OFFSET($CL$2,0,0,ROW()-1,84),ROW()-1,FALSE))</f>
        <v/>
      </c>
      <c r="BK111">
        <f ca="1">IF(AND(ISNUMBER($BK$325),$B$252=1),$BK$325,HLOOKUP(INDIRECT(ADDRESS(2,COLUMN())),OFFSET($CL$2,0,0,ROW()-1,84),ROW()-1,FALSE))</f>
        <v>1.615859835</v>
      </c>
      <c r="BL111" t="str">
        <f ca="1">IF(AND(ISNUMBER($BL$325),$B$252=1),$BL$325,HLOOKUP(INDIRECT(ADDRESS(2,COLUMN())),OFFSET($CL$2,0,0,ROW()-1,84),ROW()-1,FALSE))</f>
        <v/>
      </c>
      <c r="BM111" t="str">
        <f ca="1">IF(AND(ISNUMBER($BM$325),$B$252=1),$BM$325,HLOOKUP(INDIRECT(ADDRESS(2,COLUMN())),OFFSET($CL$2,0,0,ROW()-1,84),ROW()-1,FALSE))</f>
        <v/>
      </c>
      <c r="BN111">
        <f ca="1">IF(AND(ISNUMBER($BN$325),$B$252=1),$BN$325,HLOOKUP(INDIRECT(ADDRESS(2,COLUMN())),OFFSET($CL$2,0,0,ROW()-1,84),ROW()-1,FALSE))</f>
        <v>1.3602736289999999</v>
      </c>
      <c r="BO111" t="str">
        <f ca="1">IF(AND(ISNUMBER($BO$325),$B$252=1),$BO$325,HLOOKUP(INDIRECT(ADDRESS(2,COLUMN())),OFFSET($CL$2,0,0,ROW()-1,84),ROW()-1,FALSE))</f>
        <v/>
      </c>
      <c r="BP111" t="str">
        <f ca="1">IF(AND(ISNUMBER($BP$325),$B$252=1),$BP$325,HLOOKUP(INDIRECT(ADDRESS(2,COLUMN())),OFFSET($CL$2,0,0,ROW()-1,84),ROW()-1,FALSE))</f>
        <v/>
      </c>
      <c r="BQ111">
        <f ca="1">IF(AND(ISNUMBER($BQ$325),$B$252=1),$BQ$325,HLOOKUP(INDIRECT(ADDRESS(2,COLUMN())),OFFSET($CL$2,0,0,ROW()-1,84),ROW()-1,FALSE))</f>
        <v>1.269583694</v>
      </c>
      <c r="BR111" t="str">
        <f ca="1">IF(AND(ISNUMBER($BR$325),$B$252=1),$BR$325,HLOOKUP(INDIRECT(ADDRESS(2,COLUMN())),OFFSET($CL$2,0,0,ROW()-1,84),ROW()-1,FALSE))</f>
        <v/>
      </c>
      <c r="BS111" t="str">
        <f ca="1">IF(AND(ISNUMBER($BS$325),$B$252=1),$BS$325,HLOOKUP(INDIRECT(ADDRESS(2,COLUMN())),OFFSET($CL$2,0,0,ROW()-1,84),ROW()-1,FALSE))</f>
        <v/>
      </c>
      <c r="BT111">
        <f ca="1">IF(AND(ISNUMBER($BT$325),$B$252=1),$BT$325,HLOOKUP(INDIRECT(ADDRESS(2,COLUMN())),OFFSET($CL$2,0,0,ROW()-1,84),ROW()-1,FALSE))</f>
        <v>1.437493489</v>
      </c>
      <c r="BU111" t="str">
        <f ca="1">IF(AND(ISNUMBER($BU$325),$B$252=1),$BU$325,HLOOKUP(INDIRECT(ADDRESS(2,COLUMN())),OFFSET($CL$2,0,0,ROW()-1,84),ROW()-1,FALSE))</f>
        <v/>
      </c>
      <c r="BV111" t="str">
        <f ca="1">IF(AND(ISNUMBER($BV$325),$B$252=1),$BV$325,HLOOKUP(INDIRECT(ADDRESS(2,COLUMN())),OFFSET($CL$2,0,0,ROW()-1,84),ROW()-1,FALSE))</f>
        <v/>
      </c>
      <c r="BW111">
        <f ca="1">IF(AND(ISNUMBER($BW$325),$B$252=1),$BW$325,HLOOKUP(INDIRECT(ADDRESS(2,COLUMN())),OFFSET($CL$2,0,0,ROW()-1,84),ROW()-1,FALSE))</f>
        <v>1.3429266559999999</v>
      </c>
      <c r="BX111" t="str">
        <f ca="1">IF(AND(ISNUMBER($BX$325),$B$252=1),$BX$325,HLOOKUP(INDIRECT(ADDRESS(2,COLUMN())),OFFSET($CL$2,0,0,ROW()-1,84),ROW()-1,FALSE))</f>
        <v/>
      </c>
      <c r="BY111" t="str">
        <f ca="1">IF(AND(ISNUMBER($BY$325),$B$252=1),$BY$325,HLOOKUP(INDIRECT(ADDRESS(2,COLUMN())),OFFSET($CL$2,0,0,ROW()-1,84),ROW()-1,FALSE))</f>
        <v/>
      </c>
      <c r="BZ111">
        <f ca="1">IF(AND(ISNUMBER($BZ$325),$B$252=1),$BZ$325,HLOOKUP(INDIRECT(ADDRESS(2,COLUMN())),OFFSET($CL$2,0,0,ROW()-1,84),ROW()-1,FALSE))</f>
        <v>1.2751299659999999</v>
      </c>
      <c r="CA111" t="str">
        <f ca="1">IF(AND(ISNUMBER($CA$325),$B$252=1),$CA$325,HLOOKUP(INDIRECT(ADDRESS(2,COLUMN())),OFFSET($CL$2,0,0,ROW()-1,84),ROW()-1,FALSE))</f>
        <v/>
      </c>
      <c r="CB111" t="str">
        <f ca="1">IF(AND(ISNUMBER($CB$325),$B$252=1),$CB$325,HLOOKUP(INDIRECT(ADDRESS(2,COLUMN())),OFFSET($CL$2,0,0,ROW()-1,84),ROW()-1,FALSE))</f>
        <v/>
      </c>
      <c r="CC111">
        <f ca="1">IF(AND(ISNUMBER($CC$325),$B$252=1),$CC$325,HLOOKUP(INDIRECT(ADDRESS(2,COLUMN())),OFFSET($CL$2,0,0,ROW()-1,84),ROW()-1,FALSE))</f>
        <v>1.2649595570000001</v>
      </c>
      <c r="CD111" t="str">
        <f ca="1">IF(AND(ISNUMBER($CD$325),$B$252=1),$CD$325,HLOOKUP(INDIRECT(ADDRESS(2,COLUMN())),OFFSET($CL$2,0,0,ROW()-1,84),ROW()-1,FALSE))</f>
        <v/>
      </c>
      <c r="CE111" t="str">
        <f ca="1">IF(AND(ISNUMBER($CE$325),$B$252=1),$CE$325,HLOOKUP(INDIRECT(ADDRESS(2,COLUMN())),OFFSET($CL$2,0,0,ROW()-1,84),ROW()-1,FALSE))</f>
        <v/>
      </c>
      <c r="CF111">
        <f ca="1">IF(AND(ISNUMBER($CF$325),$B$252=1),$CF$325,HLOOKUP(INDIRECT(ADDRESS(2,COLUMN())),OFFSET($CL$2,0,0,ROW()-1,84),ROW()-1,FALSE))</f>
        <v>1.169470118</v>
      </c>
      <c r="CG111" t="str">
        <f ca="1">IF(AND(ISNUMBER($CG$325),$B$252=1),$CG$325,HLOOKUP(INDIRECT(ADDRESS(2,COLUMN())),OFFSET($CL$2,0,0,ROW()-1,84),ROW()-1,FALSE))</f>
        <v/>
      </c>
      <c r="CH111" t="str">
        <f ca="1">IF(AND(ISNUMBER($CH$325),$B$252=1),$CH$325,HLOOKUP(INDIRECT(ADDRESS(2,COLUMN())),OFFSET($CL$2,0,0,ROW()-1,84),ROW()-1,FALSE))</f>
        <v/>
      </c>
      <c r="CI111">
        <f ca="1">IF(AND(ISNUMBER($CI$325),$B$252=1),$CI$325,HLOOKUP(INDIRECT(ADDRESS(2,COLUMN())),OFFSET($CL$2,0,0,ROW()-1,84),ROW()-1,FALSE))</f>
        <v>1.1427300659999999</v>
      </c>
      <c r="CJ111" t="str">
        <f ca="1">IF(AND(ISNUMBER($CJ$325),$B$252=1),$CJ$325,HLOOKUP(INDIRECT(ADDRESS(2,COLUMN())),OFFSET($CL$2,0,0,ROW()-1,84),ROW()-1,FALSE))</f>
        <v/>
      </c>
      <c r="CK111" t="str">
        <f ca="1">IF(AND(ISNUMBER($CK$325),$B$252=1),$CK$325,HLOOKUP(INDIRECT(ADDRESS(2,COLUMN())),OFFSET($CL$2,0,0,ROW()-1,84),ROW()-1,FALSE))</f>
        <v/>
      </c>
      <c r="CL111" t="str">
        <f>""</f>
        <v/>
      </c>
      <c r="CM111" t="str">
        <f>""</f>
        <v/>
      </c>
      <c r="CN111" t="str">
        <f>""</f>
        <v/>
      </c>
      <c r="CO111">
        <f>2.248716959</f>
        <v>2.2487169589999998</v>
      </c>
      <c r="CP111" t="str">
        <f>""</f>
        <v/>
      </c>
      <c r="CQ111" t="str">
        <f>""</f>
        <v/>
      </c>
      <c r="CR111">
        <f>2.193079505</f>
        <v>2.193079505</v>
      </c>
      <c r="CS111" t="str">
        <f>""</f>
        <v/>
      </c>
      <c r="CT111" t="str">
        <f>""</f>
        <v/>
      </c>
      <c r="CU111">
        <f>2.087156571</f>
        <v>2.087156571</v>
      </c>
      <c r="CV111" t="str">
        <f>""</f>
        <v/>
      </c>
      <c r="CW111" t="str">
        <f>""</f>
        <v/>
      </c>
      <c r="CX111">
        <f>2.089503416</f>
        <v>2.0895034159999999</v>
      </c>
      <c r="CY111" t="str">
        <f>""</f>
        <v/>
      </c>
      <c r="CZ111" t="str">
        <f>""</f>
        <v/>
      </c>
      <c r="DA111">
        <f>2.117108663</f>
        <v>2.1171086629999998</v>
      </c>
      <c r="DB111" t="str">
        <f>""</f>
        <v/>
      </c>
      <c r="DC111" t="str">
        <f>""</f>
        <v/>
      </c>
      <c r="DD111">
        <f>2.070525708</f>
        <v>2.0705257079999999</v>
      </c>
      <c r="DE111" t="str">
        <f>""</f>
        <v/>
      </c>
      <c r="DF111" t="str">
        <f>""</f>
        <v/>
      </c>
      <c r="DG111">
        <f>2.026037493</f>
        <v>2.026037493</v>
      </c>
      <c r="DH111" t="str">
        <f>""</f>
        <v/>
      </c>
      <c r="DI111" t="str">
        <f>""</f>
        <v/>
      </c>
      <c r="DJ111">
        <f>1.972834435</f>
        <v>1.972834435</v>
      </c>
      <c r="DK111" t="str">
        <f>""</f>
        <v/>
      </c>
      <c r="DL111" t="str">
        <f>""</f>
        <v/>
      </c>
      <c r="DM111">
        <f>1.988071354</f>
        <v>1.9880713539999999</v>
      </c>
      <c r="DN111" t="str">
        <f>""</f>
        <v/>
      </c>
      <c r="DO111" t="str">
        <f>""</f>
        <v/>
      </c>
      <c r="DP111">
        <f>1.928202622</f>
        <v>1.9282026219999999</v>
      </c>
      <c r="DQ111" t="str">
        <f>""</f>
        <v/>
      </c>
      <c r="DR111" t="str">
        <f>""</f>
        <v/>
      </c>
      <c r="DS111">
        <f>1.866952353</f>
        <v>1.8669523530000001</v>
      </c>
      <c r="DT111" t="str">
        <f>""</f>
        <v/>
      </c>
      <c r="DU111" t="str">
        <f>""</f>
        <v/>
      </c>
      <c r="DV111">
        <f>1.754448236</f>
        <v>1.754448236</v>
      </c>
      <c r="DW111" t="str">
        <f>""</f>
        <v/>
      </c>
      <c r="DX111" t="str">
        <f>""</f>
        <v/>
      </c>
      <c r="DY111">
        <f>1.735582588</f>
        <v>1.735582588</v>
      </c>
      <c r="DZ111" t="str">
        <f>""</f>
        <v/>
      </c>
      <c r="EA111" t="str">
        <f>""</f>
        <v/>
      </c>
      <c r="EB111">
        <f>1.727108764</f>
        <v>1.727108764</v>
      </c>
      <c r="EC111" t="str">
        <f>""</f>
        <v/>
      </c>
      <c r="ED111" t="str">
        <f>""</f>
        <v/>
      </c>
      <c r="EE111">
        <f>1.698609228</f>
        <v>1.698609228</v>
      </c>
      <c r="EF111" t="str">
        <f>""</f>
        <v/>
      </c>
      <c r="EG111" t="str">
        <f>""</f>
        <v/>
      </c>
      <c r="EH111">
        <f>1.625802054</f>
        <v>1.625802054</v>
      </c>
      <c r="EI111" t="str">
        <f>""</f>
        <v/>
      </c>
      <c r="EJ111" t="str">
        <f>""</f>
        <v/>
      </c>
      <c r="EK111">
        <f>1.605552385</f>
        <v>1.605552385</v>
      </c>
      <c r="EL111" t="str">
        <f>""</f>
        <v/>
      </c>
      <c r="EM111" t="str">
        <f>""</f>
        <v/>
      </c>
      <c r="EN111">
        <f>1.628550959</f>
        <v>1.628550959</v>
      </c>
      <c r="EO111" t="str">
        <f>""</f>
        <v/>
      </c>
      <c r="EP111" t="str">
        <f>""</f>
        <v/>
      </c>
      <c r="EQ111">
        <f>1.615859835</f>
        <v>1.615859835</v>
      </c>
      <c r="ER111" t="str">
        <f>""</f>
        <v/>
      </c>
      <c r="ES111" t="str">
        <f>""</f>
        <v/>
      </c>
      <c r="ET111">
        <f>1.360273629</f>
        <v>1.3602736289999999</v>
      </c>
      <c r="EU111" t="str">
        <f>""</f>
        <v/>
      </c>
      <c r="EV111" t="str">
        <f>""</f>
        <v/>
      </c>
      <c r="EW111">
        <f>1.269583694</f>
        <v>1.269583694</v>
      </c>
      <c r="EX111" t="str">
        <f>""</f>
        <v/>
      </c>
      <c r="EY111" t="str">
        <f>""</f>
        <v/>
      </c>
      <c r="EZ111">
        <f>1.437493489</f>
        <v>1.437493489</v>
      </c>
      <c r="FA111" t="str">
        <f>""</f>
        <v/>
      </c>
      <c r="FB111" t="str">
        <f>""</f>
        <v/>
      </c>
      <c r="FC111">
        <f>1.342926656</f>
        <v>1.3429266559999999</v>
      </c>
      <c r="FD111" t="str">
        <f>""</f>
        <v/>
      </c>
      <c r="FE111" t="str">
        <f>""</f>
        <v/>
      </c>
      <c r="FF111">
        <f>1.275129966</f>
        <v>1.2751299659999999</v>
      </c>
      <c r="FG111" t="str">
        <f>""</f>
        <v/>
      </c>
      <c r="FH111" t="str">
        <f>""</f>
        <v/>
      </c>
      <c r="FI111">
        <f>1.264959557</f>
        <v>1.2649595570000001</v>
      </c>
      <c r="FJ111" t="str">
        <f>""</f>
        <v/>
      </c>
      <c r="FK111" t="str">
        <f>""</f>
        <v/>
      </c>
      <c r="FL111">
        <f>1.169470118</f>
        <v>1.169470118</v>
      </c>
      <c r="FM111" t="str">
        <f>""</f>
        <v/>
      </c>
      <c r="FN111" t="str">
        <f>""</f>
        <v/>
      </c>
      <c r="FO111">
        <f>1.142730066</f>
        <v>1.1427300659999999</v>
      </c>
      <c r="FP111" t="str">
        <f>""</f>
        <v/>
      </c>
      <c r="FQ111" t="str">
        <f>""</f>
        <v/>
      </c>
    </row>
    <row r="112" spans="1:173">
      <c r="A112" t="str">
        <f>"    Camden Property Trust"</f>
        <v xml:space="preserve">    Camden Property Trust</v>
      </c>
      <c r="B112" t="str">
        <f>"CPT US Equity"</f>
        <v>CPT US Equity</v>
      </c>
      <c r="C112" t="str">
        <f t="shared" si="33"/>
        <v>F0581</v>
      </c>
      <c r="D112" t="str">
        <f t="shared" si="34"/>
        <v>ADJUSTED_FFOPS</v>
      </c>
      <c r="E112" t="str">
        <f t="shared" si="35"/>
        <v>动态</v>
      </c>
      <c r="F112" t="str">
        <f ca="1">IF(AND(ISNUMBER($F$326),$B$252=1),$F$326,HLOOKUP(INDIRECT(ADDRESS(2,COLUMN())),OFFSET($CL$2,0,0,ROW()-1,84),ROW()-1,FALSE))</f>
        <v/>
      </c>
      <c r="G112" t="str">
        <f ca="1">IF(AND(ISNUMBER($G$326),$B$252=1),$G$326,HLOOKUP(INDIRECT(ADDRESS(2,COLUMN())),OFFSET($CL$2,0,0,ROW()-1,84),ROW()-1,FALSE))</f>
        <v/>
      </c>
      <c r="H112" t="str">
        <f ca="1">IF(AND(ISNUMBER($H$326),$B$252=1),$H$326,HLOOKUP(INDIRECT(ADDRESS(2,COLUMN())),OFFSET($CL$2,0,0,ROW()-1,84),ROW()-1,FALSE))</f>
        <v/>
      </c>
      <c r="I112">
        <f ca="1">IF(AND(ISNUMBER($I$326),$B$252=1),$I$326,HLOOKUP(INDIRECT(ADDRESS(2,COLUMN())),OFFSET($CL$2,0,0,ROW()-1,84),ROW()-1,FALSE))</f>
        <v>1.1801211519999999</v>
      </c>
      <c r="J112" t="str">
        <f ca="1">IF(AND(ISNUMBER($J$326),$B$252=1),$J$326,HLOOKUP(INDIRECT(ADDRESS(2,COLUMN())),OFFSET($CL$2,0,0,ROW()-1,84),ROW()-1,FALSE))</f>
        <v/>
      </c>
      <c r="K112" t="str">
        <f ca="1">IF(AND(ISNUMBER($K$326),$B$252=1),$K$326,HLOOKUP(INDIRECT(ADDRESS(2,COLUMN())),OFFSET($CL$2,0,0,ROW()-1,84),ROW()-1,FALSE))</f>
        <v/>
      </c>
      <c r="L112">
        <f ca="1">IF(AND(ISNUMBER($L$326),$B$252=1),$L$326,HLOOKUP(INDIRECT(ADDRESS(2,COLUMN())),OFFSET($CL$2,0,0,ROW()-1,84),ROW()-1,FALSE))</f>
        <v>1.108214926</v>
      </c>
      <c r="M112" t="str">
        <f ca="1">IF(AND(ISNUMBER($M$326),$B$252=1),$M$326,HLOOKUP(INDIRECT(ADDRESS(2,COLUMN())),OFFSET($CL$2,0,0,ROW()-1,84),ROW()-1,FALSE))</f>
        <v/>
      </c>
      <c r="N112" t="str">
        <f ca="1">IF(AND(ISNUMBER($N$326),$B$252=1),$N$326,HLOOKUP(INDIRECT(ADDRESS(2,COLUMN())),OFFSET($CL$2,0,0,ROW()-1,84),ROW()-1,FALSE))</f>
        <v/>
      </c>
      <c r="O112">
        <f ca="1">IF(AND(ISNUMBER($O$326),$B$252=1),$O$326,HLOOKUP(INDIRECT(ADDRESS(2,COLUMN())),OFFSET($CL$2,0,0,ROW()-1,84),ROW()-1,FALSE))</f>
        <v>1.150446705</v>
      </c>
      <c r="P112" t="str">
        <f ca="1">IF(AND(ISNUMBER($P$326),$B$252=1),$P$326,HLOOKUP(INDIRECT(ADDRESS(2,COLUMN())),OFFSET($CL$2,0,0,ROW()-1,84),ROW()-1,FALSE))</f>
        <v/>
      </c>
      <c r="Q112" t="str">
        <f ca="1">IF(AND(ISNUMBER($Q$326),$B$252=1),$Q$326,HLOOKUP(INDIRECT(ADDRESS(2,COLUMN())),OFFSET($CL$2,0,0,ROW()-1,84),ROW()-1,FALSE))</f>
        <v/>
      </c>
      <c r="R112">
        <f ca="1">IF(AND(ISNUMBER($R$326),$B$252=1),$R$326,HLOOKUP(INDIRECT(ADDRESS(2,COLUMN())),OFFSET($CL$2,0,0,ROW()-1,84),ROW()-1,FALSE))</f>
        <v>1.0904714820000001</v>
      </c>
      <c r="S112" t="str">
        <f ca="1">IF(AND(ISNUMBER($S$326),$B$252=1),$S$326,HLOOKUP(INDIRECT(ADDRESS(2,COLUMN())),OFFSET($CL$2,0,0,ROW()-1,84),ROW()-1,FALSE))</f>
        <v/>
      </c>
      <c r="T112" t="str">
        <f ca="1">IF(AND(ISNUMBER($T$326),$B$252=1),$T$326,HLOOKUP(INDIRECT(ADDRESS(2,COLUMN())),OFFSET($CL$2,0,0,ROW()-1,84),ROW()-1,FALSE))</f>
        <v/>
      </c>
      <c r="U112">
        <f ca="1">IF(AND(ISNUMBER($U$326),$B$252=1),$U$326,HLOOKUP(INDIRECT(ADDRESS(2,COLUMN())),OFFSET($CL$2,0,0,ROW()-1,84),ROW()-1,FALSE))</f>
        <v>1.1481408959999999</v>
      </c>
      <c r="V112" t="str">
        <f ca="1">IF(AND(ISNUMBER($V$326),$B$252=1),$V$326,HLOOKUP(INDIRECT(ADDRESS(2,COLUMN())),OFFSET($CL$2,0,0,ROW()-1,84),ROW()-1,FALSE))</f>
        <v/>
      </c>
      <c r="W112" t="str">
        <f ca="1">IF(AND(ISNUMBER($W$326),$B$252=1),$W$326,HLOOKUP(INDIRECT(ADDRESS(2,COLUMN())),OFFSET($CL$2,0,0,ROW()-1,84),ROW()-1,FALSE))</f>
        <v/>
      </c>
      <c r="X112">
        <f ca="1">IF(AND(ISNUMBER($X$326),$B$252=1),$X$326,HLOOKUP(INDIRECT(ADDRESS(2,COLUMN())),OFFSET($CL$2,0,0,ROW()-1,84),ROW()-1,FALSE))</f>
        <v>1.134176995</v>
      </c>
      <c r="Y112" t="str">
        <f ca="1">IF(AND(ISNUMBER($Y$326),$B$252=1),$Y$326,HLOOKUP(INDIRECT(ADDRESS(2,COLUMN())),OFFSET($CL$2,0,0,ROW()-1,84),ROW()-1,FALSE))</f>
        <v/>
      </c>
      <c r="Z112" t="str">
        <f ca="1">IF(AND(ISNUMBER($Z$326),$B$252=1),$Z$326,HLOOKUP(INDIRECT(ADDRESS(2,COLUMN())),OFFSET($CL$2,0,0,ROW()-1,84),ROW()-1,FALSE))</f>
        <v/>
      </c>
      <c r="AA112">
        <f ca="1">IF(AND(ISNUMBER($AA$326),$B$252=1),$AA$326,HLOOKUP(INDIRECT(ADDRESS(2,COLUMN())),OFFSET($CL$2,0,0,ROW()-1,84),ROW()-1,FALSE))</f>
        <v>1.1506762720000001</v>
      </c>
      <c r="AB112" t="str">
        <f ca="1">IF(AND(ISNUMBER($AB$326),$B$252=1),$AB$326,HLOOKUP(INDIRECT(ADDRESS(2,COLUMN())),OFFSET($CL$2,0,0,ROW()-1,84),ROW()-1,FALSE))</f>
        <v/>
      </c>
      <c r="AC112" t="str">
        <f ca="1">IF(AND(ISNUMBER($AC$326),$B$252=1),$AC$326,HLOOKUP(INDIRECT(ADDRESS(2,COLUMN())),OFFSET($CL$2,0,0,ROW()-1,84),ROW()-1,FALSE))</f>
        <v/>
      </c>
      <c r="AD112">
        <f ca="1">IF(AND(ISNUMBER($AD$326),$B$252=1),$AD$326,HLOOKUP(INDIRECT(ADDRESS(2,COLUMN())),OFFSET($CL$2,0,0,ROW()-1,84),ROW()-1,FALSE))</f>
        <v>1.202166104</v>
      </c>
      <c r="AE112" t="str">
        <f ca="1">IF(AND(ISNUMBER($AE$326),$B$252=1),$AE$326,HLOOKUP(INDIRECT(ADDRESS(2,COLUMN())),OFFSET($CL$2,0,0,ROW()-1,84),ROW()-1,FALSE))</f>
        <v/>
      </c>
      <c r="AF112" t="str">
        <f ca="1">IF(AND(ISNUMBER($AF$326),$B$252=1),$AF$326,HLOOKUP(INDIRECT(ADDRESS(2,COLUMN())),OFFSET($CL$2,0,0,ROW()-1,84),ROW()-1,FALSE))</f>
        <v/>
      </c>
      <c r="AG112">
        <f ca="1">IF(AND(ISNUMBER($AG$326),$B$252=1),$AG$326,HLOOKUP(INDIRECT(ADDRESS(2,COLUMN())),OFFSET($CL$2,0,0,ROW()-1,84),ROW()-1,FALSE))</f>
        <v>1.1975913090000001</v>
      </c>
      <c r="AH112" t="str">
        <f ca="1">IF(AND(ISNUMBER($AH$326),$B$252=1),$AH$326,HLOOKUP(INDIRECT(ADDRESS(2,COLUMN())),OFFSET($CL$2,0,0,ROW()-1,84),ROW()-1,FALSE))</f>
        <v/>
      </c>
      <c r="AI112" t="str">
        <f ca="1">IF(AND(ISNUMBER($AI$326),$B$252=1),$AI$326,HLOOKUP(INDIRECT(ADDRESS(2,COLUMN())),OFFSET($CL$2,0,0,ROW()-1,84),ROW()-1,FALSE))</f>
        <v/>
      </c>
      <c r="AJ112">
        <f ca="1">IF(AND(ISNUMBER($AJ$326),$B$252=1),$AJ$326,HLOOKUP(INDIRECT(ADDRESS(2,COLUMN())),OFFSET($CL$2,0,0,ROW()-1,84),ROW()-1,FALSE))</f>
        <v>1.1412915079999999</v>
      </c>
      <c r="AK112" t="str">
        <f ca="1">IF(AND(ISNUMBER($AK$326),$B$252=1),$AK$326,HLOOKUP(INDIRECT(ADDRESS(2,COLUMN())),OFFSET($CL$2,0,0,ROW()-1,84),ROW()-1,FALSE))</f>
        <v/>
      </c>
      <c r="AL112" t="str">
        <f ca="1">IF(AND(ISNUMBER($AL$326),$B$252=1),$AL$326,HLOOKUP(INDIRECT(ADDRESS(2,COLUMN())),OFFSET($CL$2,0,0,ROW()-1,84),ROW()-1,FALSE))</f>
        <v/>
      </c>
      <c r="AM112">
        <f ca="1">IF(AND(ISNUMBER($AM$326),$B$252=1),$AM$326,HLOOKUP(INDIRECT(ADDRESS(2,COLUMN())),OFFSET($CL$2,0,0,ROW()-1,84),ROW()-1,FALSE))</f>
        <v>1.117180144</v>
      </c>
      <c r="AN112" t="str">
        <f ca="1">IF(AND(ISNUMBER($AN$326),$B$252=1),$AN$326,HLOOKUP(INDIRECT(ADDRESS(2,COLUMN())),OFFSET($CL$2,0,0,ROW()-1,84),ROW()-1,FALSE))</f>
        <v/>
      </c>
      <c r="AO112" t="str">
        <f ca="1">IF(AND(ISNUMBER($AO$326),$B$252=1),$AO$326,HLOOKUP(INDIRECT(ADDRESS(2,COLUMN())),OFFSET($CL$2,0,0,ROW()-1,84),ROW()-1,FALSE))</f>
        <v/>
      </c>
      <c r="AP112">
        <f ca="1">IF(AND(ISNUMBER($AP$326),$B$252=1),$AP$326,HLOOKUP(INDIRECT(ADDRESS(2,COLUMN())),OFFSET($CL$2,0,0,ROW()-1,84),ROW()-1,FALSE))</f>
        <v>1.0794631610000001</v>
      </c>
      <c r="AQ112" t="str">
        <f ca="1">IF(AND(ISNUMBER($AQ$326),$B$252=1),$AQ$326,HLOOKUP(INDIRECT(ADDRESS(2,COLUMN())),OFFSET($CL$2,0,0,ROW()-1,84),ROW()-1,FALSE))</f>
        <v/>
      </c>
      <c r="AR112" t="str">
        <f ca="1">IF(AND(ISNUMBER($AR$326),$B$252=1),$AR$326,HLOOKUP(INDIRECT(ADDRESS(2,COLUMN())),OFFSET($CL$2,0,0,ROW()-1,84),ROW()-1,FALSE))</f>
        <v/>
      </c>
      <c r="AS112">
        <f ca="1">IF(AND(ISNUMBER($AS$326),$B$252=1),$AS$326,HLOOKUP(INDIRECT(ADDRESS(2,COLUMN())),OFFSET($CL$2,0,0,ROW()-1,84),ROW()-1,FALSE))</f>
        <v>1.1020154870000001</v>
      </c>
      <c r="AT112" t="str">
        <f ca="1">IF(AND(ISNUMBER($AT$326),$B$252=1),$AT$326,HLOOKUP(INDIRECT(ADDRESS(2,COLUMN())),OFFSET($CL$2,0,0,ROW()-1,84),ROW()-1,FALSE))</f>
        <v/>
      </c>
      <c r="AU112" t="str">
        <f ca="1">IF(AND(ISNUMBER($AU$326),$B$252=1),$AU$326,HLOOKUP(INDIRECT(ADDRESS(2,COLUMN())),OFFSET($CL$2,0,0,ROW()-1,84),ROW()-1,FALSE))</f>
        <v/>
      </c>
      <c r="AV112">
        <f ca="1">IF(AND(ISNUMBER($AV$326),$B$252=1),$AV$326,HLOOKUP(INDIRECT(ADDRESS(2,COLUMN())),OFFSET($CL$2,0,0,ROW()-1,84),ROW()-1,FALSE))</f>
        <v>1.0714846469999999</v>
      </c>
      <c r="AW112" t="str">
        <f ca="1">IF(AND(ISNUMBER($AW$326),$B$252=1),$AW$326,HLOOKUP(INDIRECT(ADDRESS(2,COLUMN())),OFFSET($CL$2,0,0,ROW()-1,84),ROW()-1,FALSE))</f>
        <v/>
      </c>
      <c r="AX112" t="str">
        <f ca="1">IF(AND(ISNUMBER($AX$326),$B$252=1),$AX$326,HLOOKUP(INDIRECT(ADDRESS(2,COLUMN())),OFFSET($CL$2,0,0,ROW()-1,84),ROW()-1,FALSE))</f>
        <v/>
      </c>
      <c r="AY112">
        <f ca="1">IF(AND(ISNUMBER($AY$326),$B$252=1),$AY$326,HLOOKUP(INDIRECT(ADDRESS(2,COLUMN())),OFFSET($CL$2,0,0,ROW()-1,84),ROW()-1,FALSE))</f>
        <v>1.0423393809999999</v>
      </c>
      <c r="AZ112" t="str">
        <f ca="1">IF(AND(ISNUMBER($AZ$326),$B$252=1),$AZ$326,HLOOKUP(INDIRECT(ADDRESS(2,COLUMN())),OFFSET($CL$2,0,0,ROW()-1,84),ROW()-1,FALSE))</f>
        <v/>
      </c>
      <c r="BA112" t="str">
        <f ca="1">IF(AND(ISNUMBER($BA$326),$B$252=1),$BA$326,HLOOKUP(INDIRECT(ADDRESS(2,COLUMN())),OFFSET($CL$2,0,0,ROW()-1,84),ROW()-1,FALSE))</f>
        <v/>
      </c>
      <c r="BB112">
        <f ca="1">IF(AND(ISNUMBER($BB$326),$B$252=1),$BB$326,HLOOKUP(INDIRECT(ADDRESS(2,COLUMN())),OFFSET($CL$2,0,0,ROW()-1,84),ROW()-1,FALSE))</f>
        <v>1.0502947389999999</v>
      </c>
      <c r="BC112" t="str">
        <f ca="1">IF(AND(ISNUMBER($BC$326),$B$252=1),$BC$326,HLOOKUP(INDIRECT(ADDRESS(2,COLUMN())),OFFSET($CL$2,0,0,ROW()-1,84),ROW()-1,FALSE))</f>
        <v/>
      </c>
      <c r="BD112" t="str">
        <f ca="1">IF(AND(ISNUMBER($BD$326),$B$252=1),$BD$326,HLOOKUP(INDIRECT(ADDRESS(2,COLUMN())),OFFSET($CL$2,0,0,ROW()-1,84),ROW()-1,FALSE))</f>
        <v/>
      </c>
      <c r="BE112">
        <f ca="1">IF(AND(ISNUMBER($BE$326),$B$252=1),$BE$326,HLOOKUP(INDIRECT(ADDRESS(2,COLUMN())),OFFSET($CL$2,0,0,ROW()-1,84),ROW()-1,FALSE))</f>
        <v>1.0795570999999999</v>
      </c>
      <c r="BF112" t="str">
        <f ca="1">IF(AND(ISNUMBER($BF$326),$B$252=1),$BF$326,HLOOKUP(INDIRECT(ADDRESS(2,COLUMN())),OFFSET($CL$2,0,0,ROW()-1,84),ROW()-1,FALSE))</f>
        <v/>
      </c>
      <c r="BG112" t="str">
        <f ca="1">IF(AND(ISNUMBER($BG$326),$B$252=1),$BG$326,HLOOKUP(INDIRECT(ADDRESS(2,COLUMN())),OFFSET($CL$2,0,0,ROW()-1,84),ROW()-1,FALSE))</f>
        <v/>
      </c>
      <c r="BH112">
        <f ca="1">IF(AND(ISNUMBER($BH$326),$B$252=1),$BH$326,HLOOKUP(INDIRECT(ADDRESS(2,COLUMN())),OFFSET($CL$2,0,0,ROW()-1,84),ROW()-1,FALSE))</f>
        <v>1.03928643</v>
      </c>
      <c r="BI112" t="str">
        <f ca="1">IF(AND(ISNUMBER($BI$326),$B$252=1),$BI$326,HLOOKUP(INDIRECT(ADDRESS(2,COLUMN())),OFFSET($CL$2,0,0,ROW()-1,84),ROW()-1,FALSE))</f>
        <v/>
      </c>
      <c r="BJ112" t="str">
        <f ca="1">IF(AND(ISNUMBER($BJ$326),$B$252=1),$BJ$326,HLOOKUP(INDIRECT(ADDRESS(2,COLUMN())),OFFSET($CL$2,0,0,ROW()-1,84),ROW()-1,FALSE))</f>
        <v/>
      </c>
      <c r="BK112">
        <f ca="1">IF(AND(ISNUMBER($BK$326),$B$252=1),$BK$326,HLOOKUP(INDIRECT(ADDRESS(2,COLUMN())),OFFSET($CL$2,0,0,ROW()-1,84),ROW()-1,FALSE))</f>
        <v>1.02108131</v>
      </c>
      <c r="BL112" t="str">
        <f ca="1">IF(AND(ISNUMBER($BL$326),$B$252=1),$BL$326,HLOOKUP(INDIRECT(ADDRESS(2,COLUMN())),OFFSET($CL$2,0,0,ROW()-1,84),ROW()-1,FALSE))</f>
        <v/>
      </c>
      <c r="BM112" t="str">
        <f ca="1">IF(AND(ISNUMBER($BM$326),$B$252=1),$BM$326,HLOOKUP(INDIRECT(ADDRESS(2,COLUMN())),OFFSET($CL$2,0,0,ROW()-1,84),ROW()-1,FALSE))</f>
        <v/>
      </c>
      <c r="BN112">
        <f ca="1">IF(AND(ISNUMBER($BN$326),$B$252=1),$BN$326,HLOOKUP(INDIRECT(ADDRESS(2,COLUMN())),OFFSET($CL$2,0,0,ROW()-1,84),ROW()-1,FALSE))</f>
        <v>0.96360047999999998</v>
      </c>
      <c r="BO112" t="str">
        <f ca="1">IF(AND(ISNUMBER($BO$326),$B$252=1),$BO$326,HLOOKUP(INDIRECT(ADDRESS(2,COLUMN())),OFFSET($CL$2,0,0,ROW()-1,84),ROW()-1,FALSE))</f>
        <v/>
      </c>
      <c r="BP112" t="str">
        <f ca="1">IF(AND(ISNUMBER($BP$326),$B$252=1),$BP$326,HLOOKUP(INDIRECT(ADDRESS(2,COLUMN())),OFFSET($CL$2,0,0,ROW()-1,84),ROW()-1,FALSE))</f>
        <v/>
      </c>
      <c r="BQ112">
        <f ca="1">IF(AND(ISNUMBER($BQ$326),$B$252=1),$BQ$326,HLOOKUP(INDIRECT(ADDRESS(2,COLUMN())),OFFSET($CL$2,0,0,ROW()-1,84),ROW()-1,FALSE))</f>
        <v>0.96558078899999999</v>
      </c>
      <c r="BR112" t="str">
        <f ca="1">IF(AND(ISNUMBER($BR$326),$B$252=1),$BR$326,HLOOKUP(INDIRECT(ADDRESS(2,COLUMN())),OFFSET($CL$2,0,0,ROW()-1,84),ROW()-1,FALSE))</f>
        <v/>
      </c>
      <c r="BS112" t="str">
        <f ca="1">IF(AND(ISNUMBER($BS$326),$B$252=1),$BS$326,HLOOKUP(INDIRECT(ADDRESS(2,COLUMN())),OFFSET($CL$2,0,0,ROW()-1,84),ROW()-1,FALSE))</f>
        <v/>
      </c>
      <c r="BT112">
        <f ca="1">IF(AND(ISNUMBER($BT$326),$B$252=1),$BT$326,HLOOKUP(INDIRECT(ADDRESS(2,COLUMN())),OFFSET($CL$2,0,0,ROW()-1,84),ROW()-1,FALSE))</f>
        <v>0.92768375599999997</v>
      </c>
      <c r="BU112" t="str">
        <f ca="1">IF(AND(ISNUMBER($BU$326),$B$252=1),$BU$326,HLOOKUP(INDIRECT(ADDRESS(2,COLUMN())),OFFSET($CL$2,0,0,ROW()-1,84),ROW()-1,FALSE))</f>
        <v/>
      </c>
      <c r="BV112" t="str">
        <f ca="1">IF(AND(ISNUMBER($BV$326),$B$252=1),$BV$326,HLOOKUP(INDIRECT(ADDRESS(2,COLUMN())),OFFSET($CL$2,0,0,ROW()-1,84),ROW()-1,FALSE))</f>
        <v/>
      </c>
      <c r="BW112">
        <f ca="1">IF(AND(ISNUMBER($BW$326),$B$252=1),$BW$326,HLOOKUP(INDIRECT(ADDRESS(2,COLUMN())),OFFSET($CL$2,0,0,ROW()-1,84),ROW()-1,FALSE))</f>
        <v>0.89124751700000004</v>
      </c>
      <c r="BX112" t="str">
        <f ca="1">IF(AND(ISNUMBER($BX$326),$B$252=1),$BX$326,HLOOKUP(INDIRECT(ADDRESS(2,COLUMN())),OFFSET($CL$2,0,0,ROW()-1,84),ROW()-1,FALSE))</f>
        <v/>
      </c>
      <c r="BY112" t="str">
        <f ca="1">IF(AND(ISNUMBER($BY$326),$B$252=1),$BY$326,HLOOKUP(INDIRECT(ADDRESS(2,COLUMN())),OFFSET($CL$2,0,0,ROW()-1,84),ROW()-1,FALSE))</f>
        <v/>
      </c>
      <c r="BZ112">
        <f ca="1">IF(AND(ISNUMBER($BZ$326),$B$252=1),$BZ$326,HLOOKUP(INDIRECT(ADDRESS(2,COLUMN())),OFFSET($CL$2,0,0,ROW()-1,84),ROW()-1,FALSE))</f>
        <v>0.82781968500000003</v>
      </c>
      <c r="CA112" t="str">
        <f ca="1">IF(AND(ISNUMBER($CA$326),$B$252=1),$CA$326,HLOOKUP(INDIRECT(ADDRESS(2,COLUMN())),OFFSET($CL$2,0,0,ROW()-1,84),ROW()-1,FALSE))</f>
        <v/>
      </c>
      <c r="CB112" t="str">
        <f ca="1">IF(AND(ISNUMBER($CB$326),$B$252=1),$CB$326,HLOOKUP(INDIRECT(ADDRESS(2,COLUMN())),OFFSET($CL$2,0,0,ROW()-1,84),ROW()-1,FALSE))</f>
        <v/>
      </c>
      <c r="CC112">
        <f ca="1">IF(AND(ISNUMBER($CC$326),$B$252=1),$CC$326,HLOOKUP(INDIRECT(ADDRESS(2,COLUMN())),OFFSET($CL$2,0,0,ROW()-1,84),ROW()-1,FALSE))</f>
        <v>0.83841928799999998</v>
      </c>
      <c r="CD112" t="str">
        <f ca="1">IF(AND(ISNUMBER($CD$326),$B$252=1),$CD$326,HLOOKUP(INDIRECT(ADDRESS(2,COLUMN())),OFFSET($CL$2,0,0,ROW()-1,84),ROW()-1,FALSE))</f>
        <v/>
      </c>
      <c r="CE112" t="str">
        <f ca="1">IF(AND(ISNUMBER($CE$326),$B$252=1),$CE$326,HLOOKUP(INDIRECT(ADDRESS(2,COLUMN())),OFFSET($CL$2,0,0,ROW()-1,84),ROW()-1,FALSE))</f>
        <v/>
      </c>
      <c r="CF112">
        <f ca="1">IF(AND(ISNUMBER($CF$326),$B$252=1),$CF$326,HLOOKUP(INDIRECT(ADDRESS(2,COLUMN())),OFFSET($CL$2,0,0,ROW()-1,84),ROW()-1,FALSE))</f>
        <v>0.768779251</v>
      </c>
      <c r="CG112" t="str">
        <f ca="1">IF(AND(ISNUMBER($CG$326),$B$252=1),$CG$326,HLOOKUP(INDIRECT(ADDRESS(2,COLUMN())),OFFSET($CL$2,0,0,ROW()-1,84),ROW()-1,FALSE))</f>
        <v/>
      </c>
      <c r="CH112" t="str">
        <f ca="1">IF(AND(ISNUMBER($CH$326),$B$252=1),$CH$326,HLOOKUP(INDIRECT(ADDRESS(2,COLUMN())),OFFSET($CL$2,0,0,ROW()-1,84),ROW()-1,FALSE))</f>
        <v/>
      </c>
      <c r="CI112">
        <f ca="1">IF(AND(ISNUMBER($CI$326),$B$252=1),$CI$326,HLOOKUP(INDIRECT(ADDRESS(2,COLUMN())),OFFSET($CL$2,0,0,ROW()-1,84),ROW()-1,FALSE))</f>
        <v>0.40187757400000002</v>
      </c>
      <c r="CJ112" t="str">
        <f ca="1">IF(AND(ISNUMBER($CJ$326),$B$252=1),$CJ$326,HLOOKUP(INDIRECT(ADDRESS(2,COLUMN())),OFFSET($CL$2,0,0,ROW()-1,84),ROW()-1,FALSE))</f>
        <v/>
      </c>
      <c r="CK112" t="str">
        <f ca="1">IF(AND(ISNUMBER($CK$326),$B$252=1),$CK$326,HLOOKUP(INDIRECT(ADDRESS(2,COLUMN())),OFFSET($CL$2,0,0,ROW()-1,84),ROW()-1,FALSE))</f>
        <v/>
      </c>
      <c r="CL112" t="str">
        <f>""</f>
        <v/>
      </c>
      <c r="CM112" t="str">
        <f>""</f>
        <v/>
      </c>
      <c r="CN112" t="str">
        <f>""</f>
        <v/>
      </c>
      <c r="CO112">
        <f>1.180121152</f>
        <v>1.1801211519999999</v>
      </c>
      <c r="CP112" t="str">
        <f>""</f>
        <v/>
      </c>
      <c r="CQ112" t="str">
        <f>""</f>
        <v/>
      </c>
      <c r="CR112">
        <f>1.108214926</f>
        <v>1.108214926</v>
      </c>
      <c r="CS112" t="str">
        <f>""</f>
        <v/>
      </c>
      <c r="CT112" t="str">
        <f>""</f>
        <v/>
      </c>
      <c r="CU112">
        <f>1.150446705</f>
        <v>1.150446705</v>
      </c>
      <c r="CV112" t="str">
        <f>""</f>
        <v/>
      </c>
      <c r="CW112" t="str">
        <f>""</f>
        <v/>
      </c>
      <c r="CX112">
        <f>1.090471482</f>
        <v>1.0904714820000001</v>
      </c>
      <c r="CY112" t="str">
        <f>""</f>
        <v/>
      </c>
      <c r="CZ112" t="str">
        <f>""</f>
        <v/>
      </c>
      <c r="DA112">
        <f>1.148140896</f>
        <v>1.1481408959999999</v>
      </c>
      <c r="DB112" t="str">
        <f>""</f>
        <v/>
      </c>
      <c r="DC112" t="str">
        <f>""</f>
        <v/>
      </c>
      <c r="DD112">
        <f>1.134176995</f>
        <v>1.134176995</v>
      </c>
      <c r="DE112" t="str">
        <f>""</f>
        <v/>
      </c>
      <c r="DF112" t="str">
        <f>""</f>
        <v/>
      </c>
      <c r="DG112">
        <f>1.150676272</f>
        <v>1.1506762720000001</v>
      </c>
      <c r="DH112" t="str">
        <f>""</f>
        <v/>
      </c>
      <c r="DI112" t="str">
        <f>""</f>
        <v/>
      </c>
      <c r="DJ112">
        <f>1.202166104</f>
        <v>1.202166104</v>
      </c>
      <c r="DK112" t="str">
        <f>""</f>
        <v/>
      </c>
      <c r="DL112" t="str">
        <f>""</f>
        <v/>
      </c>
      <c r="DM112">
        <f>1.197591309</f>
        <v>1.1975913090000001</v>
      </c>
      <c r="DN112" t="str">
        <f>""</f>
        <v/>
      </c>
      <c r="DO112" t="str">
        <f>""</f>
        <v/>
      </c>
      <c r="DP112">
        <f>1.141291508</f>
        <v>1.1412915079999999</v>
      </c>
      <c r="DQ112" t="str">
        <f>""</f>
        <v/>
      </c>
      <c r="DR112" t="str">
        <f>""</f>
        <v/>
      </c>
      <c r="DS112">
        <f>1.117180144</f>
        <v>1.117180144</v>
      </c>
      <c r="DT112" t="str">
        <f>""</f>
        <v/>
      </c>
      <c r="DU112" t="str">
        <f>""</f>
        <v/>
      </c>
      <c r="DV112">
        <f>1.079463161</f>
        <v>1.0794631610000001</v>
      </c>
      <c r="DW112" t="str">
        <f>""</f>
        <v/>
      </c>
      <c r="DX112" t="str">
        <f>""</f>
        <v/>
      </c>
      <c r="DY112">
        <f>1.102015487</f>
        <v>1.1020154870000001</v>
      </c>
      <c r="DZ112" t="str">
        <f>""</f>
        <v/>
      </c>
      <c r="EA112" t="str">
        <f>""</f>
        <v/>
      </c>
      <c r="EB112">
        <f>1.071484647</f>
        <v>1.0714846469999999</v>
      </c>
      <c r="EC112" t="str">
        <f>""</f>
        <v/>
      </c>
      <c r="ED112" t="str">
        <f>""</f>
        <v/>
      </c>
      <c r="EE112">
        <f>1.042339381</f>
        <v>1.0423393809999999</v>
      </c>
      <c r="EF112" t="str">
        <f>""</f>
        <v/>
      </c>
      <c r="EG112" t="str">
        <f>""</f>
        <v/>
      </c>
      <c r="EH112">
        <f>1.050294739</f>
        <v>1.0502947389999999</v>
      </c>
      <c r="EI112" t="str">
        <f>""</f>
        <v/>
      </c>
      <c r="EJ112" t="str">
        <f>""</f>
        <v/>
      </c>
      <c r="EK112">
        <f>1.0795571</f>
        <v>1.0795570999999999</v>
      </c>
      <c r="EL112" t="str">
        <f>""</f>
        <v/>
      </c>
      <c r="EM112" t="str">
        <f>""</f>
        <v/>
      </c>
      <c r="EN112">
        <f>1.03928643</f>
        <v>1.03928643</v>
      </c>
      <c r="EO112" t="str">
        <f>""</f>
        <v/>
      </c>
      <c r="EP112" t="str">
        <f>""</f>
        <v/>
      </c>
      <c r="EQ112">
        <f>1.02108131</f>
        <v>1.02108131</v>
      </c>
      <c r="ER112" t="str">
        <f>""</f>
        <v/>
      </c>
      <c r="ES112" t="str">
        <f>""</f>
        <v/>
      </c>
      <c r="ET112">
        <f>0.96360048</f>
        <v>0.96360047999999998</v>
      </c>
      <c r="EU112" t="str">
        <f>""</f>
        <v/>
      </c>
      <c r="EV112" t="str">
        <f>""</f>
        <v/>
      </c>
      <c r="EW112">
        <f>0.965580789</f>
        <v>0.96558078899999999</v>
      </c>
      <c r="EX112" t="str">
        <f>""</f>
        <v/>
      </c>
      <c r="EY112" t="str">
        <f>""</f>
        <v/>
      </c>
      <c r="EZ112">
        <f>0.927683756</f>
        <v>0.92768375599999997</v>
      </c>
      <c r="FA112" t="str">
        <f>""</f>
        <v/>
      </c>
      <c r="FB112" t="str">
        <f>""</f>
        <v/>
      </c>
      <c r="FC112">
        <f>0.891247517</f>
        <v>0.89124751700000004</v>
      </c>
      <c r="FD112" t="str">
        <f>""</f>
        <v/>
      </c>
      <c r="FE112" t="str">
        <f>""</f>
        <v/>
      </c>
      <c r="FF112">
        <f>0.827819685</f>
        <v>0.82781968500000003</v>
      </c>
      <c r="FG112" t="str">
        <f>""</f>
        <v/>
      </c>
      <c r="FH112" t="str">
        <f>""</f>
        <v/>
      </c>
      <c r="FI112">
        <f>0.838419288</f>
        <v>0.83841928799999998</v>
      </c>
      <c r="FJ112" t="str">
        <f>""</f>
        <v/>
      </c>
      <c r="FK112" t="str">
        <f>""</f>
        <v/>
      </c>
      <c r="FL112">
        <f>0.768779251</f>
        <v>0.768779251</v>
      </c>
      <c r="FM112" t="str">
        <f>""</f>
        <v/>
      </c>
      <c r="FN112" t="str">
        <f>""</f>
        <v/>
      </c>
      <c r="FO112">
        <f>0.401877574</f>
        <v>0.40187757400000002</v>
      </c>
      <c r="FP112" t="str">
        <f>""</f>
        <v/>
      </c>
      <c r="FQ112" t="str">
        <f>""</f>
        <v/>
      </c>
    </row>
    <row r="113" spans="1:173">
      <c r="A113" t="str">
        <f>"    Equity Residential"</f>
        <v xml:space="preserve">    Equity Residential</v>
      </c>
      <c r="B113" t="str">
        <f>"EQR US Equity"</f>
        <v>EQR US Equity</v>
      </c>
      <c r="C113" t="str">
        <f t="shared" si="33"/>
        <v>F0581</v>
      </c>
      <c r="D113" t="str">
        <f t="shared" si="34"/>
        <v>ADJUSTED_FFOPS</v>
      </c>
      <c r="E113" t="str">
        <f t="shared" si="35"/>
        <v>动态</v>
      </c>
      <c r="F113" t="str">
        <f ca="1">IF(AND(ISNUMBER($F$327),$B$252=1),$F$327,HLOOKUP(INDIRECT(ADDRESS(2,COLUMN())),OFFSET($CL$2,0,0,ROW()-1,84),ROW()-1,FALSE))</f>
        <v/>
      </c>
      <c r="G113" t="str">
        <f ca="1">IF(AND(ISNUMBER($G$327),$B$252=1),$G$327,HLOOKUP(INDIRECT(ADDRESS(2,COLUMN())),OFFSET($CL$2,0,0,ROW()-1,84),ROW()-1,FALSE))</f>
        <v/>
      </c>
      <c r="H113" t="str">
        <f ca="1">IF(AND(ISNUMBER($H$327),$B$252=1),$H$327,HLOOKUP(INDIRECT(ADDRESS(2,COLUMN())),OFFSET($CL$2,0,0,ROW()-1,84),ROW()-1,FALSE))</f>
        <v/>
      </c>
      <c r="I113">
        <f ca="1">IF(AND(ISNUMBER($I$327),$B$252=1),$I$327,HLOOKUP(INDIRECT(ADDRESS(2,COLUMN())),OFFSET($CL$2,0,0,ROW()-1,84),ROW()-1,FALSE))</f>
        <v>0.82689341000000005</v>
      </c>
      <c r="J113" t="str">
        <f ca="1">IF(AND(ISNUMBER($J$327),$B$252=1),$J$327,HLOOKUP(INDIRECT(ADDRESS(2,COLUMN())),OFFSET($CL$2,0,0,ROW()-1,84),ROW()-1,FALSE))</f>
        <v/>
      </c>
      <c r="K113" t="str">
        <f ca="1">IF(AND(ISNUMBER($K$327),$B$252=1),$K$327,HLOOKUP(INDIRECT(ADDRESS(2,COLUMN())),OFFSET($CL$2,0,0,ROW()-1,84),ROW()-1,FALSE))</f>
        <v/>
      </c>
      <c r="L113">
        <f ca="1">IF(AND(ISNUMBER($L$327),$B$252=1),$L$327,HLOOKUP(INDIRECT(ADDRESS(2,COLUMN())),OFFSET($CL$2,0,0,ROW()-1,84),ROW()-1,FALSE))</f>
        <v>0.79603598399999997</v>
      </c>
      <c r="M113" t="str">
        <f ca="1">IF(AND(ISNUMBER($M$327),$B$252=1),$M$327,HLOOKUP(INDIRECT(ADDRESS(2,COLUMN())),OFFSET($CL$2,0,0,ROW()-1,84),ROW()-1,FALSE))</f>
        <v/>
      </c>
      <c r="N113" t="str">
        <f ca="1">IF(AND(ISNUMBER($N$327),$B$252=1),$N$327,HLOOKUP(INDIRECT(ADDRESS(2,COLUMN())),OFFSET($CL$2,0,0,ROW()-1,84),ROW()-1,FALSE))</f>
        <v/>
      </c>
      <c r="O113">
        <f ca="1">IF(AND(ISNUMBER($O$327),$B$252=1),$O$327,HLOOKUP(INDIRECT(ADDRESS(2,COLUMN())),OFFSET($CL$2,0,0,ROW()-1,84),ROW()-1,FALSE))</f>
        <v>0.76795699900000003</v>
      </c>
      <c r="P113" t="str">
        <f ca="1">IF(AND(ISNUMBER($P$327),$B$252=1),$P$327,HLOOKUP(INDIRECT(ADDRESS(2,COLUMN())),OFFSET($CL$2,0,0,ROW()-1,84),ROW()-1,FALSE))</f>
        <v/>
      </c>
      <c r="Q113" t="str">
        <f ca="1">IF(AND(ISNUMBER($Q$327),$B$252=1),$Q$327,HLOOKUP(INDIRECT(ADDRESS(2,COLUMN())),OFFSET($CL$2,0,0,ROW()-1,84),ROW()-1,FALSE))</f>
        <v/>
      </c>
      <c r="R113">
        <f ca="1">IF(AND(ISNUMBER($R$327),$B$252=1),$R$327,HLOOKUP(INDIRECT(ADDRESS(2,COLUMN())),OFFSET($CL$2,0,0,ROW()-1,84),ROW()-1,FALSE))</f>
        <v>0.74218112400000003</v>
      </c>
      <c r="S113" t="str">
        <f ca="1">IF(AND(ISNUMBER($S$327),$B$252=1),$S$327,HLOOKUP(INDIRECT(ADDRESS(2,COLUMN())),OFFSET($CL$2,0,0,ROW()-1,84),ROW()-1,FALSE))</f>
        <v/>
      </c>
      <c r="T113" t="str">
        <f ca="1">IF(AND(ISNUMBER($T$327),$B$252=1),$T$327,HLOOKUP(INDIRECT(ADDRESS(2,COLUMN())),OFFSET($CL$2,0,0,ROW()-1,84),ROW()-1,FALSE))</f>
        <v/>
      </c>
      <c r="U113">
        <f ca="1">IF(AND(ISNUMBER($U$327),$B$252=1),$U$327,HLOOKUP(INDIRECT(ADDRESS(2,COLUMN())),OFFSET($CL$2,0,0,ROW()-1,84),ROW()-1,FALSE))</f>
        <v>0.79248939399999996</v>
      </c>
      <c r="V113" t="str">
        <f ca="1">IF(AND(ISNUMBER($V$327),$B$252=1),$V$327,HLOOKUP(INDIRECT(ADDRESS(2,COLUMN())),OFFSET($CL$2,0,0,ROW()-1,84),ROW()-1,FALSE))</f>
        <v/>
      </c>
      <c r="W113" t="str">
        <f ca="1">IF(AND(ISNUMBER($W$327),$B$252=1),$W$327,HLOOKUP(INDIRECT(ADDRESS(2,COLUMN())),OFFSET($CL$2,0,0,ROW()-1,84),ROW()-1,FALSE))</f>
        <v/>
      </c>
      <c r="X113">
        <f ca="1">IF(AND(ISNUMBER($X$327),$B$252=1),$X$327,HLOOKUP(INDIRECT(ADDRESS(2,COLUMN())),OFFSET($CL$2,0,0,ROW()-1,84),ROW()-1,FALSE))</f>
        <v>0.77722537899999999</v>
      </c>
      <c r="Y113" t="str">
        <f ca="1">IF(AND(ISNUMBER($Y$327),$B$252=1),$Y$327,HLOOKUP(INDIRECT(ADDRESS(2,COLUMN())),OFFSET($CL$2,0,0,ROW()-1,84),ROW()-1,FALSE))</f>
        <v/>
      </c>
      <c r="Z113" t="str">
        <f ca="1">IF(AND(ISNUMBER($Z$327),$B$252=1),$Z$327,HLOOKUP(INDIRECT(ADDRESS(2,COLUMN())),OFFSET($CL$2,0,0,ROW()-1,84),ROW()-1,FALSE))</f>
        <v/>
      </c>
      <c r="AA113">
        <f ca="1">IF(AND(ISNUMBER($AA$327),$B$252=1),$AA$327,HLOOKUP(INDIRECT(ADDRESS(2,COLUMN())),OFFSET($CL$2,0,0,ROW()-1,84),ROW()-1,FALSE))</f>
        <v>0.75997277900000004</v>
      </c>
      <c r="AB113" t="str">
        <f ca="1">IF(AND(ISNUMBER($AB$327),$B$252=1),$AB$327,HLOOKUP(INDIRECT(ADDRESS(2,COLUMN())),OFFSET($CL$2,0,0,ROW()-1,84),ROW()-1,FALSE))</f>
        <v/>
      </c>
      <c r="AC113" t="str">
        <f ca="1">IF(AND(ISNUMBER($AC$327),$B$252=1),$AC$327,HLOOKUP(INDIRECT(ADDRESS(2,COLUMN())),OFFSET($CL$2,0,0,ROW()-1,84),ROW()-1,FALSE))</f>
        <v/>
      </c>
      <c r="AD113">
        <f ca="1">IF(AND(ISNUMBER($AD$327),$B$252=1),$AD$327,HLOOKUP(INDIRECT(ADDRESS(2,COLUMN())),OFFSET($CL$2,0,0,ROW()-1,84),ROW()-1,FALSE))</f>
        <v>0.75732191299999996</v>
      </c>
      <c r="AE113" t="str">
        <f ca="1">IF(AND(ISNUMBER($AE$327),$B$252=1),$AE$327,HLOOKUP(INDIRECT(ADDRESS(2,COLUMN())),OFFSET($CL$2,0,0,ROW()-1,84),ROW()-1,FALSE))</f>
        <v/>
      </c>
      <c r="AF113" t="str">
        <f ca="1">IF(AND(ISNUMBER($AF$327),$B$252=1),$AF$327,HLOOKUP(INDIRECT(ADDRESS(2,COLUMN())),OFFSET($CL$2,0,0,ROW()-1,84),ROW()-1,FALSE))</f>
        <v/>
      </c>
      <c r="AG113">
        <f ca="1">IF(AND(ISNUMBER($AG$327),$B$252=1),$AG$327,HLOOKUP(INDIRECT(ADDRESS(2,COLUMN())),OFFSET($CL$2,0,0,ROW()-1,84),ROW()-1,FALSE))</f>
        <v>0.92611352999999996</v>
      </c>
      <c r="AH113" t="str">
        <f ca="1">IF(AND(ISNUMBER($AH$327),$B$252=1),$AH$327,HLOOKUP(INDIRECT(ADDRESS(2,COLUMN())),OFFSET($CL$2,0,0,ROW()-1,84),ROW()-1,FALSE))</f>
        <v/>
      </c>
      <c r="AI113" t="str">
        <f ca="1">IF(AND(ISNUMBER($AI$327),$B$252=1),$AI$327,HLOOKUP(INDIRECT(ADDRESS(2,COLUMN())),OFFSET($CL$2,0,0,ROW()-1,84),ROW()-1,FALSE))</f>
        <v/>
      </c>
      <c r="AJ113">
        <f ca="1">IF(AND(ISNUMBER($AJ$327),$B$252=1),$AJ$327,HLOOKUP(INDIRECT(ADDRESS(2,COLUMN())),OFFSET($CL$2,0,0,ROW()-1,84),ROW()-1,FALSE))</f>
        <v>0.894657323</v>
      </c>
      <c r="AK113" t="str">
        <f ca="1">IF(AND(ISNUMBER($AK$327),$B$252=1),$AK$327,HLOOKUP(INDIRECT(ADDRESS(2,COLUMN())),OFFSET($CL$2,0,0,ROW()-1,84),ROW()-1,FALSE))</f>
        <v/>
      </c>
      <c r="AL113" t="str">
        <f ca="1">IF(AND(ISNUMBER($AL$327),$B$252=1),$AL$327,HLOOKUP(INDIRECT(ADDRESS(2,COLUMN())),OFFSET($CL$2,0,0,ROW()-1,84),ROW()-1,FALSE))</f>
        <v/>
      </c>
      <c r="AM113">
        <f ca="1">IF(AND(ISNUMBER($AM$327),$B$252=1),$AM$327,HLOOKUP(INDIRECT(ADDRESS(2,COLUMN())),OFFSET($CL$2,0,0,ROW()-1,84),ROW()-1,FALSE))</f>
        <v>0.85484545000000001</v>
      </c>
      <c r="AN113" t="str">
        <f ca="1">IF(AND(ISNUMBER($AN$327),$B$252=1),$AN$327,HLOOKUP(INDIRECT(ADDRESS(2,COLUMN())),OFFSET($CL$2,0,0,ROW()-1,84),ROW()-1,FALSE))</f>
        <v/>
      </c>
      <c r="AO113" t="str">
        <f ca="1">IF(AND(ISNUMBER($AO$327),$B$252=1),$AO$327,HLOOKUP(INDIRECT(ADDRESS(2,COLUMN())),OFFSET($CL$2,0,0,ROW()-1,84),ROW()-1,FALSE))</f>
        <v/>
      </c>
      <c r="AP113">
        <f ca="1">IF(AND(ISNUMBER($AP$327),$B$252=1),$AP$327,HLOOKUP(INDIRECT(ADDRESS(2,COLUMN())),OFFSET($CL$2,0,0,ROW()-1,84),ROW()-1,FALSE))</f>
        <v>0.78617084800000003</v>
      </c>
      <c r="AQ113" t="str">
        <f ca="1">IF(AND(ISNUMBER($AQ$327),$B$252=1),$AQ$327,HLOOKUP(INDIRECT(ADDRESS(2,COLUMN())),OFFSET($CL$2,0,0,ROW()-1,84),ROW()-1,FALSE))</f>
        <v/>
      </c>
      <c r="AR113" t="str">
        <f ca="1">IF(AND(ISNUMBER($AR$327),$B$252=1),$AR$327,HLOOKUP(INDIRECT(ADDRESS(2,COLUMN())),OFFSET($CL$2,0,0,ROW()-1,84),ROW()-1,FALSE))</f>
        <v/>
      </c>
      <c r="AS113">
        <f ca="1">IF(AND(ISNUMBER($AS$327),$B$252=1),$AS$327,HLOOKUP(INDIRECT(ADDRESS(2,COLUMN())),OFFSET($CL$2,0,0,ROW()-1,84),ROW()-1,FALSE))</f>
        <v>0.85964379800000001</v>
      </c>
      <c r="AT113" t="str">
        <f ca="1">IF(AND(ISNUMBER($AT$327),$B$252=1),$AT$327,HLOOKUP(INDIRECT(ADDRESS(2,COLUMN())),OFFSET($CL$2,0,0,ROW()-1,84),ROW()-1,FALSE))</f>
        <v/>
      </c>
      <c r="AU113" t="str">
        <f ca="1">IF(AND(ISNUMBER($AU$327),$B$252=1),$AU$327,HLOOKUP(INDIRECT(ADDRESS(2,COLUMN())),OFFSET($CL$2,0,0,ROW()-1,84),ROW()-1,FALSE))</f>
        <v/>
      </c>
      <c r="AV113">
        <f ca="1">IF(AND(ISNUMBER($AV$327),$B$252=1),$AV$327,HLOOKUP(INDIRECT(ADDRESS(2,COLUMN())),OFFSET($CL$2,0,0,ROW()-1,84),ROW()-1,FALSE))</f>
        <v>0.81808897400000002</v>
      </c>
      <c r="AW113" t="str">
        <f ca="1">IF(AND(ISNUMBER($AW$327),$B$252=1),$AW$327,HLOOKUP(INDIRECT(ADDRESS(2,COLUMN())),OFFSET($CL$2,0,0,ROW()-1,84),ROW()-1,FALSE))</f>
        <v/>
      </c>
      <c r="AX113" t="str">
        <f ca="1">IF(AND(ISNUMBER($AX$327),$B$252=1),$AX$327,HLOOKUP(INDIRECT(ADDRESS(2,COLUMN())),OFFSET($CL$2,0,0,ROW()-1,84),ROW()-1,FALSE))</f>
        <v/>
      </c>
      <c r="AY113">
        <f ca="1">IF(AND(ISNUMBER($AY$327),$B$252=1),$AY$327,HLOOKUP(INDIRECT(ADDRESS(2,COLUMN())),OFFSET($CL$2,0,0,ROW()-1,84),ROW()-1,FALSE))</f>
        <v>0.78459262100000005</v>
      </c>
      <c r="AZ113" t="str">
        <f ca="1">IF(AND(ISNUMBER($AZ$327),$B$252=1),$AZ$327,HLOOKUP(INDIRECT(ADDRESS(2,COLUMN())),OFFSET($CL$2,0,0,ROW()-1,84),ROW()-1,FALSE))</f>
        <v/>
      </c>
      <c r="BA113" t="str">
        <f ca="1">IF(AND(ISNUMBER($BA$327),$B$252=1),$BA$327,HLOOKUP(INDIRECT(ADDRESS(2,COLUMN())),OFFSET($CL$2,0,0,ROW()-1,84),ROW()-1,FALSE))</f>
        <v/>
      </c>
      <c r="BB113">
        <f ca="1">IF(AND(ISNUMBER($BB$327),$B$252=1),$BB$327,HLOOKUP(INDIRECT(ADDRESS(2,COLUMN())),OFFSET($CL$2,0,0,ROW()-1,84),ROW()-1,FALSE))</f>
        <v>0.70580843000000004</v>
      </c>
      <c r="BC113" t="str">
        <f ca="1">IF(AND(ISNUMBER($BC$327),$B$252=1),$BC$327,HLOOKUP(INDIRECT(ADDRESS(2,COLUMN())),OFFSET($CL$2,0,0,ROW()-1,84),ROW()-1,FALSE))</f>
        <v/>
      </c>
      <c r="BD113" t="str">
        <f ca="1">IF(AND(ISNUMBER($BD$327),$B$252=1),$BD$327,HLOOKUP(INDIRECT(ADDRESS(2,COLUMN())),OFFSET($CL$2,0,0,ROW()-1,84),ROW()-1,FALSE))</f>
        <v/>
      </c>
      <c r="BE113">
        <f ca="1">IF(AND(ISNUMBER($BE$327),$B$252=1),$BE$327,HLOOKUP(INDIRECT(ADDRESS(2,COLUMN())),OFFSET($CL$2,0,0,ROW()-1,84),ROW()-1,FALSE))</f>
        <v>0.76871175400000002</v>
      </c>
      <c r="BF113" t="str">
        <f ca="1">IF(AND(ISNUMBER($BF$327),$B$252=1),$BF$327,HLOOKUP(INDIRECT(ADDRESS(2,COLUMN())),OFFSET($CL$2,0,0,ROW()-1,84),ROW()-1,FALSE))</f>
        <v/>
      </c>
      <c r="BG113" t="str">
        <f ca="1">IF(AND(ISNUMBER($BG$327),$B$252=1),$BG$327,HLOOKUP(INDIRECT(ADDRESS(2,COLUMN())),OFFSET($CL$2,0,0,ROW()-1,84),ROW()-1,FALSE))</f>
        <v/>
      </c>
      <c r="BH113">
        <f ca="1">IF(AND(ISNUMBER($BH$327),$B$252=1),$BH$327,HLOOKUP(INDIRECT(ADDRESS(2,COLUMN())),OFFSET($CL$2,0,0,ROW()-1,84),ROW()-1,FALSE))</f>
        <v>0.73083379699999995</v>
      </c>
      <c r="BI113" t="str">
        <f ca="1">IF(AND(ISNUMBER($BI$327),$B$252=1),$BI$327,HLOOKUP(INDIRECT(ADDRESS(2,COLUMN())),OFFSET($CL$2,0,0,ROW()-1,84),ROW()-1,FALSE))</f>
        <v/>
      </c>
      <c r="BJ113" t="str">
        <f ca="1">IF(AND(ISNUMBER($BJ$327),$B$252=1),$BJ$327,HLOOKUP(INDIRECT(ADDRESS(2,COLUMN())),OFFSET($CL$2,0,0,ROW()-1,84),ROW()-1,FALSE))</f>
        <v/>
      </c>
      <c r="BK113">
        <f ca="1">IF(AND(ISNUMBER($BK$327),$B$252=1),$BK$327,HLOOKUP(INDIRECT(ADDRESS(2,COLUMN())),OFFSET($CL$2,0,0,ROW()-1,84),ROW()-1,FALSE))</f>
        <v>0.710989333</v>
      </c>
      <c r="BL113" t="str">
        <f ca="1">IF(AND(ISNUMBER($BL$327),$B$252=1),$BL$327,HLOOKUP(INDIRECT(ADDRESS(2,COLUMN())),OFFSET($CL$2,0,0,ROW()-1,84),ROW()-1,FALSE))</f>
        <v/>
      </c>
      <c r="BM113" t="str">
        <f ca="1">IF(AND(ISNUMBER($BM$327),$B$252=1),$BM$327,HLOOKUP(INDIRECT(ADDRESS(2,COLUMN())),OFFSET($CL$2,0,0,ROW()-1,84),ROW()-1,FALSE))</f>
        <v/>
      </c>
      <c r="BN113">
        <f ca="1">IF(AND(ISNUMBER($BN$327),$B$252=1),$BN$327,HLOOKUP(INDIRECT(ADDRESS(2,COLUMN())),OFFSET($CL$2,0,0,ROW()-1,84),ROW()-1,FALSE))</f>
        <v>0.63951693200000004</v>
      </c>
      <c r="BO113" t="str">
        <f ca="1">IF(AND(ISNUMBER($BO$327),$B$252=1),$BO$327,HLOOKUP(INDIRECT(ADDRESS(2,COLUMN())),OFFSET($CL$2,0,0,ROW()-1,84),ROW()-1,FALSE))</f>
        <v/>
      </c>
      <c r="BP113" t="str">
        <f ca="1">IF(AND(ISNUMBER($BP$327),$B$252=1),$BP$327,HLOOKUP(INDIRECT(ADDRESS(2,COLUMN())),OFFSET($CL$2,0,0,ROW()-1,84),ROW()-1,FALSE))</f>
        <v/>
      </c>
      <c r="BQ113">
        <f ca="1">IF(AND(ISNUMBER($BQ$327),$B$252=1),$BQ$327,HLOOKUP(INDIRECT(ADDRESS(2,COLUMN())),OFFSET($CL$2,0,0,ROW()-1,84),ROW()-1,FALSE))</f>
        <v>0.74560389800000004</v>
      </c>
      <c r="BR113" t="str">
        <f ca="1">IF(AND(ISNUMBER($BR$327),$B$252=1),$BR$327,HLOOKUP(INDIRECT(ADDRESS(2,COLUMN())),OFFSET($CL$2,0,0,ROW()-1,84),ROW()-1,FALSE))</f>
        <v/>
      </c>
      <c r="BS113" t="str">
        <f ca="1">IF(AND(ISNUMBER($BS$327),$B$252=1),$BS$327,HLOOKUP(INDIRECT(ADDRESS(2,COLUMN())),OFFSET($CL$2,0,0,ROW()-1,84),ROW()-1,FALSE))</f>
        <v/>
      </c>
      <c r="BT113">
        <f ca="1">IF(AND(ISNUMBER($BT$327),$B$252=1),$BT$327,HLOOKUP(INDIRECT(ADDRESS(2,COLUMN())),OFFSET($CL$2,0,0,ROW()-1,84),ROW()-1,FALSE))</f>
        <v>0.72941873999999995</v>
      </c>
      <c r="BU113" t="str">
        <f ca="1">IF(AND(ISNUMBER($BU$327),$B$252=1),$BU$327,HLOOKUP(INDIRECT(ADDRESS(2,COLUMN())),OFFSET($CL$2,0,0,ROW()-1,84),ROW()-1,FALSE))</f>
        <v/>
      </c>
      <c r="BV113" t="str">
        <f ca="1">IF(AND(ISNUMBER($BV$327),$B$252=1),$BV$327,HLOOKUP(INDIRECT(ADDRESS(2,COLUMN())),OFFSET($CL$2,0,0,ROW()-1,84),ROW()-1,FALSE))</f>
        <v/>
      </c>
      <c r="BW113">
        <f ca="1">IF(AND(ISNUMBER($BW$327),$B$252=1),$BW$327,HLOOKUP(INDIRECT(ADDRESS(2,COLUMN())),OFFSET($CL$2,0,0,ROW()-1,84),ROW()-1,FALSE))</f>
        <v>0.67686243899999998</v>
      </c>
      <c r="BX113" t="str">
        <f ca="1">IF(AND(ISNUMBER($BX$327),$B$252=1),$BX$327,HLOOKUP(INDIRECT(ADDRESS(2,COLUMN())),OFFSET($CL$2,0,0,ROW()-1,84),ROW()-1,FALSE))</f>
        <v/>
      </c>
      <c r="BY113" t="str">
        <f ca="1">IF(AND(ISNUMBER($BY$327),$B$252=1),$BY$327,HLOOKUP(INDIRECT(ADDRESS(2,COLUMN())),OFFSET($CL$2,0,0,ROW()-1,84),ROW()-1,FALSE))</f>
        <v/>
      </c>
      <c r="BZ113">
        <f ca="1">IF(AND(ISNUMBER($BZ$327),$B$252=1),$BZ$327,HLOOKUP(INDIRECT(ADDRESS(2,COLUMN())),OFFSET($CL$2,0,0,ROW()-1,84),ROW()-1,FALSE))</f>
        <v>0.608612759</v>
      </c>
      <c r="CA113" t="str">
        <f ca="1">IF(AND(ISNUMBER($CA$327),$B$252=1),$CA$327,HLOOKUP(INDIRECT(ADDRESS(2,COLUMN())),OFFSET($CL$2,0,0,ROW()-1,84),ROW()-1,FALSE))</f>
        <v/>
      </c>
      <c r="CB113" t="str">
        <f ca="1">IF(AND(ISNUMBER($CB$327),$B$252=1),$CB$327,HLOOKUP(INDIRECT(ADDRESS(2,COLUMN())),OFFSET($CL$2,0,0,ROW()-1,84),ROW()-1,FALSE))</f>
        <v/>
      </c>
      <c r="CC113">
        <f ca="1">IF(AND(ISNUMBER($CC$327),$B$252=1),$CC$327,HLOOKUP(INDIRECT(ADDRESS(2,COLUMN())),OFFSET($CL$2,0,0,ROW()-1,84),ROW()-1,FALSE))</f>
        <v>0.65433871300000002</v>
      </c>
      <c r="CD113" t="str">
        <f ca="1">IF(AND(ISNUMBER($CD$327),$B$252=1),$CD$327,HLOOKUP(INDIRECT(ADDRESS(2,COLUMN())),OFFSET($CL$2,0,0,ROW()-1,84),ROW()-1,FALSE))</f>
        <v/>
      </c>
      <c r="CE113" t="str">
        <f ca="1">IF(AND(ISNUMBER($CE$327),$B$252=1),$CE$327,HLOOKUP(INDIRECT(ADDRESS(2,COLUMN())),OFFSET($CL$2,0,0,ROW()-1,84),ROW()-1,FALSE))</f>
        <v/>
      </c>
      <c r="CF113">
        <f ca="1">IF(AND(ISNUMBER($CF$327),$B$252=1),$CF$327,HLOOKUP(INDIRECT(ADDRESS(2,COLUMN())),OFFSET($CL$2,0,0,ROW()-1,84),ROW()-1,FALSE))</f>
        <v>0.61726930999999996</v>
      </c>
      <c r="CG113" t="str">
        <f ca="1">IF(AND(ISNUMBER($CG$327),$B$252=1),$CG$327,HLOOKUP(INDIRECT(ADDRESS(2,COLUMN())),OFFSET($CL$2,0,0,ROW()-1,84),ROW()-1,FALSE))</f>
        <v/>
      </c>
      <c r="CH113" t="str">
        <f ca="1">IF(AND(ISNUMBER($CH$327),$B$252=1),$CH$327,HLOOKUP(INDIRECT(ADDRESS(2,COLUMN())),OFFSET($CL$2,0,0,ROW()-1,84),ROW()-1,FALSE))</f>
        <v/>
      </c>
      <c r="CI113">
        <f ca="1">IF(AND(ISNUMBER($CI$327),$B$252=1),$CI$327,HLOOKUP(INDIRECT(ADDRESS(2,COLUMN())),OFFSET($CL$2,0,0,ROW()-1,84),ROW()-1,FALSE))</f>
        <v>0.59807046100000005</v>
      </c>
      <c r="CJ113" t="str">
        <f ca="1">IF(AND(ISNUMBER($CJ$327),$B$252=1),$CJ$327,HLOOKUP(INDIRECT(ADDRESS(2,COLUMN())),OFFSET($CL$2,0,0,ROW()-1,84),ROW()-1,FALSE))</f>
        <v/>
      </c>
      <c r="CK113" t="str">
        <f ca="1">IF(AND(ISNUMBER($CK$327),$B$252=1),$CK$327,HLOOKUP(INDIRECT(ADDRESS(2,COLUMN())),OFFSET($CL$2,0,0,ROW()-1,84),ROW()-1,FALSE))</f>
        <v/>
      </c>
      <c r="CL113" t="str">
        <f>""</f>
        <v/>
      </c>
      <c r="CM113" t="str">
        <f>""</f>
        <v/>
      </c>
      <c r="CN113" t="str">
        <f>""</f>
        <v/>
      </c>
      <c r="CO113">
        <f>0.82689341</f>
        <v>0.82689341000000005</v>
      </c>
      <c r="CP113" t="str">
        <f>""</f>
        <v/>
      </c>
      <c r="CQ113" t="str">
        <f>""</f>
        <v/>
      </c>
      <c r="CR113">
        <f>0.796035984</f>
        <v>0.79603598399999997</v>
      </c>
      <c r="CS113" t="str">
        <f>""</f>
        <v/>
      </c>
      <c r="CT113" t="str">
        <f>""</f>
        <v/>
      </c>
      <c r="CU113">
        <f>0.767956999</f>
        <v>0.76795699900000003</v>
      </c>
      <c r="CV113" t="str">
        <f>""</f>
        <v/>
      </c>
      <c r="CW113" t="str">
        <f>""</f>
        <v/>
      </c>
      <c r="CX113">
        <f>0.742181124</f>
        <v>0.74218112400000003</v>
      </c>
      <c r="CY113" t="str">
        <f>""</f>
        <v/>
      </c>
      <c r="CZ113" t="str">
        <f>""</f>
        <v/>
      </c>
      <c r="DA113">
        <f>0.792489394</f>
        <v>0.79248939399999996</v>
      </c>
      <c r="DB113" t="str">
        <f>""</f>
        <v/>
      </c>
      <c r="DC113" t="str">
        <f>""</f>
        <v/>
      </c>
      <c r="DD113">
        <f>0.777225379</f>
        <v>0.77722537899999999</v>
      </c>
      <c r="DE113" t="str">
        <f>""</f>
        <v/>
      </c>
      <c r="DF113" t="str">
        <f>""</f>
        <v/>
      </c>
      <c r="DG113">
        <f>0.759972779</f>
        <v>0.75997277900000004</v>
      </c>
      <c r="DH113" t="str">
        <f>""</f>
        <v/>
      </c>
      <c r="DI113" t="str">
        <f>""</f>
        <v/>
      </c>
      <c r="DJ113">
        <f>0.757321913</f>
        <v>0.75732191299999996</v>
      </c>
      <c r="DK113" t="str">
        <f>""</f>
        <v/>
      </c>
      <c r="DL113" t="str">
        <f>""</f>
        <v/>
      </c>
      <c r="DM113">
        <f>0.92611353</f>
        <v>0.92611352999999996</v>
      </c>
      <c r="DN113" t="str">
        <f>""</f>
        <v/>
      </c>
      <c r="DO113" t="str">
        <f>""</f>
        <v/>
      </c>
      <c r="DP113">
        <f>0.894657323</f>
        <v>0.894657323</v>
      </c>
      <c r="DQ113" t="str">
        <f>""</f>
        <v/>
      </c>
      <c r="DR113" t="str">
        <f>""</f>
        <v/>
      </c>
      <c r="DS113">
        <f>0.85484545</f>
        <v>0.85484545000000001</v>
      </c>
      <c r="DT113" t="str">
        <f>""</f>
        <v/>
      </c>
      <c r="DU113" t="str">
        <f>""</f>
        <v/>
      </c>
      <c r="DV113">
        <f>0.786170848</f>
        <v>0.78617084800000003</v>
      </c>
      <c r="DW113" t="str">
        <f>""</f>
        <v/>
      </c>
      <c r="DX113" t="str">
        <f>""</f>
        <v/>
      </c>
      <c r="DY113">
        <f>0.859643798</f>
        <v>0.85964379800000001</v>
      </c>
      <c r="DZ113" t="str">
        <f>""</f>
        <v/>
      </c>
      <c r="EA113" t="str">
        <f>""</f>
        <v/>
      </c>
      <c r="EB113">
        <f>0.818088974</f>
        <v>0.81808897400000002</v>
      </c>
      <c r="EC113" t="str">
        <f>""</f>
        <v/>
      </c>
      <c r="ED113" t="str">
        <f>""</f>
        <v/>
      </c>
      <c r="EE113">
        <f>0.784592621</f>
        <v>0.78459262100000005</v>
      </c>
      <c r="EF113" t="str">
        <f>""</f>
        <v/>
      </c>
      <c r="EG113" t="str">
        <f>""</f>
        <v/>
      </c>
      <c r="EH113">
        <f>0.70580843</f>
        <v>0.70580843000000004</v>
      </c>
      <c r="EI113" t="str">
        <f>""</f>
        <v/>
      </c>
      <c r="EJ113" t="str">
        <f>""</f>
        <v/>
      </c>
      <c r="EK113">
        <f>0.768711754</f>
        <v>0.76871175400000002</v>
      </c>
      <c r="EL113" t="str">
        <f>""</f>
        <v/>
      </c>
      <c r="EM113" t="str">
        <f>""</f>
        <v/>
      </c>
      <c r="EN113">
        <f>0.730833797</f>
        <v>0.73083379699999995</v>
      </c>
      <c r="EO113" t="str">
        <f>""</f>
        <v/>
      </c>
      <c r="EP113" t="str">
        <f>""</f>
        <v/>
      </c>
      <c r="EQ113">
        <f>0.710989333</f>
        <v>0.710989333</v>
      </c>
      <c r="ER113" t="str">
        <f>""</f>
        <v/>
      </c>
      <c r="ES113" t="str">
        <f>""</f>
        <v/>
      </c>
      <c r="ET113">
        <f>0.639516932</f>
        <v>0.63951693200000004</v>
      </c>
      <c r="EU113" t="str">
        <f>""</f>
        <v/>
      </c>
      <c r="EV113" t="str">
        <f>""</f>
        <v/>
      </c>
      <c r="EW113">
        <f>0.745603898</f>
        <v>0.74560389800000004</v>
      </c>
      <c r="EX113" t="str">
        <f>""</f>
        <v/>
      </c>
      <c r="EY113" t="str">
        <f>""</f>
        <v/>
      </c>
      <c r="EZ113">
        <f>0.72941874</f>
        <v>0.72941873999999995</v>
      </c>
      <c r="FA113" t="str">
        <f>""</f>
        <v/>
      </c>
      <c r="FB113" t="str">
        <f>""</f>
        <v/>
      </c>
      <c r="FC113">
        <f>0.676862439</f>
        <v>0.67686243899999998</v>
      </c>
      <c r="FD113" t="str">
        <f>""</f>
        <v/>
      </c>
      <c r="FE113" t="str">
        <f>""</f>
        <v/>
      </c>
      <c r="FF113">
        <f>0.608612759</f>
        <v>0.608612759</v>
      </c>
      <c r="FG113" t="str">
        <f>""</f>
        <v/>
      </c>
      <c r="FH113" t="str">
        <f>""</f>
        <v/>
      </c>
      <c r="FI113">
        <f>0.654338713</f>
        <v>0.65433871300000002</v>
      </c>
      <c r="FJ113" t="str">
        <f>""</f>
        <v/>
      </c>
      <c r="FK113" t="str">
        <f>""</f>
        <v/>
      </c>
      <c r="FL113">
        <f>0.61726931</f>
        <v>0.61726930999999996</v>
      </c>
      <c r="FM113" t="str">
        <f>""</f>
        <v/>
      </c>
      <c r="FN113" t="str">
        <f>""</f>
        <v/>
      </c>
      <c r="FO113">
        <f>0.598070461</f>
        <v>0.59807046100000005</v>
      </c>
      <c r="FP113" t="str">
        <f>""</f>
        <v/>
      </c>
      <c r="FQ113" t="str">
        <f>""</f>
        <v/>
      </c>
    </row>
    <row r="114" spans="1:173">
      <c r="A114" t="str">
        <f>"    Essex Property Trust Inc"</f>
        <v xml:space="preserve">    Essex Property Trust Inc</v>
      </c>
      <c r="B114" t="str">
        <f>"ESS US Equity"</f>
        <v>ESS US Equity</v>
      </c>
      <c r="C114" t="str">
        <f t="shared" si="33"/>
        <v>F0581</v>
      </c>
      <c r="D114" t="str">
        <f t="shared" si="34"/>
        <v>ADJUSTED_FFOPS</v>
      </c>
      <c r="E114" t="str">
        <f t="shared" si="35"/>
        <v>动态</v>
      </c>
      <c r="F114" t="str">
        <f ca="1">IF(AND(ISNUMBER($F$328),$B$252=1),$F$328,HLOOKUP(INDIRECT(ADDRESS(2,COLUMN())),OFFSET($CL$2,0,0,ROW()-1,84),ROW()-1,FALSE))</f>
        <v/>
      </c>
      <c r="G114" t="str">
        <f ca="1">IF(AND(ISNUMBER($G$328),$B$252=1),$G$328,HLOOKUP(INDIRECT(ADDRESS(2,COLUMN())),OFFSET($CL$2,0,0,ROW()-1,84),ROW()-1,FALSE))</f>
        <v/>
      </c>
      <c r="H114" t="str">
        <f ca="1">IF(AND(ISNUMBER($H$328),$B$252=1),$H$328,HLOOKUP(INDIRECT(ADDRESS(2,COLUMN())),OFFSET($CL$2,0,0,ROW()-1,84),ROW()-1,FALSE))</f>
        <v/>
      </c>
      <c r="I114">
        <f ca="1">IF(AND(ISNUMBER($I$328),$B$252=1),$I$328,HLOOKUP(INDIRECT(ADDRESS(2,COLUMN())),OFFSET($CL$2,0,0,ROW()-1,84),ROW()-1,FALSE))</f>
        <v>3.0110267070000001</v>
      </c>
      <c r="J114" t="str">
        <f ca="1">IF(AND(ISNUMBER($J$328),$B$252=1),$J$328,HLOOKUP(INDIRECT(ADDRESS(2,COLUMN())),OFFSET($CL$2,0,0,ROW()-1,84),ROW()-1,FALSE))</f>
        <v/>
      </c>
      <c r="K114" t="str">
        <f ca="1">IF(AND(ISNUMBER($K$328),$B$252=1),$K$328,HLOOKUP(INDIRECT(ADDRESS(2,COLUMN())),OFFSET($CL$2,0,0,ROW()-1,84),ROW()-1,FALSE))</f>
        <v/>
      </c>
      <c r="L114">
        <f ca="1">IF(AND(ISNUMBER($L$328),$B$252=1),$L$328,HLOOKUP(INDIRECT(ADDRESS(2,COLUMN())),OFFSET($CL$2,0,0,ROW()-1,84),ROW()-1,FALSE))</f>
        <v>2.9846710270000001</v>
      </c>
      <c r="M114" t="str">
        <f ca="1">IF(AND(ISNUMBER($M$328),$B$252=1),$M$328,HLOOKUP(INDIRECT(ADDRESS(2,COLUMN())),OFFSET($CL$2,0,0,ROW()-1,84),ROW()-1,FALSE))</f>
        <v/>
      </c>
      <c r="N114" t="str">
        <f ca="1">IF(AND(ISNUMBER($N$328),$B$252=1),$N$328,HLOOKUP(INDIRECT(ADDRESS(2,COLUMN())),OFFSET($CL$2,0,0,ROW()-1,84),ROW()-1,FALSE))</f>
        <v/>
      </c>
      <c r="O114">
        <f ca="1">IF(AND(ISNUMBER($O$328),$B$252=1),$O$328,HLOOKUP(INDIRECT(ADDRESS(2,COLUMN())),OFFSET($CL$2,0,0,ROW()-1,84),ROW()-1,FALSE))</f>
        <v>2.9724600790000002</v>
      </c>
      <c r="P114" t="str">
        <f ca="1">IF(AND(ISNUMBER($P$328),$B$252=1),$P$328,HLOOKUP(INDIRECT(ADDRESS(2,COLUMN())),OFFSET($CL$2,0,0,ROW()-1,84),ROW()-1,FALSE))</f>
        <v/>
      </c>
      <c r="Q114" t="str">
        <f ca="1">IF(AND(ISNUMBER($Q$328),$B$252=1),$Q$328,HLOOKUP(INDIRECT(ADDRESS(2,COLUMN())),OFFSET($CL$2,0,0,ROW()-1,84),ROW()-1,FALSE))</f>
        <v/>
      </c>
      <c r="R114">
        <f ca="1">IF(AND(ISNUMBER($R$328),$B$252=1),$R$328,HLOOKUP(INDIRECT(ADDRESS(2,COLUMN())),OFFSET($CL$2,0,0,ROW()-1,84),ROW()-1,FALSE))</f>
        <v>2.937976285</v>
      </c>
      <c r="S114" t="str">
        <f ca="1">IF(AND(ISNUMBER($S$328),$B$252=1),$S$328,HLOOKUP(INDIRECT(ADDRESS(2,COLUMN())),OFFSET($CL$2,0,0,ROW()-1,84),ROW()-1,FALSE))</f>
        <v/>
      </c>
      <c r="T114" t="str">
        <f ca="1">IF(AND(ISNUMBER($T$328),$B$252=1),$T$328,HLOOKUP(INDIRECT(ADDRESS(2,COLUMN())),OFFSET($CL$2,0,0,ROW()-1,84),ROW()-1,FALSE))</f>
        <v/>
      </c>
      <c r="U114">
        <f ca="1">IF(AND(ISNUMBER($U$328),$B$252=1),$U$328,HLOOKUP(INDIRECT(ADDRESS(2,COLUMN())),OFFSET($CL$2,0,0,ROW()-1,84),ROW()-1,FALSE))</f>
        <v>2.8095570529999998</v>
      </c>
      <c r="V114" t="str">
        <f ca="1">IF(AND(ISNUMBER($V$328),$B$252=1),$V$328,HLOOKUP(INDIRECT(ADDRESS(2,COLUMN())),OFFSET($CL$2,0,0,ROW()-1,84),ROW()-1,FALSE))</f>
        <v/>
      </c>
      <c r="W114" t="str">
        <f ca="1">IF(AND(ISNUMBER($W$328),$B$252=1),$W$328,HLOOKUP(INDIRECT(ADDRESS(2,COLUMN())),OFFSET($CL$2,0,0,ROW()-1,84),ROW()-1,FALSE))</f>
        <v/>
      </c>
      <c r="X114">
        <f ca="1">IF(AND(ISNUMBER($X$328),$B$252=1),$X$328,HLOOKUP(INDIRECT(ADDRESS(2,COLUMN())),OFFSET($CL$2,0,0,ROW()-1,84),ROW()-1,FALSE))</f>
        <v>2.8054828879999998</v>
      </c>
      <c r="Y114" t="str">
        <f ca="1">IF(AND(ISNUMBER($Y$328),$B$252=1),$Y$328,HLOOKUP(INDIRECT(ADDRESS(2,COLUMN())),OFFSET($CL$2,0,0,ROW()-1,84),ROW()-1,FALSE))</f>
        <v/>
      </c>
      <c r="Z114" t="str">
        <f ca="1">IF(AND(ISNUMBER($Z$328),$B$252=1),$Z$328,HLOOKUP(INDIRECT(ADDRESS(2,COLUMN())),OFFSET($CL$2,0,0,ROW()-1,84),ROW()-1,FALSE))</f>
        <v/>
      </c>
      <c r="AA114">
        <f ca="1">IF(AND(ISNUMBER($AA$328),$B$252=1),$AA$328,HLOOKUP(INDIRECT(ADDRESS(2,COLUMN())),OFFSET($CL$2,0,0,ROW()-1,84),ROW()-1,FALSE))</f>
        <v>2.7421872810000001</v>
      </c>
      <c r="AB114" t="str">
        <f ca="1">IF(AND(ISNUMBER($AB$328),$B$252=1),$AB$328,HLOOKUP(INDIRECT(ADDRESS(2,COLUMN())),OFFSET($CL$2,0,0,ROW()-1,84),ROW()-1,FALSE))</f>
        <v/>
      </c>
      <c r="AC114" t="str">
        <f ca="1">IF(AND(ISNUMBER($AC$328),$B$252=1),$AC$328,HLOOKUP(INDIRECT(ADDRESS(2,COLUMN())),OFFSET($CL$2,0,0,ROW()-1,84),ROW()-1,FALSE))</f>
        <v/>
      </c>
      <c r="AD114">
        <f ca="1">IF(AND(ISNUMBER($AD$328),$B$252=1),$AD$328,HLOOKUP(INDIRECT(ADDRESS(2,COLUMN())),OFFSET($CL$2,0,0,ROW()-1,84),ROW()-1,FALSE))</f>
        <v>2.6775427710000002</v>
      </c>
      <c r="AE114" t="str">
        <f ca="1">IF(AND(ISNUMBER($AE$328),$B$252=1),$AE$328,HLOOKUP(INDIRECT(ADDRESS(2,COLUMN())),OFFSET($CL$2,0,0,ROW()-1,84),ROW()-1,FALSE))</f>
        <v/>
      </c>
      <c r="AF114" t="str">
        <f ca="1">IF(AND(ISNUMBER($AF$328),$B$252=1),$AF$328,HLOOKUP(INDIRECT(ADDRESS(2,COLUMN())),OFFSET($CL$2,0,0,ROW()-1,84),ROW()-1,FALSE))</f>
        <v/>
      </c>
      <c r="AG114">
        <f ca="1">IF(AND(ISNUMBER($AG$328),$B$252=1),$AG$328,HLOOKUP(INDIRECT(ADDRESS(2,COLUMN())),OFFSET($CL$2,0,0,ROW()-1,84),ROW()-1,FALSE))</f>
        <v>2.630234352</v>
      </c>
      <c r="AH114" t="str">
        <f ca="1">IF(AND(ISNUMBER($AH$328),$B$252=1),$AH$328,HLOOKUP(INDIRECT(ADDRESS(2,COLUMN())),OFFSET($CL$2,0,0,ROW()-1,84),ROW()-1,FALSE))</f>
        <v/>
      </c>
      <c r="AI114" t="str">
        <f ca="1">IF(AND(ISNUMBER($AI$328),$B$252=1),$AI$328,HLOOKUP(INDIRECT(ADDRESS(2,COLUMN())),OFFSET($CL$2,0,0,ROW()-1,84),ROW()-1,FALSE))</f>
        <v/>
      </c>
      <c r="AJ114">
        <f ca="1">IF(AND(ISNUMBER($AJ$328),$B$252=1),$AJ$328,HLOOKUP(INDIRECT(ADDRESS(2,COLUMN())),OFFSET($CL$2,0,0,ROW()-1,84),ROW()-1,FALSE))</f>
        <v>2.4940148309999999</v>
      </c>
      <c r="AK114" t="str">
        <f ca="1">IF(AND(ISNUMBER($AK$328),$B$252=1),$AK$328,HLOOKUP(INDIRECT(ADDRESS(2,COLUMN())),OFFSET($CL$2,0,0,ROW()-1,84),ROW()-1,FALSE))</f>
        <v/>
      </c>
      <c r="AL114" t="str">
        <f ca="1">IF(AND(ISNUMBER($AL$328),$B$252=1),$AL$328,HLOOKUP(INDIRECT(ADDRESS(2,COLUMN())),OFFSET($CL$2,0,0,ROW()-1,84),ROW()-1,FALSE))</f>
        <v/>
      </c>
      <c r="AM114">
        <f ca="1">IF(AND(ISNUMBER($AM$328),$B$252=1),$AM$328,HLOOKUP(INDIRECT(ADDRESS(2,COLUMN())),OFFSET($CL$2,0,0,ROW()-1,84),ROW()-1,FALSE))</f>
        <v>2.4005820349999998</v>
      </c>
      <c r="AN114" t="str">
        <f ca="1">IF(AND(ISNUMBER($AN$328),$B$252=1),$AN$328,HLOOKUP(INDIRECT(ADDRESS(2,COLUMN())),OFFSET($CL$2,0,0,ROW()-1,84),ROW()-1,FALSE))</f>
        <v/>
      </c>
      <c r="AO114" t="str">
        <f ca="1">IF(AND(ISNUMBER($AO$328),$B$252=1),$AO$328,HLOOKUP(INDIRECT(ADDRESS(2,COLUMN())),OFFSET($CL$2,0,0,ROW()-1,84),ROW()-1,FALSE))</f>
        <v/>
      </c>
      <c r="AP114">
        <f ca="1">IF(AND(ISNUMBER($AP$328),$B$252=1),$AP$328,HLOOKUP(INDIRECT(ADDRESS(2,COLUMN())),OFFSET($CL$2,0,0,ROW()-1,84),ROW()-1,FALSE))</f>
        <v>2.290143976</v>
      </c>
      <c r="AQ114" t="str">
        <f ca="1">IF(AND(ISNUMBER($AQ$328),$B$252=1),$AQ$328,HLOOKUP(INDIRECT(ADDRESS(2,COLUMN())),OFFSET($CL$2,0,0,ROW()-1,84),ROW()-1,FALSE))</f>
        <v/>
      </c>
      <c r="AR114" t="str">
        <f ca="1">IF(AND(ISNUMBER($AR$328),$B$252=1),$AR$328,HLOOKUP(INDIRECT(ADDRESS(2,COLUMN())),OFFSET($CL$2,0,0,ROW()-1,84),ROW()-1,FALSE))</f>
        <v/>
      </c>
      <c r="AS114">
        <f ca="1">IF(AND(ISNUMBER($AS$328),$B$252=1),$AS$328,HLOOKUP(INDIRECT(ADDRESS(2,COLUMN())),OFFSET($CL$2,0,0,ROW()-1,84),ROW()-1,FALSE))</f>
        <v>2.2397877350000002</v>
      </c>
      <c r="AT114" t="str">
        <f ca="1">IF(AND(ISNUMBER($AT$328),$B$252=1),$AT$328,HLOOKUP(INDIRECT(ADDRESS(2,COLUMN())),OFFSET($CL$2,0,0,ROW()-1,84),ROW()-1,FALSE))</f>
        <v/>
      </c>
      <c r="AU114" t="str">
        <f ca="1">IF(AND(ISNUMBER($AU$328),$B$252=1),$AU$328,HLOOKUP(INDIRECT(ADDRESS(2,COLUMN())),OFFSET($CL$2,0,0,ROW()-1,84),ROW()-1,FALSE))</f>
        <v/>
      </c>
      <c r="AV114">
        <f ca="1">IF(AND(ISNUMBER($AV$328),$B$252=1),$AV$328,HLOOKUP(INDIRECT(ADDRESS(2,COLUMN())),OFFSET($CL$2,0,0,ROW()-1,84),ROW()-1,FALSE))</f>
        <v>2.1630626749999999</v>
      </c>
      <c r="AW114" t="str">
        <f ca="1">IF(AND(ISNUMBER($AW$328),$B$252=1),$AW$328,HLOOKUP(INDIRECT(ADDRESS(2,COLUMN())),OFFSET($CL$2,0,0,ROW()-1,84),ROW()-1,FALSE))</f>
        <v/>
      </c>
      <c r="AX114" t="str">
        <f ca="1">IF(AND(ISNUMBER($AX$328),$B$252=1),$AX$328,HLOOKUP(INDIRECT(ADDRESS(2,COLUMN())),OFFSET($CL$2,0,0,ROW()-1,84),ROW()-1,FALSE))</f>
        <v/>
      </c>
      <c r="AY114">
        <f ca="1">IF(AND(ISNUMBER($AY$328),$B$252=1),$AY$328,HLOOKUP(INDIRECT(ADDRESS(2,COLUMN())),OFFSET($CL$2,0,0,ROW()-1,84),ROW()-1,FALSE))</f>
        <v>2.084494984</v>
      </c>
      <c r="AZ114" t="str">
        <f ca="1">IF(AND(ISNUMBER($AZ$328),$B$252=1),$AZ$328,HLOOKUP(INDIRECT(ADDRESS(2,COLUMN())),OFFSET($CL$2,0,0,ROW()-1,84),ROW()-1,FALSE))</f>
        <v/>
      </c>
      <c r="BA114" t="str">
        <f ca="1">IF(AND(ISNUMBER($BA$328),$B$252=1),$BA$328,HLOOKUP(INDIRECT(ADDRESS(2,COLUMN())),OFFSET($CL$2,0,0,ROW()-1,84),ROW()-1,FALSE))</f>
        <v/>
      </c>
      <c r="BB114">
        <f ca="1">IF(AND(ISNUMBER($BB$328),$B$252=1),$BB$328,HLOOKUP(INDIRECT(ADDRESS(2,COLUMN())),OFFSET($CL$2,0,0,ROW()-1,84),ROW()-1,FALSE))</f>
        <v>2.0160015649999998</v>
      </c>
      <c r="BC114" t="str">
        <f ca="1">IF(AND(ISNUMBER($BC$328),$B$252=1),$BC$328,HLOOKUP(INDIRECT(ADDRESS(2,COLUMN())),OFFSET($CL$2,0,0,ROW()-1,84),ROW()-1,FALSE))</f>
        <v/>
      </c>
      <c r="BD114" t="str">
        <f ca="1">IF(AND(ISNUMBER($BD$328),$B$252=1),$BD$328,HLOOKUP(INDIRECT(ADDRESS(2,COLUMN())),OFFSET($CL$2,0,0,ROW()-1,84),ROW()-1,FALSE))</f>
        <v/>
      </c>
      <c r="BE114">
        <f ca="1">IF(AND(ISNUMBER($BE$328),$B$252=1),$BE$328,HLOOKUP(INDIRECT(ADDRESS(2,COLUMN())),OFFSET($CL$2,0,0,ROW()-1,84),ROW()-1,FALSE))</f>
        <v>1.943610617</v>
      </c>
      <c r="BF114" t="str">
        <f ca="1">IF(AND(ISNUMBER($BF$328),$B$252=1),$BF$328,HLOOKUP(INDIRECT(ADDRESS(2,COLUMN())),OFFSET($CL$2,0,0,ROW()-1,84),ROW()-1,FALSE))</f>
        <v/>
      </c>
      <c r="BG114" t="str">
        <f ca="1">IF(AND(ISNUMBER($BG$328),$B$252=1),$BG$328,HLOOKUP(INDIRECT(ADDRESS(2,COLUMN())),OFFSET($CL$2,0,0,ROW()-1,84),ROW()-1,FALSE))</f>
        <v/>
      </c>
      <c r="BH114">
        <f ca="1">IF(AND(ISNUMBER($BH$328),$B$252=1),$BH$328,HLOOKUP(INDIRECT(ADDRESS(2,COLUMN())),OFFSET($CL$2,0,0,ROW()-1,84),ROW()-1,FALSE))</f>
        <v>1.910271021</v>
      </c>
      <c r="BI114" t="str">
        <f ca="1">IF(AND(ISNUMBER($BI$328),$B$252=1),$BI$328,HLOOKUP(INDIRECT(ADDRESS(2,COLUMN())),OFFSET($CL$2,0,0,ROW()-1,84),ROW()-1,FALSE))</f>
        <v/>
      </c>
      <c r="BJ114" t="str">
        <f ca="1">IF(AND(ISNUMBER($BJ$328),$B$252=1),$BJ$328,HLOOKUP(INDIRECT(ADDRESS(2,COLUMN())),OFFSET($CL$2,0,0,ROW()-1,84),ROW()-1,FALSE))</f>
        <v/>
      </c>
      <c r="BK114">
        <f ca="1">IF(AND(ISNUMBER($BK$328),$B$252=1),$BK$328,HLOOKUP(INDIRECT(ADDRESS(2,COLUMN())),OFFSET($CL$2,0,0,ROW()-1,84),ROW()-1,FALSE))</f>
        <v>1.875510274</v>
      </c>
      <c r="BL114" t="str">
        <f ca="1">IF(AND(ISNUMBER($BL$328),$B$252=1),$BL$328,HLOOKUP(INDIRECT(ADDRESS(2,COLUMN())),OFFSET($CL$2,0,0,ROW()-1,84),ROW()-1,FALSE))</f>
        <v/>
      </c>
      <c r="BM114" t="str">
        <f ca="1">IF(AND(ISNUMBER($BM$328),$B$252=1),$BM$328,HLOOKUP(INDIRECT(ADDRESS(2,COLUMN())),OFFSET($CL$2,0,0,ROW()-1,84),ROW()-1,FALSE))</f>
        <v/>
      </c>
      <c r="BN114">
        <f ca="1">IF(AND(ISNUMBER($BN$328),$B$252=1),$BN$328,HLOOKUP(INDIRECT(ADDRESS(2,COLUMN())),OFFSET($CL$2,0,0,ROW()-1,84),ROW()-1,FALSE))</f>
        <v>1.867411274</v>
      </c>
      <c r="BO114" t="str">
        <f ca="1">IF(AND(ISNUMBER($BO$328),$B$252=1),$BO$328,HLOOKUP(INDIRECT(ADDRESS(2,COLUMN())),OFFSET($CL$2,0,0,ROW()-1,84),ROW()-1,FALSE))</f>
        <v/>
      </c>
      <c r="BP114" t="str">
        <f ca="1">IF(AND(ISNUMBER($BP$328),$B$252=1),$BP$328,HLOOKUP(INDIRECT(ADDRESS(2,COLUMN())),OFFSET($CL$2,0,0,ROW()-1,84),ROW()-1,FALSE))</f>
        <v/>
      </c>
      <c r="BQ114">
        <f ca="1">IF(AND(ISNUMBER($BQ$328),$B$252=1),$BQ$328,HLOOKUP(INDIRECT(ADDRESS(2,COLUMN())),OFFSET($CL$2,0,0,ROW()-1,84),ROW()-1,FALSE))</f>
        <v>1.808296197</v>
      </c>
      <c r="BR114" t="str">
        <f ca="1">IF(AND(ISNUMBER($BR$328),$B$252=1),$BR$328,HLOOKUP(INDIRECT(ADDRESS(2,COLUMN())),OFFSET($CL$2,0,0,ROW()-1,84),ROW()-1,FALSE))</f>
        <v/>
      </c>
      <c r="BS114" t="str">
        <f ca="1">IF(AND(ISNUMBER($BS$328),$B$252=1),$BS$328,HLOOKUP(INDIRECT(ADDRESS(2,COLUMN())),OFFSET($CL$2,0,0,ROW()-1,84),ROW()-1,FALSE))</f>
        <v/>
      </c>
      <c r="BT114">
        <f ca="1">IF(AND(ISNUMBER($BT$328),$B$252=1),$BT$328,HLOOKUP(INDIRECT(ADDRESS(2,COLUMN())),OFFSET($CL$2,0,0,ROW()-1,84),ROW()-1,FALSE))</f>
        <v>1.7079311589999999</v>
      </c>
      <c r="BU114" t="str">
        <f ca="1">IF(AND(ISNUMBER($BU$328),$B$252=1),$BU$328,HLOOKUP(INDIRECT(ADDRESS(2,COLUMN())),OFFSET($CL$2,0,0,ROW()-1,84),ROW()-1,FALSE))</f>
        <v/>
      </c>
      <c r="BV114" t="str">
        <f ca="1">IF(AND(ISNUMBER($BV$328),$B$252=1),$BV$328,HLOOKUP(INDIRECT(ADDRESS(2,COLUMN())),OFFSET($CL$2,0,0,ROW()-1,84),ROW()-1,FALSE))</f>
        <v/>
      </c>
      <c r="BW114">
        <f ca="1">IF(AND(ISNUMBER($BW$328),$B$252=1),$BW$328,HLOOKUP(INDIRECT(ADDRESS(2,COLUMN())),OFFSET($CL$2,0,0,ROW()-1,84),ROW()-1,FALSE))</f>
        <v>1.718624932</v>
      </c>
      <c r="BX114" t="str">
        <f ca="1">IF(AND(ISNUMBER($BX$328),$B$252=1),$BX$328,HLOOKUP(INDIRECT(ADDRESS(2,COLUMN())),OFFSET($CL$2,0,0,ROW()-1,84),ROW()-1,FALSE))</f>
        <v/>
      </c>
      <c r="BY114" t="str">
        <f ca="1">IF(AND(ISNUMBER($BY$328),$B$252=1),$BY$328,HLOOKUP(INDIRECT(ADDRESS(2,COLUMN())),OFFSET($CL$2,0,0,ROW()-1,84),ROW()-1,FALSE))</f>
        <v/>
      </c>
      <c r="BZ114">
        <f ca="1">IF(AND(ISNUMBER($BZ$328),$B$252=1),$BZ$328,HLOOKUP(INDIRECT(ADDRESS(2,COLUMN())),OFFSET($CL$2,0,0,ROW()-1,84),ROW()-1,FALSE))</f>
        <v>1.6332825879999999</v>
      </c>
      <c r="CA114" t="str">
        <f ca="1">IF(AND(ISNUMBER($CA$328),$B$252=1),$CA$328,HLOOKUP(INDIRECT(ADDRESS(2,COLUMN())),OFFSET($CL$2,0,0,ROW()-1,84),ROW()-1,FALSE))</f>
        <v/>
      </c>
      <c r="CB114" t="str">
        <f ca="1">IF(AND(ISNUMBER($CB$328),$B$252=1),$CB$328,HLOOKUP(INDIRECT(ADDRESS(2,COLUMN())),OFFSET($CL$2,0,0,ROW()-1,84),ROW()-1,FALSE))</f>
        <v/>
      </c>
      <c r="CC114">
        <f ca="1">IF(AND(ISNUMBER($CC$328),$B$252=1),$CC$328,HLOOKUP(INDIRECT(ADDRESS(2,COLUMN())),OFFSET($CL$2,0,0,ROW()-1,84),ROW()-1,FALSE))</f>
        <v>1.506164238</v>
      </c>
      <c r="CD114" t="str">
        <f ca="1">IF(AND(ISNUMBER($CD$328),$B$252=1),$CD$328,HLOOKUP(INDIRECT(ADDRESS(2,COLUMN())),OFFSET($CL$2,0,0,ROW()-1,84),ROW()-1,FALSE))</f>
        <v/>
      </c>
      <c r="CE114" t="str">
        <f ca="1">IF(AND(ISNUMBER($CE$328),$B$252=1),$CE$328,HLOOKUP(INDIRECT(ADDRESS(2,COLUMN())),OFFSET($CL$2,0,0,ROW()-1,84),ROW()-1,FALSE))</f>
        <v/>
      </c>
      <c r="CF114">
        <f ca="1">IF(AND(ISNUMBER($CF$328),$B$252=1),$CF$328,HLOOKUP(INDIRECT(ADDRESS(2,COLUMN())),OFFSET($CL$2,0,0,ROW()-1,84),ROW()-1,FALSE))</f>
        <v>1.4159322489999999</v>
      </c>
      <c r="CG114" t="str">
        <f ca="1">IF(AND(ISNUMBER($CG$328),$B$252=1),$CG$328,HLOOKUP(INDIRECT(ADDRESS(2,COLUMN())),OFFSET($CL$2,0,0,ROW()-1,84),ROW()-1,FALSE))</f>
        <v/>
      </c>
      <c r="CH114" t="str">
        <f ca="1">IF(AND(ISNUMBER($CH$328),$B$252=1),$CH$328,HLOOKUP(INDIRECT(ADDRESS(2,COLUMN())),OFFSET($CL$2,0,0,ROW()-1,84),ROW()-1,FALSE))</f>
        <v/>
      </c>
      <c r="CI114">
        <f ca="1">IF(AND(ISNUMBER($CI$328),$B$252=1),$CI$328,HLOOKUP(INDIRECT(ADDRESS(2,COLUMN())),OFFSET($CL$2,0,0,ROW()-1,84),ROW()-1,FALSE))</f>
        <v>1.395512168</v>
      </c>
      <c r="CJ114" t="str">
        <f ca="1">IF(AND(ISNUMBER($CJ$328),$B$252=1),$CJ$328,HLOOKUP(INDIRECT(ADDRESS(2,COLUMN())),OFFSET($CL$2,0,0,ROW()-1,84),ROW()-1,FALSE))</f>
        <v/>
      </c>
      <c r="CK114" t="str">
        <f ca="1">IF(AND(ISNUMBER($CK$328),$B$252=1),$CK$328,HLOOKUP(INDIRECT(ADDRESS(2,COLUMN())),OFFSET($CL$2,0,0,ROW()-1,84),ROW()-1,FALSE))</f>
        <v/>
      </c>
      <c r="CL114" t="str">
        <f>""</f>
        <v/>
      </c>
      <c r="CM114" t="str">
        <f>""</f>
        <v/>
      </c>
      <c r="CN114" t="str">
        <f>""</f>
        <v/>
      </c>
      <c r="CO114">
        <f>3.011026707</f>
        <v>3.0110267070000001</v>
      </c>
      <c r="CP114" t="str">
        <f>""</f>
        <v/>
      </c>
      <c r="CQ114" t="str">
        <f>""</f>
        <v/>
      </c>
      <c r="CR114">
        <f>2.984671027</f>
        <v>2.9846710270000001</v>
      </c>
      <c r="CS114" t="str">
        <f>""</f>
        <v/>
      </c>
      <c r="CT114" t="str">
        <f>""</f>
        <v/>
      </c>
      <c r="CU114">
        <f>2.972460079</f>
        <v>2.9724600790000002</v>
      </c>
      <c r="CV114" t="str">
        <f>""</f>
        <v/>
      </c>
      <c r="CW114" t="str">
        <f>""</f>
        <v/>
      </c>
      <c r="CX114">
        <f>2.937976285</f>
        <v>2.937976285</v>
      </c>
      <c r="CY114" t="str">
        <f>""</f>
        <v/>
      </c>
      <c r="CZ114" t="str">
        <f>""</f>
        <v/>
      </c>
      <c r="DA114">
        <f>2.809557053</f>
        <v>2.8095570529999998</v>
      </c>
      <c r="DB114" t="str">
        <f>""</f>
        <v/>
      </c>
      <c r="DC114" t="str">
        <f>""</f>
        <v/>
      </c>
      <c r="DD114">
        <f>2.805482888</f>
        <v>2.8054828879999998</v>
      </c>
      <c r="DE114" t="str">
        <f>""</f>
        <v/>
      </c>
      <c r="DF114" t="str">
        <f>""</f>
        <v/>
      </c>
      <c r="DG114">
        <f>2.742187281</f>
        <v>2.7421872810000001</v>
      </c>
      <c r="DH114" t="str">
        <f>""</f>
        <v/>
      </c>
      <c r="DI114" t="str">
        <f>""</f>
        <v/>
      </c>
      <c r="DJ114">
        <f>2.677542771</f>
        <v>2.6775427710000002</v>
      </c>
      <c r="DK114" t="str">
        <f>""</f>
        <v/>
      </c>
      <c r="DL114" t="str">
        <f>""</f>
        <v/>
      </c>
      <c r="DM114">
        <f>2.630234352</f>
        <v>2.630234352</v>
      </c>
      <c r="DN114" t="str">
        <f>""</f>
        <v/>
      </c>
      <c r="DO114" t="str">
        <f>""</f>
        <v/>
      </c>
      <c r="DP114">
        <f>2.494014831</f>
        <v>2.4940148309999999</v>
      </c>
      <c r="DQ114" t="str">
        <f>""</f>
        <v/>
      </c>
      <c r="DR114" t="str">
        <f>""</f>
        <v/>
      </c>
      <c r="DS114">
        <f>2.400582035</f>
        <v>2.4005820349999998</v>
      </c>
      <c r="DT114" t="str">
        <f>""</f>
        <v/>
      </c>
      <c r="DU114" t="str">
        <f>""</f>
        <v/>
      </c>
      <c r="DV114">
        <f>2.290143976</f>
        <v>2.290143976</v>
      </c>
      <c r="DW114" t="str">
        <f>""</f>
        <v/>
      </c>
      <c r="DX114" t="str">
        <f>""</f>
        <v/>
      </c>
      <c r="DY114">
        <f>2.239787735</f>
        <v>2.2397877350000002</v>
      </c>
      <c r="DZ114" t="str">
        <f>""</f>
        <v/>
      </c>
      <c r="EA114" t="str">
        <f>""</f>
        <v/>
      </c>
      <c r="EB114">
        <f>2.163062675</f>
        <v>2.1630626749999999</v>
      </c>
      <c r="EC114" t="str">
        <f>""</f>
        <v/>
      </c>
      <c r="ED114" t="str">
        <f>""</f>
        <v/>
      </c>
      <c r="EE114">
        <f>2.084494984</f>
        <v>2.084494984</v>
      </c>
      <c r="EF114" t="str">
        <f>""</f>
        <v/>
      </c>
      <c r="EG114" t="str">
        <f>""</f>
        <v/>
      </c>
      <c r="EH114">
        <f>2.016001565</f>
        <v>2.0160015649999998</v>
      </c>
      <c r="EI114" t="str">
        <f>""</f>
        <v/>
      </c>
      <c r="EJ114" t="str">
        <f>""</f>
        <v/>
      </c>
      <c r="EK114">
        <f>1.943610617</f>
        <v>1.943610617</v>
      </c>
      <c r="EL114" t="str">
        <f>""</f>
        <v/>
      </c>
      <c r="EM114" t="str">
        <f>""</f>
        <v/>
      </c>
      <c r="EN114">
        <f>1.910271021</f>
        <v>1.910271021</v>
      </c>
      <c r="EO114" t="str">
        <f>""</f>
        <v/>
      </c>
      <c r="EP114" t="str">
        <f>""</f>
        <v/>
      </c>
      <c r="EQ114">
        <f>1.875510274</f>
        <v>1.875510274</v>
      </c>
      <c r="ER114" t="str">
        <f>""</f>
        <v/>
      </c>
      <c r="ES114" t="str">
        <f>""</f>
        <v/>
      </c>
      <c r="ET114">
        <f>1.867411274</f>
        <v>1.867411274</v>
      </c>
      <c r="EU114" t="str">
        <f>""</f>
        <v/>
      </c>
      <c r="EV114" t="str">
        <f>""</f>
        <v/>
      </c>
      <c r="EW114">
        <f>1.808296197</f>
        <v>1.808296197</v>
      </c>
      <c r="EX114" t="str">
        <f>""</f>
        <v/>
      </c>
      <c r="EY114" t="str">
        <f>""</f>
        <v/>
      </c>
      <c r="EZ114">
        <f>1.707931159</f>
        <v>1.7079311589999999</v>
      </c>
      <c r="FA114" t="str">
        <f>""</f>
        <v/>
      </c>
      <c r="FB114" t="str">
        <f>""</f>
        <v/>
      </c>
      <c r="FC114">
        <f>1.718624932</f>
        <v>1.718624932</v>
      </c>
      <c r="FD114" t="str">
        <f>""</f>
        <v/>
      </c>
      <c r="FE114" t="str">
        <f>""</f>
        <v/>
      </c>
      <c r="FF114">
        <f>1.633282588</f>
        <v>1.6332825879999999</v>
      </c>
      <c r="FG114" t="str">
        <f>""</f>
        <v/>
      </c>
      <c r="FH114" t="str">
        <f>""</f>
        <v/>
      </c>
      <c r="FI114">
        <f>1.506164238</f>
        <v>1.506164238</v>
      </c>
      <c r="FJ114" t="str">
        <f>""</f>
        <v/>
      </c>
      <c r="FK114" t="str">
        <f>""</f>
        <v/>
      </c>
      <c r="FL114">
        <f>1.415932249</f>
        <v>1.4159322489999999</v>
      </c>
      <c r="FM114" t="str">
        <f>""</f>
        <v/>
      </c>
      <c r="FN114" t="str">
        <f>""</f>
        <v/>
      </c>
      <c r="FO114">
        <f>1.395512168</f>
        <v>1.395512168</v>
      </c>
      <c r="FP114" t="str">
        <f>""</f>
        <v/>
      </c>
      <c r="FQ114" t="str">
        <f>""</f>
        <v/>
      </c>
    </row>
    <row r="115" spans="1:173">
      <c r="A115" t="str">
        <f>"    Mid-America Apartment Communit"</f>
        <v xml:space="preserve">    Mid-America Apartment Communit</v>
      </c>
      <c r="B115" t="str">
        <f>"MAA US Equity"</f>
        <v>MAA US Equity</v>
      </c>
      <c r="C115" t="str">
        <f t="shared" si="33"/>
        <v>F0581</v>
      </c>
      <c r="D115" t="str">
        <f t="shared" si="34"/>
        <v>ADJUSTED_FFOPS</v>
      </c>
      <c r="E115" t="str">
        <f t="shared" si="35"/>
        <v>动态</v>
      </c>
      <c r="F115" t="str">
        <f ca="1">IF(AND(ISNUMBER($F$329),$B$252=1),$F$329,HLOOKUP(INDIRECT(ADDRESS(2,COLUMN())),OFFSET($CL$2,0,0,ROW()-1,84),ROW()-1,FALSE))</f>
        <v/>
      </c>
      <c r="G115" t="str">
        <f ca="1">IF(AND(ISNUMBER($G$329),$B$252=1),$G$329,HLOOKUP(INDIRECT(ADDRESS(2,COLUMN())),OFFSET($CL$2,0,0,ROW()-1,84),ROW()-1,FALSE))</f>
        <v/>
      </c>
      <c r="H115" t="str">
        <f ca="1">IF(AND(ISNUMBER($H$329),$B$252=1),$H$329,HLOOKUP(INDIRECT(ADDRESS(2,COLUMN())),OFFSET($CL$2,0,0,ROW()-1,84),ROW()-1,FALSE))</f>
        <v/>
      </c>
      <c r="I115">
        <f ca="1">IF(AND(ISNUMBER($I$329),$B$252=1),$I$329,HLOOKUP(INDIRECT(ADDRESS(2,COLUMN())),OFFSET($CL$2,0,0,ROW()-1,84),ROW()-1,FALSE))</f>
        <v>1.482246036</v>
      </c>
      <c r="J115" t="str">
        <f ca="1">IF(AND(ISNUMBER($J$329),$B$252=1),$J$329,HLOOKUP(INDIRECT(ADDRESS(2,COLUMN())),OFFSET($CL$2,0,0,ROW()-1,84),ROW()-1,FALSE))</f>
        <v/>
      </c>
      <c r="K115" t="str">
        <f ca="1">IF(AND(ISNUMBER($K$329),$B$252=1),$K$329,HLOOKUP(INDIRECT(ADDRESS(2,COLUMN())),OFFSET($CL$2,0,0,ROW()-1,84),ROW()-1,FALSE))</f>
        <v/>
      </c>
      <c r="L115">
        <f ca="1">IF(AND(ISNUMBER($L$329),$B$252=1),$L$329,HLOOKUP(INDIRECT(ADDRESS(2,COLUMN())),OFFSET($CL$2,0,0,ROW()-1,84),ROW()-1,FALSE))</f>
        <v>1.495218782</v>
      </c>
      <c r="M115" t="str">
        <f ca="1">IF(AND(ISNUMBER($M$329),$B$252=1),$M$329,HLOOKUP(INDIRECT(ADDRESS(2,COLUMN())),OFFSET($CL$2,0,0,ROW()-1,84),ROW()-1,FALSE))</f>
        <v/>
      </c>
      <c r="N115" t="str">
        <f ca="1">IF(AND(ISNUMBER($N$329),$B$252=1),$N$329,HLOOKUP(INDIRECT(ADDRESS(2,COLUMN())),OFFSET($CL$2,0,0,ROW()-1,84),ROW()-1,FALSE))</f>
        <v/>
      </c>
      <c r="O115">
        <f ca="1">IF(AND(ISNUMBER($O$329),$B$252=1),$O$329,HLOOKUP(INDIRECT(ADDRESS(2,COLUMN())),OFFSET($CL$2,0,0,ROW()-1,84),ROW()-1,FALSE))</f>
        <v>1.48043517</v>
      </c>
      <c r="P115" t="str">
        <f ca="1">IF(AND(ISNUMBER($P$329),$B$252=1),$P$329,HLOOKUP(INDIRECT(ADDRESS(2,COLUMN())),OFFSET($CL$2,0,0,ROW()-1,84),ROW()-1,FALSE))</f>
        <v/>
      </c>
      <c r="Q115" t="str">
        <f ca="1">IF(AND(ISNUMBER($Q$329),$B$252=1),$Q$329,HLOOKUP(INDIRECT(ADDRESS(2,COLUMN())),OFFSET($CL$2,0,0,ROW()-1,84),ROW()-1,FALSE))</f>
        <v/>
      </c>
      <c r="R115">
        <f ca="1">IF(AND(ISNUMBER($R$329),$B$252=1),$R$329,HLOOKUP(INDIRECT(ADDRESS(2,COLUMN())),OFFSET($CL$2,0,0,ROW()-1,84),ROW()-1,FALSE))</f>
        <v>1.457420078</v>
      </c>
      <c r="S115" t="str">
        <f ca="1">IF(AND(ISNUMBER($S$329),$B$252=1),$S$329,HLOOKUP(INDIRECT(ADDRESS(2,COLUMN())),OFFSET($CL$2,0,0,ROW()-1,84),ROW()-1,FALSE))</f>
        <v/>
      </c>
      <c r="T115" t="str">
        <f ca="1">IF(AND(ISNUMBER($T$329),$B$252=1),$T$329,HLOOKUP(INDIRECT(ADDRESS(2,COLUMN())),OFFSET($CL$2,0,0,ROW()-1,84),ROW()-1,FALSE))</f>
        <v/>
      </c>
      <c r="U115">
        <f ca="1">IF(AND(ISNUMBER($U$329),$B$252=1),$U$329,HLOOKUP(INDIRECT(ADDRESS(2,COLUMN())),OFFSET($CL$2,0,0,ROW()-1,84),ROW()-1,FALSE))</f>
        <v>1.125801048</v>
      </c>
      <c r="V115" t="str">
        <f ca="1">IF(AND(ISNUMBER($V$329),$B$252=1),$V$329,HLOOKUP(INDIRECT(ADDRESS(2,COLUMN())),OFFSET($CL$2,0,0,ROW()-1,84),ROW()-1,FALSE))</f>
        <v/>
      </c>
      <c r="W115" t="str">
        <f ca="1">IF(AND(ISNUMBER($W$329),$B$252=1),$W$329,HLOOKUP(INDIRECT(ADDRESS(2,COLUMN())),OFFSET($CL$2,0,0,ROW()-1,84),ROW()-1,FALSE))</f>
        <v/>
      </c>
      <c r="X115">
        <f ca="1">IF(AND(ISNUMBER($X$329),$B$252=1),$X$329,HLOOKUP(INDIRECT(ADDRESS(2,COLUMN())),OFFSET($CL$2,0,0,ROW()-1,84),ROW()-1,FALSE))</f>
        <v>1.487596462</v>
      </c>
      <c r="Y115" t="str">
        <f ca="1">IF(AND(ISNUMBER($Y$329),$B$252=1),$Y$329,HLOOKUP(INDIRECT(ADDRESS(2,COLUMN())),OFFSET($CL$2,0,0,ROW()-1,84),ROW()-1,FALSE))</f>
        <v/>
      </c>
      <c r="Z115" t="str">
        <f ca="1">IF(AND(ISNUMBER($Z$329),$B$252=1),$Z$329,HLOOKUP(INDIRECT(ADDRESS(2,COLUMN())),OFFSET($CL$2,0,0,ROW()-1,84),ROW()-1,FALSE))</f>
        <v/>
      </c>
      <c r="AA115">
        <f ca="1">IF(AND(ISNUMBER($AA$329),$B$252=1),$AA$329,HLOOKUP(INDIRECT(ADDRESS(2,COLUMN())),OFFSET($CL$2,0,0,ROW()-1,84),ROW()-1,FALSE))</f>
        <v>1.5368006620000001</v>
      </c>
      <c r="AB115" t="str">
        <f ca="1">IF(AND(ISNUMBER($AB$329),$B$252=1),$AB$329,HLOOKUP(INDIRECT(ADDRESS(2,COLUMN())),OFFSET($CL$2,0,0,ROW()-1,84),ROW()-1,FALSE))</f>
        <v/>
      </c>
      <c r="AC115" t="str">
        <f ca="1">IF(AND(ISNUMBER($AC$329),$B$252=1),$AC$329,HLOOKUP(INDIRECT(ADDRESS(2,COLUMN())),OFFSET($CL$2,0,0,ROW()-1,84),ROW()-1,FALSE))</f>
        <v/>
      </c>
      <c r="AD115">
        <f ca="1">IF(AND(ISNUMBER($AD$329),$B$252=1),$AD$329,HLOOKUP(INDIRECT(ADDRESS(2,COLUMN())),OFFSET($CL$2,0,0,ROW()-1,84),ROW()-1,FALSE))</f>
        <v>1.4379882939999999</v>
      </c>
      <c r="AE115" t="str">
        <f ca="1">IF(AND(ISNUMBER($AE$329),$B$252=1),$AE$329,HLOOKUP(INDIRECT(ADDRESS(2,COLUMN())),OFFSET($CL$2,0,0,ROW()-1,84),ROW()-1,FALSE))</f>
        <v/>
      </c>
      <c r="AF115" t="str">
        <f ca="1">IF(AND(ISNUMBER($AF$329),$B$252=1),$AF$329,HLOOKUP(INDIRECT(ADDRESS(2,COLUMN())),OFFSET($CL$2,0,0,ROW()-1,84),ROW()-1,FALSE))</f>
        <v/>
      </c>
      <c r="AG115">
        <f ca="1">IF(AND(ISNUMBER($AG$329),$B$252=1),$AG$329,HLOOKUP(INDIRECT(ADDRESS(2,COLUMN())),OFFSET($CL$2,0,0,ROW()-1,84),ROW()-1,FALSE))</f>
        <v>1.4515670949999999</v>
      </c>
      <c r="AH115" t="str">
        <f ca="1">IF(AND(ISNUMBER($AH$329),$B$252=1),$AH$329,HLOOKUP(INDIRECT(ADDRESS(2,COLUMN())),OFFSET($CL$2,0,0,ROW()-1,84),ROW()-1,FALSE))</f>
        <v/>
      </c>
      <c r="AI115" t="str">
        <f ca="1">IF(AND(ISNUMBER($AI$329),$B$252=1),$AI$329,HLOOKUP(INDIRECT(ADDRESS(2,COLUMN())),OFFSET($CL$2,0,0,ROW()-1,84),ROW()-1,FALSE))</f>
        <v/>
      </c>
      <c r="AJ115">
        <f ca="1">IF(AND(ISNUMBER($AJ$329),$B$252=1),$AJ$329,HLOOKUP(INDIRECT(ADDRESS(2,COLUMN())),OFFSET($CL$2,0,0,ROW()-1,84),ROW()-1,FALSE))</f>
        <v>1.3810529229999999</v>
      </c>
      <c r="AK115" t="str">
        <f ca="1">IF(AND(ISNUMBER($AK$329),$B$252=1),$AK$329,HLOOKUP(INDIRECT(ADDRESS(2,COLUMN())),OFFSET($CL$2,0,0,ROW()-1,84),ROW()-1,FALSE))</f>
        <v/>
      </c>
      <c r="AL115" t="str">
        <f ca="1">IF(AND(ISNUMBER($AL$329),$B$252=1),$AL$329,HLOOKUP(INDIRECT(ADDRESS(2,COLUMN())),OFFSET($CL$2,0,0,ROW()-1,84),ROW()-1,FALSE))</f>
        <v/>
      </c>
      <c r="AM115">
        <f ca="1">IF(AND(ISNUMBER($AM$329),$B$252=1),$AM$329,HLOOKUP(INDIRECT(ADDRESS(2,COLUMN())),OFFSET($CL$2,0,0,ROW()-1,84),ROW()-1,FALSE))</f>
        <v>1.3569131430000001</v>
      </c>
      <c r="AN115" t="str">
        <f ca="1">IF(AND(ISNUMBER($AN$329),$B$252=1),$AN$329,HLOOKUP(INDIRECT(ADDRESS(2,COLUMN())),OFFSET($CL$2,0,0,ROW()-1,84),ROW()-1,FALSE))</f>
        <v/>
      </c>
      <c r="AO115" t="str">
        <f ca="1">IF(AND(ISNUMBER($AO$329),$B$252=1),$AO$329,HLOOKUP(INDIRECT(ADDRESS(2,COLUMN())),OFFSET($CL$2,0,0,ROW()-1,84),ROW()-1,FALSE))</f>
        <v/>
      </c>
      <c r="AP115">
        <f ca="1">IF(AND(ISNUMBER($AP$329),$B$252=1),$AP$329,HLOOKUP(INDIRECT(ADDRESS(2,COLUMN())),OFFSET($CL$2,0,0,ROW()-1,84),ROW()-1,FALSE))</f>
        <v>1.323384399</v>
      </c>
      <c r="AQ115" t="str">
        <f ca="1">IF(AND(ISNUMBER($AQ$329),$B$252=1),$AQ$329,HLOOKUP(INDIRECT(ADDRESS(2,COLUMN())),OFFSET($CL$2,0,0,ROW()-1,84),ROW()-1,FALSE))</f>
        <v/>
      </c>
      <c r="AR115" t="str">
        <f ca="1">IF(AND(ISNUMBER($AR$329),$B$252=1),$AR$329,HLOOKUP(INDIRECT(ADDRESS(2,COLUMN())),OFFSET($CL$2,0,0,ROW()-1,84),ROW()-1,FALSE))</f>
        <v/>
      </c>
      <c r="AS115">
        <f ca="1">IF(AND(ISNUMBER($AS$329),$B$252=1),$AS$329,HLOOKUP(INDIRECT(ADDRESS(2,COLUMN())),OFFSET($CL$2,0,0,ROW()-1,84),ROW()-1,FALSE))</f>
        <v>1.3173003109999999</v>
      </c>
      <c r="AT115" t="str">
        <f ca="1">IF(AND(ISNUMBER($AT$329),$B$252=1),$AT$329,HLOOKUP(INDIRECT(ADDRESS(2,COLUMN())),OFFSET($CL$2,0,0,ROW()-1,84),ROW()-1,FALSE))</f>
        <v/>
      </c>
      <c r="AU115" t="str">
        <f ca="1">IF(AND(ISNUMBER($AU$329),$B$252=1),$AU$329,HLOOKUP(INDIRECT(ADDRESS(2,COLUMN())),OFFSET($CL$2,0,0,ROW()-1,84),ROW()-1,FALSE))</f>
        <v/>
      </c>
      <c r="AV115">
        <f ca="1">IF(AND(ISNUMBER($AV$329),$B$252=1),$AV$329,HLOOKUP(INDIRECT(ADDRESS(2,COLUMN())),OFFSET($CL$2,0,0,ROW()-1,84),ROW()-1,FALSE))</f>
        <v>1.2788542650000001</v>
      </c>
      <c r="AW115" t="str">
        <f ca="1">IF(AND(ISNUMBER($AW$329),$B$252=1),$AW$329,HLOOKUP(INDIRECT(ADDRESS(2,COLUMN())),OFFSET($CL$2,0,0,ROW()-1,84),ROW()-1,FALSE))</f>
        <v/>
      </c>
      <c r="AX115" t="str">
        <f ca="1">IF(AND(ISNUMBER($AX$329),$B$252=1),$AX$329,HLOOKUP(INDIRECT(ADDRESS(2,COLUMN())),OFFSET($CL$2,0,0,ROW()-1,84),ROW()-1,FALSE))</f>
        <v/>
      </c>
      <c r="AY115">
        <f ca="1">IF(AND(ISNUMBER($AY$329),$B$252=1),$AY$329,HLOOKUP(INDIRECT(ADDRESS(2,COLUMN())),OFFSET($CL$2,0,0,ROW()-1,84),ROW()-1,FALSE))</f>
        <v>1.183022268</v>
      </c>
      <c r="AZ115" t="str">
        <f ca="1">IF(AND(ISNUMBER($AZ$329),$B$252=1),$AZ$329,HLOOKUP(INDIRECT(ADDRESS(2,COLUMN())),OFFSET($CL$2,0,0,ROW()-1,84),ROW()-1,FALSE))</f>
        <v/>
      </c>
      <c r="BA115" t="str">
        <f ca="1">IF(AND(ISNUMBER($BA$329),$B$252=1),$BA$329,HLOOKUP(INDIRECT(ADDRESS(2,COLUMN())),OFFSET($CL$2,0,0,ROW()-1,84),ROW()-1,FALSE))</f>
        <v/>
      </c>
      <c r="BB115">
        <f ca="1">IF(AND(ISNUMBER($BB$329),$B$252=1),$BB$329,HLOOKUP(INDIRECT(ADDRESS(2,COLUMN())),OFFSET($CL$2,0,0,ROW()-1,84),ROW()-1,FALSE))</f>
        <v>1.2064543809999999</v>
      </c>
      <c r="BC115" t="str">
        <f ca="1">IF(AND(ISNUMBER($BC$329),$B$252=1),$BC$329,HLOOKUP(INDIRECT(ADDRESS(2,COLUMN())),OFFSET($CL$2,0,0,ROW()-1,84),ROW()-1,FALSE))</f>
        <v/>
      </c>
      <c r="BD115" t="str">
        <f ca="1">IF(AND(ISNUMBER($BD$329),$B$252=1),$BD$329,HLOOKUP(INDIRECT(ADDRESS(2,COLUMN())),OFFSET($CL$2,0,0,ROW()-1,84),ROW()-1,FALSE))</f>
        <v/>
      </c>
      <c r="BE115">
        <f ca="1">IF(AND(ISNUMBER($BE$329),$B$252=1),$BE$329,HLOOKUP(INDIRECT(ADDRESS(2,COLUMN())),OFFSET($CL$2,0,0,ROW()-1,84),ROW()-1,FALSE))</f>
        <v>1.2008344399999999</v>
      </c>
      <c r="BF115" t="str">
        <f ca="1">IF(AND(ISNUMBER($BF$329),$B$252=1),$BF$329,HLOOKUP(INDIRECT(ADDRESS(2,COLUMN())),OFFSET($CL$2,0,0,ROW()-1,84),ROW()-1,FALSE))</f>
        <v/>
      </c>
      <c r="BG115" t="str">
        <f ca="1">IF(AND(ISNUMBER($BG$329),$B$252=1),$BG$329,HLOOKUP(INDIRECT(ADDRESS(2,COLUMN())),OFFSET($CL$2,0,0,ROW()-1,84),ROW()-1,FALSE))</f>
        <v/>
      </c>
      <c r="BH115">
        <f ca="1">IF(AND(ISNUMBER($BH$329),$B$252=1),$BH$329,HLOOKUP(INDIRECT(ADDRESS(2,COLUMN())),OFFSET($CL$2,0,0,ROW()-1,84),ROW()-1,FALSE))</f>
        <v>1.247024412</v>
      </c>
      <c r="BI115" t="str">
        <f ca="1">IF(AND(ISNUMBER($BI$329),$B$252=1),$BI$329,HLOOKUP(INDIRECT(ADDRESS(2,COLUMN())),OFFSET($CL$2,0,0,ROW()-1,84),ROW()-1,FALSE))</f>
        <v/>
      </c>
      <c r="BJ115" t="str">
        <f ca="1">IF(AND(ISNUMBER($BJ$329),$B$252=1),$BJ$329,HLOOKUP(INDIRECT(ADDRESS(2,COLUMN())),OFFSET($CL$2,0,0,ROW()-1,84),ROW()-1,FALSE))</f>
        <v/>
      </c>
      <c r="BK115">
        <f ca="1">IF(AND(ISNUMBER($BK$329),$B$252=1),$BK$329,HLOOKUP(INDIRECT(ADDRESS(2,COLUMN())),OFFSET($CL$2,0,0,ROW()-1,84),ROW()-1,FALSE))</f>
        <v>1.277815285</v>
      </c>
      <c r="BL115" t="str">
        <f ca="1">IF(AND(ISNUMBER($BL$329),$B$252=1),$BL$329,HLOOKUP(INDIRECT(ADDRESS(2,COLUMN())),OFFSET($CL$2,0,0,ROW()-1,84),ROW()-1,FALSE))</f>
        <v/>
      </c>
      <c r="BM115" t="str">
        <f ca="1">IF(AND(ISNUMBER($BM$329),$B$252=1),$BM$329,HLOOKUP(INDIRECT(ADDRESS(2,COLUMN())),OFFSET($CL$2,0,0,ROW()-1,84),ROW()-1,FALSE))</f>
        <v/>
      </c>
      <c r="BN115">
        <f ca="1">IF(AND(ISNUMBER($BN$329),$B$252=1),$BN$329,HLOOKUP(INDIRECT(ADDRESS(2,COLUMN())),OFFSET($CL$2,0,0,ROW()-1,84),ROW()-1,FALSE))</f>
        <v>1.249677229</v>
      </c>
      <c r="BO115" t="str">
        <f ca="1">IF(AND(ISNUMBER($BO$329),$B$252=1),$BO$329,HLOOKUP(INDIRECT(ADDRESS(2,COLUMN())),OFFSET($CL$2,0,0,ROW()-1,84),ROW()-1,FALSE))</f>
        <v/>
      </c>
      <c r="BP115" t="str">
        <f ca="1">IF(AND(ISNUMBER($BP$329),$B$252=1),$BP$329,HLOOKUP(INDIRECT(ADDRESS(2,COLUMN())),OFFSET($CL$2,0,0,ROW()-1,84),ROW()-1,FALSE))</f>
        <v/>
      </c>
      <c r="BQ115">
        <f ca="1">IF(AND(ISNUMBER($BQ$329),$B$252=1),$BQ$329,HLOOKUP(INDIRECT(ADDRESS(2,COLUMN())),OFFSET($CL$2,0,0,ROW()-1,84),ROW()-1,FALSE))</f>
        <v>1.21273842</v>
      </c>
      <c r="BR115" t="str">
        <f ca="1">IF(AND(ISNUMBER($BR$329),$B$252=1),$BR$329,HLOOKUP(INDIRECT(ADDRESS(2,COLUMN())),OFFSET($CL$2,0,0,ROW()-1,84),ROW()-1,FALSE))</f>
        <v/>
      </c>
      <c r="BS115" t="str">
        <f ca="1">IF(AND(ISNUMBER($BS$329),$B$252=1),$BS$329,HLOOKUP(INDIRECT(ADDRESS(2,COLUMN())),OFFSET($CL$2,0,0,ROW()-1,84),ROW()-1,FALSE))</f>
        <v/>
      </c>
      <c r="BT115">
        <f ca="1">IF(AND(ISNUMBER($BT$329),$B$252=1),$BT$329,HLOOKUP(INDIRECT(ADDRESS(2,COLUMN())),OFFSET($CL$2,0,0,ROW()-1,84),ROW()-1,FALSE))</f>
        <v>1.140371579</v>
      </c>
      <c r="BU115" t="str">
        <f ca="1">IF(AND(ISNUMBER($BU$329),$B$252=1),$BU$329,HLOOKUP(INDIRECT(ADDRESS(2,COLUMN())),OFFSET($CL$2,0,0,ROW()-1,84),ROW()-1,FALSE))</f>
        <v/>
      </c>
      <c r="BV115" t="str">
        <f ca="1">IF(AND(ISNUMBER($BV$329),$B$252=1),$BV$329,HLOOKUP(INDIRECT(ADDRESS(2,COLUMN())),OFFSET($CL$2,0,0,ROW()-1,84),ROW()-1,FALSE))</f>
        <v/>
      </c>
      <c r="BW115">
        <f ca="1">IF(AND(ISNUMBER($BW$329),$B$252=1),$BW$329,HLOOKUP(INDIRECT(ADDRESS(2,COLUMN())),OFFSET($CL$2,0,0,ROW()-1,84),ROW()-1,FALSE))</f>
        <v>1.1258190130000001</v>
      </c>
      <c r="BX115" t="str">
        <f ca="1">IF(AND(ISNUMBER($BX$329),$B$252=1),$BX$329,HLOOKUP(INDIRECT(ADDRESS(2,COLUMN())),OFFSET($CL$2,0,0,ROW()-1,84),ROW()-1,FALSE))</f>
        <v/>
      </c>
      <c r="BY115" t="str">
        <f ca="1">IF(AND(ISNUMBER($BY$329),$B$252=1),$BY$329,HLOOKUP(INDIRECT(ADDRESS(2,COLUMN())),OFFSET($CL$2,0,0,ROW()-1,84),ROW()-1,FALSE))</f>
        <v/>
      </c>
      <c r="BZ115">
        <f ca="1">IF(AND(ISNUMBER($BZ$329),$B$252=1),$BZ$329,HLOOKUP(INDIRECT(ADDRESS(2,COLUMN())),OFFSET($CL$2,0,0,ROW()-1,84),ROW()-1,FALSE))</f>
        <v>1.1180222900000001</v>
      </c>
      <c r="CA115" t="str">
        <f ca="1">IF(AND(ISNUMBER($CA$329),$B$252=1),$CA$329,HLOOKUP(INDIRECT(ADDRESS(2,COLUMN())),OFFSET($CL$2,0,0,ROW()-1,84),ROW()-1,FALSE))</f>
        <v/>
      </c>
      <c r="CB115" t="str">
        <f ca="1">IF(AND(ISNUMBER($CB$329),$B$252=1),$CB$329,HLOOKUP(INDIRECT(ADDRESS(2,COLUMN())),OFFSET($CL$2,0,0,ROW()-1,84),ROW()-1,FALSE))</f>
        <v/>
      </c>
      <c r="CC115">
        <f ca="1">IF(AND(ISNUMBER($CC$329),$B$252=1),$CC$329,HLOOKUP(INDIRECT(ADDRESS(2,COLUMN())),OFFSET($CL$2,0,0,ROW()-1,84),ROW()-1,FALSE))</f>
        <v>1.0736532620000001</v>
      </c>
      <c r="CD115" t="str">
        <f ca="1">IF(AND(ISNUMBER($CD$329),$B$252=1),$CD$329,HLOOKUP(INDIRECT(ADDRESS(2,COLUMN())),OFFSET($CL$2,0,0,ROW()-1,84),ROW()-1,FALSE))</f>
        <v/>
      </c>
      <c r="CE115" t="str">
        <f ca="1">IF(AND(ISNUMBER($CE$329),$B$252=1),$CE$329,HLOOKUP(INDIRECT(ADDRESS(2,COLUMN())),OFFSET($CL$2,0,0,ROW()-1,84),ROW()-1,FALSE))</f>
        <v/>
      </c>
      <c r="CF115">
        <f ca="1">IF(AND(ISNUMBER($CF$329),$B$252=1),$CF$329,HLOOKUP(INDIRECT(ADDRESS(2,COLUMN())),OFFSET($CL$2,0,0,ROW()-1,84),ROW()-1,FALSE))</f>
        <v>0.99867684499999998</v>
      </c>
      <c r="CG115" t="str">
        <f ca="1">IF(AND(ISNUMBER($CG$329),$B$252=1),$CG$329,HLOOKUP(INDIRECT(ADDRESS(2,COLUMN())),OFFSET($CL$2,0,0,ROW()-1,84),ROW()-1,FALSE))</f>
        <v/>
      </c>
      <c r="CH115" t="str">
        <f ca="1">IF(AND(ISNUMBER($CH$329),$B$252=1),$CH$329,HLOOKUP(INDIRECT(ADDRESS(2,COLUMN())),OFFSET($CL$2,0,0,ROW()-1,84),ROW()-1,FALSE))</f>
        <v/>
      </c>
      <c r="CI115">
        <f ca="1">IF(AND(ISNUMBER($CI$329),$B$252=1),$CI$329,HLOOKUP(INDIRECT(ADDRESS(2,COLUMN())),OFFSET($CL$2,0,0,ROW()-1,84),ROW()-1,FALSE))</f>
        <v>0.92939906999999999</v>
      </c>
      <c r="CJ115" t="str">
        <f ca="1">IF(AND(ISNUMBER($CJ$329),$B$252=1),$CJ$329,HLOOKUP(INDIRECT(ADDRESS(2,COLUMN())),OFFSET($CL$2,0,0,ROW()-1,84),ROW()-1,FALSE))</f>
        <v/>
      </c>
      <c r="CK115" t="str">
        <f ca="1">IF(AND(ISNUMBER($CK$329),$B$252=1),$CK$329,HLOOKUP(INDIRECT(ADDRESS(2,COLUMN())),OFFSET($CL$2,0,0,ROW()-1,84),ROW()-1,FALSE))</f>
        <v/>
      </c>
      <c r="CL115" t="str">
        <f>""</f>
        <v/>
      </c>
      <c r="CM115" t="str">
        <f>""</f>
        <v/>
      </c>
      <c r="CN115" t="str">
        <f>""</f>
        <v/>
      </c>
      <c r="CO115">
        <f>1.482246036</f>
        <v>1.482246036</v>
      </c>
      <c r="CP115" t="str">
        <f>""</f>
        <v/>
      </c>
      <c r="CQ115" t="str">
        <f>""</f>
        <v/>
      </c>
      <c r="CR115">
        <f>1.495218782</f>
        <v>1.495218782</v>
      </c>
      <c r="CS115" t="str">
        <f>""</f>
        <v/>
      </c>
      <c r="CT115" t="str">
        <f>""</f>
        <v/>
      </c>
      <c r="CU115">
        <f>1.48043517</f>
        <v>1.48043517</v>
      </c>
      <c r="CV115" t="str">
        <f>""</f>
        <v/>
      </c>
      <c r="CW115" t="str">
        <f>""</f>
        <v/>
      </c>
      <c r="CX115">
        <f>1.457420078</f>
        <v>1.457420078</v>
      </c>
      <c r="CY115" t="str">
        <f>""</f>
        <v/>
      </c>
      <c r="CZ115" t="str">
        <f>""</f>
        <v/>
      </c>
      <c r="DA115">
        <f>1.125801048</f>
        <v>1.125801048</v>
      </c>
      <c r="DB115" t="str">
        <f>""</f>
        <v/>
      </c>
      <c r="DC115" t="str">
        <f>""</f>
        <v/>
      </c>
      <c r="DD115">
        <f>1.487596462</f>
        <v>1.487596462</v>
      </c>
      <c r="DE115" t="str">
        <f>""</f>
        <v/>
      </c>
      <c r="DF115" t="str">
        <f>""</f>
        <v/>
      </c>
      <c r="DG115">
        <f>1.536800662</f>
        <v>1.5368006620000001</v>
      </c>
      <c r="DH115" t="str">
        <f>""</f>
        <v/>
      </c>
      <c r="DI115" t="str">
        <f>""</f>
        <v/>
      </c>
      <c r="DJ115">
        <f>1.437988294</f>
        <v>1.4379882939999999</v>
      </c>
      <c r="DK115" t="str">
        <f>""</f>
        <v/>
      </c>
      <c r="DL115" t="str">
        <f>""</f>
        <v/>
      </c>
      <c r="DM115">
        <f>1.451567095</f>
        <v>1.4515670949999999</v>
      </c>
      <c r="DN115" t="str">
        <f>""</f>
        <v/>
      </c>
      <c r="DO115" t="str">
        <f>""</f>
        <v/>
      </c>
      <c r="DP115">
        <f>1.381052923</f>
        <v>1.3810529229999999</v>
      </c>
      <c r="DQ115" t="str">
        <f>""</f>
        <v/>
      </c>
      <c r="DR115" t="str">
        <f>""</f>
        <v/>
      </c>
      <c r="DS115">
        <f>1.356913143</f>
        <v>1.3569131430000001</v>
      </c>
      <c r="DT115" t="str">
        <f>""</f>
        <v/>
      </c>
      <c r="DU115" t="str">
        <f>""</f>
        <v/>
      </c>
      <c r="DV115">
        <f>1.323384399</f>
        <v>1.323384399</v>
      </c>
      <c r="DW115" t="str">
        <f>""</f>
        <v/>
      </c>
      <c r="DX115" t="str">
        <f>""</f>
        <v/>
      </c>
      <c r="DY115">
        <f>1.317300311</f>
        <v>1.3173003109999999</v>
      </c>
      <c r="DZ115" t="str">
        <f>""</f>
        <v/>
      </c>
      <c r="EA115" t="str">
        <f>""</f>
        <v/>
      </c>
      <c r="EB115">
        <f>1.278854265</f>
        <v>1.2788542650000001</v>
      </c>
      <c r="EC115" t="str">
        <f>""</f>
        <v/>
      </c>
      <c r="ED115" t="str">
        <f>""</f>
        <v/>
      </c>
      <c r="EE115">
        <f>1.183022268</f>
        <v>1.183022268</v>
      </c>
      <c r="EF115" t="str">
        <f>""</f>
        <v/>
      </c>
      <c r="EG115" t="str">
        <f>""</f>
        <v/>
      </c>
      <c r="EH115">
        <f>1.206454381</f>
        <v>1.2064543809999999</v>
      </c>
      <c r="EI115" t="str">
        <f>""</f>
        <v/>
      </c>
      <c r="EJ115" t="str">
        <f>""</f>
        <v/>
      </c>
      <c r="EK115">
        <f>1.20083444</f>
        <v>1.2008344399999999</v>
      </c>
      <c r="EL115" t="str">
        <f>""</f>
        <v/>
      </c>
      <c r="EM115" t="str">
        <f>""</f>
        <v/>
      </c>
      <c r="EN115">
        <f>1.247024412</f>
        <v>1.247024412</v>
      </c>
      <c r="EO115" t="str">
        <f>""</f>
        <v/>
      </c>
      <c r="EP115" t="str">
        <f>""</f>
        <v/>
      </c>
      <c r="EQ115">
        <f>1.277815285</f>
        <v>1.277815285</v>
      </c>
      <c r="ER115" t="str">
        <f>""</f>
        <v/>
      </c>
      <c r="ES115" t="str">
        <f>""</f>
        <v/>
      </c>
      <c r="ET115">
        <f>1.249677229</f>
        <v>1.249677229</v>
      </c>
      <c r="EU115" t="str">
        <f>""</f>
        <v/>
      </c>
      <c r="EV115" t="str">
        <f>""</f>
        <v/>
      </c>
      <c r="EW115">
        <f>1.21273842</f>
        <v>1.21273842</v>
      </c>
      <c r="EX115" t="str">
        <f>""</f>
        <v/>
      </c>
      <c r="EY115" t="str">
        <f>""</f>
        <v/>
      </c>
      <c r="EZ115">
        <f>1.140371579</f>
        <v>1.140371579</v>
      </c>
      <c r="FA115" t="str">
        <f>""</f>
        <v/>
      </c>
      <c r="FB115" t="str">
        <f>""</f>
        <v/>
      </c>
      <c r="FC115">
        <f>1.125819013</f>
        <v>1.1258190130000001</v>
      </c>
      <c r="FD115" t="str">
        <f>""</f>
        <v/>
      </c>
      <c r="FE115" t="str">
        <f>""</f>
        <v/>
      </c>
      <c r="FF115">
        <f>1.11802229</f>
        <v>1.1180222900000001</v>
      </c>
      <c r="FG115" t="str">
        <f>""</f>
        <v/>
      </c>
      <c r="FH115" t="str">
        <f>""</f>
        <v/>
      </c>
      <c r="FI115">
        <f>1.073653262</f>
        <v>1.0736532620000001</v>
      </c>
      <c r="FJ115" t="str">
        <f>""</f>
        <v/>
      </c>
      <c r="FK115" t="str">
        <f>""</f>
        <v/>
      </c>
      <c r="FL115">
        <f>0.998676845</f>
        <v>0.99867684499999998</v>
      </c>
      <c r="FM115" t="str">
        <f>""</f>
        <v/>
      </c>
      <c r="FN115" t="str">
        <f>""</f>
        <v/>
      </c>
      <c r="FO115">
        <f>0.92939907</f>
        <v>0.92939906999999999</v>
      </c>
      <c r="FP115" t="str">
        <f>""</f>
        <v/>
      </c>
      <c r="FQ115" t="str">
        <f>""</f>
        <v/>
      </c>
    </row>
    <row r="116" spans="1:173">
      <c r="A116" t="str">
        <f>"    Monogram Residential Trust Inc"</f>
        <v xml:space="preserve">    Monogram Residential Trust Inc</v>
      </c>
      <c r="B116" t="str">
        <f>"MORE US Equity"</f>
        <v>MORE US Equity</v>
      </c>
      <c r="C116" t="str">
        <f t="shared" si="33"/>
        <v>F0581</v>
      </c>
      <c r="D116" t="str">
        <f t="shared" si="34"/>
        <v>ADJUSTED_FFOPS</v>
      </c>
      <c r="E116" t="str">
        <f t="shared" si="35"/>
        <v>动态</v>
      </c>
      <c r="F116" t="str">
        <f ca="1">IF(AND(ISNUMBER($F$330),$B$252=1),$F$330,HLOOKUP(INDIRECT(ADDRESS(2,COLUMN())),OFFSET($CL$2,0,0,ROW()-1,84),ROW()-1,FALSE))</f>
        <v/>
      </c>
      <c r="G116" t="str">
        <f ca="1">IF(AND(ISNUMBER($G$330),$B$252=1),$G$330,HLOOKUP(INDIRECT(ADDRESS(2,COLUMN())),OFFSET($CL$2,0,0,ROW()-1,84),ROW()-1,FALSE))</f>
        <v/>
      </c>
      <c r="H116" t="str">
        <f ca="1">IF(AND(ISNUMBER($H$330),$B$252=1),$H$330,HLOOKUP(INDIRECT(ADDRESS(2,COLUMN())),OFFSET($CL$2,0,0,ROW()-1,84),ROW()-1,FALSE))</f>
        <v/>
      </c>
      <c r="I116" t="str">
        <f ca="1">IF(AND(ISNUMBER($I$330),$B$252=1),$I$330,HLOOKUP(INDIRECT(ADDRESS(2,COLUMN())),OFFSET($CL$2,0,0,ROW()-1,84),ROW()-1,FALSE))</f>
        <v/>
      </c>
      <c r="J116" t="str">
        <f ca="1">IF(AND(ISNUMBER($J$330),$B$252=1),$J$330,HLOOKUP(INDIRECT(ADDRESS(2,COLUMN())),OFFSET($CL$2,0,0,ROW()-1,84),ROW()-1,FALSE))</f>
        <v/>
      </c>
      <c r="K116" t="str">
        <f ca="1">IF(AND(ISNUMBER($K$330),$B$252=1),$K$330,HLOOKUP(INDIRECT(ADDRESS(2,COLUMN())),OFFSET($CL$2,0,0,ROW()-1,84),ROW()-1,FALSE))</f>
        <v/>
      </c>
      <c r="L116" t="str">
        <f ca="1">IF(AND(ISNUMBER($L$330),$B$252=1),$L$330,HLOOKUP(INDIRECT(ADDRESS(2,COLUMN())),OFFSET($CL$2,0,0,ROW()-1,84),ROW()-1,FALSE))</f>
        <v/>
      </c>
      <c r="M116" t="str">
        <f ca="1">IF(AND(ISNUMBER($M$330),$B$252=1),$M$330,HLOOKUP(INDIRECT(ADDRESS(2,COLUMN())),OFFSET($CL$2,0,0,ROW()-1,84),ROW()-1,FALSE))</f>
        <v/>
      </c>
      <c r="N116" t="str">
        <f ca="1">IF(AND(ISNUMBER($N$330),$B$252=1),$N$330,HLOOKUP(INDIRECT(ADDRESS(2,COLUMN())),OFFSET($CL$2,0,0,ROW()-1,84),ROW()-1,FALSE))</f>
        <v/>
      </c>
      <c r="O116">
        <f ca="1">IF(AND(ISNUMBER($O$330),$B$252=1),$O$330,HLOOKUP(INDIRECT(ADDRESS(2,COLUMN())),OFFSET($CL$2,0,0,ROW()-1,84),ROW()-1,FALSE))</f>
        <v>7.8097502999999999E-2</v>
      </c>
      <c r="P116" t="str">
        <f ca="1">IF(AND(ISNUMBER($P$330),$B$252=1),$P$330,HLOOKUP(INDIRECT(ADDRESS(2,COLUMN())),OFFSET($CL$2,0,0,ROW()-1,84),ROW()-1,FALSE))</f>
        <v/>
      </c>
      <c r="Q116" t="str">
        <f ca="1">IF(AND(ISNUMBER($Q$330),$B$252=1),$Q$330,HLOOKUP(INDIRECT(ADDRESS(2,COLUMN())),OFFSET($CL$2,0,0,ROW()-1,84),ROW()-1,FALSE))</f>
        <v/>
      </c>
      <c r="R116">
        <f ca="1">IF(AND(ISNUMBER($R$330),$B$252=1),$R$330,HLOOKUP(INDIRECT(ADDRESS(2,COLUMN())),OFFSET($CL$2,0,0,ROW()-1,84),ROW()-1,FALSE))</f>
        <v>6.4320619999999995E-2</v>
      </c>
      <c r="S116" t="str">
        <f ca="1">IF(AND(ISNUMBER($S$330),$B$252=1),$S$330,HLOOKUP(INDIRECT(ADDRESS(2,COLUMN())),OFFSET($CL$2,0,0,ROW()-1,84),ROW()-1,FALSE))</f>
        <v/>
      </c>
      <c r="T116" t="str">
        <f ca="1">IF(AND(ISNUMBER($T$330),$B$252=1),$T$330,HLOOKUP(INDIRECT(ADDRESS(2,COLUMN())),OFFSET($CL$2,0,0,ROW()-1,84),ROW()-1,FALSE))</f>
        <v/>
      </c>
      <c r="U116">
        <f ca="1">IF(AND(ISNUMBER($U$330),$B$252=1),$U$330,HLOOKUP(INDIRECT(ADDRESS(2,COLUMN())),OFFSET($CL$2,0,0,ROW()-1,84),ROW()-1,FALSE))</f>
        <v>0.11473816100000001</v>
      </c>
      <c r="V116" t="str">
        <f ca="1">IF(AND(ISNUMBER($V$330),$B$252=1),$V$330,HLOOKUP(INDIRECT(ADDRESS(2,COLUMN())),OFFSET($CL$2,0,0,ROW()-1,84),ROW()-1,FALSE))</f>
        <v/>
      </c>
      <c r="W116" t="str">
        <f ca="1">IF(AND(ISNUMBER($W$330),$B$252=1),$W$330,HLOOKUP(INDIRECT(ADDRESS(2,COLUMN())),OFFSET($CL$2,0,0,ROW()-1,84),ROW()-1,FALSE))</f>
        <v/>
      </c>
      <c r="X116">
        <f ca="1">IF(AND(ISNUMBER($X$330),$B$252=1),$X$330,HLOOKUP(INDIRECT(ADDRESS(2,COLUMN())),OFFSET($CL$2,0,0,ROW()-1,84),ROW()-1,FALSE))</f>
        <v>9.6570812000000006E-2</v>
      </c>
      <c r="Y116" t="str">
        <f ca="1">IF(AND(ISNUMBER($Y$330),$B$252=1),$Y$330,HLOOKUP(INDIRECT(ADDRESS(2,COLUMN())),OFFSET($CL$2,0,0,ROW()-1,84),ROW()-1,FALSE))</f>
        <v/>
      </c>
      <c r="Z116" t="str">
        <f ca="1">IF(AND(ISNUMBER($Z$330),$B$252=1),$Z$330,HLOOKUP(INDIRECT(ADDRESS(2,COLUMN())),OFFSET($CL$2,0,0,ROW()-1,84),ROW()-1,FALSE))</f>
        <v/>
      </c>
      <c r="AA116">
        <f ca="1">IF(AND(ISNUMBER($AA$330),$B$252=1),$AA$330,HLOOKUP(INDIRECT(ADDRESS(2,COLUMN())),OFFSET($CL$2,0,0,ROW()-1,84),ROW()-1,FALSE))</f>
        <v>7.2350835000000002E-2</v>
      </c>
      <c r="AB116" t="str">
        <f ca="1">IF(AND(ISNUMBER($AB$330),$B$252=1),$AB$330,HLOOKUP(INDIRECT(ADDRESS(2,COLUMN())),OFFSET($CL$2,0,0,ROW()-1,84),ROW()-1,FALSE))</f>
        <v/>
      </c>
      <c r="AC116" t="str">
        <f ca="1">IF(AND(ISNUMBER($AC$330),$B$252=1),$AC$330,HLOOKUP(INDIRECT(ADDRESS(2,COLUMN())),OFFSET($CL$2,0,0,ROW()-1,84),ROW()-1,FALSE))</f>
        <v/>
      </c>
      <c r="AD116">
        <f ca="1">IF(AND(ISNUMBER($AD$330),$B$252=1),$AD$330,HLOOKUP(INDIRECT(ADDRESS(2,COLUMN())),OFFSET($CL$2,0,0,ROW()-1,84),ROW()-1,FALSE))</f>
        <v>7.5283921000000004E-2</v>
      </c>
      <c r="AE116" t="str">
        <f ca="1">IF(AND(ISNUMBER($AE$330),$B$252=1),$AE$330,HLOOKUP(INDIRECT(ADDRESS(2,COLUMN())),OFFSET($CL$2,0,0,ROW()-1,84),ROW()-1,FALSE))</f>
        <v/>
      </c>
      <c r="AF116" t="str">
        <f ca="1">IF(AND(ISNUMBER($AF$330),$B$252=1),$AF$330,HLOOKUP(INDIRECT(ADDRESS(2,COLUMN())),OFFSET($CL$2,0,0,ROW()-1,84),ROW()-1,FALSE))</f>
        <v/>
      </c>
      <c r="AG116">
        <f ca="1">IF(AND(ISNUMBER($AG$330),$B$252=1),$AG$330,HLOOKUP(INDIRECT(ADDRESS(2,COLUMN())),OFFSET($CL$2,0,0,ROW()-1,84),ROW()-1,FALSE))</f>
        <v>8.3194317000000004E-2</v>
      </c>
      <c r="AH116" t="str">
        <f ca="1">IF(AND(ISNUMBER($AH$330),$B$252=1),$AH$330,HLOOKUP(INDIRECT(ADDRESS(2,COLUMN())),OFFSET($CL$2,0,0,ROW()-1,84),ROW()-1,FALSE))</f>
        <v/>
      </c>
      <c r="AI116" t="str">
        <f ca="1">IF(AND(ISNUMBER($AI$330),$B$252=1),$AI$330,HLOOKUP(INDIRECT(ADDRESS(2,COLUMN())),OFFSET($CL$2,0,0,ROW()-1,84),ROW()-1,FALSE))</f>
        <v/>
      </c>
      <c r="AJ116">
        <f ca="1">IF(AND(ISNUMBER($AJ$330),$B$252=1),$AJ$330,HLOOKUP(INDIRECT(ADDRESS(2,COLUMN())),OFFSET($CL$2,0,0,ROW()-1,84),ROW()-1,FALSE))</f>
        <v>8.8607292000000004E-2</v>
      </c>
      <c r="AK116" t="str">
        <f ca="1">IF(AND(ISNUMBER($AK$330),$B$252=1),$AK$330,HLOOKUP(INDIRECT(ADDRESS(2,COLUMN())),OFFSET($CL$2,0,0,ROW()-1,84),ROW()-1,FALSE))</f>
        <v/>
      </c>
      <c r="AL116" t="str">
        <f ca="1">IF(AND(ISNUMBER($AL$330),$B$252=1),$AL$330,HLOOKUP(INDIRECT(ADDRESS(2,COLUMN())),OFFSET($CL$2,0,0,ROW()-1,84),ROW()-1,FALSE))</f>
        <v/>
      </c>
      <c r="AM116">
        <f ca="1">IF(AND(ISNUMBER($AM$330),$B$252=1),$AM$330,HLOOKUP(INDIRECT(ADDRESS(2,COLUMN())),OFFSET($CL$2,0,0,ROW()-1,84),ROW()-1,FALSE))</f>
        <v>0.12830588200000001</v>
      </c>
      <c r="AN116" t="str">
        <f ca="1">IF(AND(ISNUMBER($AN$330),$B$252=1),$AN$330,HLOOKUP(INDIRECT(ADDRESS(2,COLUMN())),OFFSET($CL$2,0,0,ROW()-1,84),ROW()-1,FALSE))</f>
        <v/>
      </c>
      <c r="AO116" t="str">
        <f ca="1">IF(AND(ISNUMBER($AO$330),$B$252=1),$AO$330,HLOOKUP(INDIRECT(ADDRESS(2,COLUMN())),OFFSET($CL$2,0,0,ROW()-1,84),ROW()-1,FALSE))</f>
        <v/>
      </c>
      <c r="AP116">
        <f ca="1">IF(AND(ISNUMBER($AP$330),$B$252=1),$AP$330,HLOOKUP(INDIRECT(ADDRESS(2,COLUMN())),OFFSET($CL$2,0,0,ROW()-1,84),ROW()-1,FALSE))</f>
        <v>9.0424895000000005E-2</v>
      </c>
      <c r="AQ116" t="str">
        <f ca="1">IF(AND(ISNUMBER($AQ$330),$B$252=1),$AQ$330,HLOOKUP(INDIRECT(ADDRESS(2,COLUMN())),OFFSET($CL$2,0,0,ROW()-1,84),ROW()-1,FALSE))</f>
        <v/>
      </c>
      <c r="AR116" t="str">
        <f ca="1">IF(AND(ISNUMBER($AR$330),$B$252=1),$AR$330,HLOOKUP(INDIRECT(ADDRESS(2,COLUMN())),OFFSET($CL$2,0,0,ROW()-1,84),ROW()-1,FALSE))</f>
        <v/>
      </c>
      <c r="AS116">
        <f ca="1">IF(AND(ISNUMBER($AS$330),$B$252=1),$AS$330,HLOOKUP(INDIRECT(ADDRESS(2,COLUMN())),OFFSET($CL$2,0,0,ROW()-1,84),ROW()-1,FALSE))</f>
        <v>9.1715661000000004E-2</v>
      </c>
      <c r="AT116" t="str">
        <f ca="1">IF(AND(ISNUMBER($AT$330),$B$252=1),$AT$330,HLOOKUP(INDIRECT(ADDRESS(2,COLUMN())),OFFSET($CL$2,0,0,ROW()-1,84),ROW()-1,FALSE))</f>
        <v/>
      </c>
      <c r="AU116" t="str">
        <f ca="1">IF(AND(ISNUMBER($AU$330),$B$252=1),$AU$330,HLOOKUP(INDIRECT(ADDRESS(2,COLUMN())),OFFSET($CL$2,0,0,ROW()-1,84),ROW()-1,FALSE))</f>
        <v/>
      </c>
      <c r="AV116">
        <f ca="1">IF(AND(ISNUMBER($AV$330),$B$252=1),$AV$330,HLOOKUP(INDIRECT(ADDRESS(2,COLUMN())),OFFSET($CL$2,0,0,ROW()-1,84),ROW()-1,FALSE))</f>
        <v>9.2721893E-2</v>
      </c>
      <c r="AW116" t="str">
        <f ca="1">IF(AND(ISNUMBER($AW$330),$B$252=1),$AW$330,HLOOKUP(INDIRECT(ADDRESS(2,COLUMN())),OFFSET($CL$2,0,0,ROW()-1,84),ROW()-1,FALSE))</f>
        <v/>
      </c>
      <c r="AX116" t="str">
        <f ca="1">IF(AND(ISNUMBER($AX$330),$B$252=1),$AX$330,HLOOKUP(INDIRECT(ADDRESS(2,COLUMN())),OFFSET($CL$2,0,0,ROW()-1,84),ROW()-1,FALSE))</f>
        <v/>
      </c>
      <c r="AY116">
        <f ca="1">IF(AND(ISNUMBER($AY$330),$B$252=1),$AY$330,HLOOKUP(INDIRECT(ADDRESS(2,COLUMN())),OFFSET($CL$2,0,0,ROW()-1,84),ROW()-1,FALSE))</f>
        <v>7.7228320000000003E-2</v>
      </c>
      <c r="AZ116" t="str">
        <f ca="1">IF(AND(ISNUMBER($AZ$330),$B$252=1),$AZ$330,HLOOKUP(INDIRECT(ADDRESS(2,COLUMN())),OFFSET($CL$2,0,0,ROW()-1,84),ROW()-1,FALSE))</f>
        <v/>
      </c>
      <c r="BA116" t="str">
        <f ca="1">IF(AND(ISNUMBER($BA$330),$B$252=1),$BA$330,HLOOKUP(INDIRECT(ADDRESS(2,COLUMN())),OFFSET($CL$2,0,0,ROW()-1,84),ROW()-1,FALSE))</f>
        <v/>
      </c>
      <c r="BB116">
        <f ca="1">IF(AND(ISNUMBER($BB$330),$B$252=1),$BB$330,HLOOKUP(INDIRECT(ADDRESS(2,COLUMN())),OFFSET($CL$2,0,0,ROW()-1,84),ROW()-1,FALSE))</f>
        <v>8.0106572000000001E-2</v>
      </c>
      <c r="BC116" t="str">
        <f ca="1">IF(AND(ISNUMBER($BC$330),$B$252=1),$BC$330,HLOOKUP(INDIRECT(ADDRESS(2,COLUMN())),OFFSET($CL$2,0,0,ROW()-1,84),ROW()-1,FALSE))</f>
        <v/>
      </c>
      <c r="BD116" t="str">
        <f ca="1">IF(AND(ISNUMBER($BD$330),$B$252=1),$BD$330,HLOOKUP(INDIRECT(ADDRESS(2,COLUMN())),OFFSET($CL$2,0,0,ROW()-1,84),ROW()-1,FALSE))</f>
        <v/>
      </c>
      <c r="BE116">
        <f ca="1">IF(AND(ISNUMBER($BE$330),$B$252=1),$BE$330,HLOOKUP(INDIRECT(ADDRESS(2,COLUMN())),OFFSET($CL$2,0,0,ROW()-1,84),ROW()-1,FALSE))</f>
        <v>0.13418536</v>
      </c>
      <c r="BF116" t="str">
        <f ca="1">IF(AND(ISNUMBER($BF$330),$B$252=1),$BF$330,HLOOKUP(INDIRECT(ADDRESS(2,COLUMN())),OFFSET($CL$2,0,0,ROW()-1,84),ROW()-1,FALSE))</f>
        <v/>
      </c>
      <c r="BG116" t="str">
        <f ca="1">IF(AND(ISNUMBER($BG$330),$B$252=1),$BG$330,HLOOKUP(INDIRECT(ADDRESS(2,COLUMN())),OFFSET($CL$2,0,0,ROW()-1,84),ROW()-1,FALSE))</f>
        <v/>
      </c>
      <c r="BH116">
        <f ca="1">IF(AND(ISNUMBER($BH$330),$B$252=1),$BH$330,HLOOKUP(INDIRECT(ADDRESS(2,COLUMN())),OFFSET($CL$2,0,0,ROW()-1,84),ROW()-1,FALSE))</f>
        <v>2.5458851000000001E-2</v>
      </c>
      <c r="BI116" t="str">
        <f ca="1">IF(AND(ISNUMBER($BI$330),$B$252=1),$BI$330,HLOOKUP(INDIRECT(ADDRESS(2,COLUMN())),OFFSET($CL$2,0,0,ROW()-1,84),ROW()-1,FALSE))</f>
        <v/>
      </c>
      <c r="BJ116" t="str">
        <f ca="1">IF(AND(ISNUMBER($BJ$330),$B$252=1),$BJ$330,HLOOKUP(INDIRECT(ADDRESS(2,COLUMN())),OFFSET($CL$2,0,0,ROW()-1,84),ROW()-1,FALSE))</f>
        <v/>
      </c>
      <c r="BK116">
        <f ca="1">IF(AND(ISNUMBER($BK$330),$B$252=1),$BK$330,HLOOKUP(INDIRECT(ADDRESS(2,COLUMN())),OFFSET($CL$2,0,0,ROW()-1,84),ROW()-1,FALSE))</f>
        <v>8.2889283999999994E-2</v>
      </c>
      <c r="BL116" t="str">
        <f ca="1">IF(AND(ISNUMBER($BL$330),$B$252=1),$BL$330,HLOOKUP(INDIRECT(ADDRESS(2,COLUMN())),OFFSET($CL$2,0,0,ROW()-1,84),ROW()-1,FALSE))</f>
        <v/>
      </c>
      <c r="BM116" t="str">
        <f ca="1">IF(AND(ISNUMBER($BM$330),$B$252=1),$BM$330,HLOOKUP(INDIRECT(ADDRESS(2,COLUMN())),OFFSET($CL$2,0,0,ROW()-1,84),ROW()-1,FALSE))</f>
        <v/>
      </c>
      <c r="BN116">
        <f ca="1">IF(AND(ISNUMBER($BN$330),$B$252=1),$BN$330,HLOOKUP(INDIRECT(ADDRESS(2,COLUMN())),OFFSET($CL$2,0,0,ROW()-1,84),ROW()-1,FALSE))</f>
        <v>8.1499108000000001E-2</v>
      </c>
      <c r="BO116" t="str">
        <f ca="1">IF(AND(ISNUMBER($BO$330),$B$252=1),$BO$330,HLOOKUP(INDIRECT(ADDRESS(2,COLUMN())),OFFSET($CL$2,0,0,ROW()-1,84),ROW()-1,FALSE))</f>
        <v/>
      </c>
      <c r="BP116" t="str">
        <f ca="1">IF(AND(ISNUMBER($BP$330),$B$252=1),$BP$330,HLOOKUP(INDIRECT(ADDRESS(2,COLUMN())),OFFSET($CL$2,0,0,ROW()-1,84),ROW()-1,FALSE))</f>
        <v/>
      </c>
      <c r="BQ116">
        <f ca="1">IF(AND(ISNUMBER($BQ$330),$B$252=1),$BQ$330,HLOOKUP(INDIRECT(ADDRESS(2,COLUMN())),OFFSET($CL$2,0,0,ROW()-1,84),ROW()-1,FALSE))</f>
        <v>7.3083779000000001E-2</v>
      </c>
      <c r="BR116" t="str">
        <f ca="1">IF(AND(ISNUMBER($BR$330),$B$252=1),$BR$330,HLOOKUP(INDIRECT(ADDRESS(2,COLUMN())),OFFSET($CL$2,0,0,ROW()-1,84),ROW()-1,FALSE))</f>
        <v/>
      </c>
      <c r="BS116" t="str">
        <f ca="1">IF(AND(ISNUMBER($BS$330),$B$252=1),$BS$330,HLOOKUP(INDIRECT(ADDRESS(2,COLUMN())),OFFSET($CL$2,0,0,ROW()-1,84),ROW()-1,FALSE))</f>
        <v/>
      </c>
      <c r="BT116">
        <f ca="1">IF(AND(ISNUMBER($BT$330),$B$252=1),$BT$330,HLOOKUP(INDIRECT(ADDRESS(2,COLUMN())),OFFSET($CL$2,0,0,ROW()-1,84),ROW()-1,FALSE))</f>
        <v>5.6490384999999997E-2</v>
      </c>
      <c r="BU116" t="str">
        <f ca="1">IF(AND(ISNUMBER($BU$330),$B$252=1),$BU$330,HLOOKUP(INDIRECT(ADDRESS(2,COLUMN())),OFFSET($CL$2,0,0,ROW()-1,84),ROW()-1,FALSE))</f>
        <v/>
      </c>
      <c r="BV116" t="str">
        <f ca="1">IF(AND(ISNUMBER($BV$330),$B$252=1),$BV$330,HLOOKUP(INDIRECT(ADDRESS(2,COLUMN())),OFFSET($CL$2,0,0,ROW()-1,84),ROW()-1,FALSE))</f>
        <v/>
      </c>
      <c r="BW116">
        <f ca="1">IF(AND(ISNUMBER($BW$330),$B$252=1),$BW$330,HLOOKUP(INDIRECT(ADDRESS(2,COLUMN())),OFFSET($CL$2,0,0,ROW()-1,84),ROW()-1,FALSE))</f>
        <v>5.3743961E-2</v>
      </c>
      <c r="BX116" t="str">
        <f ca="1">IF(AND(ISNUMBER($BX$330),$B$252=1),$BX$330,HLOOKUP(INDIRECT(ADDRESS(2,COLUMN())),OFFSET($CL$2,0,0,ROW()-1,84),ROW()-1,FALSE))</f>
        <v/>
      </c>
      <c r="BY116" t="str">
        <f ca="1">IF(AND(ISNUMBER($BY$330),$B$252=1),$BY$330,HLOOKUP(INDIRECT(ADDRESS(2,COLUMN())),OFFSET($CL$2,0,0,ROW()-1,84),ROW()-1,FALSE))</f>
        <v/>
      </c>
      <c r="BZ116">
        <f ca="1">IF(AND(ISNUMBER($BZ$330),$B$252=1),$BZ$330,HLOOKUP(INDIRECT(ADDRESS(2,COLUMN())),OFFSET($CL$2,0,0,ROW()-1,84),ROW()-1,FALSE))</f>
        <v>5.8358662999999998E-2</v>
      </c>
      <c r="CA116" t="str">
        <f ca="1">IF(AND(ISNUMBER($CA$330),$B$252=1),$CA$330,HLOOKUP(INDIRECT(ADDRESS(2,COLUMN())),OFFSET($CL$2,0,0,ROW()-1,84),ROW()-1,FALSE))</f>
        <v/>
      </c>
      <c r="CB116" t="str">
        <f ca="1">IF(AND(ISNUMBER($CB$330),$B$252=1),$CB$330,HLOOKUP(INDIRECT(ADDRESS(2,COLUMN())),OFFSET($CL$2,0,0,ROW()-1,84),ROW()-1,FALSE))</f>
        <v/>
      </c>
      <c r="CC116" t="str">
        <f ca="1">IF(AND(ISNUMBER($CC$330),$B$252=1),$CC$330,HLOOKUP(INDIRECT(ADDRESS(2,COLUMN())),OFFSET($CL$2,0,0,ROW()-1,84),ROW()-1,FALSE))</f>
        <v/>
      </c>
      <c r="CD116" t="str">
        <f ca="1">IF(AND(ISNUMBER($CD$330),$B$252=1),$CD$330,HLOOKUP(INDIRECT(ADDRESS(2,COLUMN())),OFFSET($CL$2,0,0,ROW()-1,84),ROW()-1,FALSE))</f>
        <v/>
      </c>
      <c r="CE116" t="str">
        <f ca="1">IF(AND(ISNUMBER($CE$330),$B$252=1),$CE$330,HLOOKUP(INDIRECT(ADDRESS(2,COLUMN())),OFFSET($CL$2,0,0,ROW()-1,84),ROW()-1,FALSE))</f>
        <v/>
      </c>
      <c r="CF116" t="str">
        <f ca="1">IF(AND(ISNUMBER($CF$330),$B$252=1),$CF$330,HLOOKUP(INDIRECT(ADDRESS(2,COLUMN())),OFFSET($CL$2,0,0,ROW()-1,84),ROW()-1,FALSE))</f>
        <v/>
      </c>
      <c r="CG116" t="str">
        <f ca="1">IF(AND(ISNUMBER($CG$330),$B$252=1),$CG$330,HLOOKUP(INDIRECT(ADDRESS(2,COLUMN())),OFFSET($CL$2,0,0,ROW()-1,84),ROW()-1,FALSE))</f>
        <v/>
      </c>
      <c r="CH116" t="str">
        <f ca="1">IF(AND(ISNUMBER($CH$330),$B$252=1),$CH$330,HLOOKUP(INDIRECT(ADDRESS(2,COLUMN())),OFFSET($CL$2,0,0,ROW()-1,84),ROW()-1,FALSE))</f>
        <v/>
      </c>
      <c r="CI116" t="str">
        <f ca="1">IF(AND(ISNUMBER($CI$330),$B$252=1),$CI$330,HLOOKUP(INDIRECT(ADDRESS(2,COLUMN())),OFFSET($CL$2,0,0,ROW()-1,84),ROW()-1,FALSE))</f>
        <v/>
      </c>
      <c r="CJ116" t="str">
        <f ca="1">IF(AND(ISNUMBER($CJ$330),$B$252=1),$CJ$330,HLOOKUP(INDIRECT(ADDRESS(2,COLUMN())),OFFSET($CL$2,0,0,ROW()-1,84),ROW()-1,FALSE))</f>
        <v/>
      </c>
      <c r="CK116" t="str">
        <f ca="1">IF(AND(ISNUMBER($CK$330),$B$252=1),$CK$330,HLOOKUP(INDIRECT(ADDRESS(2,COLUMN())),OFFSET($CL$2,0,0,ROW()-1,84),ROW()-1,FALSE))</f>
        <v/>
      </c>
      <c r="CL116" t="str">
        <f>""</f>
        <v/>
      </c>
      <c r="CM116" t="str">
        <f>""</f>
        <v/>
      </c>
      <c r="CN116" t="str">
        <f>""</f>
        <v/>
      </c>
      <c r="CO116" t="str">
        <f>""</f>
        <v/>
      </c>
      <c r="CP116" t="str">
        <f>""</f>
        <v/>
      </c>
      <c r="CQ116" t="str">
        <f>""</f>
        <v/>
      </c>
      <c r="CR116" t="str">
        <f>""</f>
        <v/>
      </c>
      <c r="CS116" t="str">
        <f>""</f>
        <v/>
      </c>
      <c r="CT116" t="str">
        <f>""</f>
        <v/>
      </c>
      <c r="CU116">
        <f>0.078097503</f>
        <v>7.8097502999999999E-2</v>
      </c>
      <c r="CV116" t="str">
        <f>""</f>
        <v/>
      </c>
      <c r="CW116" t="str">
        <f>""</f>
        <v/>
      </c>
      <c r="CX116">
        <f>0.06432062</f>
        <v>6.4320619999999995E-2</v>
      </c>
      <c r="CY116" t="str">
        <f>""</f>
        <v/>
      </c>
      <c r="CZ116" t="str">
        <f>""</f>
        <v/>
      </c>
      <c r="DA116">
        <f>0.114738161</f>
        <v>0.11473816100000001</v>
      </c>
      <c r="DB116" t="str">
        <f>""</f>
        <v/>
      </c>
      <c r="DC116" t="str">
        <f>""</f>
        <v/>
      </c>
      <c r="DD116">
        <f>0.096570812</f>
        <v>9.6570812000000006E-2</v>
      </c>
      <c r="DE116" t="str">
        <f>""</f>
        <v/>
      </c>
      <c r="DF116" t="str">
        <f>""</f>
        <v/>
      </c>
      <c r="DG116">
        <f>0.072350835</f>
        <v>7.2350835000000002E-2</v>
      </c>
      <c r="DH116" t="str">
        <f>""</f>
        <v/>
      </c>
      <c r="DI116" t="str">
        <f>""</f>
        <v/>
      </c>
      <c r="DJ116">
        <f>0.075283921</f>
        <v>7.5283921000000004E-2</v>
      </c>
      <c r="DK116" t="str">
        <f>""</f>
        <v/>
      </c>
      <c r="DL116" t="str">
        <f>""</f>
        <v/>
      </c>
      <c r="DM116">
        <f>0.083194317</f>
        <v>8.3194317000000004E-2</v>
      </c>
      <c r="DN116" t="str">
        <f>""</f>
        <v/>
      </c>
      <c r="DO116" t="str">
        <f>""</f>
        <v/>
      </c>
      <c r="DP116">
        <f>0.088607292</f>
        <v>8.8607292000000004E-2</v>
      </c>
      <c r="DQ116" t="str">
        <f>""</f>
        <v/>
      </c>
      <c r="DR116" t="str">
        <f>""</f>
        <v/>
      </c>
      <c r="DS116">
        <f>0.128305882</f>
        <v>0.12830588200000001</v>
      </c>
      <c r="DT116" t="str">
        <f>""</f>
        <v/>
      </c>
      <c r="DU116" t="str">
        <f>""</f>
        <v/>
      </c>
      <c r="DV116">
        <f>0.090424895</f>
        <v>9.0424895000000005E-2</v>
      </c>
      <c r="DW116" t="str">
        <f>""</f>
        <v/>
      </c>
      <c r="DX116" t="str">
        <f>""</f>
        <v/>
      </c>
      <c r="DY116">
        <f>0.091715661</f>
        <v>9.1715661000000004E-2</v>
      </c>
      <c r="DZ116" t="str">
        <f>""</f>
        <v/>
      </c>
      <c r="EA116" t="str">
        <f>""</f>
        <v/>
      </c>
      <c r="EB116">
        <f>0.092721893</f>
        <v>9.2721893E-2</v>
      </c>
      <c r="EC116" t="str">
        <f>""</f>
        <v/>
      </c>
      <c r="ED116" t="str">
        <f>""</f>
        <v/>
      </c>
      <c r="EE116">
        <f>0.07722832</f>
        <v>7.7228320000000003E-2</v>
      </c>
      <c r="EF116" t="str">
        <f>""</f>
        <v/>
      </c>
      <c r="EG116" t="str">
        <f>""</f>
        <v/>
      </c>
      <c r="EH116">
        <f>0.080106572</f>
        <v>8.0106572000000001E-2</v>
      </c>
      <c r="EI116" t="str">
        <f>""</f>
        <v/>
      </c>
      <c r="EJ116" t="str">
        <f>""</f>
        <v/>
      </c>
      <c r="EK116">
        <f>0.13418536</f>
        <v>0.13418536</v>
      </c>
      <c r="EL116" t="str">
        <f>""</f>
        <v/>
      </c>
      <c r="EM116" t="str">
        <f>""</f>
        <v/>
      </c>
      <c r="EN116">
        <f>0.025458851</f>
        <v>2.5458851000000001E-2</v>
      </c>
      <c r="EO116" t="str">
        <f>""</f>
        <v/>
      </c>
      <c r="EP116" t="str">
        <f>""</f>
        <v/>
      </c>
      <c r="EQ116">
        <f>0.082889284</f>
        <v>8.2889283999999994E-2</v>
      </c>
      <c r="ER116" t="str">
        <f>""</f>
        <v/>
      </c>
      <c r="ES116" t="str">
        <f>""</f>
        <v/>
      </c>
      <c r="ET116">
        <f>0.081499108</f>
        <v>8.1499108000000001E-2</v>
      </c>
      <c r="EU116" t="str">
        <f>""</f>
        <v/>
      </c>
      <c r="EV116" t="str">
        <f>""</f>
        <v/>
      </c>
      <c r="EW116">
        <f>0.073083779</f>
        <v>7.3083779000000001E-2</v>
      </c>
      <c r="EX116" t="str">
        <f>""</f>
        <v/>
      </c>
      <c r="EY116" t="str">
        <f>""</f>
        <v/>
      </c>
      <c r="EZ116">
        <f>0.056490385</f>
        <v>5.6490384999999997E-2</v>
      </c>
      <c r="FA116" t="str">
        <f>""</f>
        <v/>
      </c>
      <c r="FB116" t="str">
        <f>""</f>
        <v/>
      </c>
      <c r="FC116">
        <f>0.053743961</f>
        <v>5.3743961E-2</v>
      </c>
      <c r="FD116" t="str">
        <f>""</f>
        <v/>
      </c>
      <c r="FE116" t="str">
        <f>""</f>
        <v/>
      </c>
      <c r="FF116">
        <f>0.058358663</f>
        <v>5.8358662999999998E-2</v>
      </c>
      <c r="FG116" t="str">
        <f>""</f>
        <v/>
      </c>
      <c r="FH116" t="str">
        <f>""</f>
        <v/>
      </c>
      <c r="FI116" t="str">
        <f>""</f>
        <v/>
      </c>
      <c r="FJ116" t="str">
        <f>""</f>
        <v/>
      </c>
      <c r="FK116" t="str">
        <f>""</f>
        <v/>
      </c>
      <c r="FL116" t="str">
        <f>""</f>
        <v/>
      </c>
      <c r="FM116" t="str">
        <f>""</f>
        <v/>
      </c>
      <c r="FN116" t="str">
        <f>""</f>
        <v/>
      </c>
      <c r="FO116" t="str">
        <f>""</f>
        <v/>
      </c>
      <c r="FP116" t="str">
        <f>""</f>
        <v/>
      </c>
      <c r="FQ116" t="str">
        <f>""</f>
        <v/>
      </c>
    </row>
    <row r="117" spans="1:173">
      <c r="A117" t="str">
        <f>"    UDR Inc"</f>
        <v xml:space="preserve">    UDR Inc</v>
      </c>
      <c r="B117" t="str">
        <f>"UDR US Equity"</f>
        <v>UDR US Equity</v>
      </c>
      <c r="C117" t="str">
        <f t="shared" si="33"/>
        <v>F0581</v>
      </c>
      <c r="D117" t="str">
        <f t="shared" si="34"/>
        <v>ADJUSTED_FFOPS</v>
      </c>
      <c r="E117" t="str">
        <f t="shared" si="35"/>
        <v>动态</v>
      </c>
      <c r="F117" t="str">
        <f ca="1">IF(AND(ISNUMBER($F$331),$B$252=1),$F$331,HLOOKUP(INDIRECT(ADDRESS(2,COLUMN())),OFFSET($CL$2,0,0,ROW()-1,84),ROW()-1,FALSE))</f>
        <v/>
      </c>
      <c r="G117" t="str">
        <f ca="1">IF(AND(ISNUMBER($G$331),$B$252=1),$G$331,HLOOKUP(INDIRECT(ADDRESS(2,COLUMN())),OFFSET($CL$2,0,0,ROW()-1,84),ROW()-1,FALSE))</f>
        <v/>
      </c>
      <c r="H117" t="str">
        <f ca="1">IF(AND(ISNUMBER($H$331),$B$252=1),$H$331,HLOOKUP(INDIRECT(ADDRESS(2,COLUMN())),OFFSET($CL$2,0,0,ROW()-1,84),ROW()-1,FALSE))</f>
        <v/>
      </c>
      <c r="I117">
        <f ca="1">IF(AND(ISNUMBER($I$331),$B$252=1),$I$331,HLOOKUP(INDIRECT(ADDRESS(2,COLUMN())),OFFSET($CL$2,0,0,ROW()-1,84),ROW()-1,FALSE))</f>
        <v>0.47734216299999999</v>
      </c>
      <c r="J117" t="str">
        <f ca="1">IF(AND(ISNUMBER($J$331),$B$252=1),$J$331,HLOOKUP(INDIRECT(ADDRESS(2,COLUMN())),OFFSET($CL$2,0,0,ROW()-1,84),ROW()-1,FALSE))</f>
        <v/>
      </c>
      <c r="K117" t="str">
        <f ca="1">IF(AND(ISNUMBER($K$331),$B$252=1),$K$331,HLOOKUP(INDIRECT(ADDRESS(2,COLUMN())),OFFSET($CL$2,0,0,ROW()-1,84),ROW()-1,FALSE))</f>
        <v/>
      </c>
      <c r="L117">
        <f ca="1">IF(AND(ISNUMBER($L$331),$B$252=1),$L$331,HLOOKUP(INDIRECT(ADDRESS(2,COLUMN())),OFFSET($CL$2,0,0,ROW()-1,84),ROW()-1,FALSE))</f>
        <v>0.47020545600000002</v>
      </c>
      <c r="M117" t="str">
        <f ca="1">IF(AND(ISNUMBER($M$331),$B$252=1),$M$331,HLOOKUP(INDIRECT(ADDRESS(2,COLUMN())),OFFSET($CL$2,0,0,ROW()-1,84),ROW()-1,FALSE))</f>
        <v/>
      </c>
      <c r="N117" t="str">
        <f ca="1">IF(AND(ISNUMBER($N$331),$B$252=1),$N$331,HLOOKUP(INDIRECT(ADDRESS(2,COLUMN())),OFFSET($CL$2,0,0,ROW()-1,84),ROW()-1,FALSE))</f>
        <v/>
      </c>
      <c r="O117">
        <f ca="1">IF(AND(ISNUMBER($O$331),$B$252=1),$O$331,HLOOKUP(INDIRECT(ADDRESS(2,COLUMN())),OFFSET($CL$2,0,0,ROW()-1,84),ROW()-1,FALSE))</f>
        <v>0.47015174300000001</v>
      </c>
      <c r="P117" t="str">
        <f ca="1">IF(AND(ISNUMBER($P$331),$B$252=1),$P$331,HLOOKUP(INDIRECT(ADDRESS(2,COLUMN())),OFFSET($CL$2,0,0,ROW()-1,84),ROW()-1,FALSE))</f>
        <v/>
      </c>
      <c r="Q117" t="str">
        <f ca="1">IF(AND(ISNUMBER($Q$331),$B$252=1),$Q$331,HLOOKUP(INDIRECT(ADDRESS(2,COLUMN())),OFFSET($CL$2,0,0,ROW()-1,84),ROW()-1,FALSE))</f>
        <v/>
      </c>
      <c r="R117">
        <f ca="1">IF(AND(ISNUMBER($R$331),$B$252=1),$R$331,HLOOKUP(INDIRECT(ADDRESS(2,COLUMN())),OFFSET($CL$2,0,0,ROW()-1,84),ROW()-1,FALSE))</f>
        <v>0.45180970599999998</v>
      </c>
      <c r="S117" t="str">
        <f ca="1">IF(AND(ISNUMBER($S$331),$B$252=1),$S$331,HLOOKUP(INDIRECT(ADDRESS(2,COLUMN())),OFFSET($CL$2,0,0,ROW()-1,84),ROW()-1,FALSE))</f>
        <v/>
      </c>
      <c r="T117" t="str">
        <f ca="1">IF(AND(ISNUMBER($T$331),$B$252=1),$T$331,HLOOKUP(INDIRECT(ADDRESS(2,COLUMN())),OFFSET($CL$2,0,0,ROW()-1,84),ROW()-1,FALSE))</f>
        <v/>
      </c>
      <c r="U117">
        <f ca="1">IF(AND(ISNUMBER($U$331),$B$252=1),$U$331,HLOOKUP(INDIRECT(ADDRESS(2,COLUMN())),OFFSET($CL$2,0,0,ROW()-1,84),ROW()-1,FALSE))</f>
        <v>0.45863066699999999</v>
      </c>
      <c r="V117" t="str">
        <f ca="1">IF(AND(ISNUMBER($V$331),$B$252=1),$V$331,HLOOKUP(INDIRECT(ADDRESS(2,COLUMN())),OFFSET($CL$2,0,0,ROW()-1,84),ROW()-1,FALSE))</f>
        <v/>
      </c>
      <c r="W117" t="str">
        <f ca="1">IF(AND(ISNUMBER($W$331),$B$252=1),$W$331,HLOOKUP(INDIRECT(ADDRESS(2,COLUMN())),OFFSET($CL$2,0,0,ROW()-1,84),ROW()-1,FALSE))</f>
        <v/>
      </c>
      <c r="X117">
        <f ca="1">IF(AND(ISNUMBER($X$331),$B$252=1),$X$331,HLOOKUP(INDIRECT(ADDRESS(2,COLUMN())),OFFSET($CL$2,0,0,ROW()-1,84),ROW()-1,FALSE))</f>
        <v>0.452289253</v>
      </c>
      <c r="Y117" t="str">
        <f ca="1">IF(AND(ISNUMBER($Y$331),$B$252=1),$Y$331,HLOOKUP(INDIRECT(ADDRESS(2,COLUMN())),OFFSET($CL$2,0,0,ROW()-1,84),ROW()-1,FALSE))</f>
        <v/>
      </c>
      <c r="Z117" t="str">
        <f ca="1">IF(AND(ISNUMBER($Z$331),$B$252=1),$Z$331,HLOOKUP(INDIRECT(ADDRESS(2,COLUMN())),OFFSET($CL$2,0,0,ROW()-1,84),ROW()-1,FALSE))</f>
        <v/>
      </c>
      <c r="AA117">
        <f ca="1">IF(AND(ISNUMBER($AA$331),$B$252=1),$AA$331,HLOOKUP(INDIRECT(ADDRESS(2,COLUMN())),OFFSET($CL$2,0,0,ROW()-1,84),ROW()-1,FALSE))</f>
        <v>0.44584126200000002</v>
      </c>
      <c r="AB117" t="str">
        <f ca="1">IF(AND(ISNUMBER($AB$331),$B$252=1),$AB$331,HLOOKUP(INDIRECT(ADDRESS(2,COLUMN())),OFFSET($CL$2,0,0,ROW()-1,84),ROW()-1,FALSE))</f>
        <v/>
      </c>
      <c r="AC117" t="str">
        <f ca="1">IF(AND(ISNUMBER($AC$331),$B$252=1),$AC$331,HLOOKUP(INDIRECT(ADDRESS(2,COLUMN())),OFFSET($CL$2,0,0,ROW()-1,84),ROW()-1,FALSE))</f>
        <v/>
      </c>
      <c r="AD117">
        <f ca="1">IF(AND(ISNUMBER($AD$331),$B$252=1),$AD$331,HLOOKUP(INDIRECT(ADDRESS(2,COLUMN())),OFFSET($CL$2,0,0,ROW()-1,84),ROW()-1,FALSE))</f>
        <v>0.42964198799999997</v>
      </c>
      <c r="AE117" t="str">
        <f ca="1">IF(AND(ISNUMBER($AE$331),$B$252=1),$AE$331,HLOOKUP(INDIRECT(ADDRESS(2,COLUMN())),OFFSET($CL$2,0,0,ROW()-1,84),ROW()-1,FALSE))</f>
        <v/>
      </c>
      <c r="AF117" t="str">
        <f ca="1">IF(AND(ISNUMBER($AF$331),$B$252=1),$AF$331,HLOOKUP(INDIRECT(ADDRESS(2,COLUMN())),OFFSET($CL$2,0,0,ROW()-1,84),ROW()-1,FALSE))</f>
        <v/>
      </c>
      <c r="AG117">
        <f ca="1">IF(AND(ISNUMBER($AG$331),$B$252=1),$AG$331,HLOOKUP(INDIRECT(ADDRESS(2,COLUMN())),OFFSET($CL$2,0,0,ROW()-1,84),ROW()-1,FALSE))</f>
        <v>0.42447541900000002</v>
      </c>
      <c r="AH117" t="str">
        <f ca="1">IF(AND(ISNUMBER($AH$331),$B$252=1),$AH$331,HLOOKUP(INDIRECT(ADDRESS(2,COLUMN())),OFFSET($CL$2,0,0,ROW()-1,84),ROW()-1,FALSE))</f>
        <v/>
      </c>
      <c r="AI117" t="str">
        <f ca="1">IF(AND(ISNUMBER($AI$331),$B$252=1),$AI$331,HLOOKUP(INDIRECT(ADDRESS(2,COLUMN())),OFFSET($CL$2,0,0,ROW()-1,84),ROW()-1,FALSE))</f>
        <v/>
      </c>
      <c r="AJ117">
        <f ca="1">IF(AND(ISNUMBER($AJ$331),$B$252=1),$AJ$331,HLOOKUP(INDIRECT(ADDRESS(2,COLUMN())),OFFSET($CL$2,0,0,ROW()-1,84),ROW()-1,FALSE))</f>
        <v>0.42319161900000002</v>
      </c>
      <c r="AK117" t="str">
        <f ca="1">IF(AND(ISNUMBER($AK$331),$B$252=1),$AK$331,HLOOKUP(INDIRECT(ADDRESS(2,COLUMN())),OFFSET($CL$2,0,0,ROW()-1,84),ROW()-1,FALSE))</f>
        <v/>
      </c>
      <c r="AL117" t="str">
        <f ca="1">IF(AND(ISNUMBER($AL$331),$B$252=1),$AL$331,HLOOKUP(INDIRECT(ADDRESS(2,COLUMN())),OFFSET($CL$2,0,0,ROW()-1,84),ROW()-1,FALSE))</f>
        <v/>
      </c>
      <c r="AM117">
        <f ca="1">IF(AND(ISNUMBER($AM$331),$B$252=1),$AM$331,HLOOKUP(INDIRECT(ADDRESS(2,COLUMN())),OFFSET($CL$2,0,0,ROW()-1,84),ROW()-1,FALSE))</f>
        <v>0.419774431</v>
      </c>
      <c r="AN117" t="str">
        <f ca="1">IF(AND(ISNUMBER($AN$331),$B$252=1),$AN$331,HLOOKUP(INDIRECT(ADDRESS(2,COLUMN())),OFFSET($CL$2,0,0,ROW()-1,84),ROW()-1,FALSE))</f>
        <v/>
      </c>
      <c r="AO117" t="str">
        <f ca="1">IF(AND(ISNUMBER($AO$331),$B$252=1),$AO$331,HLOOKUP(INDIRECT(ADDRESS(2,COLUMN())),OFFSET($CL$2,0,0,ROW()-1,84),ROW()-1,FALSE))</f>
        <v/>
      </c>
      <c r="AP117">
        <f ca="1">IF(AND(ISNUMBER($AP$331),$B$252=1),$AP$331,HLOOKUP(INDIRECT(ADDRESS(2,COLUMN())),OFFSET($CL$2,0,0,ROW()-1,84),ROW()-1,FALSE))</f>
        <v>0.40015432200000001</v>
      </c>
      <c r="AQ117" t="str">
        <f ca="1">IF(AND(ISNUMBER($AQ$331),$B$252=1),$AQ$331,HLOOKUP(INDIRECT(ADDRESS(2,COLUMN())),OFFSET($CL$2,0,0,ROW()-1,84),ROW()-1,FALSE))</f>
        <v/>
      </c>
      <c r="AR117" t="str">
        <f ca="1">IF(AND(ISNUMBER($AR$331),$B$252=1),$AR$331,HLOOKUP(INDIRECT(ADDRESS(2,COLUMN())),OFFSET($CL$2,0,0,ROW()-1,84),ROW()-1,FALSE))</f>
        <v/>
      </c>
      <c r="AS117">
        <f ca="1">IF(AND(ISNUMBER($AS$331),$B$252=1),$AS$331,HLOOKUP(INDIRECT(ADDRESS(2,COLUMN())),OFFSET($CL$2,0,0,ROW()-1,84),ROW()-1,FALSE))</f>
        <v>0.39007959399999997</v>
      </c>
      <c r="AT117" t="str">
        <f ca="1">IF(AND(ISNUMBER($AT$331),$B$252=1),$AT$331,HLOOKUP(INDIRECT(ADDRESS(2,COLUMN())),OFFSET($CL$2,0,0,ROW()-1,84),ROW()-1,FALSE))</f>
        <v/>
      </c>
      <c r="AU117" t="str">
        <f ca="1">IF(AND(ISNUMBER($AU$331),$B$252=1),$AU$331,HLOOKUP(INDIRECT(ADDRESS(2,COLUMN())),OFFSET($CL$2,0,0,ROW()-1,84),ROW()-1,FALSE))</f>
        <v/>
      </c>
      <c r="AV117" t="str">
        <f ca="1">IF(AND(ISNUMBER($AV$331),$B$252=1),$AV$331,HLOOKUP(INDIRECT(ADDRESS(2,COLUMN())),OFFSET($CL$2,0,0,ROW()-1,84),ROW()-1,FALSE))</f>
        <v/>
      </c>
      <c r="AW117" t="str">
        <f ca="1">IF(AND(ISNUMBER($AW$331),$B$252=1),$AW$331,HLOOKUP(INDIRECT(ADDRESS(2,COLUMN())),OFFSET($CL$2,0,0,ROW()-1,84),ROW()-1,FALSE))</f>
        <v/>
      </c>
      <c r="AX117" t="str">
        <f ca="1">IF(AND(ISNUMBER($AX$331),$B$252=1),$AX$331,HLOOKUP(INDIRECT(ADDRESS(2,COLUMN())),OFFSET($CL$2,0,0,ROW()-1,84),ROW()-1,FALSE))</f>
        <v/>
      </c>
      <c r="AY117" t="str">
        <f ca="1">IF(AND(ISNUMBER($AY$331),$B$252=1),$AY$331,HLOOKUP(INDIRECT(ADDRESS(2,COLUMN())),OFFSET($CL$2,0,0,ROW()-1,84),ROW()-1,FALSE))</f>
        <v/>
      </c>
      <c r="AZ117" t="str">
        <f ca="1">IF(AND(ISNUMBER($AZ$331),$B$252=1),$AZ$331,HLOOKUP(INDIRECT(ADDRESS(2,COLUMN())),OFFSET($CL$2,0,0,ROW()-1,84),ROW()-1,FALSE))</f>
        <v/>
      </c>
      <c r="BA117" t="str">
        <f ca="1">IF(AND(ISNUMBER($BA$331),$B$252=1),$BA$331,HLOOKUP(INDIRECT(ADDRESS(2,COLUMN())),OFFSET($CL$2,0,0,ROW()-1,84),ROW()-1,FALSE))</f>
        <v/>
      </c>
      <c r="BB117">
        <f ca="1">IF(AND(ISNUMBER($BB$331),$B$252=1),$BB$331,HLOOKUP(INDIRECT(ADDRESS(2,COLUMN())),OFFSET($CL$2,0,0,ROW()-1,84),ROW()-1,FALSE))</f>
        <v>0.35779042100000003</v>
      </c>
      <c r="BC117" t="str">
        <f ca="1">IF(AND(ISNUMBER($BC$331),$B$252=1),$BC$331,HLOOKUP(INDIRECT(ADDRESS(2,COLUMN())),OFFSET($CL$2,0,0,ROW()-1,84),ROW()-1,FALSE))</f>
        <v/>
      </c>
      <c r="BD117" t="str">
        <f ca="1">IF(AND(ISNUMBER($BD$331),$B$252=1),$BD$331,HLOOKUP(INDIRECT(ADDRESS(2,COLUMN())),OFFSET($CL$2,0,0,ROW()-1,84),ROW()-1,FALSE))</f>
        <v/>
      </c>
      <c r="BE117">
        <f ca="1">IF(AND(ISNUMBER($BE$331),$B$252=1),$BE$331,HLOOKUP(INDIRECT(ADDRESS(2,COLUMN())),OFFSET($CL$2,0,0,ROW()-1,84),ROW()-1,FALSE))</f>
        <v>0.36509898499999999</v>
      </c>
      <c r="BF117" t="str">
        <f ca="1">IF(AND(ISNUMBER($BF$331),$B$252=1),$BF$331,HLOOKUP(INDIRECT(ADDRESS(2,COLUMN())),OFFSET($CL$2,0,0,ROW()-1,84),ROW()-1,FALSE))</f>
        <v/>
      </c>
      <c r="BG117" t="str">
        <f ca="1">IF(AND(ISNUMBER($BG$331),$B$252=1),$BG$331,HLOOKUP(INDIRECT(ADDRESS(2,COLUMN())),OFFSET($CL$2,0,0,ROW()-1,84),ROW()-1,FALSE))</f>
        <v/>
      </c>
      <c r="BH117">
        <f ca="1">IF(AND(ISNUMBER($BH$331),$B$252=1),$BH$331,HLOOKUP(INDIRECT(ADDRESS(2,COLUMN())),OFFSET($CL$2,0,0,ROW()-1,84),ROW()-1,FALSE))</f>
        <v>0.35600974899999999</v>
      </c>
      <c r="BI117" t="str">
        <f ca="1">IF(AND(ISNUMBER($BI$331),$B$252=1),$BI$331,HLOOKUP(INDIRECT(ADDRESS(2,COLUMN())),OFFSET($CL$2,0,0,ROW()-1,84),ROW()-1,FALSE))</f>
        <v/>
      </c>
      <c r="BJ117" t="str">
        <f ca="1">IF(AND(ISNUMBER($BJ$331),$B$252=1),$BJ$331,HLOOKUP(INDIRECT(ADDRESS(2,COLUMN())),OFFSET($CL$2,0,0,ROW()-1,84),ROW()-1,FALSE))</f>
        <v/>
      </c>
      <c r="BK117">
        <f ca="1">IF(AND(ISNUMBER($BK$331),$B$252=1),$BK$331,HLOOKUP(INDIRECT(ADDRESS(2,COLUMN())),OFFSET($CL$2,0,0,ROW()-1,84),ROW()-1,FALSE))</f>
        <v>0.35492064899999998</v>
      </c>
      <c r="BL117" t="str">
        <f ca="1">IF(AND(ISNUMBER($BL$331),$B$252=1),$BL$331,HLOOKUP(INDIRECT(ADDRESS(2,COLUMN())),OFFSET($CL$2,0,0,ROW()-1,84),ROW()-1,FALSE))</f>
        <v/>
      </c>
      <c r="BM117" t="str">
        <f ca="1">IF(AND(ISNUMBER($BM$331),$B$252=1),$BM$331,HLOOKUP(INDIRECT(ADDRESS(2,COLUMN())),OFFSET($CL$2,0,0,ROW()-1,84),ROW()-1,FALSE))</f>
        <v/>
      </c>
      <c r="BN117">
        <f ca="1">IF(AND(ISNUMBER($BN$331),$B$252=1),$BN$331,HLOOKUP(INDIRECT(ADDRESS(2,COLUMN())),OFFSET($CL$2,0,0,ROW()-1,84),ROW()-1,FALSE))</f>
        <v>0.33875262699999997</v>
      </c>
      <c r="BO117" t="str">
        <f ca="1">IF(AND(ISNUMBER($BO$331),$B$252=1),$BO$331,HLOOKUP(INDIRECT(ADDRESS(2,COLUMN())),OFFSET($CL$2,0,0,ROW()-1,84),ROW()-1,FALSE))</f>
        <v/>
      </c>
      <c r="BP117" t="str">
        <f ca="1">IF(AND(ISNUMBER($BP$331),$B$252=1),$BP$331,HLOOKUP(INDIRECT(ADDRESS(2,COLUMN())),OFFSET($CL$2,0,0,ROW()-1,84),ROW()-1,FALSE))</f>
        <v/>
      </c>
      <c r="BQ117">
        <f ca="1">IF(AND(ISNUMBER($BQ$331),$B$252=1),$BQ$331,HLOOKUP(INDIRECT(ADDRESS(2,COLUMN())),OFFSET($CL$2,0,0,ROW()-1,84),ROW()-1,FALSE))</f>
        <v>0.37320512900000002</v>
      </c>
      <c r="BR117" t="str">
        <f ca="1">IF(AND(ISNUMBER($BR$331),$B$252=1),$BR$331,HLOOKUP(INDIRECT(ADDRESS(2,COLUMN())),OFFSET($CL$2,0,0,ROW()-1,84),ROW()-1,FALSE))</f>
        <v/>
      </c>
      <c r="BS117" t="str">
        <f ca="1">IF(AND(ISNUMBER($BS$331),$B$252=1),$BS$331,HLOOKUP(INDIRECT(ADDRESS(2,COLUMN())),OFFSET($CL$2,0,0,ROW()-1,84),ROW()-1,FALSE))</f>
        <v/>
      </c>
      <c r="BT117">
        <f ca="1">IF(AND(ISNUMBER($BT$331),$B$252=1),$BT$331,HLOOKUP(INDIRECT(ADDRESS(2,COLUMN())),OFFSET($CL$2,0,0,ROW()-1,84),ROW()-1,FALSE))</f>
        <v>0.35217852500000002</v>
      </c>
      <c r="BU117" t="str">
        <f ca="1">IF(AND(ISNUMBER($BU$331),$B$252=1),$BU$331,HLOOKUP(INDIRECT(ADDRESS(2,COLUMN())),OFFSET($CL$2,0,0,ROW()-1,84),ROW()-1,FALSE))</f>
        <v/>
      </c>
      <c r="BV117" t="str">
        <f ca="1">IF(AND(ISNUMBER($BV$331),$B$252=1),$BV$331,HLOOKUP(INDIRECT(ADDRESS(2,COLUMN())),OFFSET($CL$2,0,0,ROW()-1,84),ROW()-1,FALSE))</f>
        <v/>
      </c>
      <c r="BW117">
        <f ca="1">IF(AND(ISNUMBER($BW$331),$B$252=1),$BW$331,HLOOKUP(INDIRECT(ADDRESS(2,COLUMN())),OFFSET($CL$2,0,0,ROW()-1,84),ROW()-1,FALSE))</f>
        <v>0.34487311500000001</v>
      </c>
      <c r="BX117" t="str">
        <f ca="1">IF(AND(ISNUMBER($BX$331),$B$252=1),$BX$331,HLOOKUP(INDIRECT(ADDRESS(2,COLUMN())),OFFSET($CL$2,0,0,ROW()-1,84),ROW()-1,FALSE))</f>
        <v/>
      </c>
      <c r="BY117" t="str">
        <f ca="1">IF(AND(ISNUMBER($BY$331),$B$252=1),$BY$331,HLOOKUP(INDIRECT(ADDRESS(2,COLUMN())),OFFSET($CL$2,0,0,ROW()-1,84),ROW()-1,FALSE))</f>
        <v/>
      </c>
      <c r="BZ117">
        <f ca="1">IF(AND(ISNUMBER($BZ$331),$B$252=1),$BZ$331,HLOOKUP(INDIRECT(ADDRESS(2,COLUMN())),OFFSET($CL$2,0,0,ROW()-1,84),ROW()-1,FALSE))</f>
        <v>0.35981038399999998</v>
      </c>
      <c r="CA117" t="str">
        <f ca="1">IF(AND(ISNUMBER($CA$331),$B$252=1),$CA$331,HLOOKUP(INDIRECT(ADDRESS(2,COLUMN())),OFFSET($CL$2,0,0,ROW()-1,84),ROW()-1,FALSE))</f>
        <v/>
      </c>
      <c r="CB117" t="str">
        <f ca="1">IF(AND(ISNUMBER($CB$331),$B$252=1),$CB$331,HLOOKUP(INDIRECT(ADDRESS(2,COLUMN())),OFFSET($CL$2,0,0,ROW()-1,84),ROW()-1,FALSE))</f>
        <v/>
      </c>
      <c r="CC117">
        <f ca="1">IF(AND(ISNUMBER($CC$331),$B$252=1),$CC$331,HLOOKUP(INDIRECT(ADDRESS(2,COLUMN())),OFFSET($CL$2,0,0,ROW()-1,84),ROW()-1,FALSE))</f>
        <v>0.35910808300000002</v>
      </c>
      <c r="CD117" t="str">
        <f ca="1">IF(AND(ISNUMBER($CD$331),$B$252=1),$CD$331,HLOOKUP(INDIRECT(ADDRESS(2,COLUMN())),OFFSET($CL$2,0,0,ROW()-1,84),ROW()-1,FALSE))</f>
        <v/>
      </c>
      <c r="CE117" t="str">
        <f ca="1">IF(AND(ISNUMBER($CE$331),$B$252=1),$CE$331,HLOOKUP(INDIRECT(ADDRESS(2,COLUMN())),OFFSET($CL$2,0,0,ROW()-1,84),ROW()-1,FALSE))</f>
        <v/>
      </c>
      <c r="CF117">
        <f ca="1">IF(AND(ISNUMBER($CF$331),$B$252=1),$CF$331,HLOOKUP(INDIRECT(ADDRESS(2,COLUMN())),OFFSET($CL$2,0,0,ROW()-1,84),ROW()-1,FALSE))</f>
        <v>0.34133554100000002</v>
      </c>
      <c r="CG117" t="str">
        <f ca="1">IF(AND(ISNUMBER($CG$331),$B$252=1),$CG$331,HLOOKUP(INDIRECT(ADDRESS(2,COLUMN())),OFFSET($CL$2,0,0,ROW()-1,84),ROW()-1,FALSE))</f>
        <v/>
      </c>
      <c r="CH117" t="str">
        <f ca="1">IF(AND(ISNUMBER($CH$331),$B$252=1),$CH$331,HLOOKUP(INDIRECT(ADDRESS(2,COLUMN())),OFFSET($CL$2,0,0,ROW()-1,84),ROW()-1,FALSE))</f>
        <v/>
      </c>
      <c r="CI117">
        <f ca="1">IF(AND(ISNUMBER($CI$331),$B$252=1),$CI$331,HLOOKUP(INDIRECT(ADDRESS(2,COLUMN())),OFFSET($CL$2,0,0,ROW()-1,84),ROW()-1,FALSE))</f>
        <v>0.33376907700000003</v>
      </c>
      <c r="CJ117" t="str">
        <f ca="1">IF(AND(ISNUMBER($CJ$331),$B$252=1),$CJ$331,HLOOKUP(INDIRECT(ADDRESS(2,COLUMN())),OFFSET($CL$2,0,0,ROW()-1,84),ROW()-1,FALSE))</f>
        <v/>
      </c>
      <c r="CK117" t="str">
        <f ca="1">IF(AND(ISNUMBER($CK$331),$B$252=1),$CK$331,HLOOKUP(INDIRECT(ADDRESS(2,COLUMN())),OFFSET($CL$2,0,0,ROW()-1,84),ROW()-1,FALSE))</f>
        <v/>
      </c>
      <c r="CL117" t="str">
        <f>""</f>
        <v/>
      </c>
      <c r="CM117" t="str">
        <f>""</f>
        <v/>
      </c>
      <c r="CN117" t="str">
        <f>""</f>
        <v/>
      </c>
      <c r="CO117">
        <f>0.477342163</f>
        <v>0.47734216299999999</v>
      </c>
      <c r="CP117" t="str">
        <f>""</f>
        <v/>
      </c>
      <c r="CQ117" t="str">
        <f>""</f>
        <v/>
      </c>
      <c r="CR117">
        <f>0.470205456</f>
        <v>0.47020545600000002</v>
      </c>
      <c r="CS117" t="str">
        <f>""</f>
        <v/>
      </c>
      <c r="CT117" t="str">
        <f>""</f>
        <v/>
      </c>
      <c r="CU117">
        <f>0.470151743</f>
        <v>0.47015174300000001</v>
      </c>
      <c r="CV117" t="str">
        <f>""</f>
        <v/>
      </c>
      <c r="CW117" t="str">
        <f>""</f>
        <v/>
      </c>
      <c r="CX117">
        <f>0.451809706</f>
        <v>0.45180970599999998</v>
      </c>
      <c r="CY117" t="str">
        <f>""</f>
        <v/>
      </c>
      <c r="CZ117" t="str">
        <f>""</f>
        <v/>
      </c>
      <c r="DA117">
        <f>0.458630667</f>
        <v>0.45863066699999999</v>
      </c>
      <c r="DB117" t="str">
        <f>""</f>
        <v/>
      </c>
      <c r="DC117" t="str">
        <f>""</f>
        <v/>
      </c>
      <c r="DD117">
        <f>0.452289253</f>
        <v>0.452289253</v>
      </c>
      <c r="DE117" t="str">
        <f>""</f>
        <v/>
      </c>
      <c r="DF117" t="str">
        <f>""</f>
        <v/>
      </c>
      <c r="DG117">
        <f>0.445841262</f>
        <v>0.44584126200000002</v>
      </c>
      <c r="DH117" t="str">
        <f>""</f>
        <v/>
      </c>
      <c r="DI117" t="str">
        <f>""</f>
        <v/>
      </c>
      <c r="DJ117">
        <f>0.429641988</f>
        <v>0.42964198799999997</v>
      </c>
      <c r="DK117" t="str">
        <f>""</f>
        <v/>
      </c>
      <c r="DL117" t="str">
        <f>""</f>
        <v/>
      </c>
      <c r="DM117">
        <f>0.424475419</f>
        <v>0.42447541900000002</v>
      </c>
      <c r="DN117" t="str">
        <f>""</f>
        <v/>
      </c>
      <c r="DO117" t="str">
        <f>""</f>
        <v/>
      </c>
      <c r="DP117">
        <f>0.423191619</f>
        <v>0.42319161900000002</v>
      </c>
      <c r="DQ117" t="str">
        <f>""</f>
        <v/>
      </c>
      <c r="DR117" t="str">
        <f>""</f>
        <v/>
      </c>
      <c r="DS117">
        <f>0.419774431</f>
        <v>0.419774431</v>
      </c>
      <c r="DT117" t="str">
        <f>""</f>
        <v/>
      </c>
      <c r="DU117" t="str">
        <f>""</f>
        <v/>
      </c>
      <c r="DV117">
        <f>0.400154322</f>
        <v>0.40015432200000001</v>
      </c>
      <c r="DW117" t="str">
        <f>""</f>
        <v/>
      </c>
      <c r="DX117" t="str">
        <f>""</f>
        <v/>
      </c>
      <c r="DY117">
        <f>0.390079594</f>
        <v>0.39007959399999997</v>
      </c>
      <c r="DZ117" t="str">
        <f>""</f>
        <v/>
      </c>
      <c r="EA117" t="str">
        <f>""</f>
        <v/>
      </c>
      <c r="EB117" t="str">
        <f>""</f>
        <v/>
      </c>
      <c r="EC117" t="str">
        <f>""</f>
        <v/>
      </c>
      <c r="ED117" t="str">
        <f>""</f>
        <v/>
      </c>
      <c r="EE117" t="str">
        <f>""</f>
        <v/>
      </c>
      <c r="EF117" t="str">
        <f>""</f>
        <v/>
      </c>
      <c r="EG117" t="str">
        <f>""</f>
        <v/>
      </c>
      <c r="EH117">
        <f>0.357790421</f>
        <v>0.35779042100000003</v>
      </c>
      <c r="EI117" t="str">
        <f>""</f>
        <v/>
      </c>
      <c r="EJ117" t="str">
        <f>""</f>
        <v/>
      </c>
      <c r="EK117">
        <f>0.365098985</f>
        <v>0.36509898499999999</v>
      </c>
      <c r="EL117" t="str">
        <f>""</f>
        <v/>
      </c>
      <c r="EM117" t="str">
        <f>""</f>
        <v/>
      </c>
      <c r="EN117">
        <f>0.356009749</f>
        <v>0.35600974899999999</v>
      </c>
      <c r="EO117" t="str">
        <f>""</f>
        <v/>
      </c>
      <c r="EP117" t="str">
        <f>""</f>
        <v/>
      </c>
      <c r="EQ117">
        <f>0.354920649</f>
        <v>0.35492064899999998</v>
      </c>
      <c r="ER117" t="str">
        <f>""</f>
        <v/>
      </c>
      <c r="ES117" t="str">
        <f>""</f>
        <v/>
      </c>
      <c r="ET117">
        <f>0.338752627</f>
        <v>0.33875262699999997</v>
      </c>
      <c r="EU117" t="str">
        <f>""</f>
        <v/>
      </c>
      <c r="EV117" t="str">
        <f>""</f>
        <v/>
      </c>
      <c r="EW117">
        <f>0.373205129</f>
        <v>0.37320512900000002</v>
      </c>
      <c r="EX117" t="str">
        <f>""</f>
        <v/>
      </c>
      <c r="EY117" t="str">
        <f>""</f>
        <v/>
      </c>
      <c r="EZ117">
        <f>0.352178525</f>
        <v>0.35217852500000002</v>
      </c>
      <c r="FA117" t="str">
        <f>""</f>
        <v/>
      </c>
      <c r="FB117" t="str">
        <f>""</f>
        <v/>
      </c>
      <c r="FC117">
        <f>0.344873115</f>
        <v>0.34487311500000001</v>
      </c>
      <c r="FD117" t="str">
        <f>""</f>
        <v/>
      </c>
      <c r="FE117" t="str">
        <f>""</f>
        <v/>
      </c>
      <c r="FF117">
        <f>0.359810384</f>
        <v>0.35981038399999998</v>
      </c>
      <c r="FG117" t="str">
        <f>""</f>
        <v/>
      </c>
      <c r="FH117" t="str">
        <f>""</f>
        <v/>
      </c>
      <c r="FI117">
        <f>0.359108083</f>
        <v>0.35910808300000002</v>
      </c>
      <c r="FJ117" t="str">
        <f>""</f>
        <v/>
      </c>
      <c r="FK117" t="str">
        <f>""</f>
        <v/>
      </c>
      <c r="FL117">
        <f>0.341335541</f>
        <v>0.34133554100000002</v>
      </c>
      <c r="FM117" t="str">
        <f>""</f>
        <v/>
      </c>
      <c r="FN117" t="str">
        <f>""</f>
        <v/>
      </c>
      <c r="FO117">
        <f>0.333769077</f>
        <v>0.33376907700000003</v>
      </c>
      <c r="FP117" t="str">
        <f>""</f>
        <v/>
      </c>
      <c r="FQ117" t="str">
        <f>""</f>
        <v/>
      </c>
    </row>
    <row r="118" spans="1:173">
      <c r="A118" t="str">
        <f>"每股AFFO TTM"</f>
        <v>每股AFFO TTM</v>
      </c>
      <c r="B118" t="str">
        <f>"BRFREITV Index"</f>
        <v>BRFREITV Index</v>
      </c>
      <c r="E118" t="str">
        <f>"Sum"</f>
        <v>Sum</v>
      </c>
      <c r="F118" t="str">
        <f ca="1">IF(ISERROR(IF(SUM($F$119:$F$125) = 0, "", SUM($F$119:$F$125))), "", (IF(SUM($F$119:$F$125) = 0, "", SUM($F$119:$F$125))))</f>
        <v/>
      </c>
      <c r="G118" t="str">
        <f ca="1">IF(ISERROR(IF(SUM($G$119:$G$125) = 0, "", SUM($G$119:$G$125))), "", (IF(SUM($G$119:$G$125) = 0, "", SUM($G$119:$G$125))))</f>
        <v/>
      </c>
      <c r="H118" t="str">
        <f ca="1">IF(ISERROR(IF(SUM($H$119:$H$125) = 0, "", SUM($H$119:$H$125))), "", (IF(SUM($H$119:$H$125) = 0, "", SUM($H$119:$H$125))))</f>
        <v/>
      </c>
      <c r="I118">
        <f ca="1">IF(ISERROR(IF(SUM($I$119:$I$125) = 0, "", SUM($I$119:$I$125))), "", (IF(SUM($I$119:$I$125) = 0, "", SUM($I$119:$I$125))))</f>
        <v>38.419068797000001</v>
      </c>
      <c r="J118" t="str">
        <f ca="1">IF(ISERROR(IF(SUM($J$119:$J$125) = 0, "", SUM($J$119:$J$125))), "", (IF(SUM($J$119:$J$125) = 0, "", SUM($J$119:$J$125))))</f>
        <v/>
      </c>
      <c r="K118" t="str">
        <f ca="1">IF(ISERROR(IF(SUM($K$119:$K$125) = 0, "", SUM($K$119:$K$125))), "", (IF(SUM($K$119:$K$125) = 0, "", SUM($K$119:$K$125))))</f>
        <v/>
      </c>
      <c r="L118">
        <f ca="1">IF(ISERROR(IF(SUM($L$119:$L$125) = 0, "", SUM($L$119:$L$125))), "", (IF(SUM($L$119:$L$125) = 0, "", SUM($L$119:$L$125))))</f>
        <v>37.615684894000005</v>
      </c>
      <c r="M118" t="str">
        <f ca="1">IF(ISERROR(IF(SUM($M$119:$M$125) = 0, "", SUM($M$119:$M$125))), "", (IF(SUM($M$119:$M$125) = 0, "", SUM($M$119:$M$125))))</f>
        <v/>
      </c>
      <c r="N118" t="str">
        <f ca="1">IF(ISERROR(IF(SUM($N$119:$N$125) = 0, "", SUM($N$119:$N$125))), "", (IF(SUM($N$119:$N$125) = 0, "", SUM($N$119:$N$125))))</f>
        <v/>
      </c>
      <c r="O118">
        <f ca="1">IF(ISERROR(IF(SUM($O$119:$O$125) = 0, "", SUM($O$119:$O$125))), "", (IF(SUM($O$119:$O$125) = 0, "", SUM($O$119:$O$125))))</f>
        <v>37.220640014999994</v>
      </c>
      <c r="P118" t="str">
        <f ca="1">IF(ISERROR(IF(SUM($P$119:$P$125) = 0, "", SUM($P$119:$P$125))), "", (IF(SUM($P$119:$P$125) = 0, "", SUM($P$119:$P$125))))</f>
        <v/>
      </c>
      <c r="Q118" t="str">
        <f ca="1">IF(ISERROR(IF(SUM($Q$119:$Q$125) = 0, "", SUM($Q$119:$Q$125))), "", (IF(SUM($Q$119:$Q$125) = 0, "", SUM($Q$119:$Q$125))))</f>
        <v/>
      </c>
      <c r="R118">
        <f ca="1">IF(ISERROR(IF(SUM($R$119:$R$125) = 0, "", SUM($R$119:$R$125))), "", (IF(SUM($R$119:$R$125) = 0, "", SUM($R$119:$R$125))))</f>
        <v>36.936095871999996</v>
      </c>
      <c r="S118" t="str">
        <f ca="1">IF(ISERROR(IF(SUM($S$119:$S$125) = 0, "", SUM($S$119:$S$125))), "", (IF(SUM($S$119:$S$125) = 0, "", SUM($S$119:$S$125))))</f>
        <v/>
      </c>
      <c r="T118" t="str">
        <f ca="1">IF(ISERROR(IF(SUM($T$119:$T$125) = 0, "", SUM($T$119:$T$125))), "", (IF(SUM($T$119:$T$125) = 0, "", SUM($T$119:$T$125))))</f>
        <v/>
      </c>
      <c r="U118">
        <f ca="1">IF(ISERROR(IF(SUM($U$119:$U$125) = 0, "", SUM($U$119:$U$125))), "", (IF(SUM($U$119:$U$125) = 0, "", SUM($U$119:$U$125))))</f>
        <v>36.635082990000001</v>
      </c>
      <c r="V118" t="str">
        <f ca="1">IF(ISERROR(IF(SUM($V$119:$V$125) = 0, "", SUM($V$119:$V$125))), "", (IF(SUM($V$119:$V$125) = 0, "", SUM($V$119:$V$125))))</f>
        <v/>
      </c>
      <c r="W118" t="str">
        <f ca="1">IF(ISERROR(IF(SUM($W$119:$W$125) = 0, "", SUM($W$119:$W$125))), "", (IF(SUM($W$119:$W$125) = 0, "", SUM($W$119:$W$125))))</f>
        <v/>
      </c>
      <c r="X118">
        <f ca="1">IF(ISERROR(IF(SUM($X$119:$X$125) = 0, "", SUM($X$119:$X$125))), "", (IF(SUM($X$119:$X$125) = 0, "", SUM($X$119:$X$125))))</f>
        <v>36.782523855999997</v>
      </c>
      <c r="Y118" t="str">
        <f ca="1">IF(ISERROR(IF(SUM($Y$119:$Y$125) = 0, "", SUM($Y$119:$Y$125))), "", (IF(SUM($Y$119:$Y$125) = 0, "", SUM($Y$119:$Y$125))))</f>
        <v/>
      </c>
      <c r="Z118" t="str">
        <f ca="1">IF(ISERROR(IF(SUM($Z$119:$Z$125) = 0, "", SUM($Z$119:$Z$125))), "", (IF(SUM($Z$119:$Z$125) = 0, "", SUM($Z$119:$Z$125))))</f>
        <v/>
      </c>
      <c r="AA118">
        <f ca="1">IF(ISERROR(IF(SUM($AA$119:$AA$125) = 0, "", SUM($AA$119:$AA$125))), "", (IF(SUM($AA$119:$AA$125) = 0, "", SUM($AA$119:$AA$125))))</f>
        <v>36.330321894999997</v>
      </c>
      <c r="AB118" t="str">
        <f ca="1">IF(ISERROR(IF(SUM($AB$119:$AB$125) = 0, "", SUM($AB$119:$AB$125))), "", (IF(SUM($AB$119:$AB$125) = 0, "", SUM($AB$119:$AB$125))))</f>
        <v/>
      </c>
      <c r="AC118" t="str">
        <f ca="1">IF(ISERROR(IF(SUM($AC$119:$AC$125) = 0, "", SUM($AC$119:$AC$125))), "", (IF(SUM($AC$119:$AC$125) = 0, "", SUM($AC$119:$AC$125))))</f>
        <v/>
      </c>
      <c r="AD118">
        <f ca="1">IF(ISERROR(IF(SUM($AD$119:$AD$125) = 0, "", SUM($AD$119:$AD$125))), "", (IF(SUM($AD$119:$AD$125) = 0, "", SUM($AD$119:$AD$125))))</f>
        <v>35.652555404999994</v>
      </c>
      <c r="AE118" t="str">
        <f ca="1">IF(ISERROR(IF(SUM($AE$119:$AE$125) = 0, "", SUM($AE$119:$AE$125))), "", (IF(SUM($AE$119:$AE$125) = 0, "", SUM($AE$119:$AE$125))))</f>
        <v/>
      </c>
      <c r="AF118" t="str">
        <f ca="1">IF(ISERROR(IF(SUM($AF$119:$AF$125) = 0, "", SUM($AF$119:$AF$125))), "", (IF(SUM($AF$119:$AF$125) = 0, "", SUM($AF$119:$AF$125))))</f>
        <v/>
      </c>
      <c r="AG118">
        <f ca="1">IF(ISERROR(IF(SUM($AG$119:$AG$125) = 0, "", SUM($AG$119:$AG$125))), "", (IF(SUM($AG$119:$AG$125) = 0, "", SUM($AG$119:$AG$125))))</f>
        <v>34.755266921</v>
      </c>
      <c r="AH118" t="str">
        <f ca="1">IF(ISERROR(IF(SUM($AH$119:$AH$125) = 0, "", SUM($AH$119:$AH$125))), "", (IF(SUM($AH$119:$AH$125) = 0, "", SUM($AH$119:$AH$125))))</f>
        <v/>
      </c>
      <c r="AI118" t="str">
        <f ca="1">IF(ISERROR(IF(SUM($AI$119:$AI$125) = 0, "", SUM($AI$119:$AI$125))), "", (IF(SUM($AI$119:$AI$125) = 0, "", SUM($AI$119:$AI$125))))</f>
        <v/>
      </c>
      <c r="AJ118">
        <f ca="1">IF(ISERROR(IF(SUM($AJ$119:$AJ$125) = 0, "", SUM($AJ$119:$AJ$125))), "", (IF(SUM($AJ$119:$AJ$125) = 0, "", SUM($AJ$119:$AJ$125))))</f>
        <v>33.737697264000005</v>
      </c>
      <c r="AK118" t="str">
        <f ca="1">IF(ISERROR(IF(SUM($AK$119:$AK$125) = 0, "", SUM($AK$119:$AK$125))), "", (IF(SUM($AK$119:$AK$125) = 0, "", SUM($AK$119:$AK$125))))</f>
        <v/>
      </c>
      <c r="AL118" t="str">
        <f ca="1">IF(ISERROR(IF(SUM($AL$119:$AL$125) = 0, "", SUM($AL$119:$AL$125))), "", (IF(SUM($AL$119:$AL$125) = 0, "", SUM($AL$119:$AL$125))))</f>
        <v/>
      </c>
      <c r="AM118">
        <f ca="1">IF(ISERROR(IF(SUM($AM$119:$AM$125) = 0, "", SUM($AM$119:$AM$125))), "", (IF(SUM($AM$119:$AM$125) = 0, "", SUM($AM$119:$AM$125))))</f>
        <v>31.263676416999999</v>
      </c>
      <c r="AN118" t="str">
        <f ca="1">IF(ISERROR(IF(SUM($AN$119:$AN$125) = 0, "", SUM($AN$119:$AN$125))), "", (IF(SUM($AN$119:$AN$125) = 0, "", SUM($AN$119:$AN$125))))</f>
        <v/>
      </c>
      <c r="AO118" t="str">
        <f ca="1">IF(ISERROR(IF(SUM($AO$119:$AO$125) = 0, "", SUM($AO$119:$AO$125))), "", (IF(SUM($AO$119:$AO$125) = 0, "", SUM($AO$119:$AO$125))))</f>
        <v/>
      </c>
      <c r="AP118">
        <f ca="1">IF(ISERROR(IF(SUM($AP$119:$AP$125) = 0, "", SUM($AP$119:$AP$125))), "", (IF(SUM($AP$119:$AP$125) = 0, "", SUM($AP$119:$AP$125))))</f>
        <v>30.422447233000003</v>
      </c>
      <c r="AQ118" t="str">
        <f ca="1">IF(ISERROR(IF(SUM($AQ$119:$AQ$125) = 0, "", SUM($AQ$119:$AQ$125))), "", (IF(SUM($AQ$119:$AQ$125) = 0, "", SUM($AQ$119:$AQ$125))))</f>
        <v/>
      </c>
      <c r="AR118" t="str">
        <f ca="1">IF(ISERROR(IF(SUM($AR$119:$AR$125) = 0, "", SUM($AR$119:$AR$125))), "", (IF(SUM($AR$119:$AR$125) = 0, "", SUM($AR$119:$AR$125))))</f>
        <v/>
      </c>
      <c r="AS118">
        <f ca="1">IF(ISERROR(IF(SUM($AS$119:$AS$125) = 0, "", SUM($AS$119:$AS$125))), "", (IF(SUM($AS$119:$AS$125) = 0, "", SUM($AS$119:$AS$125))))</f>
        <v>29.777563835999999</v>
      </c>
      <c r="AT118" t="str">
        <f ca="1">IF(ISERROR(IF(SUM($AT$119:$AT$125) = 0, "", SUM($AT$119:$AT$125))), "", (IF(SUM($AT$119:$AT$125) = 0, "", SUM($AT$119:$AT$125))))</f>
        <v/>
      </c>
      <c r="AU118" t="str">
        <f ca="1">IF(ISERROR(IF(SUM($AU$119:$AU$125) = 0, "", SUM($AU$119:$AU$125))), "", (IF(SUM($AU$119:$AU$125) = 0, "", SUM($AU$119:$AU$125))))</f>
        <v/>
      </c>
      <c r="AV118">
        <f ca="1">IF(ISERROR(IF(SUM($AV$119:$AV$125) = 0, "", SUM($AV$119:$AV$125))), "", (IF(SUM($AV$119:$AV$125) = 0, "", SUM($AV$119:$AV$125))))</f>
        <v>29.148704792</v>
      </c>
      <c r="AW118" t="str">
        <f ca="1">IF(ISERROR(IF(SUM($AW$119:$AW$125) = 0, "", SUM($AW$119:$AW$125))), "", (IF(SUM($AW$119:$AW$125) = 0, "", SUM($AW$119:$AW$125))))</f>
        <v/>
      </c>
      <c r="AX118" t="str">
        <f ca="1">IF(ISERROR(IF(SUM($AX$119:$AX$125) = 0, "", SUM($AX$119:$AX$125))), "", (IF(SUM($AX$119:$AX$125) = 0, "", SUM($AX$119:$AX$125))))</f>
        <v/>
      </c>
      <c r="AY118">
        <f ca="1">IF(ISERROR(IF(SUM($AY$119:$AY$125) = 0, "", SUM($AY$119:$AY$125))), "", (IF(SUM($AY$119:$AY$125) = 0, "", SUM($AY$119:$AY$125))))</f>
        <v>28.645441708</v>
      </c>
      <c r="AZ118" t="str">
        <f ca="1">IF(ISERROR(IF(SUM($AZ$119:$AZ$125) = 0, "", SUM($AZ$119:$AZ$125))), "", (IF(SUM($AZ$119:$AZ$125) = 0, "", SUM($AZ$119:$AZ$125))))</f>
        <v/>
      </c>
      <c r="BA118" t="str">
        <f ca="1">IF(ISERROR(IF(SUM($BA$119:$BA$125) = 0, "", SUM($BA$119:$BA$125))), "", (IF(SUM($BA$119:$BA$125) = 0, "", SUM($BA$119:$BA$125))))</f>
        <v/>
      </c>
      <c r="BB118">
        <f ca="1">IF(ISERROR(IF(SUM($BB$119:$BB$125) = 0, "", SUM($BB$119:$BB$125))), "", (IF(SUM($BB$119:$BB$125) = 0, "", SUM($BB$119:$BB$125))))</f>
        <v>29.754858192999997</v>
      </c>
      <c r="BC118" t="str">
        <f ca="1">IF(ISERROR(IF(SUM($BC$119:$BC$125) = 0, "", SUM($BC$119:$BC$125))), "", (IF(SUM($BC$119:$BC$125) = 0, "", SUM($BC$119:$BC$125))))</f>
        <v/>
      </c>
      <c r="BD118" t="str">
        <f ca="1">IF(ISERROR(IF(SUM($BD$119:$BD$125) = 0, "", SUM($BD$119:$BD$125))), "", (IF(SUM($BD$119:$BD$125) = 0, "", SUM($BD$119:$BD$125))))</f>
        <v/>
      </c>
      <c r="BE118">
        <f ca="1">IF(ISERROR(IF(SUM($BE$119:$BE$125) = 0, "", SUM($BE$119:$BE$125))), "", (IF(SUM($BE$119:$BE$125) = 0, "", SUM($BE$119:$BE$125))))</f>
        <v>29.191712349999996</v>
      </c>
      <c r="BF118" t="str">
        <f ca="1">IF(ISERROR(IF(SUM($BF$119:$BF$125) = 0, "", SUM($BF$119:$BF$125))), "", (IF(SUM($BF$119:$BF$125) = 0, "", SUM($BF$119:$BF$125))))</f>
        <v/>
      </c>
      <c r="BG118" t="str">
        <f ca="1">IF(ISERROR(IF(SUM($BG$119:$BG$125) = 0, "", SUM($BG$119:$BG$125))), "", (IF(SUM($BG$119:$BG$125) = 0, "", SUM($BG$119:$BG$125))))</f>
        <v/>
      </c>
      <c r="BH118">
        <f ca="1">IF(ISERROR(IF(SUM($BH$119:$BH$125) = 0, "", SUM($BH$119:$BH$125))), "", (IF(SUM($BH$119:$BH$125) = 0, "", SUM($BH$119:$BH$125))))</f>
        <v>28.553879603999999</v>
      </c>
      <c r="BI118" t="str">
        <f ca="1">IF(ISERROR(IF(SUM($BI$119:$BI$125) = 0, "", SUM($BI$119:$BI$125))), "", (IF(SUM($BI$119:$BI$125) = 0, "", SUM($BI$119:$BI$125))))</f>
        <v/>
      </c>
      <c r="BJ118" t="str">
        <f ca="1">IF(ISERROR(IF(SUM($BJ$119:$BJ$125) = 0, "", SUM($BJ$119:$BJ$125))), "", (IF(SUM($BJ$119:$BJ$125) = 0, "", SUM($BJ$119:$BJ$125))))</f>
        <v/>
      </c>
      <c r="BK118">
        <f ca="1">IF(ISERROR(IF(SUM($BK$119:$BK$125) = 0, "", SUM($BK$119:$BK$125))), "", (IF(SUM($BK$119:$BK$125) = 0, "", SUM($BK$119:$BK$125))))</f>
        <v>27.887834397999999</v>
      </c>
      <c r="BL118" t="str">
        <f ca="1">IF(ISERROR(IF(SUM($BL$119:$BL$125) = 0, "", SUM($BL$119:$BL$125))), "", (IF(SUM($BL$119:$BL$125) = 0, "", SUM($BL$119:$BL$125))))</f>
        <v/>
      </c>
      <c r="BM118" t="str">
        <f ca="1">IF(ISERROR(IF(SUM($BM$119:$BM$125) = 0, "", SUM($BM$119:$BM$125))), "", (IF(SUM($BM$119:$BM$125) = 0, "", SUM($BM$119:$BM$125))))</f>
        <v/>
      </c>
      <c r="BN118">
        <f ca="1">IF(ISERROR(IF(SUM($BN$119:$BN$125) = 0, "", SUM($BN$119:$BN$125))), "", (IF(SUM($BN$119:$BN$125) = 0, "", SUM($BN$119:$BN$125))))</f>
        <v>27.099522855000004</v>
      </c>
      <c r="BO118" t="str">
        <f ca="1">IF(ISERROR(IF(SUM($BO$119:$BO$125) = 0, "", SUM($BO$119:$BO$125))), "", (IF(SUM($BO$119:$BO$125) = 0, "", SUM($BO$119:$BO$125))))</f>
        <v/>
      </c>
      <c r="BP118" t="str">
        <f ca="1">IF(ISERROR(IF(SUM($BP$119:$BP$125) = 0, "", SUM($BP$119:$BP$125))), "", (IF(SUM($BP$119:$BP$125) = 0, "", SUM($BP$119:$BP$125))))</f>
        <v/>
      </c>
      <c r="BQ118">
        <f ca="1">IF(ISERROR(IF(SUM($BQ$119:$BQ$125) = 0, "", SUM($BQ$119:$BQ$125))), "", (IF(SUM($BQ$119:$BQ$125) = 0, "", SUM($BQ$119:$BQ$125))))</f>
        <v>26.420774051999999</v>
      </c>
      <c r="BR118" t="str">
        <f ca="1">IF(ISERROR(IF(SUM($BR$119:$BR$125) = 0, "", SUM($BR$119:$BR$125))), "", (IF(SUM($BR$119:$BR$125) = 0, "", SUM($BR$119:$BR$125))))</f>
        <v/>
      </c>
      <c r="BS118" t="str">
        <f ca="1">IF(ISERROR(IF(SUM($BS$119:$BS$125) = 0, "", SUM($BS$119:$BS$125))), "", (IF(SUM($BS$119:$BS$125) = 0, "", SUM($BS$119:$BS$125))))</f>
        <v/>
      </c>
      <c r="BT118">
        <f ca="1">IF(ISERROR(IF(SUM($BT$119:$BT$125) = 0, "", SUM($BT$119:$BT$125))), "", (IF(SUM($BT$119:$BT$125) = 0, "", SUM($BT$119:$BT$125))))</f>
        <v>25.643728453000001</v>
      </c>
      <c r="BU118" t="str">
        <f ca="1">IF(ISERROR(IF(SUM($BU$119:$BU$125) = 0, "", SUM($BU$119:$BU$125))), "", (IF(SUM($BU$119:$BU$125) = 0, "", SUM($BU$119:$BU$125))))</f>
        <v/>
      </c>
      <c r="BV118" t="str">
        <f ca="1">IF(ISERROR(IF(SUM($BV$119:$BV$125) = 0, "", SUM($BV$119:$BV$125))), "", (IF(SUM($BV$119:$BV$125) = 0, "", SUM($BV$119:$BV$125))))</f>
        <v/>
      </c>
      <c r="BW118">
        <f ca="1">IF(ISERROR(IF(SUM($BW$119:$BW$125) = 0, "", SUM($BW$119:$BW$125))), "", (IF(SUM($BW$119:$BW$125) = 0, "", SUM($BW$119:$BW$125))))</f>
        <v>24.616950072999998</v>
      </c>
      <c r="BX118" t="str">
        <f ca="1">IF(ISERROR(IF(SUM($BX$119:$BX$125) = 0, "", SUM($BX$119:$BX$125))), "", (IF(SUM($BX$119:$BX$125) = 0, "", SUM($BX$119:$BX$125))))</f>
        <v/>
      </c>
      <c r="BY118" t="str">
        <f ca="1">IF(ISERROR(IF(SUM($BY$119:$BY$125) = 0, "", SUM($BY$119:$BY$125))), "", (IF(SUM($BY$119:$BY$125) = 0, "", SUM($BY$119:$BY$125))))</f>
        <v/>
      </c>
      <c r="BZ118">
        <f ca="1">IF(ISERROR(IF(SUM($BZ$119:$BZ$125) = 0, "", SUM($BZ$119:$BZ$125))), "", (IF(SUM($BZ$119:$BZ$125) = 0, "", SUM($BZ$119:$BZ$125))))</f>
        <v>23.132424165000003</v>
      </c>
      <c r="CA118" t="str">
        <f ca="1">IF(ISERROR(IF(SUM($CA$119:$CA$125) = 0, "", SUM($CA$119:$CA$125))), "", (IF(SUM($CA$119:$CA$125) = 0, "", SUM($CA$119:$CA$125))))</f>
        <v/>
      </c>
      <c r="CB118" t="str">
        <f ca="1">IF(ISERROR(IF(SUM($CB$119:$CB$125) = 0, "", SUM($CB$119:$CB$125))), "", (IF(SUM($CB$119:$CB$125) = 0, "", SUM($CB$119:$CB$125))))</f>
        <v/>
      </c>
      <c r="CC118">
        <f ca="1">IF(ISERROR(IF(SUM($CC$119:$CC$125) = 0, "", SUM($CC$119:$CC$125))), "", (IF(SUM($CC$119:$CC$125) = 0, "", SUM($CC$119:$CC$125))))</f>
        <v>22.257974672</v>
      </c>
      <c r="CD118" t="str">
        <f ca="1">IF(ISERROR(IF(SUM($CD$119:$CD$125) = 0, "", SUM($CD$119:$CD$125))), "", (IF(SUM($CD$119:$CD$125) = 0, "", SUM($CD$119:$CD$125))))</f>
        <v/>
      </c>
      <c r="CE118" t="str">
        <f ca="1">IF(ISERROR(IF(SUM($CE$119:$CE$125) = 0, "", SUM($CE$119:$CE$125))), "", (IF(SUM($CE$119:$CE$125) = 0, "", SUM($CE$119:$CE$125))))</f>
        <v/>
      </c>
      <c r="CF118">
        <f ca="1">IF(ISERROR(IF(SUM($CF$119:$CF$125) = 0, "", SUM($CF$119:$CF$125))), "", (IF(SUM($CF$119:$CF$125) = 0, "", SUM($CF$119:$CF$125))))</f>
        <v>21.406242661</v>
      </c>
      <c r="CG118" t="str">
        <f ca="1">IF(ISERROR(IF(SUM($CG$119:$CG$125) = 0, "", SUM($CG$119:$CG$125))), "", (IF(SUM($CG$119:$CG$125) = 0, "", SUM($CG$119:$CG$125))))</f>
        <v/>
      </c>
      <c r="CH118" t="str">
        <f ca="1">IF(ISERROR(IF(SUM($CH$119:$CH$125) = 0, "", SUM($CH$119:$CH$125))), "", (IF(SUM($CH$119:$CH$125) = 0, "", SUM($CH$119:$CH$125))))</f>
        <v/>
      </c>
      <c r="CI118">
        <f ca="1">IF(ISERROR(IF(SUM($CI$119:$CI$125) = 0, "", SUM($CI$119:$CI$125))), "", (IF(SUM($CI$119:$CI$125) = 0, "", SUM($CI$119:$CI$125))))</f>
        <v>20.678147512000002</v>
      </c>
      <c r="CJ118" t="str">
        <f ca="1">IF(ISERROR(IF(SUM($CJ$119:$CJ$125) = 0, "", SUM($CJ$119:$CJ$125))), "", (IF(SUM($CJ$119:$CJ$125) = 0, "", SUM($CJ$119:$CJ$125))))</f>
        <v/>
      </c>
      <c r="CK118" t="str">
        <f ca="1">IF(ISERROR(IF(SUM($CK$119:$CK$125) = 0, "", SUM($CK$119:$CK$125))), "", (IF(SUM($CK$119:$CK$125) = 0, "", SUM($CK$119:$CK$125))))</f>
        <v/>
      </c>
      <c r="CL118" t="str">
        <f>""</f>
        <v/>
      </c>
      <c r="CM118" t="str">
        <f>""</f>
        <v/>
      </c>
      <c r="CN118" t="str">
        <f>""</f>
        <v/>
      </c>
      <c r="CO118">
        <f>38.4190688</f>
        <v>38.419068799999998</v>
      </c>
      <c r="CP118" t="str">
        <f>""</f>
        <v/>
      </c>
      <c r="CQ118" t="str">
        <f>""</f>
        <v/>
      </c>
      <c r="CR118">
        <f>37.6156849</f>
        <v>37.615684899999998</v>
      </c>
      <c r="CS118" t="str">
        <f>""</f>
        <v/>
      </c>
      <c r="CT118" t="str">
        <f>""</f>
        <v/>
      </c>
      <c r="CU118">
        <f>37.22064002</f>
        <v>37.220640019999998</v>
      </c>
      <c r="CV118" t="str">
        <f>""</f>
        <v/>
      </c>
      <c r="CW118" t="str">
        <f>""</f>
        <v/>
      </c>
      <c r="CX118">
        <f>36.93609587</f>
        <v>36.936095870000003</v>
      </c>
      <c r="CY118" t="str">
        <f>""</f>
        <v/>
      </c>
      <c r="CZ118" t="str">
        <f>""</f>
        <v/>
      </c>
      <c r="DA118">
        <f>36.63508299</f>
        <v>36.635082990000001</v>
      </c>
      <c r="DB118" t="str">
        <f>""</f>
        <v/>
      </c>
      <c r="DC118" t="str">
        <f>""</f>
        <v/>
      </c>
      <c r="DD118">
        <f>36.78252386</f>
        <v>36.782523859999998</v>
      </c>
      <c r="DE118" t="str">
        <f>""</f>
        <v/>
      </c>
      <c r="DF118" t="str">
        <f>""</f>
        <v/>
      </c>
      <c r="DG118">
        <f>36.3303219</f>
        <v>36.330321900000001</v>
      </c>
      <c r="DH118" t="str">
        <f>""</f>
        <v/>
      </c>
      <c r="DI118" t="str">
        <f>""</f>
        <v/>
      </c>
      <c r="DJ118">
        <f>35.6525554</f>
        <v>35.652555399999997</v>
      </c>
      <c r="DK118" t="str">
        <f>""</f>
        <v/>
      </c>
      <c r="DL118" t="str">
        <f>""</f>
        <v/>
      </c>
      <c r="DM118">
        <f>34.75526692</f>
        <v>34.755266919999997</v>
      </c>
      <c r="DN118" t="str">
        <f>""</f>
        <v/>
      </c>
      <c r="DO118" t="str">
        <f>""</f>
        <v/>
      </c>
      <c r="DP118">
        <f>33.73769726</f>
        <v>33.737697259999997</v>
      </c>
      <c r="DQ118" t="str">
        <f>""</f>
        <v/>
      </c>
      <c r="DR118" t="str">
        <f>""</f>
        <v/>
      </c>
      <c r="DS118">
        <f>31.26367642</f>
        <v>31.263676419999999</v>
      </c>
      <c r="DT118" t="str">
        <f>""</f>
        <v/>
      </c>
      <c r="DU118" t="str">
        <f>""</f>
        <v/>
      </c>
      <c r="DV118">
        <f>30.42244723</f>
        <v>30.42244723</v>
      </c>
      <c r="DW118" t="str">
        <f>""</f>
        <v/>
      </c>
      <c r="DX118" t="str">
        <f>""</f>
        <v/>
      </c>
      <c r="DY118">
        <f>29.77756384</f>
        <v>29.777563839999999</v>
      </c>
      <c r="DZ118" t="str">
        <f>""</f>
        <v/>
      </c>
      <c r="EA118" t="str">
        <f>""</f>
        <v/>
      </c>
      <c r="EB118">
        <f>29.14870479</f>
        <v>29.14870479</v>
      </c>
      <c r="EC118" t="str">
        <f>""</f>
        <v/>
      </c>
      <c r="ED118" t="str">
        <f>""</f>
        <v/>
      </c>
      <c r="EE118">
        <f>28.64544171</f>
        <v>28.64544171</v>
      </c>
      <c r="EF118" t="str">
        <f>""</f>
        <v/>
      </c>
      <c r="EG118" t="str">
        <f>""</f>
        <v/>
      </c>
      <c r="EH118">
        <f>29.75485819</f>
        <v>29.75485819</v>
      </c>
      <c r="EI118" t="str">
        <f>""</f>
        <v/>
      </c>
      <c r="EJ118" t="str">
        <f>""</f>
        <v/>
      </c>
      <c r="EK118">
        <f>29.19171235</f>
        <v>29.19171235</v>
      </c>
      <c r="EL118" t="str">
        <f>""</f>
        <v/>
      </c>
      <c r="EM118" t="str">
        <f>""</f>
        <v/>
      </c>
      <c r="EN118">
        <f>28.5538796</f>
        <v>28.553879599999998</v>
      </c>
      <c r="EO118" t="str">
        <f>""</f>
        <v/>
      </c>
      <c r="EP118" t="str">
        <f>""</f>
        <v/>
      </c>
      <c r="EQ118">
        <f>27.8878344</f>
        <v>27.887834399999999</v>
      </c>
      <c r="ER118" t="str">
        <f>""</f>
        <v/>
      </c>
      <c r="ES118" t="str">
        <f>""</f>
        <v/>
      </c>
      <c r="ET118">
        <f>27.09952286</f>
        <v>27.09952286</v>
      </c>
      <c r="EU118" t="str">
        <f>""</f>
        <v/>
      </c>
      <c r="EV118" t="str">
        <f>""</f>
        <v/>
      </c>
      <c r="EW118">
        <f>26.42077405</f>
        <v>26.420774049999999</v>
      </c>
      <c r="EX118" t="str">
        <f>""</f>
        <v/>
      </c>
      <c r="EY118" t="str">
        <f>""</f>
        <v/>
      </c>
      <c r="EZ118">
        <f>25.64372845</f>
        <v>25.643728450000001</v>
      </c>
      <c r="FA118" t="str">
        <f>""</f>
        <v/>
      </c>
      <c r="FB118" t="str">
        <f>""</f>
        <v/>
      </c>
      <c r="FC118">
        <f>24.61695007</f>
        <v>24.616950070000001</v>
      </c>
      <c r="FD118" t="str">
        <f>""</f>
        <v/>
      </c>
      <c r="FE118" t="str">
        <f>""</f>
        <v/>
      </c>
      <c r="FF118">
        <f>23.13242417</f>
        <v>23.13242417</v>
      </c>
      <c r="FG118" t="str">
        <f>""</f>
        <v/>
      </c>
      <c r="FH118" t="str">
        <f>""</f>
        <v/>
      </c>
      <c r="FI118">
        <f>22.25797467</f>
        <v>22.257974669999999</v>
      </c>
      <c r="FJ118" t="str">
        <f>""</f>
        <v/>
      </c>
      <c r="FK118" t="str">
        <f>""</f>
        <v/>
      </c>
      <c r="FL118">
        <f>21.40624266</f>
        <v>21.40624266</v>
      </c>
      <c r="FM118" t="str">
        <f>""</f>
        <v/>
      </c>
      <c r="FN118" t="str">
        <f>""</f>
        <v/>
      </c>
      <c r="FO118">
        <f>20.67814751</f>
        <v>20.678147509999999</v>
      </c>
      <c r="FP118" t="str">
        <f>""</f>
        <v/>
      </c>
      <c r="FQ118" t="str">
        <f>""</f>
        <v/>
      </c>
    </row>
    <row r="119" spans="1:173">
      <c r="A119" t="str">
        <f>"    公寓投资与管理"</f>
        <v xml:space="preserve">    公寓投资与管理</v>
      </c>
      <c r="B119" t="str">
        <f>"AIV US Equity"</f>
        <v>AIV US Equity</v>
      </c>
      <c r="C119" t="str">
        <f t="shared" ref="C119:C125" si="36">"F0894"</f>
        <v>F0894</v>
      </c>
      <c r="D119" t="str">
        <f t="shared" ref="D119:D125" si="37">"TRAILING_12_MONTHS_AFFOPS"</f>
        <v>TRAILING_12_MONTHS_AFFOPS</v>
      </c>
      <c r="E119" t="str">
        <f t="shared" ref="E119:E125" si="38">"动态"</f>
        <v>动态</v>
      </c>
      <c r="F119" t="str">
        <f ca="1">IF(AND(ISNUMBER($F$332),$B$252=1),$F$332,HLOOKUP(INDIRECT(ADDRESS(2,COLUMN())),OFFSET($CL$2,0,0,ROW()-1,84),ROW()-1,FALSE))</f>
        <v/>
      </c>
      <c r="G119" t="str">
        <f ca="1">IF(AND(ISNUMBER($G$332),$B$252=1),$G$332,HLOOKUP(INDIRECT(ADDRESS(2,COLUMN())),OFFSET($CL$2,0,0,ROW()-1,84),ROW()-1,FALSE))</f>
        <v/>
      </c>
      <c r="H119" t="str">
        <f ca="1">IF(AND(ISNUMBER($H$332),$B$252=1),$H$332,HLOOKUP(INDIRECT(ADDRESS(2,COLUMN())),OFFSET($CL$2,0,0,ROW()-1,84),ROW()-1,FALSE))</f>
        <v/>
      </c>
      <c r="I119">
        <f ca="1">IF(AND(ISNUMBER($I$332),$B$252=1),$I$332,HLOOKUP(INDIRECT(ADDRESS(2,COLUMN())),OFFSET($CL$2,0,0,ROW()-1,84),ROW()-1,FALSE))</f>
        <v>2.4473273290000002</v>
      </c>
      <c r="J119" t="str">
        <f ca="1">IF(AND(ISNUMBER($J$332),$B$252=1),$J$332,HLOOKUP(INDIRECT(ADDRESS(2,COLUMN())),OFFSET($CL$2,0,0,ROW()-1,84),ROW()-1,FALSE))</f>
        <v/>
      </c>
      <c r="K119" t="str">
        <f ca="1">IF(AND(ISNUMBER($K$332),$B$252=1),$K$332,HLOOKUP(INDIRECT(ADDRESS(2,COLUMN())),OFFSET($CL$2,0,0,ROW()-1,84),ROW()-1,FALSE))</f>
        <v/>
      </c>
      <c r="L119">
        <f ca="1">IF(AND(ISNUMBER($L$332),$B$252=1),$L$332,HLOOKUP(INDIRECT(ADDRESS(2,COLUMN())),OFFSET($CL$2,0,0,ROW()-1,84),ROW()-1,FALSE))</f>
        <v>2.418562138</v>
      </c>
      <c r="M119" t="str">
        <f ca="1">IF(AND(ISNUMBER($M$332),$B$252=1),$M$332,HLOOKUP(INDIRECT(ADDRESS(2,COLUMN())),OFFSET($CL$2,0,0,ROW()-1,84),ROW()-1,FALSE))</f>
        <v/>
      </c>
      <c r="N119" t="str">
        <f ca="1">IF(AND(ISNUMBER($N$332),$B$252=1),$N$332,HLOOKUP(INDIRECT(ADDRESS(2,COLUMN())),OFFSET($CL$2,0,0,ROW()-1,84),ROW()-1,FALSE))</f>
        <v/>
      </c>
      <c r="O119">
        <f ca="1">IF(AND(ISNUMBER($O$332),$B$252=1),$O$332,HLOOKUP(INDIRECT(ADDRESS(2,COLUMN())),OFFSET($CL$2,0,0,ROW()-1,84),ROW()-1,FALSE))</f>
        <v>2.343646256</v>
      </c>
      <c r="P119" t="str">
        <f ca="1">IF(AND(ISNUMBER($P$332),$B$252=1),$P$332,HLOOKUP(INDIRECT(ADDRESS(2,COLUMN())),OFFSET($CL$2,0,0,ROW()-1,84),ROW()-1,FALSE))</f>
        <v/>
      </c>
      <c r="Q119" t="str">
        <f ca="1">IF(AND(ISNUMBER($Q$332),$B$252=1),$Q$332,HLOOKUP(INDIRECT(ADDRESS(2,COLUMN())),OFFSET($CL$2,0,0,ROW()-1,84),ROW()-1,FALSE))</f>
        <v/>
      </c>
      <c r="R119">
        <f ca="1">IF(AND(ISNUMBER($R$332),$B$252=1),$R$332,HLOOKUP(INDIRECT(ADDRESS(2,COLUMN())),OFFSET($CL$2,0,0,ROW()-1,84),ROW()-1,FALSE))</f>
        <v>2.3261936209999998</v>
      </c>
      <c r="S119" t="str">
        <f ca="1">IF(AND(ISNUMBER($S$332),$B$252=1),$S$332,HLOOKUP(INDIRECT(ADDRESS(2,COLUMN())),OFFSET($CL$2,0,0,ROW()-1,84),ROW()-1,FALSE))</f>
        <v/>
      </c>
      <c r="T119" t="str">
        <f ca="1">IF(AND(ISNUMBER($T$332),$B$252=1),$T$332,HLOOKUP(INDIRECT(ADDRESS(2,COLUMN())),OFFSET($CL$2,0,0,ROW()-1,84),ROW()-1,FALSE))</f>
        <v/>
      </c>
      <c r="U119">
        <f ca="1">IF(AND(ISNUMBER($U$332),$B$252=1),$U$332,HLOOKUP(INDIRECT(ADDRESS(2,COLUMN())),OFFSET($CL$2,0,0,ROW()-1,84),ROW()-1,FALSE))</f>
        <v>2.3170473330000001</v>
      </c>
      <c r="V119" t="str">
        <f ca="1">IF(AND(ISNUMBER($V$332),$B$252=1),$V$332,HLOOKUP(INDIRECT(ADDRESS(2,COLUMN())),OFFSET($CL$2,0,0,ROW()-1,84),ROW()-1,FALSE))</f>
        <v/>
      </c>
      <c r="W119" t="str">
        <f ca="1">IF(AND(ISNUMBER($W$332),$B$252=1),$W$332,HLOOKUP(INDIRECT(ADDRESS(2,COLUMN())),OFFSET($CL$2,0,0,ROW()-1,84),ROW()-1,FALSE))</f>
        <v/>
      </c>
      <c r="X119">
        <f ca="1">IF(AND(ISNUMBER($X$332),$B$252=1),$X$332,HLOOKUP(INDIRECT(ADDRESS(2,COLUMN())),OFFSET($CL$2,0,0,ROW()-1,84),ROW()-1,FALSE))</f>
        <v>2.2981628600000001</v>
      </c>
      <c r="Y119" t="str">
        <f ca="1">IF(AND(ISNUMBER($Y$332),$B$252=1),$Y$332,HLOOKUP(INDIRECT(ADDRESS(2,COLUMN())),OFFSET($CL$2,0,0,ROW()-1,84),ROW()-1,FALSE))</f>
        <v/>
      </c>
      <c r="Z119" t="str">
        <f ca="1">IF(AND(ISNUMBER($Z$332),$B$252=1),$Z$332,HLOOKUP(INDIRECT(ADDRESS(2,COLUMN())),OFFSET($CL$2,0,0,ROW()-1,84),ROW()-1,FALSE))</f>
        <v/>
      </c>
      <c r="AA119">
        <f ca="1">IF(AND(ISNUMBER($AA$332),$B$252=1),$AA$332,HLOOKUP(INDIRECT(ADDRESS(2,COLUMN())),OFFSET($CL$2,0,0,ROW()-1,84),ROW()-1,FALSE))</f>
        <v>2.3108467610000001</v>
      </c>
      <c r="AB119" t="str">
        <f ca="1">IF(AND(ISNUMBER($AB$332),$B$252=1),$AB$332,HLOOKUP(INDIRECT(ADDRESS(2,COLUMN())),OFFSET($CL$2,0,0,ROW()-1,84),ROW()-1,FALSE))</f>
        <v/>
      </c>
      <c r="AC119" t="str">
        <f ca="1">IF(AND(ISNUMBER($AC$332),$B$252=1),$AC$332,HLOOKUP(INDIRECT(ADDRESS(2,COLUMN())),OFFSET($CL$2,0,0,ROW()-1,84),ROW()-1,FALSE))</f>
        <v/>
      </c>
      <c r="AD119">
        <f ca="1">IF(AND(ISNUMBER($AD$332),$B$252=1),$AD$332,HLOOKUP(INDIRECT(ADDRESS(2,COLUMN())),OFFSET($CL$2,0,0,ROW()-1,84),ROW()-1,FALSE))</f>
        <v>2.278348459</v>
      </c>
      <c r="AE119" t="str">
        <f ca="1">IF(AND(ISNUMBER($AE$332),$B$252=1),$AE$332,HLOOKUP(INDIRECT(ADDRESS(2,COLUMN())),OFFSET($CL$2,0,0,ROW()-1,84),ROW()-1,FALSE))</f>
        <v/>
      </c>
      <c r="AF119" t="str">
        <f ca="1">IF(AND(ISNUMBER($AF$332),$B$252=1),$AF$332,HLOOKUP(INDIRECT(ADDRESS(2,COLUMN())),OFFSET($CL$2,0,0,ROW()-1,84),ROW()-1,FALSE))</f>
        <v/>
      </c>
      <c r="AG119">
        <f ca="1">IF(AND(ISNUMBER($AG$332),$B$252=1),$AG$332,HLOOKUP(INDIRECT(ADDRESS(2,COLUMN())),OFFSET($CL$2,0,0,ROW()-1,84),ROW()-1,FALSE))</f>
        <v>2.224790541</v>
      </c>
      <c r="AH119" t="str">
        <f ca="1">IF(AND(ISNUMBER($AH$332),$B$252=1),$AH$332,HLOOKUP(INDIRECT(ADDRESS(2,COLUMN())),OFFSET($CL$2,0,0,ROW()-1,84),ROW()-1,FALSE))</f>
        <v/>
      </c>
      <c r="AI119" t="str">
        <f ca="1">IF(AND(ISNUMBER($AI$332),$B$252=1),$AI$332,HLOOKUP(INDIRECT(ADDRESS(2,COLUMN())),OFFSET($CL$2,0,0,ROW()-1,84),ROW()-1,FALSE))</f>
        <v/>
      </c>
      <c r="AJ119">
        <f ca="1">IF(AND(ISNUMBER($AJ$332),$B$252=1),$AJ$332,HLOOKUP(INDIRECT(ADDRESS(2,COLUMN())),OFFSET($CL$2,0,0,ROW()-1,84),ROW()-1,FALSE))</f>
        <v>2.1808644290000001</v>
      </c>
      <c r="AK119" t="str">
        <f ca="1">IF(AND(ISNUMBER($AK$332),$B$252=1),$AK$332,HLOOKUP(INDIRECT(ADDRESS(2,COLUMN())),OFFSET($CL$2,0,0,ROW()-1,84),ROW()-1,FALSE))</f>
        <v/>
      </c>
      <c r="AL119" t="str">
        <f ca="1">IF(AND(ISNUMBER($AL$332),$B$252=1),$AL$332,HLOOKUP(INDIRECT(ADDRESS(2,COLUMN())),OFFSET($CL$2,0,0,ROW()-1,84),ROW()-1,FALSE))</f>
        <v/>
      </c>
      <c r="AM119">
        <f ca="1">IF(AND(ISNUMBER($AM$332),$B$252=1),$AM$332,HLOOKUP(INDIRECT(ADDRESS(2,COLUMN())),OFFSET($CL$2,0,0,ROW()-1,84),ROW()-1,FALSE))</f>
        <v>2.1206634310000001</v>
      </c>
      <c r="AN119" t="str">
        <f ca="1">IF(AND(ISNUMBER($AN$332),$B$252=1),$AN$332,HLOOKUP(INDIRECT(ADDRESS(2,COLUMN())),OFFSET($CL$2,0,0,ROW()-1,84),ROW()-1,FALSE))</f>
        <v/>
      </c>
      <c r="AO119" t="str">
        <f ca="1">IF(AND(ISNUMBER($AO$332),$B$252=1),$AO$332,HLOOKUP(INDIRECT(ADDRESS(2,COLUMN())),OFFSET($CL$2,0,0,ROW()-1,84),ROW()-1,FALSE))</f>
        <v/>
      </c>
      <c r="AP119">
        <f ca="1">IF(AND(ISNUMBER($AP$332),$B$252=1),$AP$332,HLOOKUP(INDIRECT(ADDRESS(2,COLUMN())),OFFSET($CL$2,0,0,ROW()-1,84),ROW()-1,FALSE))</f>
        <v>2.082848888</v>
      </c>
      <c r="AQ119" t="str">
        <f ca="1">IF(AND(ISNUMBER($AQ$332),$B$252=1),$AQ$332,HLOOKUP(INDIRECT(ADDRESS(2,COLUMN())),OFFSET($CL$2,0,0,ROW()-1,84),ROW()-1,FALSE))</f>
        <v/>
      </c>
      <c r="AR119" t="str">
        <f ca="1">IF(AND(ISNUMBER($AR$332),$B$252=1),$AR$332,HLOOKUP(INDIRECT(ADDRESS(2,COLUMN())),OFFSET($CL$2,0,0,ROW()-1,84),ROW()-1,FALSE))</f>
        <v/>
      </c>
      <c r="AS119">
        <f ca="1">IF(AND(ISNUMBER($AS$332),$B$252=1),$AS$332,HLOOKUP(INDIRECT(ADDRESS(2,COLUMN())),OFFSET($CL$2,0,0,ROW()-1,84),ROW()-1,FALSE))</f>
        <v>2.0672149420000001</v>
      </c>
      <c r="AT119" t="str">
        <f ca="1">IF(AND(ISNUMBER($AT$332),$B$252=1),$AT$332,HLOOKUP(INDIRECT(ADDRESS(2,COLUMN())),OFFSET($CL$2,0,0,ROW()-1,84),ROW()-1,FALSE))</f>
        <v/>
      </c>
      <c r="AU119" t="str">
        <f ca="1">IF(AND(ISNUMBER($AU$332),$B$252=1),$AU$332,HLOOKUP(INDIRECT(ADDRESS(2,COLUMN())),OFFSET($CL$2,0,0,ROW()-1,84),ROW()-1,FALSE))</f>
        <v/>
      </c>
      <c r="AV119">
        <f ca="1">IF(AND(ISNUMBER($AV$332),$B$252=1),$AV$332,HLOOKUP(INDIRECT(ADDRESS(2,COLUMN())),OFFSET($CL$2,0,0,ROW()-1,84),ROW()-1,FALSE))</f>
        <v>2.0944195190000001</v>
      </c>
      <c r="AW119" t="str">
        <f ca="1">IF(AND(ISNUMBER($AW$332),$B$252=1),$AW$332,HLOOKUP(INDIRECT(ADDRESS(2,COLUMN())),OFFSET($CL$2,0,0,ROW()-1,84),ROW()-1,FALSE))</f>
        <v/>
      </c>
      <c r="AX119" t="str">
        <f ca="1">IF(AND(ISNUMBER($AX$332),$B$252=1),$AX$332,HLOOKUP(INDIRECT(ADDRESS(2,COLUMN())),OFFSET($CL$2,0,0,ROW()-1,84),ROW()-1,FALSE))</f>
        <v/>
      </c>
      <c r="AY119">
        <f ca="1">IF(AND(ISNUMBER($AY$332),$B$252=1),$AY$332,HLOOKUP(INDIRECT(ADDRESS(2,COLUMN())),OFFSET($CL$2,0,0,ROW()-1,84),ROW()-1,FALSE))</f>
        <v>2.0937891400000002</v>
      </c>
      <c r="AZ119" t="str">
        <f ca="1">IF(AND(ISNUMBER($AZ$332),$B$252=1),$AZ$332,HLOOKUP(INDIRECT(ADDRESS(2,COLUMN())),OFFSET($CL$2,0,0,ROW()-1,84),ROW()-1,FALSE))</f>
        <v/>
      </c>
      <c r="BA119" t="str">
        <f ca="1">IF(AND(ISNUMBER($BA$332),$B$252=1),$BA$332,HLOOKUP(INDIRECT(ADDRESS(2,COLUMN())),OFFSET($CL$2,0,0,ROW()-1,84),ROW()-1,FALSE))</f>
        <v/>
      </c>
      <c r="BB119">
        <f ca="1">IF(AND(ISNUMBER($BB$332),$B$252=1),$BB$332,HLOOKUP(INDIRECT(ADDRESS(2,COLUMN())),OFFSET($CL$2,0,0,ROW()-1,84),ROW()-1,FALSE))</f>
        <v>2.061188268</v>
      </c>
      <c r="BC119" t="str">
        <f ca="1">IF(AND(ISNUMBER($BC$332),$B$252=1),$BC$332,HLOOKUP(INDIRECT(ADDRESS(2,COLUMN())),OFFSET($CL$2,0,0,ROW()-1,84),ROW()-1,FALSE))</f>
        <v/>
      </c>
      <c r="BD119" t="str">
        <f ca="1">IF(AND(ISNUMBER($BD$332),$B$252=1),$BD$332,HLOOKUP(INDIRECT(ADDRESS(2,COLUMN())),OFFSET($CL$2,0,0,ROW()-1,84),ROW()-1,FALSE))</f>
        <v/>
      </c>
      <c r="BE119">
        <f ca="1">IF(AND(ISNUMBER($BE$332),$B$252=1),$BE$332,HLOOKUP(INDIRECT(ADDRESS(2,COLUMN())),OFFSET($CL$2,0,0,ROW()-1,84),ROW()-1,FALSE))</f>
        <v>2.0409618429999998</v>
      </c>
      <c r="BF119" t="str">
        <f ca="1">IF(AND(ISNUMBER($BF$332),$B$252=1),$BF$332,HLOOKUP(INDIRECT(ADDRESS(2,COLUMN())),OFFSET($CL$2,0,0,ROW()-1,84),ROW()-1,FALSE))</f>
        <v/>
      </c>
      <c r="BG119" t="str">
        <f ca="1">IF(AND(ISNUMBER($BG$332),$B$252=1),$BG$332,HLOOKUP(INDIRECT(ADDRESS(2,COLUMN())),OFFSET($CL$2,0,0,ROW()-1,84),ROW()-1,FALSE))</f>
        <v/>
      </c>
      <c r="BH119">
        <f ca="1">IF(AND(ISNUMBER($BH$332),$B$252=1),$BH$332,HLOOKUP(INDIRECT(ADDRESS(2,COLUMN())),OFFSET($CL$2,0,0,ROW()-1,84),ROW()-1,FALSE))</f>
        <v>1.991486251</v>
      </c>
      <c r="BI119" t="str">
        <f ca="1">IF(AND(ISNUMBER($BI$332),$B$252=1),$BI$332,HLOOKUP(INDIRECT(ADDRESS(2,COLUMN())),OFFSET($CL$2,0,0,ROW()-1,84),ROW()-1,FALSE))</f>
        <v/>
      </c>
      <c r="BJ119" t="str">
        <f ca="1">IF(AND(ISNUMBER($BJ$332),$B$252=1),$BJ$332,HLOOKUP(INDIRECT(ADDRESS(2,COLUMN())),OFFSET($CL$2,0,0,ROW()-1,84),ROW()-1,FALSE))</f>
        <v/>
      </c>
      <c r="BK119">
        <f ca="1">IF(AND(ISNUMBER($BK$332),$B$252=1),$BK$332,HLOOKUP(INDIRECT(ADDRESS(2,COLUMN())),OFFSET($CL$2,0,0,ROW()-1,84),ROW()-1,FALSE))</f>
        <v>1.942340164</v>
      </c>
      <c r="BL119" t="str">
        <f ca="1">IF(AND(ISNUMBER($BL$332),$B$252=1),$BL$332,HLOOKUP(INDIRECT(ADDRESS(2,COLUMN())),OFFSET($CL$2,0,0,ROW()-1,84),ROW()-1,FALSE))</f>
        <v/>
      </c>
      <c r="BM119" t="str">
        <f ca="1">IF(AND(ISNUMBER($BM$332),$B$252=1),$BM$332,HLOOKUP(INDIRECT(ADDRESS(2,COLUMN())),OFFSET($CL$2,0,0,ROW()-1,84),ROW()-1,FALSE))</f>
        <v/>
      </c>
      <c r="BN119">
        <f ca="1">IF(AND(ISNUMBER($BN$332),$B$252=1),$BN$332,HLOOKUP(INDIRECT(ADDRESS(2,COLUMN())),OFFSET($CL$2,0,0,ROW()-1,84),ROW()-1,FALSE))</f>
        <v>1.909851637</v>
      </c>
      <c r="BO119" t="str">
        <f ca="1">IF(AND(ISNUMBER($BO$332),$B$252=1),$BO$332,HLOOKUP(INDIRECT(ADDRESS(2,COLUMN())),OFFSET($CL$2,0,0,ROW()-1,84),ROW()-1,FALSE))</f>
        <v/>
      </c>
      <c r="BP119" t="str">
        <f ca="1">IF(AND(ISNUMBER($BP$332),$B$252=1),$BP$332,HLOOKUP(INDIRECT(ADDRESS(2,COLUMN())),OFFSET($CL$2,0,0,ROW()-1,84),ROW()-1,FALSE))</f>
        <v/>
      </c>
      <c r="BQ119">
        <f ca="1">IF(AND(ISNUMBER($BQ$332),$B$252=1),$BQ$332,HLOOKUP(INDIRECT(ADDRESS(2,COLUMN())),OFFSET($CL$2,0,0,ROW()-1,84),ROW()-1,FALSE))</f>
        <v>1.8276573330000001</v>
      </c>
      <c r="BR119" t="str">
        <f ca="1">IF(AND(ISNUMBER($BR$332),$B$252=1),$BR$332,HLOOKUP(INDIRECT(ADDRESS(2,COLUMN())),OFFSET($CL$2,0,0,ROW()-1,84),ROW()-1,FALSE))</f>
        <v/>
      </c>
      <c r="BS119" t="str">
        <f ca="1">IF(AND(ISNUMBER($BS$332),$B$252=1),$BS$332,HLOOKUP(INDIRECT(ADDRESS(2,COLUMN())),OFFSET($CL$2,0,0,ROW()-1,84),ROW()-1,FALSE))</f>
        <v/>
      </c>
      <c r="BT119">
        <f ca="1">IF(AND(ISNUMBER($BT$332),$B$252=1),$BT$332,HLOOKUP(INDIRECT(ADDRESS(2,COLUMN())),OFFSET($CL$2,0,0,ROW()-1,84),ROW()-1,FALSE))</f>
        <v>1.728976721</v>
      </c>
      <c r="BU119" t="str">
        <f ca="1">IF(AND(ISNUMBER($BU$332),$B$252=1),$BU$332,HLOOKUP(INDIRECT(ADDRESS(2,COLUMN())),OFFSET($CL$2,0,0,ROW()-1,84),ROW()-1,FALSE))</f>
        <v/>
      </c>
      <c r="BV119" t="str">
        <f ca="1">IF(AND(ISNUMBER($BV$332),$B$252=1),$BV$332,HLOOKUP(INDIRECT(ADDRESS(2,COLUMN())),OFFSET($CL$2,0,0,ROW()-1,84),ROW()-1,FALSE))</f>
        <v/>
      </c>
      <c r="BW119">
        <f ca="1">IF(AND(ISNUMBER($BW$332),$B$252=1),$BW$332,HLOOKUP(INDIRECT(ADDRESS(2,COLUMN())),OFFSET($CL$2,0,0,ROW()-1,84),ROW()-1,FALSE))</f>
        <v>1.6858122769999999</v>
      </c>
      <c r="BX119" t="str">
        <f ca="1">IF(AND(ISNUMBER($BX$332),$B$252=1),$BX$332,HLOOKUP(INDIRECT(ADDRESS(2,COLUMN())),OFFSET($CL$2,0,0,ROW()-1,84),ROW()-1,FALSE))</f>
        <v/>
      </c>
      <c r="BY119" t="str">
        <f ca="1">IF(AND(ISNUMBER($BY$332),$B$252=1),$BY$332,HLOOKUP(INDIRECT(ADDRESS(2,COLUMN())),OFFSET($CL$2,0,0,ROW()-1,84),ROW()-1,FALSE))</f>
        <v/>
      </c>
      <c r="BZ119">
        <f ca="1">IF(AND(ISNUMBER($BZ$332),$B$252=1),$BZ$332,HLOOKUP(INDIRECT(ADDRESS(2,COLUMN())),OFFSET($CL$2,0,0,ROW()-1,84),ROW()-1,FALSE))</f>
        <v>1.500281625</v>
      </c>
      <c r="CA119" t="str">
        <f ca="1">IF(AND(ISNUMBER($CA$332),$B$252=1),$CA$332,HLOOKUP(INDIRECT(ADDRESS(2,COLUMN())),OFFSET($CL$2,0,0,ROW()-1,84),ROW()-1,FALSE))</f>
        <v/>
      </c>
      <c r="CB119" t="str">
        <f ca="1">IF(AND(ISNUMBER($CB$332),$B$252=1),$CB$332,HLOOKUP(INDIRECT(ADDRESS(2,COLUMN())),OFFSET($CL$2,0,0,ROW()-1,84),ROW()-1,FALSE))</f>
        <v/>
      </c>
      <c r="CC119">
        <f ca="1">IF(AND(ISNUMBER($CC$332),$B$252=1),$CC$332,HLOOKUP(INDIRECT(ADDRESS(2,COLUMN())),OFFSET($CL$2,0,0,ROW()-1,84),ROW()-1,FALSE))</f>
        <v>1.4889296169999999</v>
      </c>
      <c r="CD119" t="str">
        <f ca="1">IF(AND(ISNUMBER($CD$332),$B$252=1),$CD$332,HLOOKUP(INDIRECT(ADDRESS(2,COLUMN())),OFFSET($CL$2,0,0,ROW()-1,84),ROW()-1,FALSE))</f>
        <v/>
      </c>
      <c r="CE119" t="str">
        <f ca="1">IF(AND(ISNUMBER($CE$332),$B$252=1),$CE$332,HLOOKUP(INDIRECT(ADDRESS(2,COLUMN())),OFFSET($CL$2,0,0,ROW()-1,84),ROW()-1,FALSE))</f>
        <v/>
      </c>
      <c r="CF119">
        <f ca="1">IF(AND(ISNUMBER($CF$332),$B$252=1),$CF$332,HLOOKUP(INDIRECT(ADDRESS(2,COLUMN())),OFFSET($CL$2,0,0,ROW()-1,84),ROW()-1,FALSE))</f>
        <v>1.4584010599999999</v>
      </c>
      <c r="CG119" t="str">
        <f ca="1">IF(AND(ISNUMBER($CG$332),$B$252=1),$CG$332,HLOOKUP(INDIRECT(ADDRESS(2,COLUMN())),OFFSET($CL$2,0,0,ROW()-1,84),ROW()-1,FALSE))</f>
        <v/>
      </c>
      <c r="CH119" t="str">
        <f ca="1">IF(AND(ISNUMBER($CH$332),$B$252=1),$CH$332,HLOOKUP(INDIRECT(ADDRESS(2,COLUMN())),OFFSET($CL$2,0,0,ROW()-1,84),ROW()-1,FALSE))</f>
        <v/>
      </c>
      <c r="CI119">
        <f ca="1">IF(AND(ISNUMBER($CI$332),$B$252=1),$CI$332,HLOOKUP(INDIRECT(ADDRESS(2,COLUMN())),OFFSET($CL$2,0,0,ROW()-1,84),ROW()-1,FALSE))</f>
        <v>1.446045783</v>
      </c>
      <c r="CJ119" t="str">
        <f ca="1">IF(AND(ISNUMBER($CJ$332),$B$252=1),$CJ$332,HLOOKUP(INDIRECT(ADDRESS(2,COLUMN())),OFFSET($CL$2,0,0,ROW()-1,84),ROW()-1,FALSE))</f>
        <v/>
      </c>
      <c r="CK119" t="str">
        <f ca="1">IF(AND(ISNUMBER($CK$332),$B$252=1),$CK$332,HLOOKUP(INDIRECT(ADDRESS(2,COLUMN())),OFFSET($CL$2,0,0,ROW()-1,84),ROW()-1,FALSE))</f>
        <v/>
      </c>
      <c r="CL119" t="str">
        <f>""</f>
        <v/>
      </c>
      <c r="CM119" t="str">
        <f>""</f>
        <v/>
      </c>
      <c r="CN119" t="str">
        <f>""</f>
        <v/>
      </c>
      <c r="CO119">
        <f>2.447327329</f>
        <v>2.4473273290000002</v>
      </c>
      <c r="CP119" t="str">
        <f>""</f>
        <v/>
      </c>
      <c r="CQ119" t="str">
        <f>""</f>
        <v/>
      </c>
      <c r="CR119">
        <f>2.418562138</f>
        <v>2.418562138</v>
      </c>
      <c r="CS119" t="str">
        <f>""</f>
        <v/>
      </c>
      <c r="CT119" t="str">
        <f>""</f>
        <v/>
      </c>
      <c r="CU119">
        <f>2.343646256</f>
        <v>2.343646256</v>
      </c>
      <c r="CV119" t="str">
        <f>""</f>
        <v/>
      </c>
      <c r="CW119" t="str">
        <f>""</f>
        <v/>
      </c>
      <c r="CX119">
        <f>2.326193621</f>
        <v>2.3261936209999998</v>
      </c>
      <c r="CY119" t="str">
        <f>""</f>
        <v/>
      </c>
      <c r="CZ119" t="str">
        <f>""</f>
        <v/>
      </c>
      <c r="DA119">
        <f>2.317047333</f>
        <v>2.3170473330000001</v>
      </c>
      <c r="DB119" t="str">
        <f>""</f>
        <v/>
      </c>
      <c r="DC119" t="str">
        <f>""</f>
        <v/>
      </c>
      <c r="DD119">
        <f>2.29816286</f>
        <v>2.2981628600000001</v>
      </c>
      <c r="DE119" t="str">
        <f>""</f>
        <v/>
      </c>
      <c r="DF119" t="str">
        <f>""</f>
        <v/>
      </c>
      <c r="DG119">
        <f>2.310846761</f>
        <v>2.3108467610000001</v>
      </c>
      <c r="DH119" t="str">
        <f>""</f>
        <v/>
      </c>
      <c r="DI119" t="str">
        <f>""</f>
        <v/>
      </c>
      <c r="DJ119">
        <f>2.278348459</f>
        <v>2.278348459</v>
      </c>
      <c r="DK119" t="str">
        <f>""</f>
        <v/>
      </c>
      <c r="DL119" t="str">
        <f>""</f>
        <v/>
      </c>
      <c r="DM119">
        <f>2.224790541</f>
        <v>2.224790541</v>
      </c>
      <c r="DN119" t="str">
        <f>""</f>
        <v/>
      </c>
      <c r="DO119" t="str">
        <f>""</f>
        <v/>
      </c>
      <c r="DP119">
        <f>2.180864429</f>
        <v>2.1808644290000001</v>
      </c>
      <c r="DQ119" t="str">
        <f>""</f>
        <v/>
      </c>
      <c r="DR119" t="str">
        <f>""</f>
        <v/>
      </c>
      <c r="DS119">
        <f>2.120663431</f>
        <v>2.1206634310000001</v>
      </c>
      <c r="DT119" t="str">
        <f>""</f>
        <v/>
      </c>
      <c r="DU119" t="str">
        <f>""</f>
        <v/>
      </c>
      <c r="DV119">
        <f>2.082848888</f>
        <v>2.082848888</v>
      </c>
      <c r="DW119" t="str">
        <f>""</f>
        <v/>
      </c>
      <c r="DX119" t="str">
        <f>""</f>
        <v/>
      </c>
      <c r="DY119">
        <f>2.067214942</f>
        <v>2.0672149420000001</v>
      </c>
      <c r="DZ119" t="str">
        <f>""</f>
        <v/>
      </c>
      <c r="EA119" t="str">
        <f>""</f>
        <v/>
      </c>
      <c r="EB119">
        <f>2.094419519</f>
        <v>2.0944195190000001</v>
      </c>
      <c r="EC119" t="str">
        <f>""</f>
        <v/>
      </c>
      <c r="ED119" t="str">
        <f>""</f>
        <v/>
      </c>
      <c r="EE119">
        <f>2.09378914</f>
        <v>2.0937891400000002</v>
      </c>
      <c r="EF119" t="str">
        <f>""</f>
        <v/>
      </c>
      <c r="EG119" t="str">
        <f>""</f>
        <v/>
      </c>
      <c r="EH119">
        <f>2.061188268</f>
        <v>2.061188268</v>
      </c>
      <c r="EI119" t="str">
        <f>""</f>
        <v/>
      </c>
      <c r="EJ119" t="str">
        <f>""</f>
        <v/>
      </c>
      <c r="EK119">
        <f>2.040961843</f>
        <v>2.0409618429999998</v>
      </c>
      <c r="EL119" t="str">
        <f>""</f>
        <v/>
      </c>
      <c r="EM119" t="str">
        <f>""</f>
        <v/>
      </c>
      <c r="EN119">
        <f>1.991486251</f>
        <v>1.991486251</v>
      </c>
      <c r="EO119" t="str">
        <f>""</f>
        <v/>
      </c>
      <c r="EP119" t="str">
        <f>""</f>
        <v/>
      </c>
      <c r="EQ119">
        <f>1.942340164</f>
        <v>1.942340164</v>
      </c>
      <c r="ER119" t="str">
        <f>""</f>
        <v/>
      </c>
      <c r="ES119" t="str">
        <f>""</f>
        <v/>
      </c>
      <c r="ET119">
        <f>1.909851637</f>
        <v>1.909851637</v>
      </c>
      <c r="EU119" t="str">
        <f>""</f>
        <v/>
      </c>
      <c r="EV119" t="str">
        <f>""</f>
        <v/>
      </c>
      <c r="EW119">
        <f>1.827657333</f>
        <v>1.8276573330000001</v>
      </c>
      <c r="EX119" t="str">
        <f>""</f>
        <v/>
      </c>
      <c r="EY119" t="str">
        <f>""</f>
        <v/>
      </c>
      <c r="EZ119">
        <f>1.728976721</f>
        <v>1.728976721</v>
      </c>
      <c r="FA119" t="str">
        <f>""</f>
        <v/>
      </c>
      <c r="FB119" t="str">
        <f>""</f>
        <v/>
      </c>
      <c r="FC119">
        <f>1.685812277</f>
        <v>1.6858122769999999</v>
      </c>
      <c r="FD119" t="str">
        <f>""</f>
        <v/>
      </c>
      <c r="FE119" t="str">
        <f>""</f>
        <v/>
      </c>
      <c r="FF119">
        <f>1.500281625</f>
        <v>1.500281625</v>
      </c>
      <c r="FG119" t="str">
        <f>""</f>
        <v/>
      </c>
      <c r="FH119" t="str">
        <f>""</f>
        <v/>
      </c>
      <c r="FI119">
        <f>1.488929617</f>
        <v>1.4889296169999999</v>
      </c>
      <c r="FJ119" t="str">
        <f>""</f>
        <v/>
      </c>
      <c r="FK119" t="str">
        <f>""</f>
        <v/>
      </c>
      <c r="FL119">
        <f>1.45840106</f>
        <v>1.4584010599999999</v>
      </c>
      <c r="FM119" t="str">
        <f>""</f>
        <v/>
      </c>
      <c r="FN119" t="str">
        <f>""</f>
        <v/>
      </c>
      <c r="FO119">
        <f>1.446045783</f>
        <v>1.446045783</v>
      </c>
      <c r="FP119" t="str">
        <f>""</f>
        <v/>
      </c>
      <c r="FQ119" t="str">
        <f>""</f>
        <v/>
      </c>
    </row>
    <row r="120" spans="1:173">
      <c r="A120" t="str">
        <f>"    AvalonBay社区股份有限公司"</f>
        <v xml:space="preserve">    AvalonBay社区股份有限公司</v>
      </c>
      <c r="B120" t="str">
        <f>"AVB US Equity"</f>
        <v>AVB US Equity</v>
      </c>
      <c r="C120" t="str">
        <f t="shared" si="36"/>
        <v>F0894</v>
      </c>
      <c r="D120" t="str">
        <f t="shared" si="37"/>
        <v>TRAILING_12_MONTHS_AFFOPS</v>
      </c>
      <c r="E120" t="str">
        <f t="shared" si="38"/>
        <v>动态</v>
      </c>
      <c r="F120" t="str">
        <f ca="1">IF(AND(ISNUMBER($F$333),$B$252=1),$F$333,HLOOKUP(INDIRECT(ADDRESS(2,COLUMN())),OFFSET($CL$2,0,0,ROW()-1,84),ROW()-1,FALSE))</f>
        <v/>
      </c>
      <c r="G120" t="str">
        <f ca="1">IF(AND(ISNUMBER($G$333),$B$252=1),$G$333,HLOOKUP(INDIRECT(ADDRESS(2,COLUMN())),OFFSET($CL$2,0,0,ROW()-1,84),ROW()-1,FALSE))</f>
        <v/>
      </c>
      <c r="H120" t="str">
        <f ca="1">IF(AND(ISNUMBER($H$333),$B$252=1),$H$333,HLOOKUP(INDIRECT(ADDRESS(2,COLUMN())),OFFSET($CL$2,0,0,ROW()-1,84),ROW()-1,FALSE))</f>
        <v/>
      </c>
      <c r="I120">
        <f ca="1">IF(AND(ISNUMBER($I$333),$B$252=1),$I$333,HLOOKUP(INDIRECT(ADDRESS(2,COLUMN())),OFFSET($CL$2,0,0,ROW()-1,84),ROW()-1,FALSE))</f>
        <v>8.6184564510000001</v>
      </c>
      <c r="J120" t="str">
        <f ca="1">IF(AND(ISNUMBER($J$333),$B$252=1),$J$333,HLOOKUP(INDIRECT(ADDRESS(2,COLUMN())),OFFSET($CL$2,0,0,ROW()-1,84),ROW()-1,FALSE))</f>
        <v/>
      </c>
      <c r="K120" t="str">
        <f ca="1">IF(AND(ISNUMBER($K$333),$B$252=1),$K$333,HLOOKUP(INDIRECT(ADDRESS(2,COLUMN())),OFFSET($CL$2,0,0,ROW()-1,84),ROW()-1,FALSE))</f>
        <v/>
      </c>
      <c r="L120">
        <f ca="1">IF(AND(ISNUMBER($L$333),$B$252=1),$L$333,HLOOKUP(INDIRECT(ADDRESS(2,COLUMN())),OFFSET($CL$2,0,0,ROW()-1,84),ROW()-1,FALSE))</f>
        <v>8.4868481550000006</v>
      </c>
      <c r="M120" t="str">
        <f ca="1">IF(AND(ISNUMBER($M$333),$B$252=1),$M$333,HLOOKUP(INDIRECT(ADDRESS(2,COLUMN())),OFFSET($CL$2,0,0,ROW()-1,84),ROW()-1,FALSE))</f>
        <v/>
      </c>
      <c r="N120" t="str">
        <f ca="1">IF(AND(ISNUMBER($N$333),$B$252=1),$N$333,HLOOKUP(INDIRECT(ADDRESS(2,COLUMN())),OFFSET($CL$2,0,0,ROW()-1,84),ROW()-1,FALSE))</f>
        <v/>
      </c>
      <c r="O120">
        <f ca="1">IF(AND(ISNUMBER($O$333),$B$252=1),$O$333,HLOOKUP(INDIRECT(ADDRESS(2,COLUMN())),OFFSET($CL$2,0,0,ROW()-1,84),ROW()-1,FALSE))</f>
        <v>8.3642943580000004</v>
      </c>
      <c r="P120" t="str">
        <f ca="1">IF(AND(ISNUMBER($P$333),$B$252=1),$P$333,HLOOKUP(INDIRECT(ADDRESS(2,COLUMN())),OFFSET($CL$2,0,0,ROW()-1,84),ROW()-1,FALSE))</f>
        <v/>
      </c>
      <c r="Q120" t="str">
        <f ca="1">IF(AND(ISNUMBER($Q$333),$B$252=1),$Q$333,HLOOKUP(INDIRECT(ADDRESS(2,COLUMN())),OFFSET($CL$2,0,0,ROW()-1,84),ROW()-1,FALSE))</f>
        <v/>
      </c>
      <c r="R120">
        <f ca="1">IF(AND(ISNUMBER($R$333),$B$252=1),$R$333,HLOOKUP(INDIRECT(ADDRESS(2,COLUMN())),OFFSET($CL$2,0,0,ROW()-1,84),ROW()-1,FALSE))</f>
        <v>8.3031752809999997</v>
      </c>
      <c r="S120" t="str">
        <f ca="1">IF(AND(ISNUMBER($S$333),$B$252=1),$S$333,HLOOKUP(INDIRECT(ADDRESS(2,COLUMN())),OFFSET($CL$2,0,0,ROW()-1,84),ROW()-1,FALSE))</f>
        <v/>
      </c>
      <c r="T120" t="str">
        <f ca="1">IF(AND(ISNUMBER($T$333),$B$252=1),$T$333,HLOOKUP(INDIRECT(ADDRESS(2,COLUMN())),OFFSET($CL$2,0,0,ROW()-1,84),ROW()-1,FALSE))</f>
        <v/>
      </c>
      <c r="U120">
        <f ca="1">IF(AND(ISNUMBER($U$333),$B$252=1),$U$333,HLOOKUP(INDIRECT(ADDRESS(2,COLUMN())),OFFSET($CL$2,0,0,ROW()-1,84),ROW()-1,FALSE))</f>
        <v>8.1865062989999995</v>
      </c>
      <c r="V120" t="str">
        <f ca="1">IF(AND(ISNUMBER($V$333),$B$252=1),$V$333,HLOOKUP(INDIRECT(ADDRESS(2,COLUMN())),OFFSET($CL$2,0,0,ROW()-1,84),ROW()-1,FALSE))</f>
        <v/>
      </c>
      <c r="W120" t="str">
        <f ca="1">IF(AND(ISNUMBER($W$333),$B$252=1),$W$333,HLOOKUP(INDIRECT(ADDRESS(2,COLUMN())),OFFSET($CL$2,0,0,ROW()-1,84),ROW()-1,FALSE))</f>
        <v/>
      </c>
      <c r="X120">
        <f ca="1">IF(AND(ISNUMBER($X$333),$B$252=1),$X$333,HLOOKUP(INDIRECT(ADDRESS(2,COLUMN())),OFFSET($CL$2,0,0,ROW()-1,84),ROW()-1,FALSE))</f>
        <v>8.0574689900000003</v>
      </c>
      <c r="Y120" t="str">
        <f ca="1">IF(AND(ISNUMBER($Y$333),$B$252=1),$Y$333,HLOOKUP(INDIRECT(ADDRESS(2,COLUMN())),OFFSET($CL$2,0,0,ROW()-1,84),ROW()-1,FALSE))</f>
        <v/>
      </c>
      <c r="Z120" t="str">
        <f ca="1">IF(AND(ISNUMBER($Z$333),$B$252=1),$Z$333,HLOOKUP(INDIRECT(ADDRESS(2,COLUMN())),OFFSET($CL$2,0,0,ROW()-1,84),ROW()-1,FALSE))</f>
        <v/>
      </c>
      <c r="AA120">
        <f ca="1">IF(AND(ISNUMBER($AA$333),$B$252=1),$AA$333,HLOOKUP(INDIRECT(ADDRESS(2,COLUMN())),OFFSET($CL$2,0,0,ROW()-1,84),ROW()-1,FALSE))</f>
        <v>7.915145903</v>
      </c>
      <c r="AB120" t="str">
        <f ca="1">IF(AND(ISNUMBER($AB$333),$B$252=1),$AB$333,HLOOKUP(INDIRECT(ADDRESS(2,COLUMN())),OFFSET($CL$2,0,0,ROW()-1,84),ROW()-1,FALSE))</f>
        <v/>
      </c>
      <c r="AC120" t="str">
        <f ca="1">IF(AND(ISNUMBER($AC$333),$B$252=1),$AC$333,HLOOKUP(INDIRECT(ADDRESS(2,COLUMN())),OFFSET($CL$2,0,0,ROW()-1,84),ROW()-1,FALSE))</f>
        <v/>
      </c>
      <c r="AD120">
        <f ca="1">IF(AND(ISNUMBER($AD$333),$B$252=1),$AD$333,HLOOKUP(INDIRECT(ADDRESS(2,COLUMN())),OFFSET($CL$2,0,0,ROW()-1,84),ROW()-1,FALSE))</f>
        <v>7.7560607629999998</v>
      </c>
      <c r="AE120" t="str">
        <f ca="1">IF(AND(ISNUMBER($AE$333),$B$252=1),$AE$333,HLOOKUP(INDIRECT(ADDRESS(2,COLUMN())),OFFSET($CL$2,0,0,ROW()-1,84),ROW()-1,FALSE))</f>
        <v/>
      </c>
      <c r="AF120" t="str">
        <f ca="1">IF(AND(ISNUMBER($AF$333),$B$252=1),$AF$333,HLOOKUP(INDIRECT(ADDRESS(2,COLUMN())),OFFSET($CL$2,0,0,ROW()-1,84),ROW()-1,FALSE))</f>
        <v/>
      </c>
      <c r="AG120">
        <f ca="1">IF(AND(ISNUMBER($AG$333),$B$252=1),$AG$333,HLOOKUP(INDIRECT(ADDRESS(2,COLUMN())),OFFSET($CL$2,0,0,ROW()-1,84),ROW()-1,FALSE))</f>
        <v>7.5376745639999996</v>
      </c>
      <c r="AH120" t="str">
        <f ca="1">IF(AND(ISNUMBER($AH$333),$B$252=1),$AH$333,HLOOKUP(INDIRECT(ADDRESS(2,COLUMN())),OFFSET($CL$2,0,0,ROW()-1,84),ROW()-1,FALSE))</f>
        <v/>
      </c>
      <c r="AI120" t="str">
        <f ca="1">IF(AND(ISNUMBER($AI$333),$B$252=1),$AI$333,HLOOKUP(INDIRECT(ADDRESS(2,COLUMN())),OFFSET($CL$2,0,0,ROW()-1,84),ROW()-1,FALSE))</f>
        <v/>
      </c>
      <c r="AJ120">
        <f ca="1">IF(AND(ISNUMBER($AJ$333),$B$252=1),$AJ$333,HLOOKUP(INDIRECT(ADDRESS(2,COLUMN())),OFFSET($CL$2,0,0,ROW()-1,84),ROW()-1,FALSE))</f>
        <v>7.2851857979999997</v>
      </c>
      <c r="AK120" t="str">
        <f ca="1">IF(AND(ISNUMBER($AK$333),$B$252=1),$AK$333,HLOOKUP(INDIRECT(ADDRESS(2,COLUMN())),OFFSET($CL$2,0,0,ROW()-1,84),ROW()-1,FALSE))</f>
        <v/>
      </c>
      <c r="AL120" t="str">
        <f ca="1">IF(AND(ISNUMBER($AL$333),$B$252=1),$AL$333,HLOOKUP(INDIRECT(ADDRESS(2,COLUMN())),OFFSET($CL$2,0,0,ROW()-1,84),ROW()-1,FALSE))</f>
        <v/>
      </c>
      <c r="AM120">
        <f ca="1">IF(AND(ISNUMBER($AM$333),$B$252=1),$AM$333,HLOOKUP(INDIRECT(ADDRESS(2,COLUMN())),OFFSET($CL$2,0,0,ROW()-1,84),ROW()-1,FALSE))</f>
        <v>7.0840919400000004</v>
      </c>
      <c r="AN120" t="str">
        <f ca="1">IF(AND(ISNUMBER($AN$333),$B$252=1),$AN$333,HLOOKUP(INDIRECT(ADDRESS(2,COLUMN())),OFFSET($CL$2,0,0,ROW()-1,84),ROW()-1,FALSE))</f>
        <v/>
      </c>
      <c r="AO120" t="str">
        <f ca="1">IF(AND(ISNUMBER($AO$333),$B$252=1),$AO$333,HLOOKUP(INDIRECT(ADDRESS(2,COLUMN())),OFFSET($CL$2,0,0,ROW()-1,84),ROW()-1,FALSE))</f>
        <v/>
      </c>
      <c r="AP120">
        <f ca="1">IF(AND(ISNUMBER($AP$333),$B$252=1),$AP$333,HLOOKUP(INDIRECT(ADDRESS(2,COLUMN())),OFFSET($CL$2,0,0,ROW()-1,84),ROW()-1,FALSE))</f>
        <v>6.9157488159999998</v>
      </c>
      <c r="AQ120" t="str">
        <f ca="1">IF(AND(ISNUMBER($AQ$333),$B$252=1),$AQ$333,HLOOKUP(INDIRECT(ADDRESS(2,COLUMN())),OFFSET($CL$2,0,0,ROW()-1,84),ROW()-1,FALSE))</f>
        <v/>
      </c>
      <c r="AR120" t="str">
        <f ca="1">IF(AND(ISNUMBER($AR$333),$B$252=1),$AR$333,HLOOKUP(INDIRECT(ADDRESS(2,COLUMN())),OFFSET($CL$2,0,0,ROW()-1,84),ROW()-1,FALSE))</f>
        <v/>
      </c>
      <c r="AS120">
        <f ca="1">IF(AND(ISNUMBER($AS$333),$B$252=1),$AS$333,HLOOKUP(INDIRECT(ADDRESS(2,COLUMN())),OFFSET($CL$2,0,0,ROW()-1,84),ROW()-1,FALSE))</f>
        <v>6.787102634</v>
      </c>
      <c r="AT120" t="str">
        <f ca="1">IF(AND(ISNUMBER($AT$333),$B$252=1),$AT$333,HLOOKUP(INDIRECT(ADDRESS(2,COLUMN())),OFFSET($CL$2,0,0,ROW()-1,84),ROW()-1,FALSE))</f>
        <v/>
      </c>
      <c r="AU120" t="str">
        <f ca="1">IF(AND(ISNUMBER($AU$333),$B$252=1),$AU$333,HLOOKUP(INDIRECT(ADDRESS(2,COLUMN())),OFFSET($CL$2,0,0,ROW()-1,84),ROW()-1,FALSE))</f>
        <v/>
      </c>
      <c r="AV120">
        <f ca="1">IF(AND(ISNUMBER($AV$333),$B$252=1),$AV$333,HLOOKUP(INDIRECT(ADDRESS(2,COLUMN())),OFFSET($CL$2,0,0,ROW()-1,84),ROW()-1,FALSE))</f>
        <v>6.6570724309999996</v>
      </c>
      <c r="AW120" t="str">
        <f ca="1">IF(AND(ISNUMBER($AW$333),$B$252=1),$AW$333,HLOOKUP(INDIRECT(ADDRESS(2,COLUMN())),OFFSET($CL$2,0,0,ROW()-1,84),ROW()-1,FALSE))</f>
        <v/>
      </c>
      <c r="AX120" t="str">
        <f ca="1">IF(AND(ISNUMBER($AX$333),$B$252=1),$AX$333,HLOOKUP(INDIRECT(ADDRESS(2,COLUMN())),OFFSET($CL$2,0,0,ROW()-1,84),ROW()-1,FALSE))</f>
        <v/>
      </c>
      <c r="AY120">
        <f ca="1">IF(AND(ISNUMBER($AY$333),$B$252=1),$AY$333,HLOOKUP(INDIRECT(ADDRESS(2,COLUMN())),OFFSET($CL$2,0,0,ROW()-1,84),ROW()-1,FALSE))</f>
        <v>6.558514626</v>
      </c>
      <c r="AZ120" t="str">
        <f ca="1">IF(AND(ISNUMBER($AZ$333),$B$252=1),$AZ$333,HLOOKUP(INDIRECT(ADDRESS(2,COLUMN())),OFFSET($CL$2,0,0,ROW()-1,84),ROW()-1,FALSE))</f>
        <v/>
      </c>
      <c r="BA120" t="str">
        <f ca="1">IF(AND(ISNUMBER($BA$333),$B$252=1),$BA$333,HLOOKUP(INDIRECT(ADDRESS(2,COLUMN())),OFFSET($CL$2,0,0,ROW()-1,84),ROW()-1,FALSE))</f>
        <v/>
      </c>
      <c r="BB120">
        <f ca="1">IF(AND(ISNUMBER($BB$333),$B$252=1),$BB$333,HLOOKUP(INDIRECT(ADDRESS(2,COLUMN())),OFFSET($CL$2,0,0,ROW()-1,84),ROW()-1,FALSE))</f>
        <v>6.4757652319999996</v>
      </c>
      <c r="BC120" t="str">
        <f ca="1">IF(AND(ISNUMBER($BC$333),$B$252=1),$BC$333,HLOOKUP(INDIRECT(ADDRESS(2,COLUMN())),OFFSET($CL$2,0,0,ROW()-1,84),ROW()-1,FALSE))</f>
        <v/>
      </c>
      <c r="BD120" t="str">
        <f ca="1">IF(AND(ISNUMBER($BD$333),$B$252=1),$BD$333,HLOOKUP(INDIRECT(ADDRESS(2,COLUMN())),OFFSET($CL$2,0,0,ROW()-1,84),ROW()-1,FALSE))</f>
        <v/>
      </c>
      <c r="BE120">
        <f ca="1">IF(AND(ISNUMBER($BE$333),$B$252=1),$BE$333,HLOOKUP(INDIRECT(ADDRESS(2,COLUMN())),OFFSET($CL$2,0,0,ROW()-1,84),ROW()-1,FALSE))</f>
        <v>6.2102368080000003</v>
      </c>
      <c r="BF120" t="str">
        <f ca="1">IF(AND(ISNUMBER($BF$333),$B$252=1),$BF$333,HLOOKUP(INDIRECT(ADDRESS(2,COLUMN())),OFFSET($CL$2,0,0,ROW()-1,84),ROW()-1,FALSE))</f>
        <v/>
      </c>
      <c r="BG120" t="str">
        <f ca="1">IF(AND(ISNUMBER($BG$333),$B$252=1),$BG$333,HLOOKUP(INDIRECT(ADDRESS(2,COLUMN())),OFFSET($CL$2,0,0,ROW()-1,84),ROW()-1,FALSE))</f>
        <v/>
      </c>
      <c r="BH120">
        <f ca="1">IF(AND(ISNUMBER($BH$333),$B$252=1),$BH$333,HLOOKUP(INDIRECT(ADDRESS(2,COLUMN())),OFFSET($CL$2,0,0,ROW()-1,84),ROW()-1,FALSE))</f>
        <v>5.8742681169999997</v>
      </c>
      <c r="BI120" t="str">
        <f ca="1">IF(AND(ISNUMBER($BI$333),$B$252=1),$BI$333,HLOOKUP(INDIRECT(ADDRESS(2,COLUMN())),OFFSET($CL$2,0,0,ROW()-1,84),ROW()-1,FALSE))</f>
        <v/>
      </c>
      <c r="BJ120" t="str">
        <f ca="1">IF(AND(ISNUMBER($BJ$333),$B$252=1),$BJ$333,HLOOKUP(INDIRECT(ADDRESS(2,COLUMN())),OFFSET($CL$2,0,0,ROW()-1,84),ROW()-1,FALSE))</f>
        <v/>
      </c>
      <c r="BK120">
        <f ca="1">IF(AND(ISNUMBER($BK$333),$B$252=1),$BK$333,HLOOKUP(INDIRECT(ADDRESS(2,COLUMN())),OFFSET($CL$2,0,0,ROW()-1,84),ROW()-1,FALSE))</f>
        <v>5.6832106470000001</v>
      </c>
      <c r="BL120" t="str">
        <f ca="1">IF(AND(ISNUMBER($BL$333),$B$252=1),$BL$333,HLOOKUP(INDIRECT(ADDRESS(2,COLUMN())),OFFSET($CL$2,0,0,ROW()-1,84),ROW()-1,FALSE))</f>
        <v/>
      </c>
      <c r="BM120" t="str">
        <f ca="1">IF(AND(ISNUMBER($BM$333),$B$252=1),$BM$333,HLOOKUP(INDIRECT(ADDRESS(2,COLUMN())),OFFSET($CL$2,0,0,ROW()-1,84),ROW()-1,FALSE))</f>
        <v/>
      </c>
      <c r="BN120">
        <f ca="1">IF(AND(ISNUMBER($BN$333),$B$252=1),$BN$333,HLOOKUP(INDIRECT(ADDRESS(2,COLUMN())),OFFSET($CL$2,0,0,ROW()-1,84),ROW()-1,FALSE))</f>
        <v>5.4102774680000003</v>
      </c>
      <c r="BO120" t="str">
        <f ca="1">IF(AND(ISNUMBER($BO$333),$B$252=1),$BO$333,HLOOKUP(INDIRECT(ADDRESS(2,COLUMN())),OFFSET($CL$2,0,0,ROW()-1,84),ROW()-1,FALSE))</f>
        <v/>
      </c>
      <c r="BP120" t="str">
        <f ca="1">IF(AND(ISNUMBER($BP$333),$B$252=1),$BP$333,HLOOKUP(INDIRECT(ADDRESS(2,COLUMN())),OFFSET($CL$2,0,0,ROW()-1,84),ROW()-1,FALSE))</f>
        <v/>
      </c>
      <c r="BQ120">
        <f ca="1">IF(AND(ISNUMBER($BQ$333),$B$252=1),$BQ$333,HLOOKUP(INDIRECT(ADDRESS(2,COLUMN())),OFFSET($CL$2,0,0,ROW()-1,84),ROW()-1,FALSE))</f>
        <v>5.3251338050000001</v>
      </c>
      <c r="BR120" t="str">
        <f ca="1">IF(AND(ISNUMBER($BR$333),$B$252=1),$BR$333,HLOOKUP(INDIRECT(ADDRESS(2,COLUMN())),OFFSET($CL$2,0,0,ROW()-1,84),ROW()-1,FALSE))</f>
        <v/>
      </c>
      <c r="BS120" t="str">
        <f ca="1">IF(AND(ISNUMBER($BS$333),$B$252=1),$BS$333,HLOOKUP(INDIRECT(ADDRESS(2,COLUMN())),OFFSET($CL$2,0,0,ROW()-1,84),ROW()-1,FALSE))</f>
        <v/>
      </c>
      <c r="BT120">
        <f ca="1">IF(AND(ISNUMBER($BT$333),$B$252=1),$BT$333,HLOOKUP(INDIRECT(ADDRESS(2,COLUMN())),OFFSET($CL$2,0,0,ROW()-1,84),ROW()-1,FALSE))</f>
        <v>5.3205096679999997</v>
      </c>
      <c r="BU120" t="str">
        <f ca="1">IF(AND(ISNUMBER($BU$333),$B$252=1),$BU$333,HLOOKUP(INDIRECT(ADDRESS(2,COLUMN())),OFFSET($CL$2,0,0,ROW()-1,84),ROW()-1,FALSE))</f>
        <v/>
      </c>
      <c r="BV120" t="str">
        <f ca="1">IF(AND(ISNUMBER($BV$333),$B$252=1),$BV$333,HLOOKUP(INDIRECT(ADDRESS(2,COLUMN())),OFFSET($CL$2,0,0,ROW()-1,84),ROW()-1,FALSE))</f>
        <v/>
      </c>
      <c r="BW120">
        <f ca="1">IF(AND(ISNUMBER($BW$333),$B$252=1),$BW$333,HLOOKUP(INDIRECT(ADDRESS(2,COLUMN())),OFFSET($CL$2,0,0,ROW()-1,84),ROW()-1,FALSE))</f>
        <v>5.0524862969999997</v>
      </c>
      <c r="BX120" t="str">
        <f ca="1">IF(AND(ISNUMBER($BX$333),$B$252=1),$BX$333,HLOOKUP(INDIRECT(ADDRESS(2,COLUMN())),OFFSET($CL$2,0,0,ROW()-1,84),ROW()-1,FALSE))</f>
        <v/>
      </c>
      <c r="BY120" t="str">
        <f ca="1">IF(AND(ISNUMBER($BY$333),$B$252=1),$BY$333,HLOOKUP(INDIRECT(ADDRESS(2,COLUMN())),OFFSET($CL$2,0,0,ROW()-1,84),ROW()-1,FALSE))</f>
        <v/>
      </c>
      <c r="BZ120">
        <f ca="1">IF(AND(ISNUMBER($BZ$333),$B$252=1),$BZ$333,HLOOKUP(INDIRECT(ADDRESS(2,COLUMN())),OFFSET($CL$2,0,0,ROW()-1,84),ROW()-1,FALSE))</f>
        <v>4.8522897069999997</v>
      </c>
      <c r="CA120" t="str">
        <f ca="1">IF(AND(ISNUMBER($CA$333),$B$252=1),$CA$333,HLOOKUP(INDIRECT(ADDRESS(2,COLUMN())),OFFSET($CL$2,0,0,ROW()-1,84),ROW()-1,FALSE))</f>
        <v/>
      </c>
      <c r="CB120" t="str">
        <f ca="1">IF(AND(ISNUMBER($CB$333),$B$252=1),$CB$333,HLOOKUP(INDIRECT(ADDRESS(2,COLUMN())),OFFSET($CL$2,0,0,ROW()-1,84),ROW()-1,FALSE))</f>
        <v/>
      </c>
      <c r="CC120">
        <f ca="1">IF(AND(ISNUMBER($CC$333),$B$252=1),$CC$333,HLOOKUP(INDIRECT(ADDRESS(2,COLUMN())),OFFSET($CL$2,0,0,ROW()-1,84),ROW()-1,FALSE))</f>
        <v>4.6523856690000001</v>
      </c>
      <c r="CD120" t="str">
        <f ca="1">IF(AND(ISNUMBER($CD$333),$B$252=1),$CD$333,HLOOKUP(INDIRECT(ADDRESS(2,COLUMN())),OFFSET($CL$2,0,0,ROW()-1,84),ROW()-1,FALSE))</f>
        <v/>
      </c>
      <c r="CE120" t="str">
        <f ca="1">IF(AND(ISNUMBER($CE$333),$B$252=1),$CE$333,HLOOKUP(INDIRECT(ADDRESS(2,COLUMN())),OFFSET($CL$2,0,0,ROW()-1,84),ROW()-1,FALSE))</f>
        <v/>
      </c>
      <c r="CF120">
        <f ca="1">IF(AND(ISNUMBER($CF$333),$B$252=1),$CF$333,HLOOKUP(INDIRECT(ADDRESS(2,COLUMN())),OFFSET($CL$2,0,0,ROW()-1,84),ROW()-1,FALSE))</f>
        <v>4.3954037269999997</v>
      </c>
      <c r="CG120" t="str">
        <f ca="1">IF(AND(ISNUMBER($CG$333),$B$252=1),$CG$333,HLOOKUP(INDIRECT(ADDRESS(2,COLUMN())),OFFSET($CL$2,0,0,ROW()-1,84),ROW()-1,FALSE))</f>
        <v/>
      </c>
      <c r="CH120" t="str">
        <f ca="1">IF(AND(ISNUMBER($CH$333),$B$252=1),$CH$333,HLOOKUP(INDIRECT(ADDRESS(2,COLUMN())),OFFSET($CL$2,0,0,ROW()-1,84),ROW()-1,FALSE))</f>
        <v/>
      </c>
      <c r="CI120">
        <f ca="1">IF(AND(ISNUMBER($CI$333),$B$252=1),$CI$333,HLOOKUP(INDIRECT(ADDRESS(2,COLUMN())),OFFSET($CL$2,0,0,ROW()-1,84),ROW()-1,FALSE))</f>
        <v>4.2106984929999998</v>
      </c>
      <c r="CJ120" t="str">
        <f ca="1">IF(AND(ISNUMBER($CJ$333),$B$252=1),$CJ$333,HLOOKUP(INDIRECT(ADDRESS(2,COLUMN())),OFFSET($CL$2,0,0,ROW()-1,84),ROW()-1,FALSE))</f>
        <v/>
      </c>
      <c r="CK120" t="str">
        <f ca="1">IF(AND(ISNUMBER($CK$333),$B$252=1),$CK$333,HLOOKUP(INDIRECT(ADDRESS(2,COLUMN())),OFFSET($CL$2,0,0,ROW()-1,84),ROW()-1,FALSE))</f>
        <v/>
      </c>
      <c r="CL120" t="str">
        <f>""</f>
        <v/>
      </c>
      <c r="CM120" t="str">
        <f>""</f>
        <v/>
      </c>
      <c r="CN120" t="str">
        <f>""</f>
        <v/>
      </c>
      <c r="CO120">
        <f>8.618456451</f>
        <v>8.6184564510000001</v>
      </c>
      <c r="CP120" t="str">
        <f>""</f>
        <v/>
      </c>
      <c r="CQ120" t="str">
        <f>""</f>
        <v/>
      </c>
      <c r="CR120">
        <f>8.486848155</f>
        <v>8.4868481550000006</v>
      </c>
      <c r="CS120" t="str">
        <f>""</f>
        <v/>
      </c>
      <c r="CT120" t="str">
        <f>""</f>
        <v/>
      </c>
      <c r="CU120">
        <f>8.364294358</f>
        <v>8.3642943580000004</v>
      </c>
      <c r="CV120" t="str">
        <f>""</f>
        <v/>
      </c>
      <c r="CW120" t="str">
        <f>""</f>
        <v/>
      </c>
      <c r="CX120">
        <f>8.303175281</f>
        <v>8.3031752809999997</v>
      </c>
      <c r="CY120" t="str">
        <f>""</f>
        <v/>
      </c>
      <c r="CZ120" t="str">
        <f>""</f>
        <v/>
      </c>
      <c r="DA120">
        <f>8.186506299</f>
        <v>8.1865062989999995</v>
      </c>
      <c r="DB120" t="str">
        <f>""</f>
        <v/>
      </c>
      <c r="DC120" t="str">
        <f>""</f>
        <v/>
      </c>
      <c r="DD120">
        <f>8.05746899</f>
        <v>8.0574689900000003</v>
      </c>
      <c r="DE120" t="str">
        <f>""</f>
        <v/>
      </c>
      <c r="DF120" t="str">
        <f>""</f>
        <v/>
      </c>
      <c r="DG120">
        <f>7.915145903</f>
        <v>7.915145903</v>
      </c>
      <c r="DH120" t="str">
        <f>""</f>
        <v/>
      </c>
      <c r="DI120" t="str">
        <f>""</f>
        <v/>
      </c>
      <c r="DJ120">
        <f>7.756060763</f>
        <v>7.7560607629999998</v>
      </c>
      <c r="DK120" t="str">
        <f>""</f>
        <v/>
      </c>
      <c r="DL120" t="str">
        <f>""</f>
        <v/>
      </c>
      <c r="DM120">
        <f>7.537674564</f>
        <v>7.5376745639999996</v>
      </c>
      <c r="DN120" t="str">
        <f>""</f>
        <v/>
      </c>
      <c r="DO120" t="str">
        <f>""</f>
        <v/>
      </c>
      <c r="DP120">
        <f>7.285185798</f>
        <v>7.2851857979999997</v>
      </c>
      <c r="DQ120" t="str">
        <f>""</f>
        <v/>
      </c>
      <c r="DR120" t="str">
        <f>""</f>
        <v/>
      </c>
      <c r="DS120">
        <f>7.08409194</f>
        <v>7.0840919400000004</v>
      </c>
      <c r="DT120" t="str">
        <f>""</f>
        <v/>
      </c>
      <c r="DU120" t="str">
        <f>""</f>
        <v/>
      </c>
      <c r="DV120">
        <f>6.915748816</f>
        <v>6.9157488159999998</v>
      </c>
      <c r="DW120" t="str">
        <f>""</f>
        <v/>
      </c>
      <c r="DX120" t="str">
        <f>""</f>
        <v/>
      </c>
      <c r="DY120">
        <f>6.787102634</f>
        <v>6.787102634</v>
      </c>
      <c r="DZ120" t="str">
        <f>""</f>
        <v/>
      </c>
      <c r="EA120" t="str">
        <f>""</f>
        <v/>
      </c>
      <c r="EB120">
        <f>6.657072431</f>
        <v>6.6570724309999996</v>
      </c>
      <c r="EC120" t="str">
        <f>""</f>
        <v/>
      </c>
      <c r="ED120" t="str">
        <f>""</f>
        <v/>
      </c>
      <c r="EE120">
        <f>6.558514626</f>
        <v>6.558514626</v>
      </c>
      <c r="EF120" t="str">
        <f>""</f>
        <v/>
      </c>
      <c r="EG120" t="str">
        <f>""</f>
        <v/>
      </c>
      <c r="EH120">
        <f>6.475765232</f>
        <v>6.4757652319999996</v>
      </c>
      <c r="EI120" t="str">
        <f>""</f>
        <v/>
      </c>
      <c r="EJ120" t="str">
        <f>""</f>
        <v/>
      </c>
      <c r="EK120">
        <f>6.210236808</f>
        <v>6.2102368080000003</v>
      </c>
      <c r="EL120" t="str">
        <f>""</f>
        <v/>
      </c>
      <c r="EM120" t="str">
        <f>""</f>
        <v/>
      </c>
      <c r="EN120">
        <f>5.874268117</f>
        <v>5.8742681169999997</v>
      </c>
      <c r="EO120" t="str">
        <f>""</f>
        <v/>
      </c>
      <c r="EP120" t="str">
        <f>""</f>
        <v/>
      </c>
      <c r="EQ120">
        <f>5.683210647</f>
        <v>5.6832106470000001</v>
      </c>
      <c r="ER120" t="str">
        <f>""</f>
        <v/>
      </c>
      <c r="ES120" t="str">
        <f>""</f>
        <v/>
      </c>
      <c r="ET120">
        <f>5.410277468</f>
        <v>5.4102774680000003</v>
      </c>
      <c r="EU120" t="str">
        <f>""</f>
        <v/>
      </c>
      <c r="EV120" t="str">
        <f>""</f>
        <v/>
      </c>
      <c r="EW120">
        <f>5.325133805</f>
        <v>5.3251338050000001</v>
      </c>
      <c r="EX120" t="str">
        <f>""</f>
        <v/>
      </c>
      <c r="EY120" t="str">
        <f>""</f>
        <v/>
      </c>
      <c r="EZ120">
        <f>5.320509668</f>
        <v>5.3205096679999997</v>
      </c>
      <c r="FA120" t="str">
        <f>""</f>
        <v/>
      </c>
      <c r="FB120" t="str">
        <f>""</f>
        <v/>
      </c>
      <c r="FC120">
        <f>5.052486297</f>
        <v>5.0524862969999997</v>
      </c>
      <c r="FD120" t="str">
        <f>""</f>
        <v/>
      </c>
      <c r="FE120" t="str">
        <f>""</f>
        <v/>
      </c>
      <c r="FF120">
        <f>4.852289707</f>
        <v>4.8522897069999997</v>
      </c>
      <c r="FG120" t="str">
        <f>""</f>
        <v/>
      </c>
      <c r="FH120" t="str">
        <f>""</f>
        <v/>
      </c>
      <c r="FI120">
        <f>4.652385669</f>
        <v>4.6523856690000001</v>
      </c>
      <c r="FJ120" t="str">
        <f>""</f>
        <v/>
      </c>
      <c r="FK120" t="str">
        <f>""</f>
        <v/>
      </c>
      <c r="FL120">
        <f>4.395403727</f>
        <v>4.3954037269999997</v>
      </c>
      <c r="FM120" t="str">
        <f>""</f>
        <v/>
      </c>
      <c r="FN120" t="str">
        <f>""</f>
        <v/>
      </c>
      <c r="FO120">
        <f>4.210698493</f>
        <v>4.2106984929999998</v>
      </c>
      <c r="FP120" t="str">
        <f>""</f>
        <v/>
      </c>
      <c r="FQ120" t="str">
        <f>""</f>
        <v/>
      </c>
    </row>
    <row r="121" spans="1:173">
      <c r="A121" t="str">
        <f>"    Camden 房地产信托公司"</f>
        <v xml:space="preserve">    Camden 房地产信托公司</v>
      </c>
      <c r="B121" t="str">
        <f>"CPT US Equity"</f>
        <v>CPT US Equity</v>
      </c>
      <c r="C121" t="str">
        <f t="shared" si="36"/>
        <v>F0894</v>
      </c>
      <c r="D121" t="str">
        <f t="shared" si="37"/>
        <v>TRAILING_12_MONTHS_AFFOPS</v>
      </c>
      <c r="E121" t="str">
        <f t="shared" si="38"/>
        <v>动态</v>
      </c>
      <c r="F121" t="str">
        <f ca="1">IF(AND(ISNUMBER($F$334),$B$252=1),$F$334,HLOOKUP(INDIRECT(ADDRESS(2,COLUMN())),OFFSET($CL$2,0,0,ROW()-1,84),ROW()-1,FALSE))</f>
        <v/>
      </c>
      <c r="G121" t="str">
        <f ca="1">IF(AND(ISNUMBER($G$334),$B$252=1),$G$334,HLOOKUP(INDIRECT(ADDRESS(2,COLUMN())),OFFSET($CL$2,0,0,ROW()-1,84),ROW()-1,FALSE))</f>
        <v/>
      </c>
      <c r="H121" t="str">
        <f ca="1">IF(AND(ISNUMBER($H$334),$B$252=1),$H$334,HLOOKUP(INDIRECT(ADDRESS(2,COLUMN())),OFFSET($CL$2,0,0,ROW()-1,84),ROW()-1,FALSE))</f>
        <v/>
      </c>
      <c r="I121">
        <f ca="1">IF(AND(ISNUMBER($I$334),$B$252=1),$I$334,HLOOKUP(INDIRECT(ADDRESS(2,COLUMN())),OFFSET($CL$2,0,0,ROW()-1,84),ROW()-1,FALSE))</f>
        <v>4.5292542649999996</v>
      </c>
      <c r="J121" t="str">
        <f ca="1">IF(AND(ISNUMBER($J$334),$B$252=1),$J$334,HLOOKUP(INDIRECT(ADDRESS(2,COLUMN())),OFFSET($CL$2,0,0,ROW()-1,84),ROW()-1,FALSE))</f>
        <v/>
      </c>
      <c r="K121" t="str">
        <f ca="1">IF(AND(ISNUMBER($K$334),$B$252=1),$K$334,HLOOKUP(INDIRECT(ADDRESS(2,COLUMN())),OFFSET($CL$2,0,0,ROW()-1,84),ROW()-1,FALSE))</f>
        <v/>
      </c>
      <c r="L121">
        <f ca="1">IF(AND(ISNUMBER($L$334),$B$252=1),$L$334,HLOOKUP(INDIRECT(ADDRESS(2,COLUMN())),OFFSET($CL$2,0,0,ROW()-1,84),ROW()-1,FALSE))</f>
        <v>4.4972740089999999</v>
      </c>
      <c r="M121" t="str">
        <f ca="1">IF(AND(ISNUMBER($M$334),$B$252=1),$M$334,HLOOKUP(INDIRECT(ADDRESS(2,COLUMN())),OFFSET($CL$2,0,0,ROW()-1,84),ROW()-1,FALSE))</f>
        <v/>
      </c>
      <c r="N121" t="str">
        <f ca="1">IF(AND(ISNUMBER($N$334),$B$252=1),$N$334,HLOOKUP(INDIRECT(ADDRESS(2,COLUMN())),OFFSET($CL$2,0,0,ROW()-1,84),ROW()-1,FALSE))</f>
        <v/>
      </c>
      <c r="O121">
        <f ca="1">IF(AND(ISNUMBER($O$334),$B$252=1),$O$334,HLOOKUP(INDIRECT(ADDRESS(2,COLUMN())),OFFSET($CL$2,0,0,ROW()-1,84),ROW()-1,FALSE))</f>
        <v>4.523236077</v>
      </c>
      <c r="P121" t="str">
        <f ca="1">IF(AND(ISNUMBER($P$334),$B$252=1),$P$334,HLOOKUP(INDIRECT(ADDRESS(2,COLUMN())),OFFSET($CL$2,0,0,ROW()-1,84),ROW()-1,FALSE))</f>
        <v/>
      </c>
      <c r="Q121" t="str">
        <f ca="1">IF(AND(ISNUMBER($Q$334),$B$252=1),$Q$334,HLOOKUP(INDIRECT(ADDRESS(2,COLUMN())),OFFSET($CL$2,0,0,ROW()-1,84),ROW()-1,FALSE))</f>
        <v/>
      </c>
      <c r="R121">
        <f ca="1">IF(AND(ISNUMBER($R$334),$B$252=1),$R$334,HLOOKUP(INDIRECT(ADDRESS(2,COLUMN())),OFFSET($CL$2,0,0,ROW()-1,84),ROW()-1,FALSE))</f>
        <v>4.5234656449999999</v>
      </c>
      <c r="S121" t="str">
        <f ca="1">IF(AND(ISNUMBER($S$334),$B$252=1),$S$334,HLOOKUP(INDIRECT(ADDRESS(2,COLUMN())),OFFSET($CL$2,0,0,ROW()-1,84),ROW()-1,FALSE))</f>
        <v/>
      </c>
      <c r="T121" t="str">
        <f ca="1">IF(AND(ISNUMBER($T$334),$B$252=1),$T$334,HLOOKUP(INDIRECT(ADDRESS(2,COLUMN())),OFFSET($CL$2,0,0,ROW()-1,84),ROW()-1,FALSE))</f>
        <v/>
      </c>
      <c r="U121">
        <f ca="1">IF(AND(ISNUMBER($U$334),$B$252=1),$U$334,HLOOKUP(INDIRECT(ADDRESS(2,COLUMN())),OFFSET($CL$2,0,0,ROW()-1,84),ROW()-1,FALSE))</f>
        <v>4.6351602669999998</v>
      </c>
      <c r="V121" t="str">
        <f ca="1">IF(AND(ISNUMBER($V$334),$B$252=1),$V$334,HLOOKUP(INDIRECT(ADDRESS(2,COLUMN())),OFFSET($CL$2,0,0,ROW()-1,84),ROW()-1,FALSE))</f>
        <v/>
      </c>
      <c r="W121" t="str">
        <f ca="1">IF(AND(ISNUMBER($W$334),$B$252=1),$W$334,HLOOKUP(INDIRECT(ADDRESS(2,COLUMN())),OFFSET($CL$2,0,0,ROW()-1,84),ROW()-1,FALSE))</f>
        <v/>
      </c>
      <c r="X121">
        <f ca="1">IF(AND(ISNUMBER($X$334),$B$252=1),$X$334,HLOOKUP(INDIRECT(ADDRESS(2,COLUMN())),OFFSET($CL$2,0,0,ROW()-1,84),ROW()-1,FALSE))</f>
        <v>4.6846106809999997</v>
      </c>
      <c r="Y121" t="str">
        <f ca="1">IF(AND(ISNUMBER($Y$334),$B$252=1),$Y$334,HLOOKUP(INDIRECT(ADDRESS(2,COLUMN())),OFFSET($CL$2,0,0,ROW()-1,84),ROW()-1,FALSE))</f>
        <v/>
      </c>
      <c r="Z121" t="str">
        <f ca="1">IF(AND(ISNUMBER($Z$334),$B$252=1),$Z$334,HLOOKUP(INDIRECT(ADDRESS(2,COLUMN())),OFFSET($CL$2,0,0,ROW()-1,84),ROW()-1,FALSE))</f>
        <v/>
      </c>
      <c r="AA121">
        <f ca="1">IF(AND(ISNUMBER($AA$334),$B$252=1),$AA$334,HLOOKUP(INDIRECT(ADDRESS(2,COLUMN())),OFFSET($CL$2,0,0,ROW()-1,84),ROW()-1,FALSE))</f>
        <v>4.691725194</v>
      </c>
      <c r="AB121" t="str">
        <f ca="1">IF(AND(ISNUMBER($AB$334),$B$252=1),$AB$334,HLOOKUP(INDIRECT(ADDRESS(2,COLUMN())),OFFSET($CL$2,0,0,ROW()-1,84),ROW()-1,FALSE))</f>
        <v/>
      </c>
      <c r="AC121" t="str">
        <f ca="1">IF(AND(ISNUMBER($AC$334),$B$252=1),$AC$334,HLOOKUP(INDIRECT(ADDRESS(2,COLUMN())),OFFSET($CL$2,0,0,ROW()-1,84),ROW()-1,FALSE))</f>
        <v/>
      </c>
      <c r="AD121">
        <f ca="1">IF(AND(ISNUMBER($AD$334),$B$252=1),$AD$334,HLOOKUP(INDIRECT(ADDRESS(2,COLUMN())),OFFSET($CL$2,0,0,ROW()-1,84),ROW()-1,FALSE))</f>
        <v>4.6582290659999996</v>
      </c>
      <c r="AE121" t="str">
        <f ca="1">IF(AND(ISNUMBER($AE$334),$B$252=1),$AE$334,HLOOKUP(INDIRECT(ADDRESS(2,COLUMN())),OFFSET($CL$2,0,0,ROW()-1,84),ROW()-1,FALSE))</f>
        <v/>
      </c>
      <c r="AF121" t="str">
        <f ca="1">IF(AND(ISNUMBER($AF$334),$B$252=1),$AF$334,HLOOKUP(INDIRECT(ADDRESS(2,COLUMN())),OFFSET($CL$2,0,0,ROW()-1,84),ROW()-1,FALSE))</f>
        <v/>
      </c>
      <c r="AG121">
        <f ca="1">IF(AND(ISNUMBER($AG$334),$B$252=1),$AG$334,HLOOKUP(INDIRECT(ADDRESS(2,COLUMN())),OFFSET($CL$2,0,0,ROW()-1,84),ROW()-1,FALSE))</f>
        <v>4.5355261220000003</v>
      </c>
      <c r="AH121" t="str">
        <f ca="1">IF(AND(ISNUMBER($AH$334),$B$252=1),$AH$334,HLOOKUP(INDIRECT(ADDRESS(2,COLUMN())),OFFSET($CL$2,0,0,ROW()-1,84),ROW()-1,FALSE))</f>
        <v/>
      </c>
      <c r="AI121" t="str">
        <f ca="1">IF(AND(ISNUMBER($AI$334),$B$252=1),$AI$334,HLOOKUP(INDIRECT(ADDRESS(2,COLUMN())),OFFSET($CL$2,0,0,ROW()-1,84),ROW()-1,FALSE))</f>
        <v/>
      </c>
      <c r="AJ121">
        <f ca="1">IF(AND(ISNUMBER($AJ$334),$B$252=1),$AJ$334,HLOOKUP(INDIRECT(ADDRESS(2,COLUMN())),OFFSET($CL$2,0,0,ROW()-1,84),ROW()-1,FALSE))</f>
        <v>4.4399502999999996</v>
      </c>
      <c r="AK121" t="str">
        <f ca="1">IF(AND(ISNUMBER($AK$334),$B$252=1),$AK$334,HLOOKUP(INDIRECT(ADDRESS(2,COLUMN())),OFFSET($CL$2,0,0,ROW()-1,84),ROW()-1,FALSE))</f>
        <v/>
      </c>
      <c r="AL121" t="str">
        <f ca="1">IF(AND(ISNUMBER($AL$334),$B$252=1),$AL$334,HLOOKUP(INDIRECT(ADDRESS(2,COLUMN())),OFFSET($CL$2,0,0,ROW()-1,84),ROW()-1,FALSE))</f>
        <v/>
      </c>
      <c r="AM121">
        <f ca="1">IF(AND(ISNUMBER($AM$334),$B$252=1),$AM$334,HLOOKUP(INDIRECT(ADDRESS(2,COLUMN())),OFFSET($CL$2,0,0,ROW()-1,84),ROW()-1,FALSE))</f>
        <v>4.3701434389999996</v>
      </c>
      <c r="AN121" t="str">
        <f ca="1">IF(AND(ISNUMBER($AN$334),$B$252=1),$AN$334,HLOOKUP(INDIRECT(ADDRESS(2,COLUMN())),OFFSET($CL$2,0,0,ROW()-1,84),ROW()-1,FALSE))</f>
        <v/>
      </c>
      <c r="AO121" t="str">
        <f ca="1">IF(AND(ISNUMBER($AO$334),$B$252=1),$AO$334,HLOOKUP(INDIRECT(ADDRESS(2,COLUMN())),OFFSET($CL$2,0,0,ROW()-1,84),ROW()-1,FALSE))</f>
        <v/>
      </c>
      <c r="AP121">
        <f ca="1">IF(AND(ISNUMBER($AP$334),$B$252=1),$AP$334,HLOOKUP(INDIRECT(ADDRESS(2,COLUMN())),OFFSET($CL$2,0,0,ROW()-1,84),ROW()-1,FALSE))</f>
        <v>4.2953026760000004</v>
      </c>
      <c r="AQ121" t="str">
        <f ca="1">IF(AND(ISNUMBER($AQ$334),$B$252=1),$AQ$334,HLOOKUP(INDIRECT(ADDRESS(2,COLUMN())),OFFSET($CL$2,0,0,ROW()-1,84),ROW()-1,FALSE))</f>
        <v/>
      </c>
      <c r="AR121" t="str">
        <f ca="1">IF(AND(ISNUMBER($AR$334),$B$252=1),$AR$334,HLOOKUP(INDIRECT(ADDRESS(2,COLUMN())),OFFSET($CL$2,0,0,ROW()-1,84),ROW()-1,FALSE))</f>
        <v/>
      </c>
      <c r="AS121">
        <f ca="1">IF(AND(ISNUMBER($AS$334),$B$252=1),$AS$334,HLOOKUP(INDIRECT(ADDRESS(2,COLUMN())),OFFSET($CL$2,0,0,ROW()-1,84),ROW()-1,FALSE))</f>
        <v>4.2661342539999998</v>
      </c>
      <c r="AT121" t="str">
        <f ca="1">IF(AND(ISNUMBER($AT$334),$B$252=1),$AT$334,HLOOKUP(INDIRECT(ADDRESS(2,COLUMN())),OFFSET($CL$2,0,0,ROW()-1,84),ROW()-1,FALSE))</f>
        <v/>
      </c>
      <c r="AU121" t="str">
        <f ca="1">IF(AND(ISNUMBER($AU$334),$B$252=1),$AU$334,HLOOKUP(INDIRECT(ADDRESS(2,COLUMN())),OFFSET($CL$2,0,0,ROW()-1,84),ROW()-1,FALSE))</f>
        <v/>
      </c>
      <c r="AV121">
        <f ca="1">IF(AND(ISNUMBER($AV$334),$B$252=1),$AV$334,HLOOKUP(INDIRECT(ADDRESS(2,COLUMN())),OFFSET($CL$2,0,0,ROW()-1,84),ROW()-1,FALSE))</f>
        <v>4.2436758680000004</v>
      </c>
      <c r="AW121" t="str">
        <f ca="1">IF(AND(ISNUMBER($AW$334),$B$252=1),$AW$334,HLOOKUP(INDIRECT(ADDRESS(2,COLUMN())),OFFSET($CL$2,0,0,ROW()-1,84),ROW()-1,FALSE))</f>
        <v/>
      </c>
      <c r="AX121" t="str">
        <f ca="1">IF(AND(ISNUMBER($AX$334),$B$252=1),$AX$334,HLOOKUP(INDIRECT(ADDRESS(2,COLUMN())),OFFSET($CL$2,0,0,ROW()-1,84),ROW()-1,FALSE))</f>
        <v/>
      </c>
      <c r="AY121">
        <f ca="1">IF(AND(ISNUMBER($AY$334),$B$252=1),$AY$334,HLOOKUP(INDIRECT(ADDRESS(2,COLUMN())),OFFSET($CL$2,0,0,ROW()-1,84),ROW()-1,FALSE))</f>
        <v>4.211477651</v>
      </c>
      <c r="AZ121" t="str">
        <f ca="1">IF(AND(ISNUMBER($AZ$334),$B$252=1),$AZ$334,HLOOKUP(INDIRECT(ADDRESS(2,COLUMN())),OFFSET($CL$2,0,0,ROW()-1,84),ROW()-1,FALSE))</f>
        <v/>
      </c>
      <c r="BA121" t="str">
        <f ca="1">IF(AND(ISNUMBER($BA$334),$B$252=1),$BA$334,HLOOKUP(INDIRECT(ADDRESS(2,COLUMN())),OFFSET($CL$2,0,0,ROW()-1,84),ROW()-1,FALSE))</f>
        <v/>
      </c>
      <c r="BB121">
        <f ca="1">IF(AND(ISNUMBER($BB$334),$B$252=1),$BB$334,HLOOKUP(INDIRECT(ADDRESS(2,COLUMN())),OFFSET($CL$2,0,0,ROW()-1,84),ROW()-1,FALSE))</f>
        <v>4.1902195799999999</v>
      </c>
      <c r="BC121" t="str">
        <f ca="1">IF(AND(ISNUMBER($BC$334),$B$252=1),$BC$334,HLOOKUP(INDIRECT(ADDRESS(2,COLUMN())),OFFSET($CL$2,0,0,ROW()-1,84),ROW()-1,FALSE))</f>
        <v/>
      </c>
      <c r="BD121" t="str">
        <f ca="1">IF(AND(ISNUMBER($BD$334),$B$252=1),$BD$334,HLOOKUP(INDIRECT(ADDRESS(2,COLUMN())),OFFSET($CL$2,0,0,ROW()-1,84),ROW()-1,FALSE))</f>
        <v/>
      </c>
      <c r="BE121">
        <f ca="1">IF(AND(ISNUMBER($BE$334),$B$252=1),$BE$334,HLOOKUP(INDIRECT(ADDRESS(2,COLUMN())),OFFSET($CL$2,0,0,ROW()-1,84),ROW()-1,FALSE))</f>
        <v>4.1035253210000002</v>
      </c>
      <c r="BF121" t="str">
        <f ca="1">IF(AND(ISNUMBER($BF$334),$B$252=1),$BF$334,HLOOKUP(INDIRECT(ADDRESS(2,COLUMN())),OFFSET($CL$2,0,0,ROW()-1,84),ROW()-1,FALSE))</f>
        <v/>
      </c>
      <c r="BG121" t="str">
        <f ca="1">IF(AND(ISNUMBER($BG$334),$B$252=1),$BG$334,HLOOKUP(INDIRECT(ADDRESS(2,COLUMN())),OFFSET($CL$2,0,0,ROW()-1,84),ROW()-1,FALSE))</f>
        <v/>
      </c>
      <c r="BH121">
        <f ca="1">IF(AND(ISNUMBER($BH$334),$B$252=1),$BH$334,HLOOKUP(INDIRECT(ADDRESS(2,COLUMN())),OFFSET($CL$2,0,0,ROW()-1,84),ROW()-1,FALSE))</f>
        <v>3.9895490100000002</v>
      </c>
      <c r="BI121" t="str">
        <f ca="1">IF(AND(ISNUMBER($BI$334),$B$252=1),$BI$334,HLOOKUP(INDIRECT(ADDRESS(2,COLUMN())),OFFSET($CL$2,0,0,ROW()-1,84),ROW()-1,FALSE))</f>
        <v/>
      </c>
      <c r="BJ121" t="str">
        <f ca="1">IF(AND(ISNUMBER($BJ$334),$B$252=1),$BJ$334,HLOOKUP(INDIRECT(ADDRESS(2,COLUMN())),OFFSET($CL$2,0,0,ROW()-1,84),ROW()-1,FALSE))</f>
        <v/>
      </c>
      <c r="BK121">
        <f ca="1">IF(AND(ISNUMBER($BK$334),$B$252=1),$BK$334,HLOOKUP(INDIRECT(ADDRESS(2,COLUMN())),OFFSET($CL$2,0,0,ROW()-1,84),ROW()-1,FALSE))</f>
        <v>3.8779463359999999</v>
      </c>
      <c r="BL121" t="str">
        <f ca="1">IF(AND(ISNUMBER($BL$334),$B$252=1),$BL$334,HLOOKUP(INDIRECT(ADDRESS(2,COLUMN())),OFFSET($CL$2,0,0,ROW()-1,84),ROW()-1,FALSE))</f>
        <v/>
      </c>
      <c r="BM121" t="str">
        <f ca="1">IF(AND(ISNUMBER($BM$334),$B$252=1),$BM$334,HLOOKUP(INDIRECT(ADDRESS(2,COLUMN())),OFFSET($CL$2,0,0,ROW()-1,84),ROW()-1,FALSE))</f>
        <v/>
      </c>
      <c r="BN121">
        <f ca="1">IF(AND(ISNUMBER($BN$334),$B$252=1),$BN$334,HLOOKUP(INDIRECT(ADDRESS(2,COLUMN())),OFFSET($CL$2,0,0,ROW()-1,84),ROW()-1,FALSE))</f>
        <v>3.7481125419999999</v>
      </c>
      <c r="BO121" t="str">
        <f ca="1">IF(AND(ISNUMBER($BO$334),$B$252=1),$BO$334,HLOOKUP(INDIRECT(ADDRESS(2,COLUMN())),OFFSET($CL$2,0,0,ROW()-1,84),ROW()-1,FALSE))</f>
        <v/>
      </c>
      <c r="BP121" t="str">
        <f ca="1">IF(AND(ISNUMBER($BP$334),$B$252=1),$BP$334,HLOOKUP(INDIRECT(ADDRESS(2,COLUMN())),OFFSET($CL$2,0,0,ROW()-1,84),ROW()-1,FALSE))</f>
        <v/>
      </c>
      <c r="BQ121">
        <f ca="1">IF(AND(ISNUMBER($BQ$334),$B$252=1),$BQ$334,HLOOKUP(INDIRECT(ADDRESS(2,COLUMN())),OFFSET($CL$2,0,0,ROW()-1,84),ROW()-1,FALSE))</f>
        <v>3.6123317469999998</v>
      </c>
      <c r="BR121" t="str">
        <f ca="1">IF(AND(ISNUMBER($BR$334),$B$252=1),$BR$334,HLOOKUP(INDIRECT(ADDRESS(2,COLUMN())),OFFSET($CL$2,0,0,ROW()-1,84),ROW()-1,FALSE))</f>
        <v/>
      </c>
      <c r="BS121" t="str">
        <f ca="1">IF(AND(ISNUMBER($BS$334),$B$252=1),$BS$334,HLOOKUP(INDIRECT(ADDRESS(2,COLUMN())),OFFSET($CL$2,0,0,ROW()-1,84),ROW()-1,FALSE))</f>
        <v/>
      </c>
      <c r="BT121">
        <f ca="1">IF(AND(ISNUMBER($BT$334),$B$252=1),$BT$334,HLOOKUP(INDIRECT(ADDRESS(2,COLUMN())),OFFSET($CL$2,0,0,ROW()-1,84),ROW()-1,FALSE))</f>
        <v>3.485170246</v>
      </c>
      <c r="BU121" t="str">
        <f ca="1">IF(AND(ISNUMBER($BU$334),$B$252=1),$BU$334,HLOOKUP(INDIRECT(ADDRESS(2,COLUMN())),OFFSET($CL$2,0,0,ROW()-1,84),ROW()-1,FALSE))</f>
        <v/>
      </c>
      <c r="BV121" t="str">
        <f ca="1">IF(AND(ISNUMBER($BV$334),$B$252=1),$BV$334,HLOOKUP(INDIRECT(ADDRESS(2,COLUMN())),OFFSET($CL$2,0,0,ROW()-1,84),ROW()-1,FALSE))</f>
        <v/>
      </c>
      <c r="BW121">
        <f ca="1">IF(AND(ISNUMBER($BW$334),$B$252=1),$BW$334,HLOOKUP(INDIRECT(ADDRESS(2,COLUMN())),OFFSET($CL$2,0,0,ROW()-1,84),ROW()-1,FALSE))</f>
        <v>3.3262657400000002</v>
      </c>
      <c r="BX121" t="str">
        <f ca="1">IF(AND(ISNUMBER($BX$334),$B$252=1),$BX$334,HLOOKUP(INDIRECT(ADDRESS(2,COLUMN())),OFFSET($CL$2,0,0,ROW()-1,84),ROW()-1,FALSE))</f>
        <v/>
      </c>
      <c r="BY121" t="str">
        <f ca="1">IF(AND(ISNUMBER($BY$334),$B$252=1),$BY$334,HLOOKUP(INDIRECT(ADDRESS(2,COLUMN())),OFFSET($CL$2,0,0,ROW()-1,84),ROW()-1,FALSE))</f>
        <v/>
      </c>
      <c r="BZ121">
        <f ca="1">IF(AND(ISNUMBER($BZ$334),$B$252=1),$BZ$334,HLOOKUP(INDIRECT(ADDRESS(2,COLUMN())),OFFSET($CL$2,0,0,ROW()-1,84),ROW()-1,FALSE))</f>
        <v>2.8368957969999999</v>
      </c>
      <c r="CA121" t="str">
        <f ca="1">IF(AND(ISNUMBER($CA$334),$B$252=1),$CA$334,HLOOKUP(INDIRECT(ADDRESS(2,COLUMN())),OFFSET($CL$2,0,0,ROW()-1,84),ROW()-1,FALSE))</f>
        <v/>
      </c>
      <c r="CB121" t="str">
        <f ca="1">IF(AND(ISNUMBER($CB$334),$B$252=1),$CB$334,HLOOKUP(INDIRECT(ADDRESS(2,COLUMN())),OFFSET($CL$2,0,0,ROW()-1,84),ROW()-1,FALSE))</f>
        <v/>
      </c>
      <c r="CC121">
        <f ca="1">IF(AND(ISNUMBER($CC$334),$B$252=1),$CC$334,HLOOKUP(INDIRECT(ADDRESS(2,COLUMN())),OFFSET($CL$2,0,0,ROW()-1,84),ROW()-1,FALSE))</f>
        <v>2.7303808140000001</v>
      </c>
      <c r="CD121" t="str">
        <f ca="1">IF(AND(ISNUMBER($CD$334),$B$252=1),$CD$334,HLOOKUP(INDIRECT(ADDRESS(2,COLUMN())),OFFSET($CL$2,0,0,ROW()-1,84),ROW()-1,FALSE))</f>
        <v/>
      </c>
      <c r="CE121" t="str">
        <f ca="1">IF(AND(ISNUMBER($CE$334),$B$252=1),$CE$334,HLOOKUP(INDIRECT(ADDRESS(2,COLUMN())),OFFSET($CL$2,0,0,ROW()-1,84),ROW()-1,FALSE))</f>
        <v/>
      </c>
      <c r="CF121">
        <f ca="1">IF(AND(ISNUMBER($CF$334),$B$252=1),$CF$334,HLOOKUP(INDIRECT(ADDRESS(2,COLUMN())),OFFSET($CL$2,0,0,ROW()-1,84),ROW()-1,FALSE))</f>
        <v>2.6360405</v>
      </c>
      <c r="CG121" t="str">
        <f ca="1">IF(AND(ISNUMBER($CG$334),$B$252=1),$CG$334,HLOOKUP(INDIRECT(ADDRESS(2,COLUMN())),OFFSET($CL$2,0,0,ROW()-1,84),ROW()-1,FALSE))</f>
        <v/>
      </c>
      <c r="CH121" t="str">
        <f ca="1">IF(AND(ISNUMBER($CH$334),$B$252=1),$CH$334,HLOOKUP(INDIRECT(ADDRESS(2,COLUMN())),OFFSET($CL$2,0,0,ROW()-1,84),ROW()-1,FALSE))</f>
        <v/>
      </c>
      <c r="CI121">
        <f ca="1">IF(AND(ISNUMBER($CI$334),$B$252=1),$CI$334,HLOOKUP(INDIRECT(ADDRESS(2,COLUMN())),OFFSET($CL$2,0,0,ROW()-1,84),ROW()-1,FALSE))</f>
        <v>2.515369545</v>
      </c>
      <c r="CJ121" t="str">
        <f ca="1">IF(AND(ISNUMBER($CJ$334),$B$252=1),$CJ$334,HLOOKUP(INDIRECT(ADDRESS(2,COLUMN())),OFFSET($CL$2,0,0,ROW()-1,84),ROW()-1,FALSE))</f>
        <v/>
      </c>
      <c r="CK121" t="str">
        <f ca="1">IF(AND(ISNUMBER($CK$334),$B$252=1),$CK$334,HLOOKUP(INDIRECT(ADDRESS(2,COLUMN())),OFFSET($CL$2,0,0,ROW()-1,84),ROW()-1,FALSE))</f>
        <v/>
      </c>
      <c r="CL121" t="str">
        <f>""</f>
        <v/>
      </c>
      <c r="CM121" t="str">
        <f>""</f>
        <v/>
      </c>
      <c r="CN121" t="str">
        <f>""</f>
        <v/>
      </c>
      <c r="CO121">
        <f>4.529254265</f>
        <v>4.5292542649999996</v>
      </c>
      <c r="CP121" t="str">
        <f>""</f>
        <v/>
      </c>
      <c r="CQ121" t="str">
        <f>""</f>
        <v/>
      </c>
      <c r="CR121">
        <f>4.497274009</f>
        <v>4.4972740089999999</v>
      </c>
      <c r="CS121" t="str">
        <f>""</f>
        <v/>
      </c>
      <c r="CT121" t="str">
        <f>""</f>
        <v/>
      </c>
      <c r="CU121">
        <f>4.523236077</f>
        <v>4.523236077</v>
      </c>
      <c r="CV121" t="str">
        <f>""</f>
        <v/>
      </c>
      <c r="CW121" t="str">
        <f>""</f>
        <v/>
      </c>
      <c r="CX121">
        <f>4.523465645</f>
        <v>4.5234656449999999</v>
      </c>
      <c r="CY121" t="str">
        <f>""</f>
        <v/>
      </c>
      <c r="CZ121" t="str">
        <f>""</f>
        <v/>
      </c>
      <c r="DA121">
        <f>4.635160267</f>
        <v>4.6351602669999998</v>
      </c>
      <c r="DB121" t="str">
        <f>""</f>
        <v/>
      </c>
      <c r="DC121" t="str">
        <f>""</f>
        <v/>
      </c>
      <c r="DD121">
        <f>4.684610681</f>
        <v>4.6846106809999997</v>
      </c>
      <c r="DE121" t="str">
        <f>""</f>
        <v/>
      </c>
      <c r="DF121" t="str">
        <f>""</f>
        <v/>
      </c>
      <c r="DG121">
        <f>4.691725194</f>
        <v>4.691725194</v>
      </c>
      <c r="DH121" t="str">
        <f>""</f>
        <v/>
      </c>
      <c r="DI121" t="str">
        <f>""</f>
        <v/>
      </c>
      <c r="DJ121">
        <f>4.658229066</f>
        <v>4.6582290659999996</v>
      </c>
      <c r="DK121" t="str">
        <f>""</f>
        <v/>
      </c>
      <c r="DL121" t="str">
        <f>""</f>
        <v/>
      </c>
      <c r="DM121">
        <f>4.535526122</f>
        <v>4.5355261220000003</v>
      </c>
      <c r="DN121" t="str">
        <f>""</f>
        <v/>
      </c>
      <c r="DO121" t="str">
        <f>""</f>
        <v/>
      </c>
      <c r="DP121">
        <f>4.4399503</f>
        <v>4.4399502999999996</v>
      </c>
      <c r="DQ121" t="str">
        <f>""</f>
        <v/>
      </c>
      <c r="DR121" t="str">
        <f>""</f>
        <v/>
      </c>
      <c r="DS121">
        <f>4.370143439</f>
        <v>4.3701434389999996</v>
      </c>
      <c r="DT121" t="str">
        <f>""</f>
        <v/>
      </c>
      <c r="DU121" t="str">
        <f>""</f>
        <v/>
      </c>
      <c r="DV121">
        <f>4.295302676</f>
        <v>4.2953026760000004</v>
      </c>
      <c r="DW121" t="str">
        <f>""</f>
        <v/>
      </c>
      <c r="DX121" t="str">
        <f>""</f>
        <v/>
      </c>
      <c r="DY121">
        <f>4.266134254</f>
        <v>4.2661342539999998</v>
      </c>
      <c r="DZ121" t="str">
        <f>""</f>
        <v/>
      </c>
      <c r="EA121" t="str">
        <f>""</f>
        <v/>
      </c>
      <c r="EB121">
        <f>4.243675868</f>
        <v>4.2436758680000004</v>
      </c>
      <c r="EC121" t="str">
        <f>""</f>
        <v/>
      </c>
      <c r="ED121" t="str">
        <f>""</f>
        <v/>
      </c>
      <c r="EE121">
        <f>4.211477651</f>
        <v>4.211477651</v>
      </c>
      <c r="EF121" t="str">
        <f>""</f>
        <v/>
      </c>
      <c r="EG121" t="str">
        <f>""</f>
        <v/>
      </c>
      <c r="EH121">
        <f>4.19021958</f>
        <v>4.1902195799999999</v>
      </c>
      <c r="EI121" t="str">
        <f>""</f>
        <v/>
      </c>
      <c r="EJ121" t="str">
        <f>""</f>
        <v/>
      </c>
      <c r="EK121">
        <f>4.103525321</f>
        <v>4.1035253210000002</v>
      </c>
      <c r="EL121" t="str">
        <f>""</f>
        <v/>
      </c>
      <c r="EM121" t="str">
        <f>""</f>
        <v/>
      </c>
      <c r="EN121">
        <f>3.98954901</f>
        <v>3.9895490100000002</v>
      </c>
      <c r="EO121" t="str">
        <f>""</f>
        <v/>
      </c>
      <c r="EP121" t="str">
        <f>""</f>
        <v/>
      </c>
      <c r="EQ121">
        <f>3.877946336</f>
        <v>3.8779463359999999</v>
      </c>
      <c r="ER121" t="str">
        <f>""</f>
        <v/>
      </c>
      <c r="ES121" t="str">
        <f>""</f>
        <v/>
      </c>
      <c r="ET121">
        <f>3.748112542</f>
        <v>3.7481125419999999</v>
      </c>
      <c r="EU121" t="str">
        <f>""</f>
        <v/>
      </c>
      <c r="EV121" t="str">
        <f>""</f>
        <v/>
      </c>
      <c r="EW121">
        <f>3.612331747</f>
        <v>3.6123317469999998</v>
      </c>
      <c r="EX121" t="str">
        <f>""</f>
        <v/>
      </c>
      <c r="EY121" t="str">
        <f>""</f>
        <v/>
      </c>
      <c r="EZ121">
        <f>3.485170246</f>
        <v>3.485170246</v>
      </c>
      <c r="FA121" t="str">
        <f>""</f>
        <v/>
      </c>
      <c r="FB121" t="str">
        <f>""</f>
        <v/>
      </c>
      <c r="FC121">
        <f>3.32626574</f>
        <v>3.3262657400000002</v>
      </c>
      <c r="FD121" t="str">
        <f>""</f>
        <v/>
      </c>
      <c r="FE121" t="str">
        <f>""</f>
        <v/>
      </c>
      <c r="FF121">
        <f>2.836895797</f>
        <v>2.8368957969999999</v>
      </c>
      <c r="FG121" t="str">
        <f>""</f>
        <v/>
      </c>
      <c r="FH121" t="str">
        <f>""</f>
        <v/>
      </c>
      <c r="FI121">
        <f>2.730380814</f>
        <v>2.7303808140000001</v>
      </c>
      <c r="FJ121" t="str">
        <f>""</f>
        <v/>
      </c>
      <c r="FK121" t="str">
        <f>""</f>
        <v/>
      </c>
      <c r="FL121">
        <f>2.6360405</f>
        <v>2.6360405</v>
      </c>
      <c r="FM121" t="str">
        <f>""</f>
        <v/>
      </c>
      <c r="FN121" t="str">
        <f>""</f>
        <v/>
      </c>
      <c r="FO121">
        <f>2.515369545</f>
        <v>2.515369545</v>
      </c>
      <c r="FP121" t="str">
        <f>""</f>
        <v/>
      </c>
      <c r="FQ121" t="str">
        <f>""</f>
        <v/>
      </c>
    </row>
    <row r="122" spans="1:173">
      <c r="A122" t="str">
        <f>"    公寓物业权益信托"</f>
        <v xml:space="preserve">    公寓物业权益信托</v>
      </c>
      <c r="B122" t="str">
        <f>"EQR US Equity"</f>
        <v>EQR US Equity</v>
      </c>
      <c r="C122" t="str">
        <f t="shared" si="36"/>
        <v>F0894</v>
      </c>
      <c r="D122" t="str">
        <f t="shared" si="37"/>
        <v>TRAILING_12_MONTHS_AFFOPS</v>
      </c>
      <c r="E122" t="str">
        <f t="shared" si="38"/>
        <v>动态</v>
      </c>
      <c r="F122" t="str">
        <f ca="1">IF(AND(ISNUMBER($F$335),$B$252=1),$F$335,HLOOKUP(INDIRECT(ADDRESS(2,COLUMN())),OFFSET($CL$2,0,0,ROW()-1,84),ROW()-1,FALSE))</f>
        <v/>
      </c>
      <c r="G122" t="str">
        <f ca="1">IF(AND(ISNUMBER($G$335),$B$252=1),$G$335,HLOOKUP(INDIRECT(ADDRESS(2,COLUMN())),OFFSET($CL$2,0,0,ROW()-1,84),ROW()-1,FALSE))</f>
        <v/>
      </c>
      <c r="H122" t="str">
        <f ca="1">IF(AND(ISNUMBER($H$335),$B$252=1),$H$335,HLOOKUP(INDIRECT(ADDRESS(2,COLUMN())),OFFSET($CL$2,0,0,ROW()-1,84),ROW()-1,FALSE))</f>
        <v/>
      </c>
      <c r="I122">
        <f ca="1">IF(AND(ISNUMBER($I$335),$B$252=1),$I$335,HLOOKUP(INDIRECT(ADDRESS(2,COLUMN())),OFFSET($CL$2,0,0,ROW()-1,84),ROW()-1,FALSE))</f>
        <v>3.1330675179999998</v>
      </c>
      <c r="J122" t="str">
        <f ca="1">IF(AND(ISNUMBER($J$335),$B$252=1),$J$335,HLOOKUP(INDIRECT(ADDRESS(2,COLUMN())),OFFSET($CL$2,0,0,ROW()-1,84),ROW()-1,FALSE))</f>
        <v/>
      </c>
      <c r="K122" t="str">
        <f ca="1">IF(AND(ISNUMBER($K$335),$B$252=1),$K$335,HLOOKUP(INDIRECT(ADDRESS(2,COLUMN())),OFFSET($CL$2,0,0,ROW()-1,84),ROW()-1,FALSE))</f>
        <v/>
      </c>
      <c r="L122">
        <f ca="1">IF(AND(ISNUMBER($L$335),$B$252=1),$L$335,HLOOKUP(INDIRECT(ADDRESS(2,COLUMN())),OFFSET($CL$2,0,0,ROW()-1,84),ROW()-1,FALSE))</f>
        <v>3.0986635009999999</v>
      </c>
      <c r="M122" t="str">
        <f ca="1">IF(AND(ISNUMBER($M$335),$B$252=1),$M$335,HLOOKUP(INDIRECT(ADDRESS(2,COLUMN())),OFFSET($CL$2,0,0,ROW()-1,84),ROW()-1,FALSE))</f>
        <v/>
      </c>
      <c r="N122" t="str">
        <f ca="1">IF(AND(ISNUMBER($N$335),$B$252=1),$N$335,HLOOKUP(INDIRECT(ADDRESS(2,COLUMN())),OFFSET($CL$2,0,0,ROW()-1,84),ROW()-1,FALSE))</f>
        <v/>
      </c>
      <c r="O122">
        <f ca="1">IF(AND(ISNUMBER($O$335),$B$252=1),$O$335,HLOOKUP(INDIRECT(ADDRESS(2,COLUMN())),OFFSET($CL$2,0,0,ROW()-1,84),ROW()-1,FALSE))</f>
        <v>3.0798528969999999</v>
      </c>
      <c r="P122" t="str">
        <f ca="1">IF(AND(ISNUMBER($P$335),$B$252=1),$P$335,HLOOKUP(INDIRECT(ADDRESS(2,COLUMN())),OFFSET($CL$2,0,0,ROW()-1,84),ROW()-1,FALSE))</f>
        <v/>
      </c>
      <c r="Q122" t="str">
        <f ca="1">IF(AND(ISNUMBER($Q$335),$B$252=1),$Q$335,HLOOKUP(INDIRECT(ADDRESS(2,COLUMN())),OFFSET($CL$2,0,0,ROW()-1,84),ROW()-1,FALSE))</f>
        <v/>
      </c>
      <c r="R122">
        <f ca="1">IF(AND(ISNUMBER($R$335),$B$252=1),$R$335,HLOOKUP(INDIRECT(ADDRESS(2,COLUMN())),OFFSET($CL$2,0,0,ROW()-1,84),ROW()-1,FALSE))</f>
        <v>3.0718686769999999</v>
      </c>
      <c r="S122" t="str">
        <f ca="1">IF(AND(ISNUMBER($S$335),$B$252=1),$S$335,HLOOKUP(INDIRECT(ADDRESS(2,COLUMN())),OFFSET($CL$2,0,0,ROW()-1,84),ROW()-1,FALSE))</f>
        <v/>
      </c>
      <c r="T122" t="str">
        <f ca="1">IF(AND(ISNUMBER($T$335),$B$252=1),$T$335,HLOOKUP(INDIRECT(ADDRESS(2,COLUMN())),OFFSET($CL$2,0,0,ROW()-1,84),ROW()-1,FALSE))</f>
        <v/>
      </c>
      <c r="U122">
        <f ca="1">IF(AND(ISNUMBER($U$335),$B$252=1),$U$335,HLOOKUP(INDIRECT(ADDRESS(2,COLUMN())),OFFSET($CL$2,0,0,ROW()-1,84),ROW()-1,FALSE))</f>
        <v>3.087009466</v>
      </c>
      <c r="V122" t="str">
        <f ca="1">IF(AND(ISNUMBER($V$335),$B$252=1),$V$335,HLOOKUP(INDIRECT(ADDRESS(2,COLUMN())),OFFSET($CL$2,0,0,ROW()-1,84),ROW()-1,FALSE))</f>
        <v/>
      </c>
      <c r="W122" t="str">
        <f ca="1">IF(AND(ISNUMBER($W$335),$B$252=1),$W$335,HLOOKUP(INDIRECT(ADDRESS(2,COLUMN())),OFFSET($CL$2,0,0,ROW()-1,84),ROW()-1,FALSE))</f>
        <v/>
      </c>
      <c r="X122">
        <f ca="1">IF(AND(ISNUMBER($X$335),$B$252=1),$X$335,HLOOKUP(INDIRECT(ADDRESS(2,COLUMN())),OFFSET($CL$2,0,0,ROW()-1,84),ROW()-1,FALSE))</f>
        <v>3.2206336019999999</v>
      </c>
      <c r="Y122" t="str">
        <f ca="1">IF(AND(ISNUMBER($Y$335),$B$252=1),$Y$335,HLOOKUP(INDIRECT(ADDRESS(2,COLUMN())),OFFSET($CL$2,0,0,ROW()-1,84),ROW()-1,FALSE))</f>
        <v/>
      </c>
      <c r="Z122" t="str">
        <f ca="1">IF(AND(ISNUMBER($Z$335),$B$252=1),$Z$335,HLOOKUP(INDIRECT(ADDRESS(2,COLUMN())),OFFSET($CL$2,0,0,ROW()-1,84),ROW()-1,FALSE))</f>
        <v/>
      </c>
      <c r="AA122">
        <f ca="1">IF(AND(ISNUMBER($AA$335),$B$252=1),$AA$335,HLOOKUP(INDIRECT(ADDRESS(2,COLUMN())),OFFSET($CL$2,0,0,ROW()-1,84),ROW()-1,FALSE))</f>
        <v>3.3380655460000002</v>
      </c>
      <c r="AB122" t="str">
        <f ca="1">IF(AND(ISNUMBER($AB$335),$B$252=1),$AB$335,HLOOKUP(INDIRECT(ADDRESS(2,COLUMN())),OFFSET($CL$2,0,0,ROW()-1,84),ROW()-1,FALSE))</f>
        <v/>
      </c>
      <c r="AC122" t="str">
        <f ca="1">IF(AND(ISNUMBER($AC$335),$B$252=1),$AC$335,HLOOKUP(INDIRECT(ADDRESS(2,COLUMN())),OFFSET($CL$2,0,0,ROW()-1,84),ROW()-1,FALSE))</f>
        <v/>
      </c>
      <c r="AD122">
        <f ca="1">IF(AND(ISNUMBER($AD$335),$B$252=1),$AD$335,HLOOKUP(INDIRECT(ADDRESS(2,COLUMN())),OFFSET($CL$2,0,0,ROW()-1,84),ROW()-1,FALSE))</f>
        <v>3.4329382160000002</v>
      </c>
      <c r="AE122" t="str">
        <f ca="1">IF(AND(ISNUMBER($AE$335),$B$252=1),$AE$335,HLOOKUP(INDIRECT(ADDRESS(2,COLUMN())),OFFSET($CL$2,0,0,ROW()-1,84),ROW()-1,FALSE))</f>
        <v/>
      </c>
      <c r="AF122" t="str">
        <f ca="1">IF(AND(ISNUMBER($AF$335),$B$252=1),$AF$335,HLOOKUP(INDIRECT(ADDRESS(2,COLUMN())),OFFSET($CL$2,0,0,ROW()-1,84),ROW()-1,FALSE))</f>
        <v/>
      </c>
      <c r="AG122">
        <f ca="1">IF(AND(ISNUMBER($AG$335),$B$252=1),$AG$335,HLOOKUP(INDIRECT(ADDRESS(2,COLUMN())),OFFSET($CL$2,0,0,ROW()-1,84),ROW()-1,FALSE))</f>
        <v>3.4617871509999998</v>
      </c>
      <c r="AH122" t="str">
        <f ca="1">IF(AND(ISNUMBER($AH$335),$B$252=1),$AH$335,HLOOKUP(INDIRECT(ADDRESS(2,COLUMN())),OFFSET($CL$2,0,0,ROW()-1,84),ROW()-1,FALSE))</f>
        <v/>
      </c>
      <c r="AI122" t="str">
        <f ca="1">IF(AND(ISNUMBER($AI$335),$B$252=1),$AI$335,HLOOKUP(INDIRECT(ADDRESS(2,COLUMN())),OFFSET($CL$2,0,0,ROW()-1,84),ROW()-1,FALSE))</f>
        <v/>
      </c>
      <c r="AJ122">
        <f ca="1">IF(AND(ISNUMBER($AJ$335),$B$252=1),$AJ$335,HLOOKUP(INDIRECT(ADDRESS(2,COLUMN())),OFFSET($CL$2,0,0,ROW()-1,84),ROW()-1,FALSE))</f>
        <v>3.3953174179999999</v>
      </c>
      <c r="AK122" t="str">
        <f ca="1">IF(AND(ISNUMBER($AK$335),$B$252=1),$AK$335,HLOOKUP(INDIRECT(ADDRESS(2,COLUMN())),OFFSET($CL$2,0,0,ROW()-1,84),ROW()-1,FALSE))</f>
        <v/>
      </c>
      <c r="AL122" t="str">
        <f ca="1">IF(AND(ISNUMBER($AL$335),$B$252=1),$AL$335,HLOOKUP(INDIRECT(ADDRESS(2,COLUMN())),OFFSET($CL$2,0,0,ROW()-1,84),ROW()-1,FALSE))</f>
        <v/>
      </c>
      <c r="AM122">
        <f ca="1">IF(AND(ISNUMBER($AM$335),$B$252=1),$AM$335,HLOOKUP(INDIRECT(ADDRESS(2,COLUMN())),OFFSET($CL$2,0,0,ROW()-1,84),ROW()-1,FALSE))</f>
        <v>3.3187490689999999</v>
      </c>
      <c r="AN122" t="str">
        <f ca="1">IF(AND(ISNUMBER($AN$335),$B$252=1),$AN$335,HLOOKUP(INDIRECT(ADDRESS(2,COLUMN())),OFFSET($CL$2,0,0,ROW()-1,84),ROW()-1,FALSE))</f>
        <v/>
      </c>
      <c r="AO122" t="str">
        <f ca="1">IF(AND(ISNUMBER($AO$335),$B$252=1),$AO$335,HLOOKUP(INDIRECT(ADDRESS(2,COLUMN())),OFFSET($CL$2,0,0,ROW()-1,84),ROW()-1,FALSE))</f>
        <v/>
      </c>
      <c r="AP122">
        <f ca="1">IF(AND(ISNUMBER($AP$335),$B$252=1),$AP$335,HLOOKUP(INDIRECT(ADDRESS(2,COLUMN())),OFFSET($CL$2,0,0,ROW()-1,84),ROW()-1,FALSE))</f>
        <v>3.2484962400000001</v>
      </c>
      <c r="AQ122" t="str">
        <f ca="1">IF(AND(ISNUMBER($AQ$335),$B$252=1),$AQ$335,HLOOKUP(INDIRECT(ADDRESS(2,COLUMN())),OFFSET($CL$2,0,0,ROW()-1,84),ROW()-1,FALSE))</f>
        <v/>
      </c>
      <c r="AR122" t="str">
        <f ca="1">IF(AND(ISNUMBER($AR$335),$B$252=1),$AR$335,HLOOKUP(INDIRECT(ADDRESS(2,COLUMN())),OFFSET($CL$2,0,0,ROW()-1,84),ROW()-1,FALSE))</f>
        <v/>
      </c>
      <c r="AS122">
        <f ca="1">IF(AND(ISNUMBER($AS$335),$B$252=1),$AS$335,HLOOKUP(INDIRECT(ADDRESS(2,COLUMN())),OFFSET($CL$2,0,0,ROW()-1,84),ROW()-1,FALSE))</f>
        <v>3.1681338220000002</v>
      </c>
      <c r="AT122" t="str">
        <f ca="1">IF(AND(ISNUMBER($AT$335),$B$252=1),$AT$335,HLOOKUP(INDIRECT(ADDRESS(2,COLUMN())),OFFSET($CL$2,0,0,ROW()-1,84),ROW()-1,FALSE))</f>
        <v/>
      </c>
      <c r="AU122" t="str">
        <f ca="1">IF(AND(ISNUMBER($AU$335),$B$252=1),$AU$335,HLOOKUP(INDIRECT(ADDRESS(2,COLUMN())),OFFSET($CL$2,0,0,ROW()-1,84),ROW()-1,FALSE))</f>
        <v/>
      </c>
      <c r="AV122">
        <f ca="1">IF(AND(ISNUMBER($AV$335),$B$252=1),$AV$335,HLOOKUP(INDIRECT(ADDRESS(2,COLUMN())),OFFSET($CL$2,0,0,ROW()-1,84),ROW()-1,FALSE))</f>
        <v>3.0772017790000001</v>
      </c>
      <c r="AW122" t="str">
        <f ca="1">IF(AND(ISNUMBER($AW$335),$B$252=1),$AW$335,HLOOKUP(INDIRECT(ADDRESS(2,COLUMN())),OFFSET($CL$2,0,0,ROW()-1,84),ROW()-1,FALSE))</f>
        <v/>
      </c>
      <c r="AX122" t="str">
        <f ca="1">IF(AND(ISNUMBER($AX$335),$B$252=1),$AX$335,HLOOKUP(INDIRECT(ADDRESS(2,COLUMN())),OFFSET($CL$2,0,0,ROW()-1,84),ROW()-1,FALSE))</f>
        <v/>
      </c>
      <c r="AY122">
        <f ca="1">IF(AND(ISNUMBER($AY$335),$B$252=1),$AY$335,HLOOKUP(INDIRECT(ADDRESS(2,COLUMN())),OFFSET($CL$2,0,0,ROW()-1,84),ROW()-1,FALSE))</f>
        <v>2.9899466019999998</v>
      </c>
      <c r="AZ122" t="str">
        <f ca="1">IF(AND(ISNUMBER($AZ$335),$B$252=1),$AZ$335,HLOOKUP(INDIRECT(ADDRESS(2,COLUMN())),OFFSET($CL$2,0,0,ROW()-1,84),ROW()-1,FALSE))</f>
        <v/>
      </c>
      <c r="BA122" t="str">
        <f ca="1">IF(AND(ISNUMBER($BA$335),$B$252=1),$BA$335,HLOOKUP(INDIRECT(ADDRESS(2,COLUMN())),OFFSET($CL$2,0,0,ROW()-1,84),ROW()-1,FALSE))</f>
        <v/>
      </c>
      <c r="BB122">
        <f ca="1">IF(AND(ISNUMBER($BB$335),$B$252=1),$BB$335,HLOOKUP(INDIRECT(ADDRESS(2,COLUMN())),OFFSET($CL$2,0,0,ROW()-1,84),ROW()-1,FALSE))</f>
        <v>2.916343313</v>
      </c>
      <c r="BC122" t="str">
        <f ca="1">IF(AND(ISNUMBER($BC$335),$B$252=1),$BC$335,HLOOKUP(INDIRECT(ADDRESS(2,COLUMN())),OFFSET($CL$2,0,0,ROW()-1,84),ROW()-1,FALSE))</f>
        <v/>
      </c>
      <c r="BD122" t="str">
        <f ca="1">IF(AND(ISNUMBER($BD$335),$B$252=1),$BD$335,HLOOKUP(INDIRECT(ADDRESS(2,COLUMN())),OFFSET($CL$2,0,0,ROW()-1,84),ROW()-1,FALSE))</f>
        <v/>
      </c>
      <c r="BE122">
        <f ca="1">IF(AND(ISNUMBER($BE$335),$B$252=1),$BE$335,HLOOKUP(INDIRECT(ADDRESS(2,COLUMN())),OFFSET($CL$2,0,0,ROW()-1,84),ROW()-1,FALSE))</f>
        <v>2.850051815</v>
      </c>
      <c r="BF122" t="str">
        <f ca="1">IF(AND(ISNUMBER($BF$335),$B$252=1),$BF$335,HLOOKUP(INDIRECT(ADDRESS(2,COLUMN())),OFFSET($CL$2,0,0,ROW()-1,84),ROW()-1,FALSE))</f>
        <v/>
      </c>
      <c r="BG122" t="str">
        <f ca="1">IF(AND(ISNUMBER($BG$335),$B$252=1),$BG$335,HLOOKUP(INDIRECT(ADDRESS(2,COLUMN())),OFFSET($CL$2,0,0,ROW()-1,84),ROW()-1,FALSE))</f>
        <v/>
      </c>
      <c r="BH122">
        <f ca="1">IF(AND(ISNUMBER($BH$335),$B$252=1),$BH$335,HLOOKUP(INDIRECT(ADDRESS(2,COLUMN())),OFFSET($CL$2,0,0,ROW()-1,84),ROW()-1,FALSE))</f>
        <v>2.8269439589999998</v>
      </c>
      <c r="BI122" t="str">
        <f ca="1">IF(AND(ISNUMBER($BI$335),$B$252=1),$BI$335,HLOOKUP(INDIRECT(ADDRESS(2,COLUMN())),OFFSET($CL$2,0,0,ROW()-1,84),ROW()-1,FALSE))</f>
        <v/>
      </c>
      <c r="BJ122" t="str">
        <f ca="1">IF(AND(ISNUMBER($BJ$335),$B$252=1),$BJ$335,HLOOKUP(INDIRECT(ADDRESS(2,COLUMN())),OFFSET($CL$2,0,0,ROW()-1,84),ROW()-1,FALSE))</f>
        <v/>
      </c>
      <c r="BK122">
        <f ca="1">IF(AND(ISNUMBER($BK$335),$B$252=1),$BK$335,HLOOKUP(INDIRECT(ADDRESS(2,COLUMN())),OFFSET($CL$2,0,0,ROW()-1,84),ROW()-1,FALSE))</f>
        <v>2.8255289029999999</v>
      </c>
      <c r="BL122" t="str">
        <f ca="1">IF(AND(ISNUMBER($BL$335),$B$252=1),$BL$335,HLOOKUP(INDIRECT(ADDRESS(2,COLUMN())),OFFSET($CL$2,0,0,ROW()-1,84),ROW()-1,FALSE))</f>
        <v/>
      </c>
      <c r="BM122" t="str">
        <f ca="1">IF(AND(ISNUMBER($BM$335),$B$252=1),$BM$335,HLOOKUP(INDIRECT(ADDRESS(2,COLUMN())),OFFSET($CL$2,0,0,ROW()-1,84),ROW()-1,FALSE))</f>
        <v/>
      </c>
      <c r="BN122">
        <f ca="1">IF(AND(ISNUMBER($BN$335),$B$252=1),$BN$335,HLOOKUP(INDIRECT(ADDRESS(2,COLUMN())),OFFSET($CL$2,0,0,ROW()-1,84),ROW()-1,FALSE))</f>
        <v>2.791402009</v>
      </c>
      <c r="BO122" t="str">
        <f ca="1">IF(AND(ISNUMBER($BO$335),$B$252=1),$BO$335,HLOOKUP(INDIRECT(ADDRESS(2,COLUMN())),OFFSET($CL$2,0,0,ROW()-1,84),ROW()-1,FALSE))</f>
        <v/>
      </c>
      <c r="BP122" t="str">
        <f ca="1">IF(AND(ISNUMBER($BP$335),$B$252=1),$BP$335,HLOOKUP(INDIRECT(ADDRESS(2,COLUMN())),OFFSET($CL$2,0,0,ROW()-1,84),ROW()-1,FALSE))</f>
        <v/>
      </c>
      <c r="BQ122">
        <f ca="1">IF(AND(ISNUMBER($BQ$335),$B$252=1),$BQ$335,HLOOKUP(INDIRECT(ADDRESS(2,COLUMN())),OFFSET($CL$2,0,0,ROW()-1,84),ROW()-1,FALSE))</f>
        <v>2.7604978359999999</v>
      </c>
      <c r="BR122" t="str">
        <f ca="1">IF(AND(ISNUMBER($BR$335),$B$252=1),$BR$335,HLOOKUP(INDIRECT(ADDRESS(2,COLUMN())),OFFSET($CL$2,0,0,ROW()-1,84),ROW()-1,FALSE))</f>
        <v/>
      </c>
      <c r="BS122" t="str">
        <f ca="1">IF(AND(ISNUMBER($BS$335),$B$252=1),$BS$335,HLOOKUP(INDIRECT(ADDRESS(2,COLUMN())),OFFSET($CL$2,0,0,ROW()-1,84),ROW()-1,FALSE))</f>
        <v/>
      </c>
      <c r="BT122">
        <f ca="1">IF(AND(ISNUMBER($BT$335),$B$252=1),$BT$335,HLOOKUP(INDIRECT(ADDRESS(2,COLUMN())),OFFSET($CL$2,0,0,ROW()-1,84),ROW()-1,FALSE))</f>
        <v>2.6692326510000002</v>
      </c>
      <c r="BU122" t="str">
        <f ca="1">IF(AND(ISNUMBER($BU$335),$B$252=1),$BU$335,HLOOKUP(INDIRECT(ADDRESS(2,COLUMN())),OFFSET($CL$2,0,0,ROW()-1,84),ROW()-1,FALSE))</f>
        <v/>
      </c>
      <c r="BV122" t="str">
        <f ca="1">IF(AND(ISNUMBER($BV$335),$B$252=1),$BV$335,HLOOKUP(INDIRECT(ADDRESS(2,COLUMN())),OFFSET($CL$2,0,0,ROW()-1,84),ROW()-1,FALSE))</f>
        <v/>
      </c>
      <c r="BW122">
        <f ca="1">IF(AND(ISNUMBER($BW$335),$B$252=1),$BW$335,HLOOKUP(INDIRECT(ADDRESS(2,COLUMN())),OFFSET($CL$2,0,0,ROW()-1,84),ROW()-1,FALSE))</f>
        <v>2.5570832210000001</v>
      </c>
      <c r="BX122" t="str">
        <f ca="1">IF(AND(ISNUMBER($BX$335),$B$252=1),$BX$335,HLOOKUP(INDIRECT(ADDRESS(2,COLUMN())),OFFSET($CL$2,0,0,ROW()-1,84),ROW()-1,FALSE))</f>
        <v/>
      </c>
      <c r="BY122" t="str">
        <f ca="1">IF(AND(ISNUMBER($BY$335),$B$252=1),$BY$335,HLOOKUP(INDIRECT(ADDRESS(2,COLUMN())),OFFSET($CL$2,0,0,ROW()-1,84),ROW()-1,FALSE))</f>
        <v/>
      </c>
      <c r="BZ122">
        <f ca="1">IF(AND(ISNUMBER($BZ$335),$B$252=1),$BZ$335,HLOOKUP(INDIRECT(ADDRESS(2,COLUMN())),OFFSET($CL$2,0,0,ROW()-1,84),ROW()-1,FALSE))</f>
        <v>2.4782912430000001</v>
      </c>
      <c r="CA122" t="str">
        <f ca="1">IF(AND(ISNUMBER($CA$335),$B$252=1),$CA$335,HLOOKUP(INDIRECT(ADDRESS(2,COLUMN())),OFFSET($CL$2,0,0,ROW()-1,84),ROW()-1,FALSE))</f>
        <v/>
      </c>
      <c r="CB122" t="str">
        <f ca="1">IF(AND(ISNUMBER($CB$335),$B$252=1),$CB$335,HLOOKUP(INDIRECT(ADDRESS(2,COLUMN())),OFFSET($CL$2,0,0,ROW()-1,84),ROW()-1,FALSE))</f>
        <v/>
      </c>
      <c r="CC122">
        <f ca="1">IF(AND(ISNUMBER($CC$335),$B$252=1),$CC$335,HLOOKUP(INDIRECT(ADDRESS(2,COLUMN())),OFFSET($CL$2,0,0,ROW()-1,84),ROW()-1,FALSE))</f>
        <v>2.434012214</v>
      </c>
      <c r="CD122" t="str">
        <f ca="1">IF(AND(ISNUMBER($CD$335),$B$252=1),$CD$335,HLOOKUP(INDIRECT(ADDRESS(2,COLUMN())),OFFSET($CL$2,0,0,ROW()-1,84),ROW()-1,FALSE))</f>
        <v/>
      </c>
      <c r="CE122" t="str">
        <f ca="1">IF(AND(ISNUMBER($CE$335),$B$252=1),$CE$335,HLOOKUP(INDIRECT(ADDRESS(2,COLUMN())),OFFSET($CL$2,0,0,ROW()-1,84),ROW()-1,FALSE))</f>
        <v/>
      </c>
      <c r="CF122">
        <f ca="1">IF(AND(ISNUMBER($CF$335),$B$252=1),$CF$335,HLOOKUP(INDIRECT(ADDRESS(2,COLUMN())),OFFSET($CL$2,0,0,ROW()-1,84),ROW()-1,FALSE))</f>
        <v>2.3868984040000001</v>
      </c>
      <c r="CG122" t="str">
        <f ca="1">IF(AND(ISNUMBER($CG$335),$B$252=1),$CG$335,HLOOKUP(INDIRECT(ADDRESS(2,COLUMN())),OFFSET($CL$2,0,0,ROW()-1,84),ROW()-1,FALSE))</f>
        <v/>
      </c>
      <c r="CH122" t="str">
        <f ca="1">IF(AND(ISNUMBER($CH$335),$B$252=1),$CH$335,HLOOKUP(INDIRECT(ADDRESS(2,COLUMN())),OFFSET($CL$2,0,0,ROW()-1,84),ROW()-1,FALSE))</f>
        <v/>
      </c>
      <c r="CI122">
        <f ca="1">IF(AND(ISNUMBER($CI$335),$B$252=1),$CI$335,HLOOKUP(INDIRECT(ADDRESS(2,COLUMN())),OFFSET($CL$2,0,0,ROW()-1,84),ROW()-1,FALSE))</f>
        <v>2.344019082</v>
      </c>
      <c r="CJ122" t="str">
        <f ca="1">IF(AND(ISNUMBER($CJ$335),$B$252=1),$CJ$335,HLOOKUP(INDIRECT(ADDRESS(2,COLUMN())),OFFSET($CL$2,0,0,ROW()-1,84),ROW()-1,FALSE))</f>
        <v/>
      </c>
      <c r="CK122" t="str">
        <f ca="1">IF(AND(ISNUMBER($CK$335),$B$252=1),$CK$335,HLOOKUP(INDIRECT(ADDRESS(2,COLUMN())),OFFSET($CL$2,0,0,ROW()-1,84),ROW()-1,FALSE))</f>
        <v/>
      </c>
      <c r="CL122" t="str">
        <f>""</f>
        <v/>
      </c>
      <c r="CM122" t="str">
        <f>""</f>
        <v/>
      </c>
      <c r="CN122" t="str">
        <f>""</f>
        <v/>
      </c>
      <c r="CO122">
        <f>3.133067518</f>
        <v>3.1330675179999998</v>
      </c>
      <c r="CP122" t="str">
        <f>""</f>
        <v/>
      </c>
      <c r="CQ122" t="str">
        <f>""</f>
        <v/>
      </c>
      <c r="CR122">
        <f>3.098663501</f>
        <v>3.0986635009999999</v>
      </c>
      <c r="CS122" t="str">
        <f>""</f>
        <v/>
      </c>
      <c r="CT122" t="str">
        <f>""</f>
        <v/>
      </c>
      <c r="CU122">
        <f>3.079852897</f>
        <v>3.0798528969999999</v>
      </c>
      <c r="CV122" t="str">
        <f>""</f>
        <v/>
      </c>
      <c r="CW122" t="str">
        <f>""</f>
        <v/>
      </c>
      <c r="CX122">
        <f>3.071868677</f>
        <v>3.0718686769999999</v>
      </c>
      <c r="CY122" t="str">
        <f>""</f>
        <v/>
      </c>
      <c r="CZ122" t="str">
        <f>""</f>
        <v/>
      </c>
      <c r="DA122">
        <f>3.087009466</f>
        <v>3.087009466</v>
      </c>
      <c r="DB122" t="str">
        <f>""</f>
        <v/>
      </c>
      <c r="DC122" t="str">
        <f>""</f>
        <v/>
      </c>
      <c r="DD122">
        <f>3.220633602</f>
        <v>3.2206336019999999</v>
      </c>
      <c r="DE122" t="str">
        <f>""</f>
        <v/>
      </c>
      <c r="DF122" t="str">
        <f>""</f>
        <v/>
      </c>
      <c r="DG122">
        <f>3.338065546</f>
        <v>3.3380655460000002</v>
      </c>
      <c r="DH122" t="str">
        <f>""</f>
        <v/>
      </c>
      <c r="DI122" t="str">
        <f>""</f>
        <v/>
      </c>
      <c r="DJ122">
        <f>3.432938216</f>
        <v>3.4329382160000002</v>
      </c>
      <c r="DK122" t="str">
        <f>""</f>
        <v/>
      </c>
      <c r="DL122" t="str">
        <f>""</f>
        <v/>
      </c>
      <c r="DM122">
        <f>3.461787151</f>
        <v>3.4617871509999998</v>
      </c>
      <c r="DN122" t="str">
        <f>""</f>
        <v/>
      </c>
      <c r="DO122" t="str">
        <f>""</f>
        <v/>
      </c>
      <c r="DP122">
        <f>3.395317418</f>
        <v>3.3953174179999999</v>
      </c>
      <c r="DQ122" t="str">
        <f>""</f>
        <v/>
      </c>
      <c r="DR122" t="str">
        <f>""</f>
        <v/>
      </c>
      <c r="DS122">
        <f>3.318749069</f>
        <v>3.3187490689999999</v>
      </c>
      <c r="DT122" t="str">
        <f>""</f>
        <v/>
      </c>
      <c r="DU122" t="str">
        <f>""</f>
        <v/>
      </c>
      <c r="DV122">
        <f>3.24849624</f>
        <v>3.2484962400000001</v>
      </c>
      <c r="DW122" t="str">
        <f>""</f>
        <v/>
      </c>
      <c r="DX122" t="str">
        <f>""</f>
        <v/>
      </c>
      <c r="DY122">
        <f>3.168133822</f>
        <v>3.1681338220000002</v>
      </c>
      <c r="DZ122" t="str">
        <f>""</f>
        <v/>
      </c>
      <c r="EA122" t="str">
        <f>""</f>
        <v/>
      </c>
      <c r="EB122">
        <f>3.077201779</f>
        <v>3.0772017790000001</v>
      </c>
      <c r="EC122" t="str">
        <f>""</f>
        <v/>
      </c>
      <c r="ED122" t="str">
        <f>""</f>
        <v/>
      </c>
      <c r="EE122">
        <f>2.989946602</f>
        <v>2.9899466019999998</v>
      </c>
      <c r="EF122" t="str">
        <f>""</f>
        <v/>
      </c>
      <c r="EG122" t="str">
        <f>""</f>
        <v/>
      </c>
      <c r="EH122">
        <f>2.916343313</f>
        <v>2.916343313</v>
      </c>
      <c r="EI122" t="str">
        <f>""</f>
        <v/>
      </c>
      <c r="EJ122" t="str">
        <f>""</f>
        <v/>
      </c>
      <c r="EK122">
        <f>2.850051815</f>
        <v>2.850051815</v>
      </c>
      <c r="EL122" t="str">
        <f>""</f>
        <v/>
      </c>
      <c r="EM122" t="str">
        <f>""</f>
        <v/>
      </c>
      <c r="EN122">
        <f>2.826943959</f>
        <v>2.8269439589999998</v>
      </c>
      <c r="EO122" t="str">
        <f>""</f>
        <v/>
      </c>
      <c r="EP122" t="str">
        <f>""</f>
        <v/>
      </c>
      <c r="EQ122">
        <f>2.825528903</f>
        <v>2.8255289029999999</v>
      </c>
      <c r="ER122" t="str">
        <f>""</f>
        <v/>
      </c>
      <c r="ES122" t="str">
        <f>""</f>
        <v/>
      </c>
      <c r="ET122">
        <f>2.791402009</f>
        <v>2.791402009</v>
      </c>
      <c r="EU122" t="str">
        <f>""</f>
        <v/>
      </c>
      <c r="EV122" t="str">
        <f>""</f>
        <v/>
      </c>
      <c r="EW122">
        <f>2.760497836</f>
        <v>2.7604978359999999</v>
      </c>
      <c r="EX122" t="str">
        <f>""</f>
        <v/>
      </c>
      <c r="EY122" t="str">
        <f>""</f>
        <v/>
      </c>
      <c r="EZ122">
        <f>2.669232651</f>
        <v>2.6692326510000002</v>
      </c>
      <c r="FA122" t="str">
        <f>""</f>
        <v/>
      </c>
      <c r="FB122" t="str">
        <f>""</f>
        <v/>
      </c>
      <c r="FC122">
        <f>2.557083221</f>
        <v>2.5570832210000001</v>
      </c>
      <c r="FD122" t="str">
        <f>""</f>
        <v/>
      </c>
      <c r="FE122" t="str">
        <f>""</f>
        <v/>
      </c>
      <c r="FF122">
        <f>2.478291243</f>
        <v>2.4782912430000001</v>
      </c>
      <c r="FG122" t="str">
        <f>""</f>
        <v/>
      </c>
      <c r="FH122" t="str">
        <f>""</f>
        <v/>
      </c>
      <c r="FI122">
        <f>2.434012214</f>
        <v>2.434012214</v>
      </c>
      <c r="FJ122" t="str">
        <f>""</f>
        <v/>
      </c>
      <c r="FK122" t="str">
        <f>""</f>
        <v/>
      </c>
      <c r="FL122">
        <f>2.386898404</f>
        <v>2.3868984040000001</v>
      </c>
      <c r="FM122" t="str">
        <f>""</f>
        <v/>
      </c>
      <c r="FN122" t="str">
        <f>""</f>
        <v/>
      </c>
      <c r="FO122">
        <f>2.344019082</f>
        <v>2.344019082</v>
      </c>
      <c r="FP122" t="str">
        <f>""</f>
        <v/>
      </c>
      <c r="FQ122" t="str">
        <f>""</f>
        <v/>
      </c>
    </row>
    <row r="123" spans="1:173">
      <c r="A123" t="str">
        <f>"    埃塞克斯房地产信托公司"</f>
        <v xml:space="preserve">    埃塞克斯房地产信托公司</v>
      </c>
      <c r="B123" t="str">
        <f>"ESS US Equity"</f>
        <v>ESS US Equity</v>
      </c>
      <c r="C123" t="str">
        <f t="shared" si="36"/>
        <v>F0894</v>
      </c>
      <c r="D123" t="str">
        <f t="shared" si="37"/>
        <v>TRAILING_12_MONTHS_AFFOPS</v>
      </c>
      <c r="E123" t="str">
        <f t="shared" si="38"/>
        <v>动态</v>
      </c>
      <c r="F123" t="str">
        <f ca="1">IF(AND(ISNUMBER($F$336),$B$252=1),$F$336,HLOOKUP(INDIRECT(ADDRESS(2,COLUMN())),OFFSET($CL$2,0,0,ROW()-1,84),ROW()-1,FALSE))</f>
        <v/>
      </c>
      <c r="G123" t="str">
        <f ca="1">IF(AND(ISNUMBER($G$336),$B$252=1),$G$336,HLOOKUP(INDIRECT(ADDRESS(2,COLUMN())),OFFSET($CL$2,0,0,ROW()-1,84),ROW()-1,FALSE))</f>
        <v/>
      </c>
      <c r="H123" t="str">
        <f ca="1">IF(AND(ISNUMBER($H$336),$B$252=1),$H$336,HLOOKUP(INDIRECT(ADDRESS(2,COLUMN())),OFFSET($CL$2,0,0,ROW()-1,84),ROW()-1,FALSE))</f>
        <v/>
      </c>
      <c r="I123">
        <f ca="1">IF(AND(ISNUMBER($I$336),$B$252=1),$I$336,HLOOKUP(INDIRECT(ADDRESS(2,COLUMN())),OFFSET($CL$2,0,0,ROW()-1,84),ROW()-1,FALSE))</f>
        <v>11.906134099999999</v>
      </c>
      <c r="J123" t="str">
        <f ca="1">IF(AND(ISNUMBER($J$336),$B$252=1),$J$336,HLOOKUP(INDIRECT(ADDRESS(2,COLUMN())),OFFSET($CL$2,0,0,ROW()-1,84),ROW()-1,FALSE))</f>
        <v/>
      </c>
      <c r="K123" t="str">
        <f ca="1">IF(AND(ISNUMBER($K$336),$B$252=1),$K$336,HLOOKUP(INDIRECT(ADDRESS(2,COLUMN())),OFFSET($CL$2,0,0,ROW()-1,84),ROW()-1,FALSE))</f>
        <v/>
      </c>
      <c r="L123">
        <f ca="1">IF(AND(ISNUMBER($L$336),$B$252=1),$L$336,HLOOKUP(INDIRECT(ADDRESS(2,COLUMN())),OFFSET($CL$2,0,0,ROW()-1,84),ROW()-1,FALSE))</f>
        <v>11.70466444</v>
      </c>
      <c r="M123" t="str">
        <f ca="1">IF(AND(ISNUMBER($M$336),$B$252=1),$M$336,HLOOKUP(INDIRECT(ADDRESS(2,COLUMN())),OFFSET($CL$2,0,0,ROW()-1,84),ROW()-1,FALSE))</f>
        <v/>
      </c>
      <c r="N123" t="str">
        <f ca="1">IF(AND(ISNUMBER($N$336),$B$252=1),$N$336,HLOOKUP(INDIRECT(ADDRESS(2,COLUMN())),OFFSET($CL$2,0,0,ROW()-1,84),ROW()-1,FALSE))</f>
        <v/>
      </c>
      <c r="O123">
        <f ca="1">IF(AND(ISNUMBER($O$336),$B$252=1),$O$336,HLOOKUP(INDIRECT(ADDRESS(2,COLUMN())),OFFSET($CL$2,0,0,ROW()-1,84),ROW()-1,FALSE))</f>
        <v>11.525476299999999</v>
      </c>
      <c r="P123" t="str">
        <f ca="1">IF(AND(ISNUMBER($P$336),$B$252=1),$P$336,HLOOKUP(INDIRECT(ADDRESS(2,COLUMN())),OFFSET($CL$2,0,0,ROW()-1,84),ROW()-1,FALSE))</f>
        <v/>
      </c>
      <c r="Q123" t="str">
        <f ca="1">IF(AND(ISNUMBER($Q$336),$B$252=1),$Q$336,HLOOKUP(INDIRECT(ADDRESS(2,COLUMN())),OFFSET($CL$2,0,0,ROW()-1,84),ROW()-1,FALSE))</f>
        <v/>
      </c>
      <c r="R123">
        <f ca="1">IF(AND(ISNUMBER($R$336),$B$252=1),$R$336,HLOOKUP(INDIRECT(ADDRESS(2,COLUMN())),OFFSET($CL$2,0,0,ROW()-1,84),ROW()-1,FALSE))</f>
        <v>11.29520351</v>
      </c>
      <c r="S123" t="str">
        <f ca="1">IF(AND(ISNUMBER($S$336),$B$252=1),$S$336,HLOOKUP(INDIRECT(ADDRESS(2,COLUMN())),OFFSET($CL$2,0,0,ROW()-1,84),ROW()-1,FALSE))</f>
        <v/>
      </c>
      <c r="T123" t="str">
        <f ca="1">IF(AND(ISNUMBER($T$336),$B$252=1),$T$336,HLOOKUP(INDIRECT(ADDRESS(2,COLUMN())),OFFSET($CL$2,0,0,ROW()-1,84),ROW()-1,FALSE))</f>
        <v/>
      </c>
      <c r="U123">
        <f ca="1">IF(AND(ISNUMBER($U$336),$B$252=1),$U$336,HLOOKUP(INDIRECT(ADDRESS(2,COLUMN())),OFFSET($CL$2,0,0,ROW()-1,84),ROW()-1,FALSE))</f>
        <v>11.034769989999999</v>
      </c>
      <c r="V123" t="str">
        <f ca="1">IF(AND(ISNUMBER($V$336),$B$252=1),$V$336,HLOOKUP(INDIRECT(ADDRESS(2,COLUMN())),OFFSET($CL$2,0,0,ROW()-1,84),ROW()-1,FALSE))</f>
        <v/>
      </c>
      <c r="W123" t="str">
        <f ca="1">IF(AND(ISNUMBER($W$336),$B$252=1),$W$336,HLOOKUP(INDIRECT(ADDRESS(2,COLUMN())),OFFSET($CL$2,0,0,ROW()-1,84),ROW()-1,FALSE))</f>
        <v/>
      </c>
      <c r="X123">
        <f ca="1">IF(AND(ISNUMBER($X$336),$B$252=1),$X$336,HLOOKUP(INDIRECT(ADDRESS(2,COLUMN())),OFFSET($CL$2,0,0,ROW()-1,84),ROW()-1,FALSE))</f>
        <v>10.855447290000001</v>
      </c>
      <c r="Y123" t="str">
        <f ca="1">IF(AND(ISNUMBER($Y$336),$B$252=1),$Y$336,HLOOKUP(INDIRECT(ADDRESS(2,COLUMN())),OFFSET($CL$2,0,0,ROW()-1,84),ROW()-1,FALSE))</f>
        <v/>
      </c>
      <c r="Z123" t="str">
        <f ca="1">IF(AND(ISNUMBER($Z$336),$B$252=1),$Z$336,HLOOKUP(INDIRECT(ADDRESS(2,COLUMN())),OFFSET($CL$2,0,0,ROW()-1,84),ROW()-1,FALSE))</f>
        <v/>
      </c>
      <c r="AA123">
        <f ca="1">IF(AND(ISNUMBER($AA$336),$B$252=1),$AA$336,HLOOKUP(INDIRECT(ADDRESS(2,COLUMN())),OFFSET($CL$2,0,0,ROW()-1,84),ROW()-1,FALSE))</f>
        <v>10.54397923</v>
      </c>
      <c r="AB123" t="str">
        <f ca="1">IF(AND(ISNUMBER($AB$336),$B$252=1),$AB$336,HLOOKUP(INDIRECT(ADDRESS(2,COLUMN())),OFFSET($CL$2,0,0,ROW()-1,84),ROW()-1,FALSE))</f>
        <v/>
      </c>
      <c r="AC123" t="str">
        <f ca="1">IF(AND(ISNUMBER($AC$336),$B$252=1),$AC$336,HLOOKUP(INDIRECT(ADDRESS(2,COLUMN())),OFFSET($CL$2,0,0,ROW()-1,84),ROW()-1,FALSE))</f>
        <v/>
      </c>
      <c r="AD123">
        <f ca="1">IF(AND(ISNUMBER($AD$336),$B$252=1),$AD$336,HLOOKUP(INDIRECT(ADDRESS(2,COLUMN())),OFFSET($CL$2,0,0,ROW()-1,84),ROW()-1,FALSE))</f>
        <v>10.20237399</v>
      </c>
      <c r="AE123" t="str">
        <f ca="1">IF(AND(ISNUMBER($AE$336),$B$252=1),$AE$336,HLOOKUP(INDIRECT(ADDRESS(2,COLUMN())),OFFSET($CL$2,0,0,ROW()-1,84),ROW()-1,FALSE))</f>
        <v/>
      </c>
      <c r="AF123" t="str">
        <f ca="1">IF(AND(ISNUMBER($AF$336),$B$252=1),$AF$336,HLOOKUP(INDIRECT(ADDRESS(2,COLUMN())),OFFSET($CL$2,0,0,ROW()-1,84),ROW()-1,FALSE))</f>
        <v/>
      </c>
      <c r="AG123">
        <f ca="1">IF(AND(ISNUMBER($AG$336),$B$252=1),$AG$336,HLOOKUP(INDIRECT(ADDRESS(2,COLUMN())),OFFSET($CL$2,0,0,ROW()-1,84),ROW()-1,FALSE))</f>
        <v>9.8149751930000004</v>
      </c>
      <c r="AH123" t="str">
        <f ca="1">IF(AND(ISNUMBER($AH$336),$B$252=1),$AH$336,HLOOKUP(INDIRECT(ADDRESS(2,COLUMN())),OFFSET($CL$2,0,0,ROW()-1,84),ROW()-1,FALSE))</f>
        <v/>
      </c>
      <c r="AI123" t="str">
        <f ca="1">IF(AND(ISNUMBER($AI$336),$B$252=1),$AI$336,HLOOKUP(INDIRECT(ADDRESS(2,COLUMN())),OFFSET($CL$2,0,0,ROW()-1,84),ROW()-1,FALSE))</f>
        <v/>
      </c>
      <c r="AJ123">
        <f ca="1">IF(AND(ISNUMBER($AJ$336),$B$252=1),$AJ$336,HLOOKUP(INDIRECT(ADDRESS(2,COLUMN())),OFFSET($CL$2,0,0,ROW()-1,84),ROW()-1,FALSE))</f>
        <v>9.4245285770000002</v>
      </c>
      <c r="AK123" t="str">
        <f ca="1">IF(AND(ISNUMBER($AK$336),$B$252=1),$AK$336,HLOOKUP(INDIRECT(ADDRESS(2,COLUMN())),OFFSET($CL$2,0,0,ROW()-1,84),ROW()-1,FALSE))</f>
        <v/>
      </c>
      <c r="AL123" t="str">
        <f ca="1">IF(AND(ISNUMBER($AL$336),$B$252=1),$AL$336,HLOOKUP(INDIRECT(ADDRESS(2,COLUMN())),OFFSET($CL$2,0,0,ROW()-1,84),ROW()-1,FALSE))</f>
        <v/>
      </c>
      <c r="AM123">
        <f ca="1">IF(AND(ISNUMBER($AM$336),$B$252=1),$AM$336,HLOOKUP(INDIRECT(ADDRESS(2,COLUMN())),OFFSET($CL$2,0,0,ROW()-1,84),ROW()-1,FALSE))</f>
        <v>9.0935764209999999</v>
      </c>
      <c r="AN123" t="str">
        <f ca="1">IF(AND(ISNUMBER($AN$336),$B$252=1),$AN$336,HLOOKUP(INDIRECT(ADDRESS(2,COLUMN())),OFFSET($CL$2,0,0,ROW()-1,84),ROW()-1,FALSE))</f>
        <v/>
      </c>
      <c r="AO123" t="str">
        <f ca="1">IF(AND(ISNUMBER($AO$336),$B$252=1),$AO$336,HLOOKUP(INDIRECT(ADDRESS(2,COLUMN())),OFFSET($CL$2,0,0,ROW()-1,84),ROW()-1,FALSE))</f>
        <v/>
      </c>
      <c r="AP123">
        <f ca="1">IF(AND(ISNUMBER($AP$336),$B$252=1),$AP$336,HLOOKUP(INDIRECT(ADDRESS(2,COLUMN())),OFFSET($CL$2,0,0,ROW()-1,84),ROW()-1,FALSE))</f>
        <v>8.7774893699999996</v>
      </c>
      <c r="AQ123" t="str">
        <f ca="1">IF(AND(ISNUMBER($AQ$336),$B$252=1),$AQ$336,HLOOKUP(INDIRECT(ADDRESS(2,COLUMN())),OFFSET($CL$2,0,0,ROW()-1,84),ROW()-1,FALSE))</f>
        <v/>
      </c>
      <c r="AR123" t="str">
        <f ca="1">IF(AND(ISNUMBER($AR$336),$B$252=1),$AR$336,HLOOKUP(INDIRECT(ADDRESS(2,COLUMN())),OFFSET($CL$2,0,0,ROW()-1,84),ROW()-1,FALSE))</f>
        <v/>
      </c>
      <c r="AS123">
        <f ca="1">IF(AND(ISNUMBER($AS$336),$B$252=1),$AS$336,HLOOKUP(INDIRECT(ADDRESS(2,COLUMN())),OFFSET($CL$2,0,0,ROW()-1,84),ROW()-1,FALSE))</f>
        <v>8.5033469589999999</v>
      </c>
      <c r="AT123" t="str">
        <f ca="1">IF(AND(ISNUMBER($AT$336),$B$252=1),$AT$336,HLOOKUP(INDIRECT(ADDRESS(2,COLUMN())),OFFSET($CL$2,0,0,ROW()-1,84),ROW()-1,FALSE))</f>
        <v/>
      </c>
      <c r="AU123" t="str">
        <f ca="1">IF(AND(ISNUMBER($AU$336),$B$252=1),$AU$336,HLOOKUP(INDIRECT(ADDRESS(2,COLUMN())),OFFSET($CL$2,0,0,ROW()-1,84),ROW()-1,FALSE))</f>
        <v/>
      </c>
      <c r="AV123">
        <f ca="1">IF(AND(ISNUMBER($AV$336),$B$252=1),$AV$336,HLOOKUP(INDIRECT(ADDRESS(2,COLUMN())),OFFSET($CL$2,0,0,ROW()-1,84),ROW()-1,FALSE))</f>
        <v>8.2071698410000007</v>
      </c>
      <c r="AW123" t="str">
        <f ca="1">IF(AND(ISNUMBER($AW$336),$B$252=1),$AW$336,HLOOKUP(INDIRECT(ADDRESS(2,COLUMN())),OFFSET($CL$2,0,0,ROW()-1,84),ROW()-1,FALSE))</f>
        <v/>
      </c>
      <c r="AX123" t="str">
        <f ca="1">IF(AND(ISNUMBER($AX$336),$B$252=1),$AX$336,HLOOKUP(INDIRECT(ADDRESS(2,COLUMN())),OFFSET($CL$2,0,0,ROW()-1,84),ROW()-1,FALSE))</f>
        <v/>
      </c>
      <c r="AY123">
        <f ca="1">IF(AND(ISNUMBER($AY$336),$B$252=1),$AY$336,HLOOKUP(INDIRECT(ADDRESS(2,COLUMN())),OFFSET($CL$2,0,0,ROW()-1,84),ROW()-1,FALSE))</f>
        <v>7.9543781879999997</v>
      </c>
      <c r="AZ123" t="str">
        <f ca="1">IF(AND(ISNUMBER($AZ$336),$B$252=1),$AZ$336,HLOOKUP(INDIRECT(ADDRESS(2,COLUMN())),OFFSET($CL$2,0,0,ROW()-1,84),ROW()-1,FALSE))</f>
        <v/>
      </c>
      <c r="BA123" t="str">
        <f ca="1">IF(AND(ISNUMBER($BA$336),$B$252=1),$BA$336,HLOOKUP(INDIRECT(ADDRESS(2,COLUMN())),OFFSET($CL$2,0,0,ROW()-1,84),ROW()-1,FALSE))</f>
        <v/>
      </c>
      <c r="BB123">
        <f ca="1">IF(AND(ISNUMBER($BB$336),$B$252=1),$BB$336,HLOOKUP(INDIRECT(ADDRESS(2,COLUMN())),OFFSET($CL$2,0,0,ROW()-1,84),ROW()-1,FALSE))</f>
        <v>7.7453934770000004</v>
      </c>
      <c r="BC123" t="str">
        <f ca="1">IF(AND(ISNUMBER($BC$336),$B$252=1),$BC$336,HLOOKUP(INDIRECT(ADDRESS(2,COLUMN())),OFFSET($CL$2,0,0,ROW()-1,84),ROW()-1,FALSE))</f>
        <v/>
      </c>
      <c r="BD123" t="str">
        <f ca="1">IF(AND(ISNUMBER($BD$336),$B$252=1),$BD$336,HLOOKUP(INDIRECT(ADDRESS(2,COLUMN())),OFFSET($CL$2,0,0,ROW()-1,84),ROW()-1,FALSE))</f>
        <v/>
      </c>
      <c r="BE123">
        <f ca="1">IF(AND(ISNUMBER($BE$336),$B$252=1),$BE$336,HLOOKUP(INDIRECT(ADDRESS(2,COLUMN())),OFFSET($CL$2,0,0,ROW()-1,84),ROW()-1,FALSE))</f>
        <v>7.5968031859999998</v>
      </c>
      <c r="BF123" t="str">
        <f ca="1">IF(AND(ISNUMBER($BF$336),$B$252=1),$BF$336,HLOOKUP(INDIRECT(ADDRESS(2,COLUMN())),OFFSET($CL$2,0,0,ROW()-1,84),ROW()-1,FALSE))</f>
        <v/>
      </c>
      <c r="BG123" t="str">
        <f ca="1">IF(AND(ISNUMBER($BG$336),$B$252=1),$BG$336,HLOOKUP(INDIRECT(ADDRESS(2,COLUMN())),OFFSET($CL$2,0,0,ROW()-1,84),ROW()-1,FALSE))</f>
        <v/>
      </c>
      <c r="BH123">
        <f ca="1">IF(AND(ISNUMBER($BH$336),$B$252=1),$BH$336,HLOOKUP(INDIRECT(ADDRESS(2,COLUMN())),OFFSET($CL$2,0,0,ROW()-1,84),ROW()-1,FALSE))</f>
        <v>7.4614887669999996</v>
      </c>
      <c r="BI123" t="str">
        <f ca="1">IF(AND(ISNUMBER($BI$336),$B$252=1),$BI$336,HLOOKUP(INDIRECT(ADDRESS(2,COLUMN())),OFFSET($CL$2,0,0,ROW()-1,84),ROW()-1,FALSE))</f>
        <v/>
      </c>
      <c r="BJ123" t="str">
        <f ca="1">IF(AND(ISNUMBER($BJ$336),$B$252=1),$BJ$336,HLOOKUP(INDIRECT(ADDRESS(2,COLUMN())),OFFSET($CL$2,0,0,ROW()-1,84),ROW()-1,FALSE))</f>
        <v/>
      </c>
      <c r="BK123">
        <f ca="1">IF(AND(ISNUMBER($BK$336),$B$252=1),$BK$336,HLOOKUP(INDIRECT(ADDRESS(2,COLUMN())),OFFSET($CL$2,0,0,ROW()-1,84),ROW()-1,FALSE))</f>
        <v>7.259148905</v>
      </c>
      <c r="BL123" t="str">
        <f ca="1">IF(AND(ISNUMBER($BL$336),$B$252=1),$BL$336,HLOOKUP(INDIRECT(ADDRESS(2,COLUMN())),OFFSET($CL$2,0,0,ROW()-1,84),ROW()-1,FALSE))</f>
        <v/>
      </c>
      <c r="BM123" t="str">
        <f ca="1">IF(AND(ISNUMBER($BM$336),$B$252=1),$BM$336,HLOOKUP(INDIRECT(ADDRESS(2,COLUMN())),OFFSET($CL$2,0,0,ROW()-1,84),ROW()-1,FALSE))</f>
        <v/>
      </c>
      <c r="BN123">
        <f ca="1">IF(AND(ISNUMBER($BN$336),$B$252=1),$BN$336,HLOOKUP(INDIRECT(ADDRESS(2,COLUMN())),OFFSET($CL$2,0,0,ROW()-1,84),ROW()-1,FALSE))</f>
        <v>7.1022635630000002</v>
      </c>
      <c r="BO123" t="str">
        <f ca="1">IF(AND(ISNUMBER($BO$336),$B$252=1),$BO$336,HLOOKUP(INDIRECT(ADDRESS(2,COLUMN())),OFFSET($CL$2,0,0,ROW()-1,84),ROW()-1,FALSE))</f>
        <v/>
      </c>
      <c r="BP123" t="str">
        <f ca="1">IF(AND(ISNUMBER($BP$336),$B$252=1),$BP$336,HLOOKUP(INDIRECT(ADDRESS(2,COLUMN())),OFFSET($CL$2,0,0,ROW()-1,84),ROW()-1,FALSE))</f>
        <v/>
      </c>
      <c r="BQ123">
        <f ca="1">IF(AND(ISNUMBER($BQ$336),$B$252=1),$BQ$336,HLOOKUP(INDIRECT(ADDRESS(2,COLUMN())),OFFSET($CL$2,0,0,ROW()-1,84),ROW()-1,FALSE))</f>
        <v>6.8681348770000001</v>
      </c>
      <c r="BR123" t="str">
        <f ca="1">IF(AND(ISNUMBER($BR$336),$B$252=1),$BR$336,HLOOKUP(INDIRECT(ADDRESS(2,COLUMN())),OFFSET($CL$2,0,0,ROW()-1,84),ROW()-1,FALSE))</f>
        <v/>
      </c>
      <c r="BS123" t="str">
        <f ca="1">IF(AND(ISNUMBER($BS$336),$B$252=1),$BS$336,HLOOKUP(INDIRECT(ADDRESS(2,COLUMN())),OFFSET($CL$2,0,0,ROW()-1,84),ROW()-1,FALSE))</f>
        <v/>
      </c>
      <c r="BT123">
        <f ca="1">IF(AND(ISNUMBER($BT$336),$B$252=1),$BT$336,HLOOKUP(INDIRECT(ADDRESS(2,COLUMN())),OFFSET($CL$2,0,0,ROW()-1,84),ROW()-1,FALSE))</f>
        <v>6.5660029169999996</v>
      </c>
      <c r="BU123" t="str">
        <f ca="1">IF(AND(ISNUMBER($BU$336),$B$252=1),$BU$336,HLOOKUP(INDIRECT(ADDRESS(2,COLUMN())),OFFSET($CL$2,0,0,ROW()-1,84),ROW()-1,FALSE))</f>
        <v/>
      </c>
      <c r="BV123" t="str">
        <f ca="1">IF(AND(ISNUMBER($BV$336),$B$252=1),$BV$336,HLOOKUP(INDIRECT(ADDRESS(2,COLUMN())),OFFSET($CL$2,0,0,ROW()-1,84),ROW()-1,FALSE))</f>
        <v/>
      </c>
      <c r="BW123">
        <f ca="1">IF(AND(ISNUMBER($BW$336),$B$252=1),$BW$336,HLOOKUP(INDIRECT(ADDRESS(2,COLUMN())),OFFSET($CL$2,0,0,ROW()-1,84),ROW()-1,FALSE))</f>
        <v>6.2740040060000002</v>
      </c>
      <c r="BX123" t="str">
        <f ca="1">IF(AND(ISNUMBER($BX$336),$B$252=1),$BX$336,HLOOKUP(INDIRECT(ADDRESS(2,COLUMN())),OFFSET($CL$2,0,0,ROW()-1,84),ROW()-1,FALSE))</f>
        <v/>
      </c>
      <c r="BY123" t="str">
        <f ca="1">IF(AND(ISNUMBER($BY$336),$B$252=1),$BY$336,HLOOKUP(INDIRECT(ADDRESS(2,COLUMN())),OFFSET($CL$2,0,0,ROW()-1,84),ROW()-1,FALSE))</f>
        <v/>
      </c>
      <c r="BZ123">
        <f ca="1">IF(AND(ISNUMBER($BZ$336),$B$252=1),$BZ$336,HLOOKUP(INDIRECT(ADDRESS(2,COLUMN())),OFFSET($CL$2,0,0,ROW()-1,84),ROW()-1,FALSE))</f>
        <v>5.950891242</v>
      </c>
      <c r="CA123" t="str">
        <f ca="1">IF(AND(ISNUMBER($CA$336),$B$252=1),$CA$336,HLOOKUP(INDIRECT(ADDRESS(2,COLUMN())),OFFSET($CL$2,0,0,ROW()-1,84),ROW()-1,FALSE))</f>
        <v/>
      </c>
      <c r="CB123" t="str">
        <f ca="1">IF(AND(ISNUMBER($CB$336),$B$252=1),$CB$336,HLOOKUP(INDIRECT(ADDRESS(2,COLUMN())),OFFSET($CL$2,0,0,ROW()-1,84),ROW()-1,FALSE))</f>
        <v/>
      </c>
      <c r="CC123">
        <f ca="1">IF(AND(ISNUMBER($CC$336),$B$252=1),$CC$336,HLOOKUP(INDIRECT(ADDRESS(2,COLUMN())),OFFSET($CL$2,0,0,ROW()-1,84),ROW()-1,FALSE))</f>
        <v>5.6280702199999997</v>
      </c>
      <c r="CD123" t="str">
        <f ca="1">IF(AND(ISNUMBER($CD$336),$B$252=1),$CD$336,HLOOKUP(INDIRECT(ADDRESS(2,COLUMN())),OFFSET($CL$2,0,0,ROW()-1,84),ROW()-1,FALSE))</f>
        <v/>
      </c>
      <c r="CE123" t="str">
        <f ca="1">IF(AND(ISNUMBER($CE$336),$B$252=1),$CE$336,HLOOKUP(INDIRECT(ADDRESS(2,COLUMN())),OFFSET($CL$2,0,0,ROW()-1,84),ROW()-1,FALSE))</f>
        <v/>
      </c>
      <c r="CF123">
        <f ca="1">IF(AND(ISNUMBER($CF$336),$B$252=1),$CF$336,HLOOKUP(INDIRECT(ADDRESS(2,COLUMN())),OFFSET($CL$2,0,0,ROW()-1,84),ROW()-1,FALSE))</f>
        <v>5.3967111259999996</v>
      </c>
      <c r="CG123" t="str">
        <f ca="1">IF(AND(ISNUMBER($CG$336),$B$252=1),$CG$336,HLOOKUP(INDIRECT(ADDRESS(2,COLUMN())),OFFSET($CL$2,0,0,ROW()-1,84),ROW()-1,FALSE))</f>
        <v/>
      </c>
      <c r="CH123" t="str">
        <f ca="1">IF(AND(ISNUMBER($CH$336),$B$252=1),$CH$336,HLOOKUP(INDIRECT(ADDRESS(2,COLUMN())),OFFSET($CL$2,0,0,ROW()-1,84),ROW()-1,FALSE))</f>
        <v/>
      </c>
      <c r="CI123">
        <f ca="1">IF(AND(ISNUMBER($CI$336),$B$252=1),$CI$336,HLOOKUP(INDIRECT(ADDRESS(2,COLUMN())),OFFSET($CL$2,0,0,ROW()-1,84),ROW()-1,FALSE))</f>
        <v>5.2392432080000004</v>
      </c>
      <c r="CJ123" t="str">
        <f ca="1">IF(AND(ISNUMBER($CJ$336),$B$252=1),$CJ$336,HLOOKUP(INDIRECT(ADDRESS(2,COLUMN())),OFFSET($CL$2,0,0,ROW()-1,84),ROW()-1,FALSE))</f>
        <v/>
      </c>
      <c r="CK123" t="str">
        <f ca="1">IF(AND(ISNUMBER($CK$336),$B$252=1),$CK$336,HLOOKUP(INDIRECT(ADDRESS(2,COLUMN())),OFFSET($CL$2,0,0,ROW()-1,84),ROW()-1,FALSE))</f>
        <v/>
      </c>
      <c r="CL123" t="str">
        <f>""</f>
        <v/>
      </c>
      <c r="CM123" t="str">
        <f>""</f>
        <v/>
      </c>
      <c r="CN123" t="str">
        <f>""</f>
        <v/>
      </c>
      <c r="CO123">
        <f>11.9061341</f>
        <v>11.906134099999999</v>
      </c>
      <c r="CP123" t="str">
        <f>""</f>
        <v/>
      </c>
      <c r="CQ123" t="str">
        <f>""</f>
        <v/>
      </c>
      <c r="CR123">
        <f>11.70466444</f>
        <v>11.70466444</v>
      </c>
      <c r="CS123" t="str">
        <f>""</f>
        <v/>
      </c>
      <c r="CT123" t="str">
        <f>""</f>
        <v/>
      </c>
      <c r="CU123">
        <f>11.5254763</f>
        <v>11.525476299999999</v>
      </c>
      <c r="CV123" t="str">
        <f>""</f>
        <v/>
      </c>
      <c r="CW123" t="str">
        <f>""</f>
        <v/>
      </c>
      <c r="CX123">
        <f>11.29520351</f>
        <v>11.29520351</v>
      </c>
      <c r="CY123" t="str">
        <f>""</f>
        <v/>
      </c>
      <c r="CZ123" t="str">
        <f>""</f>
        <v/>
      </c>
      <c r="DA123">
        <f>11.03476999</f>
        <v>11.034769989999999</v>
      </c>
      <c r="DB123" t="str">
        <f>""</f>
        <v/>
      </c>
      <c r="DC123" t="str">
        <f>""</f>
        <v/>
      </c>
      <c r="DD123">
        <f>10.85544729</f>
        <v>10.855447290000001</v>
      </c>
      <c r="DE123" t="str">
        <f>""</f>
        <v/>
      </c>
      <c r="DF123" t="str">
        <f>""</f>
        <v/>
      </c>
      <c r="DG123">
        <f>10.54397923</f>
        <v>10.54397923</v>
      </c>
      <c r="DH123" t="str">
        <f>""</f>
        <v/>
      </c>
      <c r="DI123" t="str">
        <f>""</f>
        <v/>
      </c>
      <c r="DJ123">
        <f>10.20237399</f>
        <v>10.20237399</v>
      </c>
      <c r="DK123" t="str">
        <f>""</f>
        <v/>
      </c>
      <c r="DL123" t="str">
        <f>""</f>
        <v/>
      </c>
      <c r="DM123">
        <f>9.814975193</f>
        <v>9.8149751930000004</v>
      </c>
      <c r="DN123" t="str">
        <f>""</f>
        <v/>
      </c>
      <c r="DO123" t="str">
        <f>""</f>
        <v/>
      </c>
      <c r="DP123">
        <f>9.424528577</f>
        <v>9.4245285770000002</v>
      </c>
      <c r="DQ123" t="str">
        <f>""</f>
        <v/>
      </c>
      <c r="DR123" t="str">
        <f>""</f>
        <v/>
      </c>
      <c r="DS123">
        <f>9.093576421</f>
        <v>9.0935764209999999</v>
      </c>
      <c r="DT123" t="str">
        <f>""</f>
        <v/>
      </c>
      <c r="DU123" t="str">
        <f>""</f>
        <v/>
      </c>
      <c r="DV123">
        <f>8.77748937</f>
        <v>8.7774893699999996</v>
      </c>
      <c r="DW123" t="str">
        <f>""</f>
        <v/>
      </c>
      <c r="DX123" t="str">
        <f>""</f>
        <v/>
      </c>
      <c r="DY123">
        <f>8.503346959</f>
        <v>8.5033469589999999</v>
      </c>
      <c r="DZ123" t="str">
        <f>""</f>
        <v/>
      </c>
      <c r="EA123" t="str">
        <f>""</f>
        <v/>
      </c>
      <c r="EB123">
        <f>8.207169841</f>
        <v>8.2071698410000007</v>
      </c>
      <c r="EC123" t="str">
        <f>""</f>
        <v/>
      </c>
      <c r="ED123" t="str">
        <f>""</f>
        <v/>
      </c>
      <c r="EE123">
        <f>7.954378188</f>
        <v>7.9543781879999997</v>
      </c>
      <c r="EF123" t="str">
        <f>""</f>
        <v/>
      </c>
      <c r="EG123" t="str">
        <f>""</f>
        <v/>
      </c>
      <c r="EH123">
        <f>7.745393477</f>
        <v>7.7453934770000004</v>
      </c>
      <c r="EI123" t="str">
        <f>""</f>
        <v/>
      </c>
      <c r="EJ123" t="str">
        <f>""</f>
        <v/>
      </c>
      <c r="EK123">
        <f>7.596803186</f>
        <v>7.5968031859999998</v>
      </c>
      <c r="EL123" t="str">
        <f>""</f>
        <v/>
      </c>
      <c r="EM123" t="str">
        <f>""</f>
        <v/>
      </c>
      <c r="EN123">
        <f>7.461488767</f>
        <v>7.4614887669999996</v>
      </c>
      <c r="EO123" t="str">
        <f>""</f>
        <v/>
      </c>
      <c r="EP123" t="str">
        <f>""</f>
        <v/>
      </c>
      <c r="EQ123">
        <f>7.259148905</f>
        <v>7.259148905</v>
      </c>
      <c r="ER123" t="str">
        <f>""</f>
        <v/>
      </c>
      <c r="ES123" t="str">
        <f>""</f>
        <v/>
      </c>
      <c r="ET123">
        <f>7.102263563</f>
        <v>7.1022635630000002</v>
      </c>
      <c r="EU123" t="str">
        <f>""</f>
        <v/>
      </c>
      <c r="EV123" t="str">
        <f>""</f>
        <v/>
      </c>
      <c r="EW123">
        <f>6.868134877</f>
        <v>6.8681348770000001</v>
      </c>
      <c r="EX123" t="str">
        <f>""</f>
        <v/>
      </c>
      <c r="EY123" t="str">
        <f>""</f>
        <v/>
      </c>
      <c r="EZ123">
        <f>6.566002917</f>
        <v>6.5660029169999996</v>
      </c>
      <c r="FA123" t="str">
        <f>""</f>
        <v/>
      </c>
      <c r="FB123" t="str">
        <f>""</f>
        <v/>
      </c>
      <c r="FC123">
        <f>6.274004006</f>
        <v>6.2740040060000002</v>
      </c>
      <c r="FD123" t="str">
        <f>""</f>
        <v/>
      </c>
      <c r="FE123" t="str">
        <f>""</f>
        <v/>
      </c>
      <c r="FF123">
        <f>5.950891242</f>
        <v>5.950891242</v>
      </c>
      <c r="FG123" t="str">
        <f>""</f>
        <v/>
      </c>
      <c r="FH123" t="str">
        <f>""</f>
        <v/>
      </c>
      <c r="FI123">
        <f>5.62807022</f>
        <v>5.6280702199999997</v>
      </c>
      <c r="FJ123" t="str">
        <f>""</f>
        <v/>
      </c>
      <c r="FK123" t="str">
        <f>""</f>
        <v/>
      </c>
      <c r="FL123">
        <f>5.396711126</f>
        <v>5.3967111259999996</v>
      </c>
      <c r="FM123" t="str">
        <f>""</f>
        <v/>
      </c>
      <c r="FN123" t="str">
        <f>""</f>
        <v/>
      </c>
      <c r="FO123">
        <f>5.239243208</f>
        <v>5.2392432080000004</v>
      </c>
      <c r="FP123" t="str">
        <f>""</f>
        <v/>
      </c>
      <c r="FQ123" t="str">
        <f>""</f>
        <v/>
      </c>
    </row>
    <row r="124" spans="1:173">
      <c r="A124" t="str">
        <f>"    Mid-America Apartment Communities股份有限公司"</f>
        <v xml:space="preserve">    Mid-America Apartment Communities股份有限公司</v>
      </c>
      <c r="B124" t="str">
        <f>"MAA US Equity"</f>
        <v>MAA US Equity</v>
      </c>
      <c r="C124" t="str">
        <f t="shared" si="36"/>
        <v>F0894</v>
      </c>
      <c r="D124" t="str">
        <f t="shared" si="37"/>
        <v>TRAILING_12_MONTHS_AFFOPS</v>
      </c>
      <c r="E124" t="str">
        <f t="shared" si="38"/>
        <v>动态</v>
      </c>
      <c r="F124" t="str">
        <f ca="1">IF(AND(ISNUMBER($F$337),$B$252=1),$F$337,HLOOKUP(INDIRECT(ADDRESS(2,COLUMN())),OFFSET($CL$2,0,0,ROW()-1,84),ROW()-1,FALSE))</f>
        <v/>
      </c>
      <c r="G124" t="str">
        <f ca="1">IF(AND(ISNUMBER($G$337),$B$252=1),$G$337,HLOOKUP(INDIRECT(ADDRESS(2,COLUMN())),OFFSET($CL$2,0,0,ROW()-1,84),ROW()-1,FALSE))</f>
        <v/>
      </c>
      <c r="H124" t="str">
        <f ca="1">IF(AND(ISNUMBER($H$337),$B$252=1),$H$337,HLOOKUP(INDIRECT(ADDRESS(2,COLUMN())),OFFSET($CL$2,0,0,ROW()-1,84),ROW()-1,FALSE))</f>
        <v/>
      </c>
      <c r="I124">
        <f ca="1">IF(AND(ISNUMBER($I$337),$B$252=1),$I$337,HLOOKUP(INDIRECT(ADDRESS(2,COLUMN())),OFFSET($CL$2,0,0,ROW()-1,84),ROW()-1,FALSE))</f>
        <v>5.9153200650000004</v>
      </c>
      <c r="J124" t="str">
        <f ca="1">IF(AND(ISNUMBER($J$337),$B$252=1),$J$337,HLOOKUP(INDIRECT(ADDRESS(2,COLUMN())),OFFSET($CL$2,0,0,ROW()-1,84),ROW()-1,FALSE))</f>
        <v/>
      </c>
      <c r="K124" t="str">
        <f ca="1">IF(AND(ISNUMBER($K$337),$B$252=1),$K$337,HLOOKUP(INDIRECT(ADDRESS(2,COLUMN())),OFFSET($CL$2,0,0,ROW()-1,84),ROW()-1,FALSE))</f>
        <v/>
      </c>
      <c r="L124">
        <f ca="1">IF(AND(ISNUMBER($L$337),$B$252=1),$L$337,HLOOKUP(INDIRECT(ADDRESS(2,COLUMN())),OFFSET($CL$2,0,0,ROW()-1,84),ROW()-1,FALSE))</f>
        <v>5.5588750779999998</v>
      </c>
      <c r="M124" t="str">
        <f ca="1">IF(AND(ISNUMBER($M$337),$B$252=1),$M$337,HLOOKUP(INDIRECT(ADDRESS(2,COLUMN())),OFFSET($CL$2,0,0,ROW()-1,84),ROW()-1,FALSE))</f>
        <v/>
      </c>
      <c r="N124" t="str">
        <f ca="1">IF(AND(ISNUMBER($N$337),$B$252=1),$N$337,HLOOKUP(INDIRECT(ADDRESS(2,COLUMN())),OFFSET($CL$2,0,0,ROW()-1,84),ROW()-1,FALSE))</f>
        <v/>
      </c>
      <c r="O124">
        <f ca="1">IF(AND(ISNUMBER($O$337),$B$252=1),$O$337,HLOOKUP(INDIRECT(ADDRESS(2,COLUMN())),OFFSET($CL$2,0,0,ROW()-1,84),ROW()-1,FALSE))</f>
        <v>5.5512527580000004</v>
      </c>
      <c r="P124" t="str">
        <f ca="1">IF(AND(ISNUMBER($P$337),$B$252=1),$P$337,HLOOKUP(INDIRECT(ADDRESS(2,COLUMN())),OFFSET($CL$2,0,0,ROW()-1,84),ROW()-1,FALSE))</f>
        <v/>
      </c>
      <c r="Q124" t="str">
        <f ca="1">IF(AND(ISNUMBER($Q$337),$B$252=1),$Q$337,HLOOKUP(INDIRECT(ADDRESS(2,COLUMN())),OFFSET($CL$2,0,0,ROW()-1,84),ROW()-1,FALSE))</f>
        <v/>
      </c>
      <c r="R124">
        <f ca="1">IF(AND(ISNUMBER($R$337),$B$252=1),$R$337,HLOOKUP(INDIRECT(ADDRESS(2,COLUMN())),OFFSET($CL$2,0,0,ROW()-1,84),ROW()-1,FALSE))</f>
        <v>5.6076182499999998</v>
      </c>
      <c r="S124" t="str">
        <f ca="1">IF(AND(ISNUMBER($S$337),$B$252=1),$S$337,HLOOKUP(INDIRECT(ADDRESS(2,COLUMN())),OFFSET($CL$2,0,0,ROW()-1,84),ROW()-1,FALSE))</f>
        <v/>
      </c>
      <c r="T124" t="str">
        <f ca="1">IF(AND(ISNUMBER($T$337),$B$252=1),$T$337,HLOOKUP(INDIRECT(ADDRESS(2,COLUMN())),OFFSET($CL$2,0,0,ROW()-1,84),ROW()-1,FALSE))</f>
        <v/>
      </c>
      <c r="U124">
        <f ca="1">IF(AND(ISNUMBER($U$337),$B$252=1),$U$337,HLOOKUP(INDIRECT(ADDRESS(2,COLUMN())),OFFSET($CL$2,0,0,ROW()-1,84),ROW()-1,FALSE))</f>
        <v>5.5881864649999997</v>
      </c>
      <c r="V124" t="str">
        <f ca="1">IF(AND(ISNUMBER($V$337),$B$252=1),$V$337,HLOOKUP(INDIRECT(ADDRESS(2,COLUMN())),OFFSET($CL$2,0,0,ROW()-1,84),ROW()-1,FALSE))</f>
        <v/>
      </c>
      <c r="W124" t="str">
        <f ca="1">IF(AND(ISNUMBER($W$337),$B$252=1),$W$337,HLOOKUP(INDIRECT(ADDRESS(2,COLUMN())),OFFSET($CL$2,0,0,ROW()-1,84),ROW()-1,FALSE))</f>
        <v/>
      </c>
      <c r="X124">
        <f ca="1">IF(AND(ISNUMBER($X$337),$B$252=1),$X$337,HLOOKUP(INDIRECT(ADDRESS(2,COLUMN())),OFFSET($CL$2,0,0,ROW()-1,84),ROW()-1,FALSE))</f>
        <v>5.9139525119999998</v>
      </c>
      <c r="Y124" t="str">
        <f ca="1">IF(AND(ISNUMBER($Y$337),$B$252=1),$Y$337,HLOOKUP(INDIRECT(ADDRESS(2,COLUMN())),OFFSET($CL$2,0,0,ROW()-1,84),ROW()-1,FALSE))</f>
        <v/>
      </c>
      <c r="Z124" t="str">
        <f ca="1">IF(AND(ISNUMBER($Z$337),$B$252=1),$Z$337,HLOOKUP(INDIRECT(ADDRESS(2,COLUMN())),OFFSET($CL$2,0,0,ROW()-1,84),ROW()-1,FALSE))</f>
        <v/>
      </c>
      <c r="AA124">
        <f ca="1">IF(AND(ISNUMBER($AA$337),$B$252=1),$AA$337,HLOOKUP(INDIRECT(ADDRESS(2,COLUMN())),OFFSET($CL$2,0,0,ROW()-1,84),ROW()-1,FALSE))</f>
        <v>5.8074089730000003</v>
      </c>
      <c r="AB124" t="str">
        <f ca="1">IF(AND(ISNUMBER($AB$337),$B$252=1),$AB$337,HLOOKUP(INDIRECT(ADDRESS(2,COLUMN())),OFFSET($CL$2,0,0,ROW()-1,84),ROW()-1,FALSE))</f>
        <v/>
      </c>
      <c r="AC124" t="str">
        <f ca="1">IF(AND(ISNUMBER($AC$337),$B$252=1),$AC$337,HLOOKUP(INDIRECT(ADDRESS(2,COLUMN())),OFFSET($CL$2,0,0,ROW()-1,84),ROW()-1,FALSE))</f>
        <v/>
      </c>
      <c r="AD124">
        <f ca="1">IF(AND(ISNUMBER($AD$337),$B$252=1),$AD$337,HLOOKUP(INDIRECT(ADDRESS(2,COLUMN())),OFFSET($CL$2,0,0,ROW()-1,84),ROW()-1,FALSE))</f>
        <v>5.627521454</v>
      </c>
      <c r="AE124" t="str">
        <f ca="1">IF(AND(ISNUMBER($AE$337),$B$252=1),$AE$337,HLOOKUP(INDIRECT(ADDRESS(2,COLUMN())),OFFSET($CL$2,0,0,ROW()-1,84),ROW()-1,FALSE))</f>
        <v/>
      </c>
      <c r="AF124" t="str">
        <f ca="1">IF(AND(ISNUMBER($AF$337),$B$252=1),$AF$337,HLOOKUP(INDIRECT(ADDRESS(2,COLUMN())),OFFSET($CL$2,0,0,ROW()-1,84),ROW()-1,FALSE))</f>
        <v/>
      </c>
      <c r="AG124">
        <f ca="1">IF(AND(ISNUMBER($AG$337),$B$252=1),$AG$337,HLOOKUP(INDIRECT(ADDRESS(2,COLUMN())),OFFSET($CL$2,0,0,ROW()-1,84),ROW()-1,FALSE))</f>
        <v>5.5129175589999999</v>
      </c>
      <c r="AH124" t="str">
        <f ca="1">IF(AND(ISNUMBER($AH$337),$B$252=1),$AH$337,HLOOKUP(INDIRECT(ADDRESS(2,COLUMN())),OFFSET($CL$2,0,0,ROW()-1,84),ROW()-1,FALSE))</f>
        <v/>
      </c>
      <c r="AI124" t="str">
        <f ca="1">IF(AND(ISNUMBER($AI$337),$B$252=1),$AI$337,HLOOKUP(INDIRECT(ADDRESS(2,COLUMN())),OFFSET($CL$2,0,0,ROW()-1,84),ROW()-1,FALSE))</f>
        <v/>
      </c>
      <c r="AJ124">
        <f ca="1">IF(AND(ISNUMBER($AJ$337),$B$252=1),$AJ$337,HLOOKUP(INDIRECT(ADDRESS(2,COLUMN())),OFFSET($CL$2,0,0,ROW()-1,84),ROW()-1,FALSE))</f>
        <v>5.3786507749999997</v>
      </c>
      <c r="AK124" t="str">
        <f ca="1">IF(AND(ISNUMBER($AK$337),$B$252=1),$AK$337,HLOOKUP(INDIRECT(ADDRESS(2,COLUMN())),OFFSET($CL$2,0,0,ROW()-1,84),ROW()-1,FALSE))</f>
        <v/>
      </c>
      <c r="AL124" t="str">
        <f ca="1">IF(AND(ISNUMBER($AL$337),$B$252=1),$AL$337,HLOOKUP(INDIRECT(ADDRESS(2,COLUMN())),OFFSET($CL$2,0,0,ROW()-1,84),ROW()-1,FALSE))</f>
        <v/>
      </c>
      <c r="AM124">
        <f ca="1">IF(AND(ISNUMBER($AM$337),$B$252=1),$AM$337,HLOOKUP(INDIRECT(ADDRESS(2,COLUMN())),OFFSET($CL$2,0,0,ROW()-1,84),ROW()-1,FALSE))</f>
        <v>5.2764521169999998</v>
      </c>
      <c r="AN124" t="str">
        <f ca="1">IF(AND(ISNUMBER($AN$337),$B$252=1),$AN$337,HLOOKUP(INDIRECT(ADDRESS(2,COLUMN())),OFFSET($CL$2,0,0,ROW()-1,84),ROW()-1,FALSE))</f>
        <v/>
      </c>
      <c r="AO124" t="str">
        <f ca="1">IF(AND(ISNUMBER($AO$337),$B$252=1),$AO$337,HLOOKUP(INDIRECT(ADDRESS(2,COLUMN())),OFFSET($CL$2,0,0,ROW()-1,84),ROW()-1,FALSE))</f>
        <v/>
      </c>
      <c r="AP124">
        <f ca="1">IF(AND(ISNUMBER($AP$337),$B$252=1),$AP$337,HLOOKUP(INDIRECT(ADDRESS(2,COLUMN())),OFFSET($CL$2,0,0,ROW()-1,84),ROW()-1,FALSE))</f>
        <v>5.1025612430000002</v>
      </c>
      <c r="AQ124" t="str">
        <f ca="1">IF(AND(ISNUMBER($AQ$337),$B$252=1),$AQ$337,HLOOKUP(INDIRECT(ADDRESS(2,COLUMN())),OFFSET($CL$2,0,0,ROW()-1,84),ROW()-1,FALSE))</f>
        <v/>
      </c>
      <c r="AR124" t="str">
        <f ca="1">IF(AND(ISNUMBER($AR$337),$B$252=1),$AR$337,HLOOKUP(INDIRECT(ADDRESS(2,COLUMN())),OFFSET($CL$2,0,0,ROW()-1,84),ROW()-1,FALSE))</f>
        <v/>
      </c>
      <c r="AS124">
        <f ca="1">IF(AND(ISNUMBER($AS$337),$B$252=1),$AS$337,HLOOKUP(INDIRECT(ADDRESS(2,COLUMN())),OFFSET($CL$2,0,0,ROW()-1,84),ROW()-1,FALSE))</f>
        <v>4.9856312249999997</v>
      </c>
      <c r="AT124" t="str">
        <f ca="1">IF(AND(ISNUMBER($AT$337),$B$252=1),$AT$337,HLOOKUP(INDIRECT(ADDRESS(2,COLUMN())),OFFSET($CL$2,0,0,ROW()-1,84),ROW()-1,FALSE))</f>
        <v/>
      </c>
      <c r="AU124" t="str">
        <f ca="1">IF(AND(ISNUMBER($AU$337),$B$252=1),$AU$337,HLOOKUP(INDIRECT(ADDRESS(2,COLUMN())),OFFSET($CL$2,0,0,ROW()-1,84),ROW()-1,FALSE))</f>
        <v/>
      </c>
      <c r="AV124">
        <f ca="1">IF(AND(ISNUMBER($AV$337),$B$252=1),$AV$337,HLOOKUP(INDIRECT(ADDRESS(2,COLUMN())),OFFSET($CL$2,0,0,ROW()-1,84),ROW()-1,FALSE))</f>
        <v>4.8691653539999997</v>
      </c>
      <c r="AW124" t="str">
        <f ca="1">IF(AND(ISNUMBER($AW$337),$B$252=1),$AW$337,HLOOKUP(INDIRECT(ADDRESS(2,COLUMN())),OFFSET($CL$2,0,0,ROW()-1,84),ROW()-1,FALSE))</f>
        <v/>
      </c>
      <c r="AX124" t="str">
        <f ca="1">IF(AND(ISNUMBER($AX$337),$B$252=1),$AX$337,HLOOKUP(INDIRECT(ADDRESS(2,COLUMN())),OFFSET($CL$2,0,0,ROW()-1,84),ROW()-1,FALSE))</f>
        <v/>
      </c>
      <c r="AY124">
        <f ca="1">IF(AND(ISNUMBER($AY$337),$B$252=1),$AY$337,HLOOKUP(INDIRECT(ADDRESS(2,COLUMN())),OFFSET($CL$2,0,0,ROW()-1,84),ROW()-1,FALSE))</f>
        <v>4.8373355010000001</v>
      </c>
      <c r="AZ124" t="str">
        <f ca="1">IF(AND(ISNUMBER($AZ$337),$B$252=1),$AZ$337,HLOOKUP(INDIRECT(ADDRESS(2,COLUMN())),OFFSET($CL$2,0,0,ROW()-1,84),ROW()-1,FALSE))</f>
        <v/>
      </c>
      <c r="BA124" t="str">
        <f ca="1">IF(AND(ISNUMBER($BA$337),$B$252=1),$BA$337,HLOOKUP(INDIRECT(ADDRESS(2,COLUMN())),OFFSET($CL$2,0,0,ROW()-1,84),ROW()-1,FALSE))</f>
        <v/>
      </c>
      <c r="BB124">
        <f ca="1">IF(AND(ISNUMBER($BB$337),$B$252=1),$BB$337,HLOOKUP(INDIRECT(ADDRESS(2,COLUMN())),OFFSET($CL$2,0,0,ROW()-1,84),ROW()-1,FALSE))</f>
        <v>4.9321285179999999</v>
      </c>
      <c r="BC124" t="str">
        <f ca="1">IF(AND(ISNUMBER($BC$337),$B$252=1),$BC$337,HLOOKUP(INDIRECT(ADDRESS(2,COLUMN())),OFFSET($CL$2,0,0,ROW()-1,84),ROW()-1,FALSE))</f>
        <v/>
      </c>
      <c r="BD124" t="str">
        <f ca="1">IF(AND(ISNUMBER($BD$337),$B$252=1),$BD$337,HLOOKUP(INDIRECT(ADDRESS(2,COLUMN())),OFFSET($CL$2,0,0,ROW()-1,84),ROW()-1,FALSE))</f>
        <v/>
      </c>
      <c r="BE124">
        <f ca="1">IF(AND(ISNUMBER($BE$337),$B$252=1),$BE$337,HLOOKUP(INDIRECT(ADDRESS(2,COLUMN())),OFFSET($CL$2,0,0,ROW()-1,84),ROW()-1,FALSE))</f>
        <v>4.9753513659999999</v>
      </c>
      <c r="BF124" t="str">
        <f ca="1">IF(AND(ISNUMBER($BF$337),$B$252=1),$BF$337,HLOOKUP(INDIRECT(ADDRESS(2,COLUMN())),OFFSET($CL$2,0,0,ROW()-1,84),ROW()-1,FALSE))</f>
        <v/>
      </c>
      <c r="BG124" t="str">
        <f ca="1">IF(AND(ISNUMBER($BG$337),$B$252=1),$BG$337,HLOOKUP(INDIRECT(ADDRESS(2,COLUMN())),OFFSET($CL$2,0,0,ROW()-1,84),ROW()-1,FALSE))</f>
        <v/>
      </c>
      <c r="BH124">
        <f ca="1">IF(AND(ISNUMBER($BH$337),$B$252=1),$BH$337,HLOOKUP(INDIRECT(ADDRESS(2,COLUMN())),OFFSET($CL$2,0,0,ROW()-1,84),ROW()-1,FALSE))</f>
        <v>4.9872553460000004</v>
      </c>
      <c r="BI124" t="str">
        <f ca="1">IF(AND(ISNUMBER($BI$337),$B$252=1),$BI$337,HLOOKUP(INDIRECT(ADDRESS(2,COLUMN())),OFFSET($CL$2,0,0,ROW()-1,84),ROW()-1,FALSE))</f>
        <v/>
      </c>
      <c r="BJ124" t="str">
        <f ca="1">IF(AND(ISNUMBER($BJ$337),$B$252=1),$BJ$337,HLOOKUP(INDIRECT(ADDRESS(2,COLUMN())),OFFSET($CL$2,0,0,ROW()-1,84),ROW()-1,FALSE))</f>
        <v/>
      </c>
      <c r="BK124">
        <f ca="1">IF(AND(ISNUMBER($BK$337),$B$252=1),$BK$337,HLOOKUP(INDIRECT(ADDRESS(2,COLUMN())),OFFSET($CL$2,0,0,ROW()-1,84),ROW()-1,FALSE))</f>
        <v>4.8806025130000004</v>
      </c>
      <c r="BL124" t="str">
        <f ca="1">IF(AND(ISNUMBER($BL$337),$B$252=1),$BL$337,HLOOKUP(INDIRECT(ADDRESS(2,COLUMN())),OFFSET($CL$2,0,0,ROW()-1,84),ROW()-1,FALSE))</f>
        <v/>
      </c>
      <c r="BM124" t="str">
        <f ca="1">IF(AND(ISNUMBER($BM$337),$B$252=1),$BM$337,HLOOKUP(INDIRECT(ADDRESS(2,COLUMN())),OFFSET($CL$2,0,0,ROW()-1,84),ROW()-1,FALSE))</f>
        <v/>
      </c>
      <c r="BN124">
        <f ca="1">IF(AND(ISNUMBER($BN$337),$B$252=1),$BN$337,HLOOKUP(INDIRECT(ADDRESS(2,COLUMN())),OFFSET($CL$2,0,0,ROW()-1,84),ROW()-1,FALSE))</f>
        <v>4.7286062400000004</v>
      </c>
      <c r="BO124" t="str">
        <f ca="1">IF(AND(ISNUMBER($BO$337),$B$252=1),$BO$337,HLOOKUP(INDIRECT(ADDRESS(2,COLUMN())),OFFSET($CL$2,0,0,ROW()-1,84),ROW()-1,FALSE))</f>
        <v/>
      </c>
      <c r="BP124" t="str">
        <f ca="1">IF(AND(ISNUMBER($BP$337),$B$252=1),$BP$337,HLOOKUP(INDIRECT(ADDRESS(2,COLUMN())),OFFSET($CL$2,0,0,ROW()-1,84),ROW()-1,FALSE))</f>
        <v/>
      </c>
      <c r="BQ124">
        <f ca="1">IF(AND(ISNUMBER($BQ$337),$B$252=1),$BQ$337,HLOOKUP(INDIRECT(ADDRESS(2,COLUMN())),OFFSET($CL$2,0,0,ROW()-1,84),ROW()-1,FALSE))</f>
        <v>4.5969513009999998</v>
      </c>
      <c r="BR124" t="str">
        <f ca="1">IF(AND(ISNUMBER($BR$337),$B$252=1),$BR$337,HLOOKUP(INDIRECT(ADDRESS(2,COLUMN())),OFFSET($CL$2,0,0,ROW()-1,84),ROW()-1,FALSE))</f>
        <v/>
      </c>
      <c r="BS124" t="str">
        <f ca="1">IF(AND(ISNUMBER($BS$337),$B$252=1),$BS$337,HLOOKUP(INDIRECT(ADDRESS(2,COLUMN())),OFFSET($CL$2,0,0,ROW()-1,84),ROW()-1,FALSE))</f>
        <v/>
      </c>
      <c r="BT124">
        <f ca="1">IF(AND(ISNUMBER($BT$337),$B$252=1),$BT$337,HLOOKUP(INDIRECT(ADDRESS(2,COLUMN())),OFFSET($CL$2,0,0,ROW()-1,84),ROW()-1,FALSE))</f>
        <v>4.4578661430000004</v>
      </c>
      <c r="BU124" t="str">
        <f ca="1">IF(AND(ISNUMBER($BU$337),$B$252=1),$BU$337,HLOOKUP(INDIRECT(ADDRESS(2,COLUMN())),OFFSET($CL$2,0,0,ROW()-1,84),ROW()-1,FALSE))</f>
        <v/>
      </c>
      <c r="BV124" t="str">
        <f ca="1">IF(AND(ISNUMBER($BV$337),$B$252=1),$BV$337,HLOOKUP(INDIRECT(ADDRESS(2,COLUMN())),OFFSET($CL$2,0,0,ROW()-1,84),ROW()-1,FALSE))</f>
        <v/>
      </c>
      <c r="BW124">
        <f ca="1">IF(AND(ISNUMBER($BW$337),$B$252=1),$BW$337,HLOOKUP(INDIRECT(ADDRESS(2,COLUMN())),OFFSET($CL$2,0,0,ROW()-1,84),ROW()-1,FALSE))</f>
        <v>4.3161714089999998</v>
      </c>
      <c r="BX124" t="str">
        <f ca="1">IF(AND(ISNUMBER($BX$337),$B$252=1),$BX$337,HLOOKUP(INDIRECT(ADDRESS(2,COLUMN())),OFFSET($CL$2,0,0,ROW()-1,84),ROW()-1,FALSE))</f>
        <v/>
      </c>
      <c r="BY124" t="str">
        <f ca="1">IF(AND(ISNUMBER($BY$337),$B$252=1),$BY$337,HLOOKUP(INDIRECT(ADDRESS(2,COLUMN())),OFFSET($CL$2,0,0,ROW()-1,84),ROW()-1,FALSE))</f>
        <v/>
      </c>
      <c r="BZ124">
        <f ca="1">IF(AND(ISNUMBER($BZ$337),$B$252=1),$BZ$337,HLOOKUP(INDIRECT(ADDRESS(2,COLUMN())),OFFSET($CL$2,0,0,ROW()-1,84),ROW()-1,FALSE))</f>
        <v>4.1197514660000003</v>
      </c>
      <c r="CA124" t="str">
        <f ca="1">IF(AND(ISNUMBER($CA$337),$B$252=1),$CA$337,HLOOKUP(INDIRECT(ADDRESS(2,COLUMN())),OFFSET($CL$2,0,0,ROW()-1,84),ROW()-1,FALSE))</f>
        <v/>
      </c>
      <c r="CB124" t="str">
        <f ca="1">IF(AND(ISNUMBER($CB$337),$B$252=1),$CB$337,HLOOKUP(INDIRECT(ADDRESS(2,COLUMN())),OFFSET($CL$2,0,0,ROW()-1,84),ROW()-1,FALSE))</f>
        <v/>
      </c>
      <c r="CC124">
        <f ca="1">IF(AND(ISNUMBER($CC$337),$B$252=1),$CC$337,HLOOKUP(INDIRECT(ADDRESS(2,COLUMN())),OFFSET($CL$2,0,0,ROW()-1,84),ROW()-1,FALSE))</f>
        <v>3.978644541</v>
      </c>
      <c r="CD124" t="str">
        <f ca="1">IF(AND(ISNUMBER($CD$337),$B$252=1),$CD$337,HLOOKUP(INDIRECT(ADDRESS(2,COLUMN())),OFFSET($CL$2,0,0,ROW()-1,84),ROW()-1,FALSE))</f>
        <v/>
      </c>
      <c r="CE124" t="str">
        <f ca="1">IF(AND(ISNUMBER($CE$337),$B$252=1),$CE$337,HLOOKUP(INDIRECT(ADDRESS(2,COLUMN())),OFFSET($CL$2,0,0,ROW()-1,84),ROW()-1,FALSE))</f>
        <v/>
      </c>
      <c r="CF124">
        <f ca="1">IF(AND(ISNUMBER($CF$337),$B$252=1),$CF$337,HLOOKUP(INDIRECT(ADDRESS(2,COLUMN())),OFFSET($CL$2,0,0,ROW()-1,84),ROW()-1,FALSE))</f>
        <v>3.8506648299999999</v>
      </c>
      <c r="CG124" t="str">
        <f ca="1">IF(AND(ISNUMBER($CG$337),$B$252=1),$CG$337,HLOOKUP(INDIRECT(ADDRESS(2,COLUMN())),OFFSET($CL$2,0,0,ROW()-1,84),ROW()-1,FALSE))</f>
        <v/>
      </c>
      <c r="CH124" t="str">
        <f ca="1">IF(AND(ISNUMBER($CH$337),$B$252=1),$CH$337,HLOOKUP(INDIRECT(ADDRESS(2,COLUMN())),OFFSET($CL$2,0,0,ROW()-1,84),ROW()-1,FALSE))</f>
        <v/>
      </c>
      <c r="CI124">
        <f ca="1">IF(AND(ISNUMBER($CI$337),$B$252=1),$CI$337,HLOOKUP(INDIRECT(ADDRESS(2,COLUMN())),OFFSET($CL$2,0,0,ROW()-1,84),ROW()-1,FALSE))</f>
        <v>3.6985126479999999</v>
      </c>
      <c r="CJ124" t="str">
        <f ca="1">IF(AND(ISNUMBER($CJ$337),$B$252=1),$CJ$337,HLOOKUP(INDIRECT(ADDRESS(2,COLUMN())),OFFSET($CL$2,0,0,ROW()-1,84),ROW()-1,FALSE))</f>
        <v/>
      </c>
      <c r="CK124" t="str">
        <f ca="1">IF(AND(ISNUMBER($CK$337),$B$252=1),$CK$337,HLOOKUP(INDIRECT(ADDRESS(2,COLUMN())),OFFSET($CL$2,0,0,ROW()-1,84),ROW()-1,FALSE))</f>
        <v/>
      </c>
      <c r="CL124" t="str">
        <f>""</f>
        <v/>
      </c>
      <c r="CM124" t="str">
        <f>""</f>
        <v/>
      </c>
      <c r="CN124" t="str">
        <f>""</f>
        <v/>
      </c>
      <c r="CO124">
        <f>5.915320065</f>
        <v>5.9153200650000004</v>
      </c>
      <c r="CP124" t="str">
        <f>""</f>
        <v/>
      </c>
      <c r="CQ124" t="str">
        <f>""</f>
        <v/>
      </c>
      <c r="CR124">
        <f>5.558875078</f>
        <v>5.5588750779999998</v>
      </c>
      <c r="CS124" t="str">
        <f>""</f>
        <v/>
      </c>
      <c r="CT124" t="str">
        <f>""</f>
        <v/>
      </c>
      <c r="CU124">
        <f>5.551252758</f>
        <v>5.5512527580000004</v>
      </c>
      <c r="CV124" t="str">
        <f>""</f>
        <v/>
      </c>
      <c r="CW124" t="str">
        <f>""</f>
        <v/>
      </c>
      <c r="CX124">
        <f>5.60761825</f>
        <v>5.6076182499999998</v>
      </c>
      <c r="CY124" t="str">
        <f>""</f>
        <v/>
      </c>
      <c r="CZ124" t="str">
        <f>""</f>
        <v/>
      </c>
      <c r="DA124">
        <f>5.588186465</f>
        <v>5.5881864649999997</v>
      </c>
      <c r="DB124" t="str">
        <f>""</f>
        <v/>
      </c>
      <c r="DC124" t="str">
        <f>""</f>
        <v/>
      </c>
      <c r="DD124">
        <f>5.913952512</f>
        <v>5.9139525119999998</v>
      </c>
      <c r="DE124" t="str">
        <f>""</f>
        <v/>
      </c>
      <c r="DF124" t="str">
        <f>""</f>
        <v/>
      </c>
      <c r="DG124">
        <f>5.807408973</f>
        <v>5.8074089730000003</v>
      </c>
      <c r="DH124" t="str">
        <f>""</f>
        <v/>
      </c>
      <c r="DI124" t="str">
        <f>""</f>
        <v/>
      </c>
      <c r="DJ124">
        <f>5.627521454</f>
        <v>5.627521454</v>
      </c>
      <c r="DK124" t="str">
        <f>""</f>
        <v/>
      </c>
      <c r="DL124" t="str">
        <f>""</f>
        <v/>
      </c>
      <c r="DM124">
        <f>5.512917559</f>
        <v>5.5129175589999999</v>
      </c>
      <c r="DN124" t="str">
        <f>""</f>
        <v/>
      </c>
      <c r="DO124" t="str">
        <f>""</f>
        <v/>
      </c>
      <c r="DP124">
        <f>5.378650775</f>
        <v>5.3786507749999997</v>
      </c>
      <c r="DQ124" t="str">
        <f>""</f>
        <v/>
      </c>
      <c r="DR124" t="str">
        <f>""</f>
        <v/>
      </c>
      <c r="DS124">
        <f>5.276452117</f>
        <v>5.2764521169999998</v>
      </c>
      <c r="DT124" t="str">
        <f>""</f>
        <v/>
      </c>
      <c r="DU124" t="str">
        <f>""</f>
        <v/>
      </c>
      <c r="DV124">
        <f>5.102561243</f>
        <v>5.1025612430000002</v>
      </c>
      <c r="DW124" t="str">
        <f>""</f>
        <v/>
      </c>
      <c r="DX124" t="str">
        <f>""</f>
        <v/>
      </c>
      <c r="DY124">
        <f>4.985631225</f>
        <v>4.9856312249999997</v>
      </c>
      <c r="DZ124" t="str">
        <f>""</f>
        <v/>
      </c>
      <c r="EA124" t="str">
        <f>""</f>
        <v/>
      </c>
      <c r="EB124">
        <f>4.869165354</f>
        <v>4.8691653539999997</v>
      </c>
      <c r="EC124" t="str">
        <f>""</f>
        <v/>
      </c>
      <c r="ED124" t="str">
        <f>""</f>
        <v/>
      </c>
      <c r="EE124">
        <f>4.837335501</f>
        <v>4.8373355010000001</v>
      </c>
      <c r="EF124" t="str">
        <f>""</f>
        <v/>
      </c>
      <c r="EG124" t="str">
        <f>""</f>
        <v/>
      </c>
      <c r="EH124">
        <f>4.932128518</f>
        <v>4.9321285179999999</v>
      </c>
      <c r="EI124" t="str">
        <f>""</f>
        <v/>
      </c>
      <c r="EJ124" t="str">
        <f>""</f>
        <v/>
      </c>
      <c r="EK124">
        <f>4.975351366</f>
        <v>4.9753513659999999</v>
      </c>
      <c r="EL124" t="str">
        <f>""</f>
        <v/>
      </c>
      <c r="EM124" t="str">
        <f>""</f>
        <v/>
      </c>
      <c r="EN124">
        <f>4.987255346</f>
        <v>4.9872553460000004</v>
      </c>
      <c r="EO124" t="str">
        <f>""</f>
        <v/>
      </c>
      <c r="EP124" t="str">
        <f>""</f>
        <v/>
      </c>
      <c r="EQ124">
        <f>4.880602513</f>
        <v>4.8806025130000004</v>
      </c>
      <c r="ER124" t="str">
        <f>""</f>
        <v/>
      </c>
      <c r="ES124" t="str">
        <f>""</f>
        <v/>
      </c>
      <c r="ET124">
        <f>4.72860624</f>
        <v>4.7286062400000004</v>
      </c>
      <c r="EU124" t="str">
        <f>""</f>
        <v/>
      </c>
      <c r="EV124" t="str">
        <f>""</f>
        <v/>
      </c>
      <c r="EW124">
        <f>4.596951301</f>
        <v>4.5969513009999998</v>
      </c>
      <c r="EX124" t="str">
        <f>""</f>
        <v/>
      </c>
      <c r="EY124" t="str">
        <f>""</f>
        <v/>
      </c>
      <c r="EZ124">
        <f>4.457866143</f>
        <v>4.4578661430000004</v>
      </c>
      <c r="FA124" t="str">
        <f>""</f>
        <v/>
      </c>
      <c r="FB124" t="str">
        <f>""</f>
        <v/>
      </c>
      <c r="FC124">
        <f>4.316171409</f>
        <v>4.3161714089999998</v>
      </c>
      <c r="FD124" t="str">
        <f>""</f>
        <v/>
      </c>
      <c r="FE124" t="str">
        <f>""</f>
        <v/>
      </c>
      <c r="FF124">
        <f>4.119751466</f>
        <v>4.1197514660000003</v>
      </c>
      <c r="FG124" t="str">
        <f>""</f>
        <v/>
      </c>
      <c r="FH124" t="str">
        <f>""</f>
        <v/>
      </c>
      <c r="FI124">
        <f>3.978644541</f>
        <v>3.978644541</v>
      </c>
      <c r="FJ124" t="str">
        <f>""</f>
        <v/>
      </c>
      <c r="FK124" t="str">
        <f>""</f>
        <v/>
      </c>
      <c r="FL124">
        <f>3.85066483</f>
        <v>3.8506648299999999</v>
      </c>
      <c r="FM124" t="str">
        <f>""</f>
        <v/>
      </c>
      <c r="FN124" t="str">
        <f>""</f>
        <v/>
      </c>
      <c r="FO124">
        <f>3.698512648</f>
        <v>3.6985126479999999</v>
      </c>
      <c r="FP124" t="str">
        <f>""</f>
        <v/>
      </c>
      <c r="FQ124" t="str">
        <f>""</f>
        <v/>
      </c>
    </row>
    <row r="125" spans="1:173">
      <c r="A125" t="str">
        <f>"    UDR 公司"</f>
        <v xml:space="preserve">    UDR 公司</v>
      </c>
      <c r="B125" t="str">
        <f>"UDR US Equity"</f>
        <v>UDR US Equity</v>
      </c>
      <c r="C125" t="str">
        <f t="shared" si="36"/>
        <v>F0894</v>
      </c>
      <c r="D125" t="str">
        <f t="shared" si="37"/>
        <v>TRAILING_12_MONTHS_AFFOPS</v>
      </c>
      <c r="E125" t="str">
        <f t="shared" si="38"/>
        <v>动态</v>
      </c>
      <c r="F125" t="str">
        <f ca="1">IF(AND(ISNUMBER($F$338),$B$252=1),$F$338,HLOOKUP(INDIRECT(ADDRESS(2,COLUMN())),OFFSET($CL$2,0,0,ROW()-1,84),ROW()-1,FALSE))</f>
        <v/>
      </c>
      <c r="G125" t="str">
        <f ca="1">IF(AND(ISNUMBER($G$338),$B$252=1),$G$338,HLOOKUP(INDIRECT(ADDRESS(2,COLUMN())),OFFSET($CL$2,0,0,ROW()-1,84),ROW()-1,FALSE))</f>
        <v/>
      </c>
      <c r="H125" t="str">
        <f ca="1">IF(AND(ISNUMBER($H$338),$B$252=1),$H$338,HLOOKUP(INDIRECT(ADDRESS(2,COLUMN())),OFFSET($CL$2,0,0,ROW()-1,84),ROW()-1,FALSE))</f>
        <v/>
      </c>
      <c r="I125">
        <f ca="1">IF(AND(ISNUMBER($I$338),$B$252=1),$I$338,HLOOKUP(INDIRECT(ADDRESS(2,COLUMN())),OFFSET($CL$2,0,0,ROW()-1,84),ROW()-1,FALSE))</f>
        <v>1.869509069</v>
      </c>
      <c r="J125" t="str">
        <f ca="1">IF(AND(ISNUMBER($J$338),$B$252=1),$J$338,HLOOKUP(INDIRECT(ADDRESS(2,COLUMN())),OFFSET($CL$2,0,0,ROW()-1,84),ROW()-1,FALSE))</f>
        <v/>
      </c>
      <c r="K125" t="str">
        <f ca="1">IF(AND(ISNUMBER($K$338),$B$252=1),$K$338,HLOOKUP(INDIRECT(ADDRESS(2,COLUMN())),OFFSET($CL$2,0,0,ROW()-1,84),ROW()-1,FALSE))</f>
        <v/>
      </c>
      <c r="L125">
        <f ca="1">IF(AND(ISNUMBER($L$338),$B$252=1),$L$338,HLOOKUP(INDIRECT(ADDRESS(2,COLUMN())),OFFSET($CL$2,0,0,ROW()-1,84),ROW()-1,FALSE))</f>
        <v>1.8507975729999999</v>
      </c>
      <c r="M125" t="str">
        <f ca="1">IF(AND(ISNUMBER($M$338),$B$252=1),$M$338,HLOOKUP(INDIRECT(ADDRESS(2,COLUMN())),OFFSET($CL$2,0,0,ROW()-1,84),ROW()-1,FALSE))</f>
        <v/>
      </c>
      <c r="N125" t="str">
        <f ca="1">IF(AND(ISNUMBER($N$338),$B$252=1),$N$338,HLOOKUP(INDIRECT(ADDRESS(2,COLUMN())),OFFSET($CL$2,0,0,ROW()-1,84),ROW()-1,FALSE))</f>
        <v/>
      </c>
      <c r="O125">
        <f ca="1">IF(AND(ISNUMBER($O$338),$B$252=1),$O$338,HLOOKUP(INDIRECT(ADDRESS(2,COLUMN())),OFFSET($CL$2,0,0,ROW()-1,84),ROW()-1,FALSE))</f>
        <v>1.8328813690000001</v>
      </c>
      <c r="P125" t="str">
        <f ca="1">IF(AND(ISNUMBER($P$338),$B$252=1),$P$338,HLOOKUP(INDIRECT(ADDRESS(2,COLUMN())),OFFSET($CL$2,0,0,ROW()-1,84),ROW()-1,FALSE))</f>
        <v/>
      </c>
      <c r="Q125" t="str">
        <f ca="1">IF(AND(ISNUMBER($Q$338),$B$252=1),$Q$338,HLOOKUP(INDIRECT(ADDRESS(2,COLUMN())),OFFSET($CL$2,0,0,ROW()-1,84),ROW()-1,FALSE))</f>
        <v/>
      </c>
      <c r="R125">
        <f ca="1">IF(AND(ISNUMBER($R$338),$B$252=1),$R$338,HLOOKUP(INDIRECT(ADDRESS(2,COLUMN())),OFFSET($CL$2,0,0,ROW()-1,84),ROW()-1,FALSE))</f>
        <v>1.808570888</v>
      </c>
      <c r="S125" t="str">
        <f ca="1">IF(AND(ISNUMBER($S$338),$B$252=1),$S$338,HLOOKUP(INDIRECT(ADDRESS(2,COLUMN())),OFFSET($CL$2,0,0,ROW()-1,84),ROW()-1,FALSE))</f>
        <v/>
      </c>
      <c r="T125" t="str">
        <f ca="1">IF(AND(ISNUMBER($T$338),$B$252=1),$T$338,HLOOKUP(INDIRECT(ADDRESS(2,COLUMN())),OFFSET($CL$2,0,0,ROW()-1,84),ROW()-1,FALSE))</f>
        <v/>
      </c>
      <c r="U125">
        <f ca="1">IF(AND(ISNUMBER($U$338),$B$252=1),$U$338,HLOOKUP(INDIRECT(ADDRESS(2,COLUMN())),OFFSET($CL$2,0,0,ROW()-1,84),ROW()-1,FALSE))</f>
        <v>1.78640317</v>
      </c>
      <c r="V125" t="str">
        <f ca="1">IF(AND(ISNUMBER($V$338),$B$252=1),$V$338,HLOOKUP(INDIRECT(ADDRESS(2,COLUMN())),OFFSET($CL$2,0,0,ROW()-1,84),ROW()-1,FALSE))</f>
        <v/>
      </c>
      <c r="W125" t="str">
        <f ca="1">IF(AND(ISNUMBER($W$338),$B$252=1),$W$338,HLOOKUP(INDIRECT(ADDRESS(2,COLUMN())),OFFSET($CL$2,0,0,ROW()-1,84),ROW()-1,FALSE))</f>
        <v/>
      </c>
      <c r="X125">
        <f ca="1">IF(AND(ISNUMBER($X$338),$B$252=1),$X$338,HLOOKUP(INDIRECT(ADDRESS(2,COLUMN())),OFFSET($CL$2,0,0,ROW()-1,84),ROW()-1,FALSE))</f>
        <v>1.7522479209999999</v>
      </c>
      <c r="Y125" t="str">
        <f ca="1">IF(AND(ISNUMBER($Y$338),$B$252=1),$Y$338,HLOOKUP(INDIRECT(ADDRESS(2,COLUMN())),OFFSET($CL$2,0,0,ROW()-1,84),ROW()-1,FALSE))</f>
        <v/>
      </c>
      <c r="Z125" t="str">
        <f ca="1">IF(AND(ISNUMBER($Z$338),$B$252=1),$Z$338,HLOOKUP(INDIRECT(ADDRESS(2,COLUMN())),OFFSET($CL$2,0,0,ROW()-1,84),ROW()-1,FALSE))</f>
        <v/>
      </c>
      <c r="AA125">
        <f ca="1">IF(AND(ISNUMBER($AA$338),$B$252=1),$AA$338,HLOOKUP(INDIRECT(ADDRESS(2,COLUMN())),OFFSET($CL$2,0,0,ROW()-1,84),ROW()-1,FALSE))</f>
        <v>1.723150288</v>
      </c>
      <c r="AB125" t="str">
        <f ca="1">IF(AND(ISNUMBER($AB$338),$B$252=1),$AB$338,HLOOKUP(INDIRECT(ADDRESS(2,COLUMN())),OFFSET($CL$2,0,0,ROW()-1,84),ROW()-1,FALSE))</f>
        <v/>
      </c>
      <c r="AC125" t="str">
        <f ca="1">IF(AND(ISNUMBER($AC$338),$B$252=1),$AC$338,HLOOKUP(INDIRECT(ADDRESS(2,COLUMN())),OFFSET($CL$2,0,0,ROW()-1,84),ROW()-1,FALSE))</f>
        <v/>
      </c>
      <c r="AD125">
        <f ca="1">IF(AND(ISNUMBER($AD$338),$B$252=1),$AD$338,HLOOKUP(INDIRECT(ADDRESS(2,COLUMN())),OFFSET($CL$2,0,0,ROW()-1,84),ROW()-1,FALSE))</f>
        <v>1.697083457</v>
      </c>
      <c r="AE125" t="str">
        <f ca="1">IF(AND(ISNUMBER($AE$338),$B$252=1),$AE$338,HLOOKUP(INDIRECT(ADDRESS(2,COLUMN())),OFFSET($CL$2,0,0,ROW()-1,84),ROW()-1,FALSE))</f>
        <v/>
      </c>
      <c r="AF125" t="str">
        <f ca="1">IF(AND(ISNUMBER($AF$338),$B$252=1),$AF$338,HLOOKUP(INDIRECT(ADDRESS(2,COLUMN())),OFFSET($CL$2,0,0,ROW()-1,84),ROW()-1,FALSE))</f>
        <v/>
      </c>
      <c r="AG125">
        <f ca="1">IF(AND(ISNUMBER($AG$338),$B$252=1),$AG$338,HLOOKUP(INDIRECT(ADDRESS(2,COLUMN())),OFFSET($CL$2,0,0,ROW()-1,84),ROW()-1,FALSE))</f>
        <v>1.6675957910000001</v>
      </c>
      <c r="AH125" t="str">
        <f ca="1">IF(AND(ISNUMBER($AH$338),$B$252=1),$AH$338,HLOOKUP(INDIRECT(ADDRESS(2,COLUMN())),OFFSET($CL$2,0,0,ROW()-1,84),ROW()-1,FALSE))</f>
        <v/>
      </c>
      <c r="AI125" t="str">
        <f ca="1">IF(AND(ISNUMBER($AI$338),$B$252=1),$AI$338,HLOOKUP(INDIRECT(ADDRESS(2,COLUMN())),OFFSET($CL$2,0,0,ROW()-1,84),ROW()-1,FALSE))</f>
        <v/>
      </c>
      <c r="AJ125">
        <f ca="1">IF(AND(ISNUMBER($AJ$338),$B$252=1),$AJ$338,HLOOKUP(INDIRECT(ADDRESS(2,COLUMN())),OFFSET($CL$2,0,0,ROW()-1,84),ROW()-1,FALSE))</f>
        <v>1.6331999669999999</v>
      </c>
      <c r="AK125" t="str">
        <f ca="1">IF(AND(ISNUMBER($AK$338),$B$252=1),$AK$338,HLOOKUP(INDIRECT(ADDRESS(2,COLUMN())),OFFSET($CL$2,0,0,ROW()-1,84),ROW()-1,FALSE))</f>
        <v/>
      </c>
      <c r="AL125" t="str">
        <f ca="1">IF(AND(ISNUMBER($AL$338),$B$252=1),$AL$338,HLOOKUP(INDIRECT(ADDRESS(2,COLUMN())),OFFSET($CL$2,0,0,ROW()-1,84),ROW()-1,FALSE))</f>
        <v/>
      </c>
      <c r="AM125" t="str">
        <f ca="1">IF(AND(ISNUMBER($AM$338),$B$252=1),$AM$338,HLOOKUP(INDIRECT(ADDRESS(2,COLUMN())),OFFSET($CL$2,0,0,ROW()-1,84),ROW()-1,FALSE))</f>
        <v/>
      </c>
      <c r="AN125" t="str">
        <f ca="1">IF(AND(ISNUMBER($AN$338),$B$252=1),$AN$338,HLOOKUP(INDIRECT(ADDRESS(2,COLUMN())),OFFSET($CL$2,0,0,ROW()-1,84),ROW()-1,FALSE))</f>
        <v/>
      </c>
      <c r="AO125" t="str">
        <f ca="1">IF(AND(ISNUMBER($AO$338),$B$252=1),$AO$338,HLOOKUP(INDIRECT(ADDRESS(2,COLUMN())),OFFSET($CL$2,0,0,ROW()-1,84),ROW()-1,FALSE))</f>
        <v/>
      </c>
      <c r="AP125" t="str">
        <f ca="1">IF(AND(ISNUMBER($AP$338),$B$252=1),$AP$338,HLOOKUP(INDIRECT(ADDRESS(2,COLUMN())),OFFSET($CL$2,0,0,ROW()-1,84),ROW()-1,FALSE))</f>
        <v/>
      </c>
      <c r="AQ125" t="str">
        <f ca="1">IF(AND(ISNUMBER($AQ$338),$B$252=1),$AQ$338,HLOOKUP(INDIRECT(ADDRESS(2,COLUMN())),OFFSET($CL$2,0,0,ROW()-1,84),ROW()-1,FALSE))</f>
        <v/>
      </c>
      <c r="AR125" t="str">
        <f ca="1">IF(AND(ISNUMBER($AR$338),$B$252=1),$AR$338,HLOOKUP(INDIRECT(ADDRESS(2,COLUMN())),OFFSET($CL$2,0,0,ROW()-1,84),ROW()-1,FALSE))</f>
        <v/>
      </c>
      <c r="AS125" t="str">
        <f ca="1">IF(AND(ISNUMBER($AS$338),$B$252=1),$AS$338,HLOOKUP(INDIRECT(ADDRESS(2,COLUMN())),OFFSET($CL$2,0,0,ROW()-1,84),ROW()-1,FALSE))</f>
        <v/>
      </c>
      <c r="AT125" t="str">
        <f ca="1">IF(AND(ISNUMBER($AT$338),$B$252=1),$AT$338,HLOOKUP(INDIRECT(ADDRESS(2,COLUMN())),OFFSET($CL$2,0,0,ROW()-1,84),ROW()-1,FALSE))</f>
        <v/>
      </c>
      <c r="AU125" t="str">
        <f ca="1">IF(AND(ISNUMBER($AU$338),$B$252=1),$AU$338,HLOOKUP(INDIRECT(ADDRESS(2,COLUMN())),OFFSET($CL$2,0,0,ROW()-1,84),ROW()-1,FALSE))</f>
        <v/>
      </c>
      <c r="AV125" t="str">
        <f ca="1">IF(AND(ISNUMBER($AV$338),$B$252=1),$AV$338,HLOOKUP(INDIRECT(ADDRESS(2,COLUMN())),OFFSET($CL$2,0,0,ROW()-1,84),ROW()-1,FALSE))</f>
        <v/>
      </c>
      <c r="AW125" t="str">
        <f ca="1">IF(AND(ISNUMBER($AW$338),$B$252=1),$AW$338,HLOOKUP(INDIRECT(ADDRESS(2,COLUMN())),OFFSET($CL$2,0,0,ROW()-1,84),ROW()-1,FALSE))</f>
        <v/>
      </c>
      <c r="AX125" t="str">
        <f ca="1">IF(AND(ISNUMBER($AX$338),$B$252=1),$AX$338,HLOOKUP(INDIRECT(ADDRESS(2,COLUMN())),OFFSET($CL$2,0,0,ROW()-1,84),ROW()-1,FALSE))</f>
        <v/>
      </c>
      <c r="AY125" t="str">
        <f ca="1">IF(AND(ISNUMBER($AY$338),$B$252=1),$AY$338,HLOOKUP(INDIRECT(ADDRESS(2,COLUMN())),OFFSET($CL$2,0,0,ROW()-1,84),ROW()-1,FALSE))</f>
        <v/>
      </c>
      <c r="AZ125" t="str">
        <f ca="1">IF(AND(ISNUMBER($AZ$338),$B$252=1),$AZ$338,HLOOKUP(INDIRECT(ADDRESS(2,COLUMN())),OFFSET($CL$2,0,0,ROW()-1,84),ROW()-1,FALSE))</f>
        <v/>
      </c>
      <c r="BA125" t="str">
        <f ca="1">IF(AND(ISNUMBER($BA$338),$B$252=1),$BA$338,HLOOKUP(INDIRECT(ADDRESS(2,COLUMN())),OFFSET($CL$2,0,0,ROW()-1,84),ROW()-1,FALSE))</f>
        <v/>
      </c>
      <c r="BB125">
        <f ca="1">IF(AND(ISNUMBER($BB$338),$B$252=1),$BB$338,HLOOKUP(INDIRECT(ADDRESS(2,COLUMN())),OFFSET($CL$2,0,0,ROW()-1,84),ROW()-1,FALSE))</f>
        <v>1.4338198049999999</v>
      </c>
      <c r="BC125" t="str">
        <f ca="1">IF(AND(ISNUMBER($BC$338),$B$252=1),$BC$338,HLOOKUP(INDIRECT(ADDRESS(2,COLUMN())),OFFSET($CL$2,0,0,ROW()-1,84),ROW()-1,FALSE))</f>
        <v/>
      </c>
      <c r="BD125" t="str">
        <f ca="1">IF(AND(ISNUMBER($BD$338),$B$252=1),$BD$338,HLOOKUP(INDIRECT(ADDRESS(2,COLUMN())),OFFSET($CL$2,0,0,ROW()-1,84),ROW()-1,FALSE))</f>
        <v/>
      </c>
      <c r="BE125">
        <f ca="1">IF(AND(ISNUMBER($BE$338),$B$252=1),$BE$338,HLOOKUP(INDIRECT(ADDRESS(2,COLUMN())),OFFSET($CL$2,0,0,ROW()-1,84),ROW()-1,FALSE))</f>
        <v>1.414782011</v>
      </c>
      <c r="BF125" t="str">
        <f ca="1">IF(AND(ISNUMBER($BF$338),$B$252=1),$BF$338,HLOOKUP(INDIRECT(ADDRESS(2,COLUMN())),OFFSET($CL$2,0,0,ROW()-1,84),ROW()-1,FALSE))</f>
        <v/>
      </c>
      <c r="BG125" t="str">
        <f ca="1">IF(AND(ISNUMBER($BG$338),$B$252=1),$BG$338,HLOOKUP(INDIRECT(ADDRESS(2,COLUMN())),OFFSET($CL$2,0,0,ROW()-1,84),ROW()-1,FALSE))</f>
        <v/>
      </c>
      <c r="BH125">
        <f ca="1">IF(AND(ISNUMBER($BH$338),$B$252=1),$BH$338,HLOOKUP(INDIRECT(ADDRESS(2,COLUMN())),OFFSET($CL$2,0,0,ROW()-1,84),ROW()-1,FALSE))</f>
        <v>1.422888154</v>
      </c>
      <c r="BI125" t="str">
        <f ca="1">IF(AND(ISNUMBER($BI$338),$B$252=1),$BI$338,HLOOKUP(INDIRECT(ADDRESS(2,COLUMN())),OFFSET($CL$2,0,0,ROW()-1,84),ROW()-1,FALSE))</f>
        <v/>
      </c>
      <c r="BJ125" t="str">
        <f ca="1">IF(AND(ISNUMBER($BJ$338),$B$252=1),$BJ$338,HLOOKUP(INDIRECT(ADDRESS(2,COLUMN())),OFFSET($CL$2,0,0,ROW()-1,84),ROW()-1,FALSE))</f>
        <v/>
      </c>
      <c r="BK125">
        <f ca="1">IF(AND(ISNUMBER($BK$338),$B$252=1),$BK$338,HLOOKUP(INDIRECT(ADDRESS(2,COLUMN())),OFFSET($CL$2,0,0,ROW()-1,84),ROW()-1,FALSE))</f>
        <v>1.41905693</v>
      </c>
      <c r="BL125" t="str">
        <f ca="1">IF(AND(ISNUMBER($BL$338),$B$252=1),$BL$338,HLOOKUP(INDIRECT(ADDRESS(2,COLUMN())),OFFSET($CL$2,0,0,ROW()-1,84),ROW()-1,FALSE))</f>
        <v/>
      </c>
      <c r="BM125" t="str">
        <f ca="1">IF(AND(ISNUMBER($BM$338),$B$252=1),$BM$338,HLOOKUP(INDIRECT(ADDRESS(2,COLUMN())),OFFSET($CL$2,0,0,ROW()-1,84),ROW()-1,FALSE))</f>
        <v/>
      </c>
      <c r="BN125">
        <f ca="1">IF(AND(ISNUMBER($BN$338),$B$252=1),$BN$338,HLOOKUP(INDIRECT(ADDRESS(2,COLUMN())),OFFSET($CL$2,0,0,ROW()-1,84),ROW()-1,FALSE))</f>
        <v>1.4090093960000001</v>
      </c>
      <c r="BO125" t="str">
        <f ca="1">IF(AND(ISNUMBER($BO$338),$B$252=1),$BO$338,HLOOKUP(INDIRECT(ADDRESS(2,COLUMN())),OFFSET($CL$2,0,0,ROW()-1,84),ROW()-1,FALSE))</f>
        <v/>
      </c>
      <c r="BP125" t="str">
        <f ca="1">IF(AND(ISNUMBER($BP$338),$B$252=1),$BP$338,HLOOKUP(INDIRECT(ADDRESS(2,COLUMN())),OFFSET($CL$2,0,0,ROW()-1,84),ROW()-1,FALSE))</f>
        <v/>
      </c>
      <c r="BQ125">
        <f ca="1">IF(AND(ISNUMBER($BQ$338),$B$252=1),$BQ$338,HLOOKUP(INDIRECT(ADDRESS(2,COLUMN())),OFFSET($CL$2,0,0,ROW()-1,84),ROW()-1,FALSE))</f>
        <v>1.430067153</v>
      </c>
      <c r="BR125" t="str">
        <f ca="1">IF(AND(ISNUMBER($BR$338),$B$252=1),$BR$338,HLOOKUP(INDIRECT(ADDRESS(2,COLUMN())),OFFSET($CL$2,0,0,ROW()-1,84),ROW()-1,FALSE))</f>
        <v/>
      </c>
      <c r="BS125" t="str">
        <f ca="1">IF(AND(ISNUMBER($BS$338),$B$252=1),$BS$338,HLOOKUP(INDIRECT(ADDRESS(2,COLUMN())),OFFSET($CL$2,0,0,ROW()-1,84),ROW()-1,FALSE))</f>
        <v/>
      </c>
      <c r="BT125">
        <f ca="1">IF(AND(ISNUMBER($BT$338),$B$252=1),$BT$338,HLOOKUP(INDIRECT(ADDRESS(2,COLUMN())),OFFSET($CL$2,0,0,ROW()-1,84),ROW()-1,FALSE))</f>
        <v>1.4159701069999999</v>
      </c>
      <c r="BU125" t="str">
        <f ca="1">IF(AND(ISNUMBER($BU$338),$B$252=1),$BU$338,HLOOKUP(INDIRECT(ADDRESS(2,COLUMN())),OFFSET($CL$2,0,0,ROW()-1,84),ROW()-1,FALSE))</f>
        <v/>
      </c>
      <c r="BV125" t="str">
        <f ca="1">IF(AND(ISNUMBER($BV$338),$B$252=1),$BV$338,HLOOKUP(INDIRECT(ADDRESS(2,COLUMN())),OFFSET($CL$2,0,0,ROW()-1,84),ROW()-1,FALSE))</f>
        <v/>
      </c>
      <c r="BW125">
        <f ca="1">IF(AND(ISNUMBER($BW$338),$B$252=1),$BW$338,HLOOKUP(INDIRECT(ADDRESS(2,COLUMN())),OFFSET($CL$2,0,0,ROW()-1,84),ROW()-1,FALSE))</f>
        <v>1.405127123</v>
      </c>
      <c r="BX125" t="str">
        <f ca="1">IF(AND(ISNUMBER($BX$338),$B$252=1),$BX$338,HLOOKUP(INDIRECT(ADDRESS(2,COLUMN())),OFFSET($CL$2,0,0,ROW()-1,84),ROW()-1,FALSE))</f>
        <v/>
      </c>
      <c r="BY125" t="str">
        <f ca="1">IF(AND(ISNUMBER($BY$338),$B$252=1),$BY$338,HLOOKUP(INDIRECT(ADDRESS(2,COLUMN())),OFFSET($CL$2,0,0,ROW()-1,84),ROW()-1,FALSE))</f>
        <v/>
      </c>
      <c r="BZ125">
        <f ca="1">IF(AND(ISNUMBER($BZ$338),$B$252=1),$BZ$338,HLOOKUP(INDIRECT(ADDRESS(2,COLUMN())),OFFSET($CL$2,0,0,ROW()-1,84),ROW()-1,FALSE))</f>
        <v>1.3940230849999999</v>
      </c>
      <c r="CA125" t="str">
        <f ca="1">IF(AND(ISNUMBER($CA$338),$B$252=1),$CA$338,HLOOKUP(INDIRECT(ADDRESS(2,COLUMN())),OFFSET($CL$2,0,0,ROW()-1,84),ROW()-1,FALSE))</f>
        <v/>
      </c>
      <c r="CB125" t="str">
        <f ca="1">IF(AND(ISNUMBER($CB$338),$B$252=1),$CB$338,HLOOKUP(INDIRECT(ADDRESS(2,COLUMN())),OFFSET($CL$2,0,0,ROW()-1,84),ROW()-1,FALSE))</f>
        <v/>
      </c>
      <c r="CC125">
        <f ca="1">IF(AND(ISNUMBER($CC$338),$B$252=1),$CC$338,HLOOKUP(INDIRECT(ADDRESS(2,COLUMN())),OFFSET($CL$2,0,0,ROW()-1,84),ROW()-1,FALSE))</f>
        <v>1.345551597</v>
      </c>
      <c r="CD125" t="str">
        <f ca="1">IF(AND(ISNUMBER($CD$338),$B$252=1),$CD$338,HLOOKUP(INDIRECT(ADDRESS(2,COLUMN())),OFFSET($CL$2,0,0,ROW()-1,84),ROW()-1,FALSE))</f>
        <v/>
      </c>
      <c r="CE125" t="str">
        <f ca="1">IF(AND(ISNUMBER($CE$338),$B$252=1),$CE$338,HLOOKUP(INDIRECT(ADDRESS(2,COLUMN())),OFFSET($CL$2,0,0,ROW()-1,84),ROW()-1,FALSE))</f>
        <v/>
      </c>
      <c r="CF125">
        <f ca="1">IF(AND(ISNUMBER($CF$338),$B$252=1),$CF$338,HLOOKUP(INDIRECT(ADDRESS(2,COLUMN())),OFFSET($CL$2,0,0,ROW()-1,84),ROW()-1,FALSE))</f>
        <v>1.2821230139999999</v>
      </c>
      <c r="CG125" t="str">
        <f ca="1">IF(AND(ISNUMBER($CG$338),$B$252=1),$CG$338,HLOOKUP(INDIRECT(ADDRESS(2,COLUMN())),OFFSET($CL$2,0,0,ROW()-1,84),ROW()-1,FALSE))</f>
        <v/>
      </c>
      <c r="CH125" t="str">
        <f ca="1">IF(AND(ISNUMBER($CH$338),$B$252=1),$CH$338,HLOOKUP(INDIRECT(ADDRESS(2,COLUMN())),OFFSET($CL$2,0,0,ROW()-1,84),ROW()-1,FALSE))</f>
        <v/>
      </c>
      <c r="CI125">
        <f ca="1">IF(AND(ISNUMBER($CI$338),$B$252=1),$CI$338,HLOOKUP(INDIRECT(ADDRESS(2,COLUMN())),OFFSET($CL$2,0,0,ROW()-1,84),ROW()-1,FALSE))</f>
        <v>1.224258753</v>
      </c>
      <c r="CJ125" t="str">
        <f ca="1">IF(AND(ISNUMBER($CJ$338),$B$252=1),$CJ$338,HLOOKUP(INDIRECT(ADDRESS(2,COLUMN())),OFFSET($CL$2,0,0,ROW()-1,84),ROW()-1,FALSE))</f>
        <v/>
      </c>
      <c r="CK125" t="str">
        <f ca="1">IF(AND(ISNUMBER($CK$338),$B$252=1),$CK$338,HLOOKUP(INDIRECT(ADDRESS(2,COLUMN())),OFFSET($CL$2,0,0,ROW()-1,84),ROW()-1,FALSE))</f>
        <v/>
      </c>
      <c r="CL125" t="str">
        <f>""</f>
        <v/>
      </c>
      <c r="CM125" t="str">
        <f>""</f>
        <v/>
      </c>
      <c r="CN125" t="str">
        <f>""</f>
        <v/>
      </c>
      <c r="CO125">
        <f>1.869509069</f>
        <v>1.869509069</v>
      </c>
      <c r="CP125" t="str">
        <f>""</f>
        <v/>
      </c>
      <c r="CQ125" t="str">
        <f>""</f>
        <v/>
      </c>
      <c r="CR125">
        <f>1.850797573</f>
        <v>1.8507975729999999</v>
      </c>
      <c r="CS125" t="str">
        <f>""</f>
        <v/>
      </c>
      <c r="CT125" t="str">
        <f>""</f>
        <v/>
      </c>
      <c r="CU125">
        <f>1.832881369</f>
        <v>1.8328813690000001</v>
      </c>
      <c r="CV125" t="str">
        <f>""</f>
        <v/>
      </c>
      <c r="CW125" t="str">
        <f>""</f>
        <v/>
      </c>
      <c r="CX125">
        <f>1.808570888</f>
        <v>1.808570888</v>
      </c>
      <c r="CY125" t="str">
        <f>""</f>
        <v/>
      </c>
      <c r="CZ125" t="str">
        <f>""</f>
        <v/>
      </c>
      <c r="DA125">
        <f>1.78640317</f>
        <v>1.78640317</v>
      </c>
      <c r="DB125" t="str">
        <f>""</f>
        <v/>
      </c>
      <c r="DC125" t="str">
        <f>""</f>
        <v/>
      </c>
      <c r="DD125">
        <f>1.752247921</f>
        <v>1.7522479209999999</v>
      </c>
      <c r="DE125" t="str">
        <f>""</f>
        <v/>
      </c>
      <c r="DF125" t="str">
        <f>""</f>
        <v/>
      </c>
      <c r="DG125">
        <f>1.723150288</f>
        <v>1.723150288</v>
      </c>
      <c r="DH125" t="str">
        <f>""</f>
        <v/>
      </c>
      <c r="DI125" t="str">
        <f>""</f>
        <v/>
      </c>
      <c r="DJ125">
        <f>1.697083457</f>
        <v>1.697083457</v>
      </c>
      <c r="DK125" t="str">
        <f>""</f>
        <v/>
      </c>
      <c r="DL125" t="str">
        <f>""</f>
        <v/>
      </c>
      <c r="DM125">
        <f>1.667595791</f>
        <v>1.6675957910000001</v>
      </c>
      <c r="DN125" t="str">
        <f>""</f>
        <v/>
      </c>
      <c r="DO125" t="str">
        <f>""</f>
        <v/>
      </c>
      <c r="DP125">
        <f>1.633199967</f>
        <v>1.6331999669999999</v>
      </c>
      <c r="DQ125" t="str">
        <f>""</f>
        <v/>
      </c>
      <c r="DR125" t="str">
        <f>""</f>
        <v/>
      </c>
      <c r="DS125" t="str">
        <f>""</f>
        <v/>
      </c>
      <c r="DT125" t="str">
        <f>""</f>
        <v/>
      </c>
      <c r="DU125" t="str">
        <f>""</f>
        <v/>
      </c>
      <c r="DV125" t="str">
        <f>""</f>
        <v/>
      </c>
      <c r="DW125" t="str">
        <f>""</f>
        <v/>
      </c>
      <c r="DX125" t="str">
        <f>""</f>
        <v/>
      </c>
      <c r="DY125" t="str">
        <f>""</f>
        <v/>
      </c>
      <c r="DZ125" t="str">
        <f>""</f>
        <v/>
      </c>
      <c r="EA125" t="str">
        <f>""</f>
        <v/>
      </c>
      <c r="EB125" t="str">
        <f>""</f>
        <v/>
      </c>
      <c r="EC125" t="str">
        <f>""</f>
        <v/>
      </c>
      <c r="ED125" t="str">
        <f>""</f>
        <v/>
      </c>
      <c r="EE125" t="str">
        <f>""</f>
        <v/>
      </c>
      <c r="EF125" t="str">
        <f>""</f>
        <v/>
      </c>
      <c r="EG125" t="str">
        <f>""</f>
        <v/>
      </c>
      <c r="EH125">
        <f>1.433819805</f>
        <v>1.4338198049999999</v>
      </c>
      <c r="EI125" t="str">
        <f>""</f>
        <v/>
      </c>
      <c r="EJ125" t="str">
        <f>""</f>
        <v/>
      </c>
      <c r="EK125">
        <f>1.414782011</f>
        <v>1.414782011</v>
      </c>
      <c r="EL125" t="str">
        <f>""</f>
        <v/>
      </c>
      <c r="EM125" t="str">
        <f>""</f>
        <v/>
      </c>
      <c r="EN125">
        <f>1.422888154</f>
        <v>1.422888154</v>
      </c>
      <c r="EO125" t="str">
        <f>""</f>
        <v/>
      </c>
      <c r="EP125" t="str">
        <f>""</f>
        <v/>
      </c>
      <c r="EQ125">
        <f>1.41905693</f>
        <v>1.41905693</v>
      </c>
      <c r="ER125" t="str">
        <f>""</f>
        <v/>
      </c>
      <c r="ES125" t="str">
        <f>""</f>
        <v/>
      </c>
      <c r="ET125">
        <f>1.409009396</f>
        <v>1.4090093960000001</v>
      </c>
      <c r="EU125" t="str">
        <f>""</f>
        <v/>
      </c>
      <c r="EV125" t="str">
        <f>""</f>
        <v/>
      </c>
      <c r="EW125">
        <f>1.430067153</f>
        <v>1.430067153</v>
      </c>
      <c r="EX125" t="str">
        <f>""</f>
        <v/>
      </c>
      <c r="EY125" t="str">
        <f>""</f>
        <v/>
      </c>
      <c r="EZ125">
        <f>1.415970107</f>
        <v>1.4159701069999999</v>
      </c>
      <c r="FA125" t="str">
        <f>""</f>
        <v/>
      </c>
      <c r="FB125" t="str">
        <f>""</f>
        <v/>
      </c>
      <c r="FC125">
        <f>1.405127123</f>
        <v>1.405127123</v>
      </c>
      <c r="FD125" t="str">
        <f>""</f>
        <v/>
      </c>
      <c r="FE125" t="str">
        <f>""</f>
        <v/>
      </c>
      <c r="FF125">
        <f>1.394023085</f>
        <v>1.3940230849999999</v>
      </c>
      <c r="FG125" t="str">
        <f>""</f>
        <v/>
      </c>
      <c r="FH125" t="str">
        <f>""</f>
        <v/>
      </c>
      <c r="FI125">
        <f>1.345551597</f>
        <v>1.345551597</v>
      </c>
      <c r="FJ125" t="str">
        <f>""</f>
        <v/>
      </c>
      <c r="FK125" t="str">
        <f>""</f>
        <v/>
      </c>
      <c r="FL125">
        <f>1.282123014</f>
        <v>1.2821230139999999</v>
      </c>
      <c r="FM125" t="str">
        <f>""</f>
        <v/>
      </c>
      <c r="FN125" t="str">
        <f>""</f>
        <v/>
      </c>
      <c r="FO125">
        <f>1.224258753</f>
        <v>1.224258753</v>
      </c>
      <c r="FP125" t="str">
        <f>""</f>
        <v/>
      </c>
      <c r="FQ125" t="str">
        <f>""</f>
        <v/>
      </c>
    </row>
    <row r="126" spans="1:173">
      <c r="A126" t="str">
        <f>"每股可分配资金(季度)"</f>
        <v>每股可分配资金(季度)</v>
      </c>
      <c r="B126" t="str">
        <f>""</f>
        <v/>
      </c>
      <c r="E126" t="str">
        <f>"Sum"</f>
        <v>Sum</v>
      </c>
      <c r="F126" t="str">
        <f ca="1">IF(ISERROR(IF(SUM($F$127:$F$134) = 0, "", SUM($F$127:$F$134))), "", (IF(SUM($F$127:$F$134) = 0, "", SUM($F$127:$F$134))))</f>
        <v/>
      </c>
      <c r="G126" t="str">
        <f ca="1">IF(ISERROR(IF(SUM($G$127:$G$134) = 0, "", SUM($G$127:$G$134))), "", (IF(SUM($G$127:$G$134) = 0, "", SUM($G$127:$G$134))))</f>
        <v/>
      </c>
      <c r="H126" t="str">
        <f ca="1">IF(ISERROR(IF(SUM($H$127:$H$134) = 0, "", SUM($H$127:$H$134))), "", (IF(SUM($H$127:$H$134) = 0, "", SUM($H$127:$H$134))))</f>
        <v/>
      </c>
      <c r="I126">
        <f ca="1">IF(ISERROR(IF(SUM($I$127:$I$134) = 0, "", SUM($I$127:$I$134))), "", (IF(SUM($I$127:$I$134) = 0, "", SUM($I$127:$I$134))))</f>
        <v>8.9797917799999993</v>
      </c>
      <c r="J126" t="str">
        <f ca="1">IF(ISERROR(IF(SUM($J$127:$J$134) = 0, "", SUM($J$127:$J$134))), "", (IF(SUM($J$127:$J$134) = 0, "", SUM($J$127:$J$134))))</f>
        <v/>
      </c>
      <c r="K126" t="str">
        <f ca="1">IF(ISERROR(IF(SUM($K$127:$K$134) = 0, "", SUM($K$127:$K$134))), "", (IF(SUM($K$127:$K$134) = 0, "", SUM($K$127:$K$134))))</f>
        <v/>
      </c>
      <c r="L126">
        <f ca="1">IF(ISERROR(IF(SUM($L$127:$L$134) = 0, "", SUM($L$127:$L$134))), "", (IF(SUM($L$127:$L$134) = 0, "", SUM($L$127:$L$134))))</f>
        <v>8.4871066489999993</v>
      </c>
      <c r="M126" t="str">
        <f ca="1">IF(ISERROR(IF(SUM($M$127:$M$134) = 0, "", SUM($M$127:$M$134))), "", (IF(SUM($M$127:$M$134) = 0, "", SUM($M$127:$M$134))))</f>
        <v/>
      </c>
      <c r="N126" t="str">
        <f ca="1">IF(ISERROR(IF(SUM($N$127:$N$134) = 0, "", SUM($N$127:$N$134))), "", (IF(SUM($N$127:$N$134) = 0, "", SUM($N$127:$N$134))))</f>
        <v/>
      </c>
      <c r="O126">
        <f ca="1">IF(ISERROR(IF(SUM($O$127:$O$134) = 0, "", SUM($O$127:$O$134))), "", (IF(SUM($O$127:$O$134) = 0, "", SUM($O$127:$O$134))))</f>
        <v>8.7299577100000008</v>
      </c>
      <c r="P126" t="str">
        <f ca="1">IF(ISERROR(IF(SUM($P$127:$P$134) = 0, "", SUM($P$127:$P$134))), "", (IF(SUM($P$127:$P$134) = 0, "", SUM($P$127:$P$134))))</f>
        <v/>
      </c>
      <c r="Q126" t="str">
        <f ca="1">IF(ISERROR(IF(SUM($Q$127:$Q$134) = 0, "", SUM($Q$127:$Q$134))), "", (IF(SUM($Q$127:$Q$134) = 0, "", SUM($Q$127:$Q$134))))</f>
        <v/>
      </c>
      <c r="R126">
        <f ca="1">IF(ISERROR(IF(SUM($R$127:$R$134) = 0, "", SUM($R$127:$R$134))), "", (IF(SUM($R$127:$R$134) = 0, "", SUM($R$127:$R$134))))</f>
        <v>8.7224136889999997</v>
      </c>
      <c r="S126" t="str">
        <f ca="1">IF(ISERROR(IF(SUM($S$127:$S$134) = 0, "", SUM($S$127:$S$134))), "", (IF(SUM($S$127:$S$134) = 0, "", SUM($S$127:$S$134))))</f>
        <v/>
      </c>
      <c r="T126" t="str">
        <f ca="1">IF(ISERROR(IF(SUM($T$127:$T$134) = 0, "", SUM($T$127:$T$134))), "", (IF(SUM($T$127:$T$134) = 0, "", SUM($T$127:$T$134))))</f>
        <v/>
      </c>
      <c r="U126">
        <f ca="1">IF(ISERROR(IF(SUM($U$127:$U$134) = 0, "", SUM($U$127:$U$134))), "", (IF(SUM($U$127:$U$134) = 0, "", SUM($U$127:$U$134))))</f>
        <v>8.4565194829999992</v>
      </c>
      <c r="V126" t="str">
        <f ca="1">IF(ISERROR(IF(SUM($V$127:$V$134) = 0, "", SUM($V$127:$V$134))), "", (IF(SUM($V$127:$V$134) = 0, "", SUM($V$127:$V$134))))</f>
        <v/>
      </c>
      <c r="W126" t="str">
        <f ca="1">IF(ISERROR(IF(SUM($W$127:$W$134) = 0, "", SUM($W$127:$W$134))), "", (IF(SUM($W$127:$W$134) = 0, "", SUM($W$127:$W$134))))</f>
        <v/>
      </c>
      <c r="X126">
        <f ca="1">IF(ISERROR(IF(SUM($X$127:$X$134) = 0, "", SUM($X$127:$X$134))), "", (IF(SUM($X$127:$X$134) = 0, "", SUM($X$127:$X$134))))</f>
        <v>8.4432680209999997</v>
      </c>
      <c r="Y126" t="str">
        <f ca="1">IF(ISERROR(IF(SUM($Y$127:$Y$134) = 0, "", SUM($Y$127:$Y$134))), "", (IF(SUM($Y$127:$Y$134) = 0, "", SUM($Y$127:$Y$134))))</f>
        <v/>
      </c>
      <c r="Z126" t="str">
        <f ca="1">IF(ISERROR(IF(SUM($Z$127:$Z$134) = 0, "", SUM($Z$127:$Z$134))), "", (IF(SUM($Z$127:$Z$134) = 0, "", SUM($Z$127:$Z$134))))</f>
        <v/>
      </c>
      <c r="AA126">
        <f ca="1">IF(ISERROR(IF(SUM($AA$127:$AA$134) = 0, "", SUM($AA$127:$AA$134))), "", (IF(SUM($AA$127:$AA$134) = 0, "", SUM($AA$127:$AA$134))))</f>
        <v>8.5095980690000008</v>
      </c>
      <c r="AB126" t="str">
        <f ca="1">IF(ISERROR(IF(SUM($AB$127:$AB$134) = 0, "", SUM($AB$127:$AB$134))), "", (IF(SUM($AB$127:$AB$134) = 0, "", SUM($AB$127:$AB$134))))</f>
        <v/>
      </c>
      <c r="AC126" t="str">
        <f ca="1">IF(ISERROR(IF(SUM($AC$127:$AC$134) = 0, "", SUM($AC$127:$AC$134))), "", (IF(SUM($AC$127:$AC$134) = 0, "", SUM($AC$127:$AC$134))))</f>
        <v/>
      </c>
      <c r="AD126">
        <f ca="1">IF(ISERROR(IF(SUM($AD$127:$AD$134) = 0, "", SUM($AD$127:$AD$134))), "", (IF(SUM($AD$127:$AD$134) = 0, "", SUM($AD$127:$AD$134))))</f>
        <v>8.4765674630000021</v>
      </c>
      <c r="AE126" t="str">
        <f ca="1">IF(ISERROR(IF(SUM($AE$127:$AE$134) = 0, "", SUM($AE$127:$AE$134))), "", (IF(SUM($AE$127:$AE$134) = 0, "", SUM($AE$127:$AE$134))))</f>
        <v/>
      </c>
      <c r="AF126" t="str">
        <f ca="1">IF(ISERROR(IF(SUM($AF$127:$AF$134) = 0, "", SUM($AF$127:$AF$134))), "", (IF(SUM($AF$127:$AF$134) = 0, "", SUM($AF$127:$AF$134))))</f>
        <v/>
      </c>
      <c r="AG126">
        <f ca="1">IF(ISERROR(IF(SUM($AG$127:$AG$134) = 0, "", SUM($AG$127:$AG$134))), "", (IF(SUM($AG$127:$AG$134) = 0, "", SUM($AG$127:$AG$134))))</f>
        <v>8.4590970619999997</v>
      </c>
      <c r="AH126" t="str">
        <f ca="1">IF(ISERROR(IF(SUM($AH$127:$AH$134) = 0, "", SUM($AH$127:$AH$134))), "", (IF(SUM($AH$127:$AH$134) = 0, "", SUM($AH$127:$AH$134))))</f>
        <v/>
      </c>
      <c r="AI126" t="str">
        <f ca="1">IF(ISERROR(IF(SUM($AI$127:$AI$134) = 0, "", SUM($AI$127:$AI$134))), "", (IF(SUM($AI$127:$AI$134) = 0, "", SUM($AI$127:$AI$134))))</f>
        <v/>
      </c>
      <c r="AJ126">
        <f ca="1">IF(ISERROR(IF(SUM($AJ$127:$AJ$134) = 0, "", SUM($AJ$127:$AJ$134))), "", (IF(SUM($AJ$127:$AJ$134) = 0, "", SUM($AJ$127:$AJ$134))))</f>
        <v>7.9524780709999989</v>
      </c>
      <c r="AK126" t="str">
        <f ca="1">IF(ISERROR(IF(SUM($AK$127:$AK$134) = 0, "", SUM($AK$127:$AK$134))), "", (IF(SUM($AK$127:$AK$134) = 0, "", SUM($AK$127:$AK$134))))</f>
        <v/>
      </c>
      <c r="AL126" t="str">
        <f ca="1">IF(ISERROR(IF(SUM($AL$127:$AL$134) = 0, "", SUM($AL$127:$AL$134))), "", (IF(SUM($AL$127:$AL$134) = 0, "", SUM($AL$127:$AL$134))))</f>
        <v/>
      </c>
      <c r="AM126">
        <f ca="1">IF(ISERROR(IF(SUM($AM$127:$AM$134) = 0, "", SUM($AM$127:$AM$134))), "", (IF(SUM($AM$127:$AM$134) = 0, "", SUM($AM$127:$AM$134))))</f>
        <v>7.9447071739999995</v>
      </c>
      <c r="AN126" t="str">
        <f ca="1">IF(ISERROR(IF(SUM($AN$127:$AN$134) = 0, "", SUM($AN$127:$AN$134))), "", (IF(SUM($AN$127:$AN$134) = 0, "", SUM($AN$127:$AN$134))))</f>
        <v/>
      </c>
      <c r="AO126" t="str">
        <f ca="1">IF(ISERROR(IF(SUM($AO$127:$AO$134) = 0, "", SUM($AO$127:$AO$134))), "", (IF(SUM($AO$127:$AO$134) = 0, "", SUM($AO$127:$AO$134))))</f>
        <v/>
      </c>
      <c r="AP126">
        <f ca="1">IF(ISERROR(IF(SUM($AP$127:$AP$134) = 0, "", SUM($AP$127:$AP$134))), "", (IF(SUM($AP$127:$AP$134) = 0, "", SUM($AP$127:$AP$134))))</f>
        <v>7.6133527449999994</v>
      </c>
      <c r="AQ126" t="str">
        <f ca="1">IF(ISERROR(IF(SUM($AQ$127:$AQ$134) = 0, "", SUM($AQ$127:$AQ$134))), "", (IF(SUM($AQ$127:$AQ$134) = 0, "", SUM($AQ$127:$AQ$134))))</f>
        <v/>
      </c>
      <c r="AR126" t="str">
        <f ca="1">IF(ISERROR(IF(SUM($AR$127:$AR$134) = 0, "", SUM($AR$127:$AR$134))), "", (IF(SUM($AR$127:$AR$134) = 0, "", SUM($AR$127:$AR$134))))</f>
        <v/>
      </c>
      <c r="AS126">
        <f ca="1">IF(ISERROR(IF(SUM($AS$127:$AS$134) = 0, "", SUM($AS$127:$AS$134))), "", (IF(SUM($AS$127:$AS$134) = 0, "", SUM($AS$127:$AS$134))))</f>
        <v>7.5742624799999998</v>
      </c>
      <c r="AT126" t="str">
        <f ca="1">IF(ISERROR(IF(SUM($AT$127:$AT$134) = 0, "", SUM($AT$127:$AT$134))), "", (IF(SUM($AT$127:$AT$134) = 0, "", SUM($AT$127:$AT$134))))</f>
        <v/>
      </c>
      <c r="AU126" t="str">
        <f ca="1">IF(ISERROR(IF(SUM($AU$127:$AU$134) = 0, "", SUM($AU$127:$AU$134))), "", (IF(SUM($AU$127:$AU$134) = 0, "", SUM($AU$127:$AU$134))))</f>
        <v/>
      </c>
      <c r="AV126">
        <f ca="1">IF(ISERROR(IF(SUM($AV$127:$AV$134) = 0, "", SUM($AV$127:$AV$134))), "", (IF(SUM($AV$127:$AV$134) = 0, "", SUM($AV$127:$AV$134))))</f>
        <v>6.8714916710000002</v>
      </c>
      <c r="AW126" t="str">
        <f ca="1">IF(ISERROR(IF(SUM($AW$127:$AW$134) = 0, "", SUM($AW$127:$AW$134))), "", (IF(SUM($AW$127:$AW$134) = 0, "", SUM($AW$127:$AW$134))))</f>
        <v/>
      </c>
      <c r="AX126" t="str">
        <f ca="1">IF(ISERROR(IF(SUM($AX$127:$AX$134) = 0, "", SUM($AX$127:$AX$134))), "", (IF(SUM($AX$127:$AX$134) = 0, "", SUM($AX$127:$AX$134))))</f>
        <v/>
      </c>
      <c r="AY126">
        <f ca="1">IF(ISERROR(IF(SUM($AY$127:$AY$134) = 0, "", SUM($AY$127:$AY$134))), "", (IF(SUM($AY$127:$AY$134) = 0, "", SUM($AY$127:$AY$134))))</f>
        <v>6.7864867209999993</v>
      </c>
      <c r="AZ126" t="str">
        <f ca="1">IF(ISERROR(IF(SUM($AZ$127:$AZ$134) = 0, "", SUM($AZ$127:$AZ$134))), "", (IF(SUM($AZ$127:$AZ$134) = 0, "", SUM($AZ$127:$AZ$134))))</f>
        <v/>
      </c>
      <c r="BA126" t="str">
        <f ca="1">IF(ISERROR(IF(SUM($BA$127:$BA$134) = 0, "", SUM($BA$127:$BA$134))), "", (IF(SUM($BA$127:$BA$134) = 0, "", SUM($BA$127:$BA$134))))</f>
        <v/>
      </c>
      <c r="BB126">
        <f ca="1">IF(ISERROR(IF(SUM($BB$127:$BB$134) = 0, "", SUM($BB$127:$BB$134))), "", (IF(SUM($BB$127:$BB$134) = 0, "", SUM($BB$127:$BB$134))))</f>
        <v>7.1653340139999999</v>
      </c>
      <c r="BC126" t="str">
        <f ca="1">IF(ISERROR(IF(SUM($BC$127:$BC$134) = 0, "", SUM($BC$127:$BC$134))), "", (IF(SUM($BC$127:$BC$134) = 0, "", SUM($BC$127:$BC$134))))</f>
        <v/>
      </c>
      <c r="BD126" t="str">
        <f ca="1">IF(ISERROR(IF(SUM($BD$127:$BD$134) = 0, "", SUM($BD$127:$BD$134))), "", (IF(SUM($BD$127:$BD$134) = 0, "", SUM($BD$127:$BD$134))))</f>
        <v/>
      </c>
      <c r="BE126">
        <f ca="1">IF(ISERROR(IF(SUM($BE$127:$BE$134) = 0, "", SUM($BE$127:$BE$134))), "", (IF(SUM($BE$127:$BE$134) = 0, "", SUM($BE$127:$BE$134))))</f>
        <v>6.879315783</v>
      </c>
      <c r="BF126" t="str">
        <f ca="1">IF(ISERROR(IF(SUM($BF$127:$BF$134) = 0, "", SUM($BF$127:$BF$134))), "", (IF(SUM($BF$127:$BF$134) = 0, "", SUM($BF$127:$BF$134))))</f>
        <v/>
      </c>
      <c r="BG126" t="str">
        <f ca="1">IF(ISERROR(IF(SUM($BG$127:$BG$134) = 0, "", SUM($BG$127:$BG$134))), "", (IF(SUM($BG$127:$BG$134) = 0, "", SUM($BG$127:$BG$134))))</f>
        <v/>
      </c>
      <c r="BH126">
        <f ca="1">IF(ISERROR(IF(SUM($BH$127:$BH$134) = 0, "", SUM($BH$127:$BH$134))), "", (IF(SUM($BH$127:$BH$134) = 0, "", SUM($BH$127:$BH$134))))</f>
        <v>6.6082325339999999</v>
      </c>
      <c r="BI126" t="str">
        <f ca="1">IF(ISERROR(IF(SUM($BI$127:$BI$134) = 0, "", SUM($BI$127:$BI$134))), "", (IF(SUM($BI$127:$BI$134) = 0, "", SUM($BI$127:$BI$134))))</f>
        <v/>
      </c>
      <c r="BJ126" t="str">
        <f ca="1">IF(ISERROR(IF(SUM($BJ$127:$BJ$134) = 0, "", SUM($BJ$127:$BJ$134))), "", (IF(SUM($BJ$127:$BJ$134) = 0, "", SUM($BJ$127:$BJ$134))))</f>
        <v/>
      </c>
      <c r="BK126">
        <f ca="1">IF(ISERROR(IF(SUM($BK$127:$BK$134) = 0, "", SUM($BK$127:$BK$134))), "", (IF(SUM($BK$127:$BK$134) = 0, "", SUM($BK$127:$BK$134))))</f>
        <v>6.6025087519999994</v>
      </c>
      <c r="BL126" t="str">
        <f ca="1">IF(ISERROR(IF(SUM($BL$127:$BL$134) = 0, "", SUM($BL$127:$BL$134))), "", (IF(SUM($BL$127:$BL$134) = 0, "", SUM($BL$127:$BL$134))))</f>
        <v/>
      </c>
      <c r="BM126" t="str">
        <f ca="1">IF(ISERROR(IF(SUM($BM$127:$BM$134) = 0, "", SUM($BM$127:$BM$134))), "", (IF(SUM($BM$127:$BM$134) = 0, "", SUM($BM$127:$BM$134))))</f>
        <v/>
      </c>
      <c r="BN126">
        <f ca="1">IF(ISERROR(IF(SUM($BN$127:$BN$134) = 0, "", SUM($BN$127:$BN$134))), "", (IF(SUM($BN$127:$BN$134) = 0, "", SUM($BN$127:$BN$134))))</f>
        <v>6.4131284010000007</v>
      </c>
      <c r="BO126" t="str">
        <f ca="1">IF(ISERROR(IF(SUM($BO$127:$BO$134) = 0, "", SUM($BO$127:$BO$134))), "", (IF(SUM($BO$127:$BO$134) = 0, "", SUM($BO$127:$BO$134))))</f>
        <v/>
      </c>
      <c r="BP126" t="str">
        <f ca="1">IF(ISERROR(IF(SUM($BP$127:$BP$134) = 0, "", SUM($BP$127:$BP$134))), "", (IF(SUM($BP$127:$BP$134) = 0, "", SUM($BP$127:$BP$134))))</f>
        <v/>
      </c>
      <c r="BQ126">
        <f ca="1">IF(ISERROR(IF(SUM($BQ$127:$BQ$134) = 0, "", SUM($BQ$127:$BQ$134))), "", (IF(SUM($BQ$127:$BQ$134) = 0, "", SUM($BQ$127:$BQ$134))))</f>
        <v>5.0663644339999996</v>
      </c>
      <c r="BR126" t="str">
        <f ca="1">IF(ISERROR(IF(SUM($BR$127:$BR$134) = 0, "", SUM($BR$127:$BR$134))), "", (IF(SUM($BR$127:$BR$134) = 0, "", SUM($BR$127:$BR$134))))</f>
        <v/>
      </c>
      <c r="BS126" t="str">
        <f ca="1">IF(ISERROR(IF(SUM($BS$127:$BS$134) = 0, "", SUM($BS$127:$BS$134))), "", (IF(SUM($BS$127:$BS$134) = 0, "", SUM($BS$127:$BS$134))))</f>
        <v/>
      </c>
      <c r="BT126">
        <f ca="1">IF(ISERROR(IF(SUM($BT$127:$BT$134) = 0, "", SUM($BT$127:$BT$134))), "", (IF(SUM($BT$127:$BT$134) = 0, "", SUM($BT$127:$BT$134))))</f>
        <v>6.4686356509999996</v>
      </c>
      <c r="BU126" t="str">
        <f ca="1">IF(ISERROR(IF(SUM($BU$127:$BU$134) = 0, "", SUM($BU$127:$BU$134))), "", (IF(SUM($BU$127:$BU$134) = 0, "", SUM($BU$127:$BU$134))))</f>
        <v/>
      </c>
      <c r="BV126" t="str">
        <f ca="1">IF(ISERROR(IF(SUM($BV$127:$BV$134) = 0, "", SUM($BV$127:$BV$134))), "", (IF(SUM($BV$127:$BV$134) = 0, "", SUM($BV$127:$BV$134))))</f>
        <v/>
      </c>
      <c r="BW126">
        <f ca="1">IF(ISERROR(IF(SUM($BW$127:$BW$134) = 0, "", SUM($BW$127:$BW$134))), "", (IF(SUM($BW$127:$BW$134) = 0, "", SUM($BW$127:$BW$134))))</f>
        <v>5.9937112300000006</v>
      </c>
      <c r="BX126" t="str">
        <f ca="1">IF(ISERROR(IF(SUM($BX$127:$BX$134) = 0, "", SUM($BX$127:$BX$134))), "", (IF(SUM($BX$127:$BX$134) = 0, "", SUM($BX$127:$BX$134))))</f>
        <v/>
      </c>
      <c r="BY126" t="str">
        <f ca="1">IF(ISERROR(IF(SUM($BY$127:$BY$134) = 0, "", SUM($BY$127:$BY$134))), "", (IF(SUM($BY$127:$BY$134) = 0, "", SUM($BY$127:$BY$134))))</f>
        <v/>
      </c>
      <c r="BZ126">
        <f ca="1">IF(ISERROR(IF(SUM($BZ$127:$BZ$134) = 0, "", SUM($BZ$127:$BZ$134))), "", (IF(SUM($BZ$127:$BZ$134) = 0, "", SUM($BZ$127:$BZ$134))))</f>
        <v>5.6896019639999995</v>
      </c>
      <c r="CA126" t="str">
        <f ca="1">IF(ISERROR(IF(SUM($CA$127:$CA$134) = 0, "", SUM($CA$127:$CA$134))), "", (IF(SUM($CA$127:$CA$134) = 0, "", SUM($CA$127:$CA$134))))</f>
        <v/>
      </c>
      <c r="CB126" t="str">
        <f ca="1">IF(ISERROR(IF(SUM($CB$127:$CB$134) = 0, "", SUM($CB$127:$CB$134))), "", (IF(SUM($CB$127:$CB$134) = 0, "", SUM($CB$127:$CB$134))))</f>
        <v/>
      </c>
      <c r="CC126">
        <f ca="1">IF(ISERROR(IF(SUM($CC$127:$CC$134) = 0, "", SUM($CC$127:$CC$134))), "", (IF(SUM($CC$127:$CC$134) = 0, "", SUM($CC$127:$CC$134))))</f>
        <v>5.1624059190000002</v>
      </c>
      <c r="CD126" t="str">
        <f ca="1">IF(ISERROR(IF(SUM($CD$127:$CD$134) = 0, "", SUM($CD$127:$CD$134))), "", (IF(SUM($CD$127:$CD$134) = 0, "", SUM($CD$127:$CD$134))))</f>
        <v/>
      </c>
      <c r="CE126" t="str">
        <f ca="1">IF(ISERROR(IF(SUM($CE$127:$CE$134) = 0, "", SUM($CE$127:$CE$134))), "", (IF(SUM($CE$127:$CE$134) = 0, "", SUM($CE$127:$CE$134))))</f>
        <v/>
      </c>
      <c r="CF126">
        <f ca="1">IF(ISERROR(IF(SUM($CF$127:$CF$134) = 0, "", SUM($CF$127:$CF$134))), "", (IF(SUM($CF$127:$CF$134) = 0, "", SUM($CF$127:$CF$134))))</f>
        <v>4.9423960920000001</v>
      </c>
      <c r="CG126" t="str">
        <f ca="1">IF(ISERROR(IF(SUM($CG$127:$CG$134) = 0, "", SUM($CG$127:$CG$134))), "", (IF(SUM($CG$127:$CG$134) = 0, "", SUM($CG$127:$CG$134))))</f>
        <v/>
      </c>
      <c r="CH126" t="str">
        <f ca="1">IF(ISERROR(IF(SUM($CH$127:$CH$134) = 0, "", SUM($CH$127:$CH$134))), "", (IF(SUM($CH$127:$CH$134) = 0, "", SUM($CH$127:$CH$134))))</f>
        <v/>
      </c>
      <c r="CI126">
        <f ca="1">IF(ISERROR(IF(SUM($CI$127:$CI$134) = 0, "", SUM($CI$127:$CI$134))), "", (IF(SUM($CI$127:$CI$134) = 0, "", SUM($CI$127:$CI$134))))</f>
        <v>4.4783789149999995</v>
      </c>
      <c r="CJ126" t="str">
        <f ca="1">IF(ISERROR(IF(SUM($CJ$127:$CJ$134) = 0, "", SUM($CJ$127:$CJ$134))), "", (IF(SUM($CJ$127:$CJ$134) = 0, "", SUM($CJ$127:$CJ$134))))</f>
        <v/>
      </c>
      <c r="CK126" t="str">
        <f ca="1">IF(ISERROR(IF(SUM($CK$127:$CK$134) = 0, "", SUM($CK$127:$CK$134))), "", (IF(SUM($CK$127:$CK$134) = 0, "", SUM($CK$127:$CK$134))))</f>
        <v/>
      </c>
      <c r="CL126" t="str">
        <f>""</f>
        <v/>
      </c>
      <c r="CM126" t="str">
        <f>""</f>
        <v/>
      </c>
      <c r="CN126" t="str">
        <f>""</f>
        <v/>
      </c>
      <c r="CO126">
        <f>8.97979178</f>
        <v>8.9797917799999993</v>
      </c>
      <c r="CP126" t="str">
        <f>""</f>
        <v/>
      </c>
      <c r="CQ126" t="str">
        <f>""</f>
        <v/>
      </c>
      <c r="CR126">
        <f>8.487106649</f>
        <v>8.4871066489999993</v>
      </c>
      <c r="CS126" t="str">
        <f>""</f>
        <v/>
      </c>
      <c r="CT126" t="str">
        <f>""</f>
        <v/>
      </c>
      <c r="CU126">
        <f>8.729957709</f>
        <v>8.7299577090000007</v>
      </c>
      <c r="CV126" t="str">
        <f>""</f>
        <v/>
      </c>
      <c r="CW126" t="str">
        <f>""</f>
        <v/>
      </c>
      <c r="CX126">
        <f>8.722413689</f>
        <v>8.7224136889999997</v>
      </c>
      <c r="CY126" t="str">
        <f>""</f>
        <v/>
      </c>
      <c r="CZ126" t="str">
        <f>""</f>
        <v/>
      </c>
      <c r="DA126">
        <f>8.456519483</f>
        <v>8.4565194829999992</v>
      </c>
      <c r="DB126" t="str">
        <f>""</f>
        <v/>
      </c>
      <c r="DC126" t="str">
        <f>""</f>
        <v/>
      </c>
      <c r="DD126">
        <f>8.44326802</f>
        <v>8.4432680199999997</v>
      </c>
      <c r="DE126" t="str">
        <f>""</f>
        <v/>
      </c>
      <c r="DF126" t="str">
        <f>""</f>
        <v/>
      </c>
      <c r="DG126">
        <f>8.509598069</f>
        <v>8.5095980690000008</v>
      </c>
      <c r="DH126" t="str">
        <f>""</f>
        <v/>
      </c>
      <c r="DI126" t="str">
        <f>""</f>
        <v/>
      </c>
      <c r="DJ126">
        <f>8.476567461</f>
        <v>8.4765674610000001</v>
      </c>
      <c r="DK126" t="str">
        <f>""</f>
        <v/>
      </c>
      <c r="DL126" t="str">
        <f>""</f>
        <v/>
      </c>
      <c r="DM126">
        <f>8.459097061</f>
        <v>8.4590970609999996</v>
      </c>
      <c r="DN126" t="str">
        <f>""</f>
        <v/>
      </c>
      <c r="DO126" t="str">
        <f>""</f>
        <v/>
      </c>
      <c r="DP126">
        <f>7.95247807</f>
        <v>7.9524780699999997</v>
      </c>
      <c r="DQ126" t="str">
        <f>""</f>
        <v/>
      </c>
      <c r="DR126" t="str">
        <f>""</f>
        <v/>
      </c>
      <c r="DS126">
        <f>7.944707173</f>
        <v>7.9447071730000003</v>
      </c>
      <c r="DT126" t="str">
        <f>""</f>
        <v/>
      </c>
      <c r="DU126" t="str">
        <f>""</f>
        <v/>
      </c>
      <c r="DV126">
        <f>7.613352745</f>
        <v>7.6133527450000003</v>
      </c>
      <c r="DW126" t="str">
        <f>""</f>
        <v/>
      </c>
      <c r="DX126" t="str">
        <f>""</f>
        <v/>
      </c>
      <c r="DY126">
        <f>7.574262479</f>
        <v>7.5742624789999997</v>
      </c>
      <c r="DZ126" t="str">
        <f>""</f>
        <v/>
      </c>
      <c r="EA126" t="str">
        <f>""</f>
        <v/>
      </c>
      <c r="EB126">
        <f>6.871491673</f>
        <v>6.8714916730000004</v>
      </c>
      <c r="EC126" t="str">
        <f>""</f>
        <v/>
      </c>
      <c r="ED126" t="str">
        <f>""</f>
        <v/>
      </c>
      <c r="EE126">
        <f>6.78648672</f>
        <v>6.7864867200000001</v>
      </c>
      <c r="EF126" t="str">
        <f>""</f>
        <v/>
      </c>
      <c r="EG126" t="str">
        <f>""</f>
        <v/>
      </c>
      <c r="EH126">
        <f>7.165334014</f>
        <v>7.1653340139999999</v>
      </c>
      <c r="EI126" t="str">
        <f>""</f>
        <v/>
      </c>
      <c r="EJ126" t="str">
        <f>""</f>
        <v/>
      </c>
      <c r="EK126">
        <f>6.879315783</f>
        <v>6.879315783</v>
      </c>
      <c r="EL126" t="str">
        <f>""</f>
        <v/>
      </c>
      <c r="EM126" t="str">
        <f>""</f>
        <v/>
      </c>
      <c r="EN126">
        <f>6.608232535</f>
        <v>6.608232535</v>
      </c>
      <c r="EO126" t="str">
        <f>""</f>
        <v/>
      </c>
      <c r="EP126" t="str">
        <f>""</f>
        <v/>
      </c>
      <c r="EQ126">
        <f>6.602508752</f>
        <v>6.6025087520000003</v>
      </c>
      <c r="ER126" t="str">
        <f>""</f>
        <v/>
      </c>
      <c r="ES126" t="str">
        <f>""</f>
        <v/>
      </c>
      <c r="ET126">
        <f>6.413128401</f>
        <v>6.4131284009999998</v>
      </c>
      <c r="EU126" t="str">
        <f>""</f>
        <v/>
      </c>
      <c r="EV126" t="str">
        <f>""</f>
        <v/>
      </c>
      <c r="EW126">
        <f>5.066364434</f>
        <v>5.0663644339999996</v>
      </c>
      <c r="EX126" t="str">
        <f>""</f>
        <v/>
      </c>
      <c r="EY126" t="str">
        <f>""</f>
        <v/>
      </c>
      <c r="EZ126">
        <f>6.468635652</f>
        <v>6.4686356519999997</v>
      </c>
      <c r="FA126" t="str">
        <f>""</f>
        <v/>
      </c>
      <c r="FB126" t="str">
        <f>""</f>
        <v/>
      </c>
      <c r="FC126">
        <f>5.993711231</f>
        <v>5.9937112309999998</v>
      </c>
      <c r="FD126" t="str">
        <f>""</f>
        <v/>
      </c>
      <c r="FE126" t="str">
        <f>""</f>
        <v/>
      </c>
      <c r="FF126">
        <f>5.689601965</f>
        <v>5.6896019649999996</v>
      </c>
      <c r="FG126" t="str">
        <f>""</f>
        <v/>
      </c>
      <c r="FH126" t="str">
        <f>""</f>
        <v/>
      </c>
      <c r="FI126">
        <f>5.162405917</f>
        <v>5.1624059170000001</v>
      </c>
      <c r="FJ126" t="str">
        <f>""</f>
        <v/>
      </c>
      <c r="FK126" t="str">
        <f>""</f>
        <v/>
      </c>
      <c r="FL126">
        <f>4.942396092</f>
        <v>4.9423960920000001</v>
      </c>
      <c r="FM126" t="str">
        <f>""</f>
        <v/>
      </c>
      <c r="FN126" t="str">
        <f>""</f>
        <v/>
      </c>
      <c r="FO126">
        <f>4.478378916</f>
        <v>4.4783789159999996</v>
      </c>
      <c r="FP126" t="str">
        <f>""</f>
        <v/>
      </c>
      <c r="FQ126" t="str">
        <f>""</f>
        <v/>
      </c>
    </row>
    <row r="127" spans="1:173">
      <c r="A127" t="str">
        <f>"    Apartment Investment &amp; Managem"</f>
        <v xml:space="preserve">    Apartment Investment &amp; Managem</v>
      </c>
      <c r="B127" t="str">
        <f>"AIV US Equity"</f>
        <v>AIV US Equity</v>
      </c>
      <c r="C127" t="str">
        <f t="shared" ref="C127:C134" si="39">"F0580"</f>
        <v>F0580</v>
      </c>
      <c r="D127" t="str">
        <f t="shared" ref="D127:D134" si="40">"FUNDS_AVAILABLE_FOR_DIST_PER_SH"</f>
        <v>FUNDS_AVAILABLE_FOR_DIST_PER_SH</v>
      </c>
      <c r="E127" t="str">
        <f t="shared" ref="E127:E134" si="41">"动态"</f>
        <v>动态</v>
      </c>
      <c r="F127" t="str">
        <f ca="1">IF(AND(ISNUMBER($F$339),$B$252=1),$F$339,HLOOKUP(INDIRECT(ADDRESS(2,COLUMN())),OFFSET($CL$2,0,0,ROW()-1,84),ROW()-1,FALSE))</f>
        <v/>
      </c>
      <c r="G127" t="str">
        <f ca="1">IF(AND(ISNUMBER($G$339),$B$252=1),$G$339,HLOOKUP(INDIRECT(ADDRESS(2,COLUMN())),OFFSET($CL$2,0,0,ROW()-1,84),ROW()-1,FALSE))</f>
        <v/>
      </c>
      <c r="H127" t="str">
        <f ca="1">IF(AND(ISNUMBER($H$339),$B$252=1),$H$339,HLOOKUP(INDIRECT(ADDRESS(2,COLUMN())),OFFSET($CL$2,0,0,ROW()-1,84),ROW()-1,FALSE))</f>
        <v/>
      </c>
      <c r="I127">
        <f ca="1">IF(AND(ISNUMBER($I$339),$B$252=1),$I$339,HLOOKUP(INDIRECT(ADDRESS(2,COLUMN())),OFFSET($CL$2,0,0,ROW()-1,84),ROW()-1,FALSE))</f>
        <v>0.56029526100000004</v>
      </c>
      <c r="J127" t="str">
        <f ca="1">IF(AND(ISNUMBER($J$339),$B$252=1),$J$339,HLOOKUP(INDIRECT(ADDRESS(2,COLUMN())),OFFSET($CL$2,0,0,ROW()-1,84),ROW()-1,FALSE))</f>
        <v/>
      </c>
      <c r="K127" t="str">
        <f ca="1">IF(AND(ISNUMBER($K$339),$B$252=1),$K$339,HLOOKUP(INDIRECT(ADDRESS(2,COLUMN())),OFFSET($CL$2,0,0,ROW()-1,84),ROW()-1,FALSE))</f>
        <v/>
      </c>
      <c r="L127">
        <f ca="1">IF(AND(ISNUMBER($L$339),$B$252=1),$L$339,HLOOKUP(INDIRECT(ADDRESS(2,COLUMN())),OFFSET($CL$2,0,0,ROW()-1,84),ROW()-1,FALSE))</f>
        <v>0.53538773500000003</v>
      </c>
      <c r="M127" t="str">
        <f ca="1">IF(AND(ISNUMBER($M$339),$B$252=1),$M$339,HLOOKUP(INDIRECT(ADDRESS(2,COLUMN())),OFFSET($CL$2,0,0,ROW()-1,84),ROW()-1,FALSE))</f>
        <v/>
      </c>
      <c r="N127" t="str">
        <f ca="1">IF(AND(ISNUMBER($N$339),$B$252=1),$N$339,HLOOKUP(INDIRECT(ADDRESS(2,COLUMN())),OFFSET($CL$2,0,0,ROW()-1,84),ROW()-1,FALSE))</f>
        <v/>
      </c>
      <c r="O127">
        <f ca="1">IF(AND(ISNUMBER($O$339),$B$252=1),$O$339,HLOOKUP(INDIRECT(ADDRESS(2,COLUMN())),OFFSET($CL$2,0,0,ROW()-1,84),ROW()-1,FALSE))</f>
        <v>0.51033404599999999</v>
      </c>
      <c r="P127" t="str">
        <f ca="1">IF(AND(ISNUMBER($P$339),$B$252=1),$P$339,HLOOKUP(INDIRECT(ADDRESS(2,COLUMN())),OFFSET($CL$2,0,0,ROW()-1,84),ROW()-1,FALSE))</f>
        <v/>
      </c>
      <c r="Q127" t="str">
        <f ca="1">IF(AND(ISNUMBER($Q$339),$B$252=1),$Q$339,HLOOKUP(INDIRECT(ADDRESS(2,COLUMN())),OFFSET($CL$2,0,0,ROW()-1,84),ROW()-1,FALSE))</f>
        <v/>
      </c>
      <c r="R127">
        <f ca="1">IF(AND(ISNUMBER($R$339),$B$252=1),$R$339,HLOOKUP(INDIRECT(ADDRESS(2,COLUMN())),OFFSET($CL$2,0,0,ROW()-1,84),ROW()-1,FALSE))</f>
        <v>0.51118950699999999</v>
      </c>
      <c r="S127" t="str">
        <f ca="1">IF(AND(ISNUMBER($S$339),$B$252=1),$S$339,HLOOKUP(INDIRECT(ADDRESS(2,COLUMN())),OFFSET($CL$2,0,0,ROW()-1,84),ROW()-1,FALSE))</f>
        <v/>
      </c>
      <c r="T127" t="str">
        <f ca="1">IF(AND(ISNUMBER($T$339),$B$252=1),$T$339,HLOOKUP(INDIRECT(ADDRESS(2,COLUMN())),OFFSET($CL$2,0,0,ROW()-1,84),ROW()-1,FALSE))</f>
        <v/>
      </c>
      <c r="U127">
        <f ca="1">IF(AND(ISNUMBER($U$339),$B$252=1),$U$339,HLOOKUP(INDIRECT(ADDRESS(2,COLUMN())),OFFSET($CL$2,0,0,ROW()-1,84),ROW()-1,FALSE))</f>
        <v>0.50449086499999996</v>
      </c>
      <c r="V127" t="str">
        <f ca="1">IF(AND(ISNUMBER($V$339),$B$252=1),$V$339,HLOOKUP(INDIRECT(ADDRESS(2,COLUMN())),OFFSET($CL$2,0,0,ROW()-1,84),ROW()-1,FALSE))</f>
        <v/>
      </c>
      <c r="W127" t="str">
        <f ca="1">IF(AND(ISNUMBER($W$339),$B$252=1),$W$339,HLOOKUP(INDIRECT(ADDRESS(2,COLUMN())),OFFSET($CL$2,0,0,ROW()-1,84),ROW()-1,FALSE))</f>
        <v/>
      </c>
      <c r="X127">
        <f ca="1">IF(AND(ISNUMBER($X$339),$B$252=1),$X$339,HLOOKUP(INDIRECT(ADDRESS(2,COLUMN())),OFFSET($CL$2,0,0,ROW()-1,84),ROW()-1,FALSE))</f>
        <v>0.45450944599999998</v>
      </c>
      <c r="Y127" t="str">
        <f ca="1">IF(AND(ISNUMBER($Y$339),$B$252=1),$Y$339,HLOOKUP(INDIRECT(ADDRESS(2,COLUMN())),OFFSET($CL$2,0,0,ROW()-1,84),ROW()-1,FALSE))</f>
        <v/>
      </c>
      <c r="Z127" t="str">
        <f ca="1">IF(AND(ISNUMBER($Z$339),$B$252=1),$Z$339,HLOOKUP(INDIRECT(ADDRESS(2,COLUMN())),OFFSET($CL$2,0,0,ROW()-1,84),ROW()-1,FALSE))</f>
        <v/>
      </c>
      <c r="AA127">
        <f ca="1">IF(AND(ISNUMBER($AA$339),$B$252=1),$AA$339,HLOOKUP(INDIRECT(ADDRESS(2,COLUMN())),OFFSET($CL$2,0,0,ROW()-1,84),ROW()-1,FALSE))</f>
        <v>0.49946745100000001</v>
      </c>
      <c r="AB127" t="str">
        <f ca="1">IF(AND(ISNUMBER($AB$339),$B$252=1),$AB$339,HLOOKUP(INDIRECT(ADDRESS(2,COLUMN())),OFFSET($CL$2,0,0,ROW()-1,84),ROW()-1,FALSE))</f>
        <v/>
      </c>
      <c r="AC127" t="str">
        <f ca="1">IF(AND(ISNUMBER($AC$339),$B$252=1),$AC$339,HLOOKUP(INDIRECT(ADDRESS(2,COLUMN())),OFFSET($CL$2,0,0,ROW()-1,84),ROW()-1,FALSE))</f>
        <v/>
      </c>
      <c r="AD127">
        <f ca="1">IF(AND(ISNUMBER($AD$339),$B$252=1),$AD$339,HLOOKUP(INDIRECT(ADDRESS(2,COLUMN())),OFFSET($CL$2,0,0,ROW()-1,84),ROW()-1,FALSE))</f>
        <v>0.50534535000000003</v>
      </c>
      <c r="AE127" t="str">
        <f ca="1">IF(AND(ISNUMBER($AE$339),$B$252=1),$AE$339,HLOOKUP(INDIRECT(ADDRESS(2,COLUMN())),OFFSET($CL$2,0,0,ROW()-1,84),ROW()-1,FALSE))</f>
        <v/>
      </c>
      <c r="AF127" t="str">
        <f ca="1">IF(AND(ISNUMBER($AF$339),$B$252=1),$AF$339,HLOOKUP(INDIRECT(ADDRESS(2,COLUMN())),OFFSET($CL$2,0,0,ROW()-1,84),ROW()-1,FALSE))</f>
        <v/>
      </c>
      <c r="AG127">
        <f ca="1">IF(AND(ISNUMBER($AG$339),$B$252=1),$AG$339,HLOOKUP(INDIRECT(ADDRESS(2,COLUMN())),OFFSET($CL$2,0,0,ROW()-1,84),ROW()-1,FALSE))</f>
        <v>0.47647733599999997</v>
      </c>
      <c r="AH127" t="str">
        <f ca="1">IF(AND(ISNUMBER($AH$339),$B$252=1),$AH$339,HLOOKUP(INDIRECT(ADDRESS(2,COLUMN())),OFFSET($CL$2,0,0,ROW()-1,84),ROW()-1,FALSE))</f>
        <v/>
      </c>
      <c r="AI127" t="str">
        <f ca="1">IF(AND(ISNUMBER($AI$339),$B$252=1),$AI$339,HLOOKUP(INDIRECT(ADDRESS(2,COLUMN())),OFFSET($CL$2,0,0,ROW()-1,84),ROW()-1,FALSE))</f>
        <v/>
      </c>
      <c r="AJ127">
        <f ca="1">IF(AND(ISNUMBER($AJ$339),$B$252=1),$AJ$339,HLOOKUP(INDIRECT(ADDRESS(2,COLUMN())),OFFSET($CL$2,0,0,ROW()-1,84),ROW()-1,FALSE))</f>
        <v>0.47819342599999998</v>
      </c>
      <c r="AK127" t="str">
        <f ca="1">IF(AND(ISNUMBER($AK$339),$B$252=1),$AK$339,HLOOKUP(INDIRECT(ADDRESS(2,COLUMN())),OFFSET($CL$2,0,0,ROW()-1,84),ROW()-1,FALSE))</f>
        <v/>
      </c>
      <c r="AL127" t="str">
        <f ca="1">IF(AND(ISNUMBER($AL$339),$B$252=1),$AL$339,HLOOKUP(INDIRECT(ADDRESS(2,COLUMN())),OFFSET($CL$2,0,0,ROW()-1,84),ROW()-1,FALSE))</f>
        <v/>
      </c>
      <c r="AM127">
        <f ca="1">IF(AND(ISNUMBER($AM$339),$B$252=1),$AM$339,HLOOKUP(INDIRECT(ADDRESS(2,COLUMN())),OFFSET($CL$2,0,0,ROW()-1,84),ROW()-1,FALSE))</f>
        <v>0.46466265699999998</v>
      </c>
      <c r="AN127" t="str">
        <f ca="1">IF(AND(ISNUMBER($AN$339),$B$252=1),$AN$339,HLOOKUP(INDIRECT(ADDRESS(2,COLUMN())),OFFSET($CL$2,0,0,ROW()-1,84),ROW()-1,FALSE))</f>
        <v/>
      </c>
      <c r="AO127" t="str">
        <f ca="1">IF(AND(ISNUMBER($AO$339),$B$252=1),$AO$339,HLOOKUP(INDIRECT(ADDRESS(2,COLUMN())),OFFSET($CL$2,0,0,ROW()-1,84),ROW()-1,FALSE))</f>
        <v/>
      </c>
      <c r="AP127">
        <f ca="1">IF(AND(ISNUMBER($AP$339),$B$252=1),$AP$339,HLOOKUP(INDIRECT(ADDRESS(2,COLUMN())),OFFSET($CL$2,0,0,ROW()-1,84),ROW()-1,FALSE))</f>
        <v>0.45913519200000003</v>
      </c>
      <c r="AQ127" t="str">
        <f ca="1">IF(AND(ISNUMBER($AQ$339),$B$252=1),$AQ$339,HLOOKUP(INDIRECT(ADDRESS(2,COLUMN())),OFFSET($CL$2,0,0,ROW()-1,84),ROW()-1,FALSE))</f>
        <v/>
      </c>
      <c r="AR127" t="str">
        <f ca="1">IF(AND(ISNUMBER($AR$339),$B$252=1),$AR$339,HLOOKUP(INDIRECT(ADDRESS(2,COLUMN())),OFFSET($CL$2,0,0,ROW()-1,84),ROW()-1,FALSE))</f>
        <v/>
      </c>
      <c r="AS127">
        <f ca="1">IF(AND(ISNUMBER($AS$339),$B$252=1),$AS$339,HLOOKUP(INDIRECT(ADDRESS(2,COLUMN())),OFFSET($CL$2,0,0,ROW()-1,84),ROW()-1,FALSE))</f>
        <v>0.42856849800000002</v>
      </c>
      <c r="AT127" t="str">
        <f ca="1">IF(AND(ISNUMBER($AT$339),$B$252=1),$AT$339,HLOOKUP(INDIRECT(ADDRESS(2,COLUMN())),OFFSET($CL$2,0,0,ROW()-1,84),ROW()-1,FALSE))</f>
        <v/>
      </c>
      <c r="AU127" t="str">
        <f ca="1">IF(AND(ISNUMBER($AU$339),$B$252=1),$AU$339,HLOOKUP(INDIRECT(ADDRESS(2,COLUMN())),OFFSET($CL$2,0,0,ROW()-1,84),ROW()-1,FALSE))</f>
        <v/>
      </c>
      <c r="AV127">
        <f ca="1">IF(AND(ISNUMBER($AV$339),$B$252=1),$AV$339,HLOOKUP(INDIRECT(ADDRESS(2,COLUMN())),OFFSET($CL$2,0,0,ROW()-1,84),ROW()-1,FALSE))</f>
        <v>0.39332940900000002</v>
      </c>
      <c r="AW127" t="str">
        <f ca="1">IF(AND(ISNUMBER($AW$339),$B$252=1),$AW$339,HLOOKUP(INDIRECT(ADDRESS(2,COLUMN())),OFFSET($CL$2,0,0,ROW()-1,84),ROW()-1,FALSE))</f>
        <v/>
      </c>
      <c r="AX127" t="str">
        <f ca="1">IF(AND(ISNUMBER($AX$339),$B$252=1),$AX$339,HLOOKUP(INDIRECT(ADDRESS(2,COLUMN())),OFFSET($CL$2,0,0,ROW()-1,84),ROW()-1,FALSE))</f>
        <v/>
      </c>
      <c r="AY127">
        <f ca="1">IF(AND(ISNUMBER($AY$339),$B$252=1),$AY$339,HLOOKUP(INDIRECT(ADDRESS(2,COLUMN())),OFFSET($CL$2,0,0,ROW()-1,84),ROW()-1,FALSE))</f>
        <v>0.43623659999999997</v>
      </c>
      <c r="AZ127" t="str">
        <f ca="1">IF(AND(ISNUMBER($AZ$339),$B$252=1),$AZ$339,HLOOKUP(INDIRECT(ADDRESS(2,COLUMN())),OFFSET($CL$2,0,0,ROW()-1,84),ROW()-1,FALSE))</f>
        <v/>
      </c>
      <c r="BA127" t="str">
        <f ca="1">IF(AND(ISNUMBER($BA$339),$B$252=1),$BA$339,HLOOKUP(INDIRECT(ADDRESS(2,COLUMN())),OFFSET($CL$2,0,0,ROW()-1,84),ROW()-1,FALSE))</f>
        <v/>
      </c>
      <c r="BB127">
        <f ca="1">IF(AND(ISNUMBER($BB$339),$B$252=1),$BB$339,HLOOKUP(INDIRECT(ADDRESS(2,COLUMN())),OFFSET($CL$2,0,0,ROW()-1,84),ROW()-1,FALSE))</f>
        <v>0.42525106200000001</v>
      </c>
      <c r="BC127" t="str">
        <f ca="1">IF(AND(ISNUMBER($BC$339),$B$252=1),$BC$339,HLOOKUP(INDIRECT(ADDRESS(2,COLUMN())),OFFSET($CL$2,0,0,ROW()-1,84),ROW()-1,FALSE))</f>
        <v/>
      </c>
      <c r="BD127" t="str">
        <f ca="1">IF(AND(ISNUMBER($BD$339),$B$252=1),$BD$339,HLOOKUP(INDIRECT(ADDRESS(2,COLUMN())),OFFSET($CL$2,0,0,ROW()-1,84),ROW()-1,FALSE))</f>
        <v/>
      </c>
      <c r="BE127">
        <f ca="1">IF(AND(ISNUMBER($BE$339),$B$252=1),$BE$339,HLOOKUP(INDIRECT(ADDRESS(2,COLUMN())),OFFSET($CL$2,0,0,ROW()-1,84),ROW()-1,FALSE))</f>
        <v>0.429040749</v>
      </c>
      <c r="BF127" t="str">
        <f ca="1">IF(AND(ISNUMBER($BF$339),$B$252=1),$BF$339,HLOOKUP(INDIRECT(ADDRESS(2,COLUMN())),OFFSET($CL$2,0,0,ROW()-1,84),ROW()-1,FALSE))</f>
        <v/>
      </c>
      <c r="BG127" t="str">
        <f ca="1">IF(AND(ISNUMBER($BG$339),$B$252=1),$BG$339,HLOOKUP(INDIRECT(ADDRESS(2,COLUMN())),OFFSET($CL$2,0,0,ROW()-1,84),ROW()-1,FALSE))</f>
        <v/>
      </c>
      <c r="BH127">
        <f ca="1">IF(AND(ISNUMBER($BH$339),$B$252=1),$BH$339,HLOOKUP(INDIRECT(ADDRESS(2,COLUMN())),OFFSET($CL$2,0,0,ROW()-1,84),ROW()-1,FALSE))</f>
        <v>0.35114005599999998</v>
      </c>
      <c r="BI127" t="str">
        <f ca="1">IF(AND(ISNUMBER($BI$339),$B$252=1),$BI$339,HLOOKUP(INDIRECT(ADDRESS(2,COLUMN())),OFFSET($CL$2,0,0,ROW()-1,84),ROW()-1,FALSE))</f>
        <v/>
      </c>
      <c r="BJ127" t="str">
        <f ca="1">IF(AND(ISNUMBER($BJ$339),$B$252=1),$BJ$339,HLOOKUP(INDIRECT(ADDRESS(2,COLUMN())),OFFSET($CL$2,0,0,ROW()-1,84),ROW()-1,FALSE))</f>
        <v/>
      </c>
      <c r="BK127">
        <f ca="1">IF(AND(ISNUMBER($BK$339),$B$252=1),$BK$339,HLOOKUP(INDIRECT(ADDRESS(2,COLUMN())),OFFSET($CL$2,0,0,ROW()-1,84),ROW()-1,FALSE))</f>
        <v>0.36655134099999997</v>
      </c>
      <c r="BL127" t="str">
        <f ca="1">IF(AND(ISNUMBER($BL$339),$B$252=1),$BL$339,HLOOKUP(INDIRECT(ADDRESS(2,COLUMN())),OFFSET($CL$2,0,0,ROW()-1,84),ROW()-1,FALSE))</f>
        <v/>
      </c>
      <c r="BM127" t="str">
        <f ca="1">IF(AND(ISNUMBER($BM$339),$B$252=1),$BM$339,HLOOKUP(INDIRECT(ADDRESS(2,COLUMN())),OFFSET($CL$2,0,0,ROW()-1,84),ROW()-1,FALSE))</f>
        <v/>
      </c>
      <c r="BN127">
        <f ca="1">IF(AND(ISNUMBER($BN$339),$B$252=1),$BN$339,HLOOKUP(INDIRECT(ADDRESS(2,COLUMN())),OFFSET($CL$2,0,0,ROW()-1,84),ROW()-1,FALSE))</f>
        <v>0.37843042900000001</v>
      </c>
      <c r="BO127" t="str">
        <f ca="1">IF(AND(ISNUMBER($BO$339),$B$252=1),$BO$339,HLOOKUP(INDIRECT(ADDRESS(2,COLUMN())),OFFSET($CL$2,0,0,ROW()-1,84),ROW()-1,FALSE))</f>
        <v/>
      </c>
      <c r="BP127" t="str">
        <f ca="1">IF(AND(ISNUMBER($BP$339),$B$252=1),$BP$339,HLOOKUP(INDIRECT(ADDRESS(2,COLUMN())),OFFSET($CL$2,0,0,ROW()-1,84),ROW()-1,FALSE))</f>
        <v/>
      </c>
      <c r="BQ127">
        <f ca="1">IF(AND(ISNUMBER($BQ$339),$B$252=1),$BQ$339,HLOOKUP(INDIRECT(ADDRESS(2,COLUMN())),OFFSET($CL$2,0,0,ROW()-1,84),ROW()-1,FALSE))</f>
        <v>0.37882722499999999</v>
      </c>
      <c r="BR127" t="str">
        <f ca="1">IF(AND(ISNUMBER($BR$339),$B$252=1),$BR$339,HLOOKUP(INDIRECT(ADDRESS(2,COLUMN())),OFFSET($CL$2,0,0,ROW()-1,84),ROW()-1,FALSE))</f>
        <v/>
      </c>
      <c r="BS127" t="str">
        <f ca="1">IF(AND(ISNUMBER($BS$339),$B$252=1),$BS$339,HLOOKUP(INDIRECT(ADDRESS(2,COLUMN())),OFFSET($CL$2,0,0,ROW()-1,84),ROW()-1,FALSE))</f>
        <v/>
      </c>
      <c r="BT127">
        <f ca="1">IF(AND(ISNUMBER($BT$339),$B$252=1),$BT$339,HLOOKUP(INDIRECT(ADDRESS(2,COLUMN())),OFFSET($CL$2,0,0,ROW()-1,84),ROW()-1,FALSE))</f>
        <v>0.32942619499999998</v>
      </c>
      <c r="BU127" t="str">
        <f ca="1">IF(AND(ISNUMBER($BU$339),$B$252=1),$BU$339,HLOOKUP(INDIRECT(ADDRESS(2,COLUMN())),OFFSET($CL$2,0,0,ROW()-1,84),ROW()-1,FALSE))</f>
        <v/>
      </c>
      <c r="BV127" t="str">
        <f ca="1">IF(AND(ISNUMBER($BV$339),$B$252=1),$BV$339,HLOOKUP(INDIRECT(ADDRESS(2,COLUMN())),OFFSET($CL$2,0,0,ROW()-1,84),ROW()-1,FALSE))</f>
        <v/>
      </c>
      <c r="BW127">
        <f ca="1">IF(AND(ISNUMBER($BW$339),$B$252=1),$BW$339,HLOOKUP(INDIRECT(ADDRESS(2,COLUMN())),OFFSET($CL$2,0,0,ROW()-1,84),ROW()-1,FALSE))</f>
        <v>0.33791576400000001</v>
      </c>
      <c r="BX127" t="str">
        <f ca="1">IF(AND(ISNUMBER($BX$339),$B$252=1),$BX$339,HLOOKUP(INDIRECT(ADDRESS(2,COLUMN())),OFFSET($CL$2,0,0,ROW()-1,84),ROW()-1,FALSE))</f>
        <v/>
      </c>
      <c r="BY127" t="str">
        <f ca="1">IF(AND(ISNUMBER($BY$339),$B$252=1),$BY$339,HLOOKUP(INDIRECT(ADDRESS(2,COLUMN())),OFFSET($CL$2,0,0,ROW()-1,84),ROW()-1,FALSE))</f>
        <v/>
      </c>
      <c r="BZ127">
        <f ca="1">IF(AND(ISNUMBER($BZ$339),$B$252=1),$BZ$339,HLOOKUP(INDIRECT(ADDRESS(2,COLUMN())),OFFSET($CL$2,0,0,ROW()-1,84),ROW()-1,FALSE))</f>
        <v>0.290827259</v>
      </c>
      <c r="CA127" t="str">
        <f ca="1">IF(AND(ISNUMBER($CA$339),$B$252=1),$CA$339,HLOOKUP(INDIRECT(ADDRESS(2,COLUMN())),OFFSET($CL$2,0,0,ROW()-1,84),ROW()-1,FALSE))</f>
        <v/>
      </c>
      <c r="CB127" t="str">
        <f ca="1">IF(AND(ISNUMBER($CB$339),$B$252=1),$CB$339,HLOOKUP(INDIRECT(ADDRESS(2,COLUMN())),OFFSET($CL$2,0,0,ROW()-1,84),ROW()-1,FALSE))</f>
        <v/>
      </c>
      <c r="CC127">
        <f ca="1">IF(AND(ISNUMBER($CC$339),$B$252=1),$CC$339,HLOOKUP(INDIRECT(ADDRESS(2,COLUMN())),OFFSET($CL$2,0,0,ROW()-1,84),ROW()-1,FALSE))</f>
        <v>0.201806131</v>
      </c>
      <c r="CD127" t="str">
        <f ca="1">IF(AND(ISNUMBER($CD$339),$B$252=1),$CD$339,HLOOKUP(INDIRECT(ADDRESS(2,COLUMN())),OFFSET($CL$2,0,0,ROW()-1,84),ROW()-1,FALSE))</f>
        <v/>
      </c>
      <c r="CE127" t="str">
        <f ca="1">IF(AND(ISNUMBER($CE$339),$B$252=1),$CE$339,HLOOKUP(INDIRECT(ADDRESS(2,COLUMN())),OFFSET($CL$2,0,0,ROW()-1,84),ROW()-1,FALSE))</f>
        <v/>
      </c>
      <c r="CF127">
        <f ca="1">IF(AND(ISNUMBER($CF$339),$B$252=1),$CF$339,HLOOKUP(INDIRECT(ADDRESS(2,COLUMN())),OFFSET($CL$2,0,0,ROW()-1,84),ROW()-1,FALSE))</f>
        <v>0.244112041</v>
      </c>
      <c r="CG127" t="str">
        <f ca="1">IF(AND(ISNUMBER($CG$339),$B$252=1),$CG$339,HLOOKUP(INDIRECT(ADDRESS(2,COLUMN())),OFFSET($CL$2,0,0,ROW()-1,84),ROW()-1,FALSE))</f>
        <v/>
      </c>
      <c r="CH127" t="str">
        <f ca="1">IF(AND(ISNUMBER($CH$339),$B$252=1),$CH$339,HLOOKUP(INDIRECT(ADDRESS(2,COLUMN())),OFFSET($CL$2,0,0,ROW()-1,84),ROW()-1,FALSE))</f>
        <v/>
      </c>
      <c r="CI127">
        <f ca="1">IF(AND(ISNUMBER($CI$339),$B$252=1),$CI$339,HLOOKUP(INDIRECT(ADDRESS(2,COLUMN())),OFFSET($CL$2,0,0,ROW()-1,84),ROW()-1,FALSE))</f>
        <v>0.13509758599999999</v>
      </c>
      <c r="CJ127" t="str">
        <f ca="1">IF(AND(ISNUMBER($CJ$339),$B$252=1),$CJ$339,HLOOKUP(INDIRECT(ADDRESS(2,COLUMN())),OFFSET($CL$2,0,0,ROW()-1,84),ROW()-1,FALSE))</f>
        <v/>
      </c>
      <c r="CK127" t="str">
        <f ca="1">IF(AND(ISNUMBER($CK$339),$B$252=1),$CK$339,HLOOKUP(INDIRECT(ADDRESS(2,COLUMN())),OFFSET($CL$2,0,0,ROW()-1,84),ROW()-1,FALSE))</f>
        <v/>
      </c>
      <c r="CL127" t="str">
        <f>""</f>
        <v/>
      </c>
      <c r="CM127" t="str">
        <f>""</f>
        <v/>
      </c>
      <c r="CN127" t="str">
        <f>""</f>
        <v/>
      </c>
      <c r="CO127">
        <f>0.560295261</f>
        <v>0.56029526100000004</v>
      </c>
      <c r="CP127" t="str">
        <f>""</f>
        <v/>
      </c>
      <c r="CQ127" t="str">
        <f>""</f>
        <v/>
      </c>
      <c r="CR127">
        <f>0.535387735</f>
        <v>0.53538773500000003</v>
      </c>
      <c r="CS127" t="str">
        <f>""</f>
        <v/>
      </c>
      <c r="CT127" t="str">
        <f>""</f>
        <v/>
      </c>
      <c r="CU127">
        <f>0.510334046</f>
        <v>0.51033404599999999</v>
      </c>
      <c r="CV127" t="str">
        <f>""</f>
        <v/>
      </c>
      <c r="CW127" t="str">
        <f>""</f>
        <v/>
      </c>
      <c r="CX127">
        <f>0.511189507</f>
        <v>0.51118950699999999</v>
      </c>
      <c r="CY127" t="str">
        <f>""</f>
        <v/>
      </c>
      <c r="CZ127" t="str">
        <f>""</f>
        <v/>
      </c>
      <c r="DA127">
        <f>0.504490865</f>
        <v>0.50449086499999996</v>
      </c>
      <c r="DB127" t="str">
        <f>""</f>
        <v/>
      </c>
      <c r="DC127" t="str">
        <f>""</f>
        <v/>
      </c>
      <c r="DD127">
        <f>0.454509446</f>
        <v>0.45450944599999998</v>
      </c>
      <c r="DE127" t="str">
        <f>""</f>
        <v/>
      </c>
      <c r="DF127" t="str">
        <f>""</f>
        <v/>
      </c>
      <c r="DG127">
        <f>0.499467451</f>
        <v>0.49946745100000001</v>
      </c>
      <c r="DH127" t="str">
        <f>""</f>
        <v/>
      </c>
      <c r="DI127" t="str">
        <f>""</f>
        <v/>
      </c>
      <c r="DJ127">
        <f>0.50534535</f>
        <v>0.50534535000000003</v>
      </c>
      <c r="DK127" t="str">
        <f>""</f>
        <v/>
      </c>
      <c r="DL127" t="str">
        <f>""</f>
        <v/>
      </c>
      <c r="DM127">
        <f>0.476477336</f>
        <v>0.47647733599999997</v>
      </c>
      <c r="DN127" t="str">
        <f>""</f>
        <v/>
      </c>
      <c r="DO127" t="str">
        <f>""</f>
        <v/>
      </c>
      <c r="DP127">
        <f>0.478193426</f>
        <v>0.47819342599999998</v>
      </c>
      <c r="DQ127" t="str">
        <f>""</f>
        <v/>
      </c>
      <c r="DR127" t="str">
        <f>""</f>
        <v/>
      </c>
      <c r="DS127">
        <f>0.464662657</f>
        <v>0.46466265699999998</v>
      </c>
      <c r="DT127" t="str">
        <f>""</f>
        <v/>
      </c>
      <c r="DU127" t="str">
        <f>""</f>
        <v/>
      </c>
      <c r="DV127">
        <f>0.459135192</f>
        <v>0.45913519200000003</v>
      </c>
      <c r="DW127" t="str">
        <f>""</f>
        <v/>
      </c>
      <c r="DX127" t="str">
        <f>""</f>
        <v/>
      </c>
      <c r="DY127">
        <f>0.428568498</f>
        <v>0.42856849800000002</v>
      </c>
      <c r="DZ127" t="str">
        <f>""</f>
        <v/>
      </c>
      <c r="EA127" t="str">
        <f>""</f>
        <v/>
      </c>
      <c r="EB127">
        <f>0.393329409</f>
        <v>0.39332940900000002</v>
      </c>
      <c r="EC127" t="str">
        <f>""</f>
        <v/>
      </c>
      <c r="ED127" t="str">
        <f>""</f>
        <v/>
      </c>
      <c r="EE127">
        <f>0.4362366</f>
        <v>0.43623659999999997</v>
      </c>
      <c r="EF127" t="str">
        <f>""</f>
        <v/>
      </c>
      <c r="EG127" t="str">
        <f>""</f>
        <v/>
      </c>
      <c r="EH127">
        <f>0.425251062</f>
        <v>0.42525106200000001</v>
      </c>
      <c r="EI127" t="str">
        <f>""</f>
        <v/>
      </c>
      <c r="EJ127" t="str">
        <f>""</f>
        <v/>
      </c>
      <c r="EK127">
        <f>0.429040749</f>
        <v>0.429040749</v>
      </c>
      <c r="EL127" t="str">
        <f>""</f>
        <v/>
      </c>
      <c r="EM127" t="str">
        <f>""</f>
        <v/>
      </c>
      <c r="EN127">
        <f>0.351140056</f>
        <v>0.35114005599999998</v>
      </c>
      <c r="EO127" t="str">
        <f>""</f>
        <v/>
      </c>
      <c r="EP127" t="str">
        <f>""</f>
        <v/>
      </c>
      <c r="EQ127">
        <f>0.366551341</f>
        <v>0.36655134099999997</v>
      </c>
      <c r="ER127" t="str">
        <f>""</f>
        <v/>
      </c>
      <c r="ES127" t="str">
        <f>""</f>
        <v/>
      </c>
      <c r="ET127">
        <f>0.378430429</f>
        <v>0.37843042900000001</v>
      </c>
      <c r="EU127" t="str">
        <f>""</f>
        <v/>
      </c>
      <c r="EV127" t="str">
        <f>""</f>
        <v/>
      </c>
      <c r="EW127">
        <f>0.378827225</f>
        <v>0.37882722499999999</v>
      </c>
      <c r="EX127" t="str">
        <f>""</f>
        <v/>
      </c>
      <c r="EY127" t="str">
        <f>""</f>
        <v/>
      </c>
      <c r="EZ127">
        <f>0.329426195</f>
        <v>0.32942619499999998</v>
      </c>
      <c r="FA127" t="str">
        <f>""</f>
        <v/>
      </c>
      <c r="FB127" t="str">
        <f>""</f>
        <v/>
      </c>
      <c r="FC127">
        <f>0.337915764</f>
        <v>0.33791576400000001</v>
      </c>
      <c r="FD127" t="str">
        <f>""</f>
        <v/>
      </c>
      <c r="FE127" t="str">
        <f>""</f>
        <v/>
      </c>
      <c r="FF127">
        <f>0.290827259</f>
        <v>0.290827259</v>
      </c>
      <c r="FG127" t="str">
        <f>""</f>
        <v/>
      </c>
      <c r="FH127" t="str">
        <f>""</f>
        <v/>
      </c>
      <c r="FI127">
        <f>0.201806131</f>
        <v>0.201806131</v>
      </c>
      <c r="FJ127" t="str">
        <f>""</f>
        <v/>
      </c>
      <c r="FK127" t="str">
        <f>""</f>
        <v/>
      </c>
      <c r="FL127">
        <f>0.244112041</f>
        <v>0.244112041</v>
      </c>
      <c r="FM127" t="str">
        <f>""</f>
        <v/>
      </c>
      <c r="FN127" t="str">
        <f>""</f>
        <v/>
      </c>
      <c r="FO127">
        <f>0.135097586</f>
        <v>0.13509758599999999</v>
      </c>
      <c r="FP127" t="str">
        <f>""</f>
        <v/>
      </c>
      <c r="FQ127" t="str">
        <f>""</f>
        <v/>
      </c>
    </row>
    <row r="128" spans="1:173">
      <c r="A128" t="str">
        <f>"    AvalonBay Communities Inc"</f>
        <v xml:space="preserve">    AvalonBay Communities Inc</v>
      </c>
      <c r="B128" t="str">
        <f>"AVB US Equity"</f>
        <v>AVB US Equity</v>
      </c>
      <c r="C128" t="str">
        <f t="shared" si="39"/>
        <v>F0580</v>
      </c>
      <c r="D128" t="str">
        <f t="shared" si="40"/>
        <v>FUNDS_AVAILABLE_FOR_DIST_PER_SH</v>
      </c>
      <c r="E128" t="str">
        <f t="shared" si="41"/>
        <v>动态</v>
      </c>
      <c r="F128" t="str">
        <f ca="1">IF(AND(ISNUMBER($F$340),$B$252=1),$F$340,HLOOKUP(INDIRECT(ADDRESS(2,COLUMN())),OFFSET($CL$2,0,0,ROW()-1,84),ROW()-1,FALSE))</f>
        <v/>
      </c>
      <c r="G128" t="str">
        <f ca="1">IF(AND(ISNUMBER($G$340),$B$252=1),$G$340,HLOOKUP(INDIRECT(ADDRESS(2,COLUMN())),OFFSET($CL$2,0,0,ROW()-1,84),ROW()-1,FALSE))</f>
        <v/>
      </c>
      <c r="H128" t="str">
        <f ca="1">IF(AND(ISNUMBER($H$340),$B$252=1),$H$340,HLOOKUP(INDIRECT(ADDRESS(2,COLUMN())),OFFSET($CL$2,0,0,ROW()-1,84),ROW()-1,FALSE))</f>
        <v/>
      </c>
      <c r="I128">
        <f ca="1">IF(AND(ISNUMBER($I$340),$B$252=1),$I$340,HLOOKUP(INDIRECT(ADDRESS(2,COLUMN())),OFFSET($CL$2,0,0,ROW()-1,84),ROW()-1,FALSE))</f>
        <v>2.1652945159999999</v>
      </c>
      <c r="J128" t="str">
        <f ca="1">IF(AND(ISNUMBER($J$340),$B$252=1),$J$340,HLOOKUP(INDIRECT(ADDRESS(2,COLUMN())),OFFSET($CL$2,0,0,ROW()-1,84),ROW()-1,FALSE))</f>
        <v/>
      </c>
      <c r="K128" t="str">
        <f ca="1">IF(AND(ISNUMBER($K$340),$B$252=1),$K$340,HLOOKUP(INDIRECT(ADDRESS(2,COLUMN())),OFFSET($CL$2,0,0,ROW()-1,84),ROW()-1,FALSE))</f>
        <v/>
      </c>
      <c r="L128">
        <f ca="1">IF(AND(ISNUMBER($L$340),$B$252=1),$L$340,HLOOKUP(INDIRECT(ADDRESS(2,COLUMN())),OFFSET($CL$2,0,0,ROW()-1,84),ROW()-1,FALSE))</f>
        <v>2.1057710329999999</v>
      </c>
      <c r="M128" t="str">
        <f ca="1">IF(AND(ISNUMBER($M$340),$B$252=1),$M$340,HLOOKUP(INDIRECT(ADDRESS(2,COLUMN())),OFFSET($CL$2,0,0,ROW()-1,84),ROW()-1,FALSE))</f>
        <v/>
      </c>
      <c r="N128" t="str">
        <f ca="1">IF(AND(ISNUMBER($N$340),$B$252=1),$N$340,HLOOKUP(INDIRECT(ADDRESS(2,COLUMN())),OFFSET($CL$2,0,0,ROW()-1,84),ROW()-1,FALSE))</f>
        <v/>
      </c>
      <c r="O128">
        <f ca="1">IF(AND(ISNUMBER($O$340),$B$252=1),$O$340,HLOOKUP(INDIRECT(ADDRESS(2,COLUMN())),OFFSET($CL$2,0,0,ROW()-1,84),ROW()-1,FALSE))</f>
        <v>1.996241658</v>
      </c>
      <c r="P128" t="str">
        <f ca="1">IF(AND(ISNUMBER($P$340),$B$252=1),$P$340,HLOOKUP(INDIRECT(ADDRESS(2,COLUMN())),OFFSET($CL$2,0,0,ROW()-1,84),ROW()-1,FALSE))</f>
        <v/>
      </c>
      <c r="Q128" t="str">
        <f ca="1">IF(AND(ISNUMBER($Q$340),$B$252=1),$Q$340,HLOOKUP(INDIRECT(ADDRESS(2,COLUMN())),OFFSET($CL$2,0,0,ROW()-1,84),ROW()-1,FALSE))</f>
        <v/>
      </c>
      <c r="R128">
        <f ca="1">IF(AND(ISNUMBER($R$340),$B$252=1),$R$340,HLOOKUP(INDIRECT(ADDRESS(2,COLUMN())),OFFSET($CL$2,0,0,ROW()-1,84),ROW()-1,FALSE))</f>
        <v>2.010306865</v>
      </c>
      <c r="S128" t="str">
        <f ca="1">IF(AND(ISNUMBER($S$340),$B$252=1),$S$340,HLOOKUP(INDIRECT(ADDRESS(2,COLUMN())),OFFSET($CL$2,0,0,ROW()-1,84),ROW()-1,FALSE))</f>
        <v/>
      </c>
      <c r="T128" t="str">
        <f ca="1">IF(AND(ISNUMBER($T$340),$B$252=1),$T$340,HLOOKUP(INDIRECT(ADDRESS(2,COLUMN())),OFFSET($CL$2,0,0,ROW()-1,84),ROW()-1,FALSE))</f>
        <v/>
      </c>
      <c r="U128">
        <f ca="1">IF(AND(ISNUMBER($U$340),$B$252=1),$U$340,HLOOKUP(INDIRECT(ADDRESS(2,COLUMN())),OFFSET($CL$2,0,0,ROW()-1,84),ROW()-1,FALSE))</f>
        <v>2.0427919999999999</v>
      </c>
      <c r="V128" t="str">
        <f ca="1">IF(AND(ISNUMBER($V$340),$B$252=1),$V$340,HLOOKUP(INDIRECT(ADDRESS(2,COLUMN())),OFFSET($CL$2,0,0,ROW()-1,84),ROW()-1,FALSE))</f>
        <v/>
      </c>
      <c r="W128" t="str">
        <f ca="1">IF(AND(ISNUMBER($W$340),$B$252=1),$W$340,HLOOKUP(INDIRECT(ADDRESS(2,COLUMN())),OFFSET($CL$2,0,0,ROW()-1,84),ROW()-1,FALSE))</f>
        <v/>
      </c>
      <c r="X128">
        <f ca="1">IF(AND(ISNUMBER($X$340),$B$252=1),$X$340,HLOOKUP(INDIRECT(ADDRESS(2,COLUMN())),OFFSET($CL$2,0,0,ROW()-1,84),ROW()-1,FALSE))</f>
        <v>1.9913437899999999</v>
      </c>
      <c r="Y128" t="str">
        <f ca="1">IF(AND(ISNUMBER($Y$340),$B$252=1),$Y$340,HLOOKUP(INDIRECT(ADDRESS(2,COLUMN())),OFFSET($CL$2,0,0,ROW()-1,84),ROW()-1,FALSE))</f>
        <v/>
      </c>
      <c r="Z128" t="str">
        <f ca="1">IF(AND(ISNUMBER($Z$340),$B$252=1),$Z$340,HLOOKUP(INDIRECT(ADDRESS(2,COLUMN())),OFFSET($CL$2,0,0,ROW()-1,84),ROW()-1,FALSE))</f>
        <v/>
      </c>
      <c r="AA128">
        <f ca="1">IF(AND(ISNUMBER($AA$340),$B$252=1),$AA$340,HLOOKUP(INDIRECT(ADDRESS(2,COLUMN())),OFFSET($CL$2,0,0,ROW()-1,84),ROW()-1,FALSE))</f>
        <v>1.937182709</v>
      </c>
      <c r="AB128" t="str">
        <f ca="1">IF(AND(ISNUMBER($AB$340),$B$252=1),$AB$340,HLOOKUP(INDIRECT(ADDRESS(2,COLUMN())),OFFSET($CL$2,0,0,ROW()-1,84),ROW()-1,FALSE))</f>
        <v/>
      </c>
      <c r="AC128" t="str">
        <f ca="1">IF(AND(ISNUMBER($AC$340),$B$252=1),$AC$340,HLOOKUP(INDIRECT(ADDRESS(2,COLUMN())),OFFSET($CL$2,0,0,ROW()-1,84),ROW()-1,FALSE))</f>
        <v/>
      </c>
      <c r="AD128">
        <f ca="1">IF(AND(ISNUMBER($AD$340),$B$252=1),$AD$340,HLOOKUP(INDIRECT(ADDRESS(2,COLUMN())),OFFSET($CL$2,0,0,ROW()-1,84),ROW()-1,FALSE))</f>
        <v>1.8863536030000001</v>
      </c>
      <c r="AE128" t="str">
        <f ca="1">IF(AND(ISNUMBER($AE$340),$B$252=1),$AE$340,HLOOKUP(INDIRECT(ADDRESS(2,COLUMN())),OFFSET($CL$2,0,0,ROW()-1,84),ROW()-1,FALSE))</f>
        <v/>
      </c>
      <c r="AF128" t="str">
        <f ca="1">IF(AND(ISNUMBER($AF$340),$B$252=1),$AF$340,HLOOKUP(INDIRECT(ADDRESS(2,COLUMN())),OFFSET($CL$2,0,0,ROW()-1,84),ROW()-1,FALSE))</f>
        <v/>
      </c>
      <c r="AG128">
        <f ca="1">IF(AND(ISNUMBER($AG$340),$B$252=1),$AG$340,HLOOKUP(INDIRECT(ADDRESS(2,COLUMN())),OFFSET($CL$2,0,0,ROW()-1,84),ROW()-1,FALSE))</f>
        <v>1.904784657</v>
      </c>
      <c r="AH128" t="str">
        <f ca="1">IF(AND(ISNUMBER($AH$340),$B$252=1),$AH$340,HLOOKUP(INDIRECT(ADDRESS(2,COLUMN())),OFFSET($CL$2,0,0,ROW()-1,84),ROW()-1,FALSE))</f>
        <v/>
      </c>
      <c r="AI128" t="str">
        <f ca="1">IF(AND(ISNUMBER($AI$340),$B$252=1),$AI$340,HLOOKUP(INDIRECT(ADDRESS(2,COLUMN())),OFFSET($CL$2,0,0,ROW()-1,84),ROW()-1,FALSE))</f>
        <v/>
      </c>
      <c r="AJ128">
        <f ca="1">IF(AND(ISNUMBER($AJ$340),$B$252=1),$AJ$340,HLOOKUP(INDIRECT(ADDRESS(2,COLUMN())),OFFSET($CL$2,0,0,ROW()-1,84),ROW()-1,FALSE))</f>
        <v>1.8498305390000001</v>
      </c>
      <c r="AK128" t="str">
        <f ca="1">IF(AND(ISNUMBER($AK$340),$B$252=1),$AK$340,HLOOKUP(INDIRECT(ADDRESS(2,COLUMN())),OFFSET($CL$2,0,0,ROW()-1,84),ROW()-1,FALSE))</f>
        <v/>
      </c>
      <c r="AL128" t="str">
        <f ca="1">IF(AND(ISNUMBER($AL$340),$B$252=1),$AL$340,HLOOKUP(INDIRECT(ADDRESS(2,COLUMN())),OFFSET($CL$2,0,0,ROW()-1,84),ROW()-1,FALSE))</f>
        <v/>
      </c>
      <c r="AM128">
        <f ca="1">IF(AND(ISNUMBER($AM$340),$B$252=1),$AM$340,HLOOKUP(INDIRECT(ADDRESS(2,COLUMN())),OFFSET($CL$2,0,0,ROW()-1,84),ROW()-1,FALSE))</f>
        <v>1.782947123</v>
      </c>
      <c r="AN128" t="str">
        <f ca="1">IF(AND(ISNUMBER($AN$340),$B$252=1),$AN$340,HLOOKUP(INDIRECT(ADDRESS(2,COLUMN())),OFFSET($CL$2,0,0,ROW()-1,84),ROW()-1,FALSE))</f>
        <v/>
      </c>
      <c r="AO128" t="str">
        <f ca="1">IF(AND(ISNUMBER($AO$340),$B$252=1),$AO$340,HLOOKUP(INDIRECT(ADDRESS(2,COLUMN())),OFFSET($CL$2,0,0,ROW()-1,84),ROW()-1,FALSE))</f>
        <v/>
      </c>
      <c r="AP128">
        <f ca="1">IF(AND(ISNUMBER($AP$340),$B$252=1),$AP$340,HLOOKUP(INDIRECT(ADDRESS(2,COLUMN())),OFFSET($CL$2,0,0,ROW()-1,84),ROW()-1,FALSE))</f>
        <v>1.6736377419999999</v>
      </c>
      <c r="AQ128" t="str">
        <f ca="1">IF(AND(ISNUMBER($AQ$340),$B$252=1),$AQ$340,HLOOKUP(INDIRECT(ADDRESS(2,COLUMN())),OFFSET($CL$2,0,0,ROW()-1,84),ROW()-1,FALSE))</f>
        <v/>
      </c>
      <c r="AR128" t="str">
        <f ca="1">IF(AND(ISNUMBER($AR$340),$B$252=1),$AR$340,HLOOKUP(INDIRECT(ADDRESS(2,COLUMN())),OFFSET($CL$2,0,0,ROW()-1,84),ROW()-1,FALSE))</f>
        <v/>
      </c>
      <c r="AS128">
        <f ca="1">IF(AND(ISNUMBER($AS$340),$B$252=1),$AS$340,HLOOKUP(INDIRECT(ADDRESS(2,COLUMN())),OFFSET($CL$2,0,0,ROW()-1,84),ROW()-1,FALSE))</f>
        <v>1.644798639</v>
      </c>
      <c r="AT128" t="str">
        <f ca="1">IF(AND(ISNUMBER($AT$340),$B$252=1),$AT$340,HLOOKUP(INDIRECT(ADDRESS(2,COLUMN())),OFFSET($CL$2,0,0,ROW()-1,84),ROW()-1,FALSE))</f>
        <v/>
      </c>
      <c r="AU128" t="str">
        <f ca="1">IF(AND(ISNUMBER($AU$340),$B$252=1),$AU$340,HLOOKUP(INDIRECT(ADDRESS(2,COLUMN())),OFFSET($CL$2,0,0,ROW()-1,84),ROW()-1,FALSE))</f>
        <v/>
      </c>
      <c r="AV128">
        <f ca="1">IF(AND(ISNUMBER($AV$340),$B$252=1),$AV$340,HLOOKUP(INDIRECT(ADDRESS(2,COLUMN())),OFFSET($CL$2,0,0,ROW()-1,84),ROW()-1,FALSE))</f>
        <v>1.660584115</v>
      </c>
      <c r="AW128" t="str">
        <f ca="1">IF(AND(ISNUMBER($AW$340),$B$252=1),$AW$340,HLOOKUP(INDIRECT(ADDRESS(2,COLUMN())),OFFSET($CL$2,0,0,ROW()-1,84),ROW()-1,FALSE))</f>
        <v/>
      </c>
      <c r="AX128" t="str">
        <f ca="1">IF(AND(ISNUMBER($AX$340),$B$252=1),$AX$340,HLOOKUP(INDIRECT(ADDRESS(2,COLUMN())),OFFSET($CL$2,0,0,ROW()-1,84),ROW()-1,FALSE))</f>
        <v/>
      </c>
      <c r="AY128">
        <f ca="1">IF(AND(ISNUMBER($AY$340),$B$252=1),$AY$340,HLOOKUP(INDIRECT(ADDRESS(2,COLUMN())),OFFSET($CL$2,0,0,ROW()-1,84),ROW()-1,FALSE))</f>
        <v>1.635307069</v>
      </c>
      <c r="AZ128" t="str">
        <f ca="1">IF(AND(ISNUMBER($AZ$340),$B$252=1),$AZ$340,HLOOKUP(INDIRECT(ADDRESS(2,COLUMN())),OFFSET($CL$2,0,0,ROW()-1,84),ROW()-1,FALSE))</f>
        <v/>
      </c>
      <c r="BA128" t="str">
        <f ca="1">IF(AND(ISNUMBER($BA$340),$B$252=1),$BA$340,HLOOKUP(INDIRECT(ADDRESS(2,COLUMN())),OFFSET($CL$2,0,0,ROW()-1,84),ROW()-1,FALSE))</f>
        <v/>
      </c>
      <c r="BB128">
        <f ca="1">IF(AND(ISNUMBER($BB$340),$B$252=1),$BB$340,HLOOKUP(INDIRECT(ADDRESS(2,COLUMN())),OFFSET($CL$2,0,0,ROW()-1,84),ROW()-1,FALSE))</f>
        <v>1.561248875</v>
      </c>
      <c r="BC128" t="str">
        <f ca="1">IF(AND(ISNUMBER($BC$340),$B$252=1),$BC$340,HLOOKUP(INDIRECT(ADDRESS(2,COLUMN())),OFFSET($CL$2,0,0,ROW()-1,84),ROW()-1,FALSE))</f>
        <v/>
      </c>
      <c r="BD128" t="str">
        <f ca="1">IF(AND(ISNUMBER($BD$340),$B$252=1),$BD$340,HLOOKUP(INDIRECT(ADDRESS(2,COLUMN())),OFFSET($CL$2,0,0,ROW()-1,84),ROW()-1,FALSE))</f>
        <v/>
      </c>
      <c r="BE128">
        <f ca="1">IF(AND(ISNUMBER($BE$340),$B$252=1),$BE$340,HLOOKUP(INDIRECT(ADDRESS(2,COLUMN())),OFFSET($CL$2,0,0,ROW()-1,84),ROW()-1,FALSE))</f>
        <v>1.50708116</v>
      </c>
      <c r="BF128" t="str">
        <f ca="1">IF(AND(ISNUMBER($BF$340),$B$252=1),$BF$340,HLOOKUP(INDIRECT(ADDRESS(2,COLUMN())),OFFSET($CL$2,0,0,ROW()-1,84),ROW()-1,FALSE))</f>
        <v/>
      </c>
      <c r="BG128" t="str">
        <f ca="1">IF(AND(ISNUMBER($BG$340),$B$252=1),$BG$340,HLOOKUP(INDIRECT(ADDRESS(2,COLUMN())),OFFSET($CL$2,0,0,ROW()-1,84),ROW()-1,FALSE))</f>
        <v/>
      </c>
      <c r="BH128">
        <f ca="1">IF(AND(ISNUMBER($BH$340),$B$252=1),$BH$340,HLOOKUP(INDIRECT(ADDRESS(2,COLUMN())),OFFSET($CL$2,0,0,ROW()-1,84),ROW()-1,FALSE))</f>
        <v>1.5600739450000001</v>
      </c>
      <c r="BI128" t="str">
        <f ca="1">IF(AND(ISNUMBER($BI$340),$B$252=1),$BI$340,HLOOKUP(INDIRECT(ADDRESS(2,COLUMN())),OFFSET($CL$2,0,0,ROW()-1,84),ROW()-1,FALSE))</f>
        <v/>
      </c>
      <c r="BJ128" t="str">
        <f ca="1">IF(AND(ISNUMBER($BJ$340),$B$252=1),$BJ$340,HLOOKUP(INDIRECT(ADDRESS(2,COLUMN())),OFFSET($CL$2,0,0,ROW()-1,84),ROW()-1,FALSE))</f>
        <v/>
      </c>
      <c r="BK128">
        <f ca="1">IF(AND(ISNUMBER($BK$340),$B$252=1),$BK$340,HLOOKUP(INDIRECT(ADDRESS(2,COLUMN())),OFFSET($CL$2,0,0,ROW()-1,84),ROW()-1,FALSE))</f>
        <v>1.549923852</v>
      </c>
      <c r="BL128" t="str">
        <f ca="1">IF(AND(ISNUMBER($BL$340),$B$252=1),$BL$340,HLOOKUP(INDIRECT(ADDRESS(2,COLUMN())),OFFSET($CL$2,0,0,ROW()-1,84),ROW()-1,FALSE))</f>
        <v/>
      </c>
      <c r="BM128" t="str">
        <f ca="1">IF(AND(ISNUMBER($BM$340),$B$252=1),$BM$340,HLOOKUP(INDIRECT(ADDRESS(2,COLUMN())),OFFSET($CL$2,0,0,ROW()-1,84),ROW()-1,FALSE))</f>
        <v/>
      </c>
      <c r="BN128">
        <f ca="1">IF(AND(ISNUMBER($BN$340),$B$252=1),$BN$340,HLOOKUP(INDIRECT(ADDRESS(2,COLUMN())),OFFSET($CL$2,0,0,ROW()-1,84),ROW()-1,FALSE))</f>
        <v>1.2941348779999999</v>
      </c>
      <c r="BO128" t="str">
        <f ca="1">IF(AND(ISNUMBER($BO$340),$B$252=1),$BO$340,HLOOKUP(INDIRECT(ADDRESS(2,COLUMN())),OFFSET($CL$2,0,0,ROW()-1,84),ROW()-1,FALSE))</f>
        <v/>
      </c>
      <c r="BP128" t="str">
        <f ca="1">IF(AND(ISNUMBER($BP$340),$B$252=1),$BP$340,HLOOKUP(INDIRECT(ADDRESS(2,COLUMN())),OFFSET($CL$2,0,0,ROW()-1,84),ROW()-1,FALSE))</f>
        <v/>
      </c>
      <c r="BQ128">
        <f ca="1">IF(AND(ISNUMBER($BQ$340),$B$252=1),$BQ$340,HLOOKUP(INDIRECT(ADDRESS(2,COLUMN())),OFFSET($CL$2,0,0,ROW()-1,84),ROW()-1,FALSE))</f>
        <v>1.206082643</v>
      </c>
      <c r="BR128" t="str">
        <f ca="1">IF(AND(ISNUMBER($BR$340),$B$252=1),$BR$340,HLOOKUP(INDIRECT(ADDRESS(2,COLUMN())),OFFSET($CL$2,0,0,ROW()-1,84),ROW()-1,FALSE))</f>
        <v/>
      </c>
      <c r="BS128" t="str">
        <f ca="1">IF(AND(ISNUMBER($BS$340),$B$252=1),$BS$340,HLOOKUP(INDIRECT(ADDRESS(2,COLUMN())),OFFSET($CL$2,0,0,ROW()-1,84),ROW()-1,FALSE))</f>
        <v/>
      </c>
      <c r="BT128">
        <f ca="1">IF(AND(ISNUMBER($BT$340),$B$252=1),$BT$340,HLOOKUP(INDIRECT(ADDRESS(2,COLUMN())),OFFSET($CL$2,0,0,ROW()-1,84),ROW()-1,FALSE))</f>
        <v>1.369128296</v>
      </c>
      <c r="BU128" t="str">
        <f ca="1">IF(AND(ISNUMBER($BU$340),$B$252=1),$BU$340,HLOOKUP(INDIRECT(ADDRESS(2,COLUMN())),OFFSET($CL$2,0,0,ROW()-1,84),ROW()-1,FALSE))</f>
        <v/>
      </c>
      <c r="BV128" t="str">
        <f ca="1">IF(AND(ISNUMBER($BV$340),$B$252=1),$BV$340,HLOOKUP(INDIRECT(ADDRESS(2,COLUMN())),OFFSET($CL$2,0,0,ROW()-1,84),ROW()-1,FALSE))</f>
        <v/>
      </c>
      <c r="BW128">
        <f ca="1">IF(AND(ISNUMBER($BW$340),$B$252=1),$BW$340,HLOOKUP(INDIRECT(ADDRESS(2,COLUMN())),OFFSET($CL$2,0,0,ROW()-1,84),ROW()-1,FALSE))</f>
        <v>1.273312792</v>
      </c>
      <c r="BX128" t="str">
        <f ca="1">IF(AND(ISNUMBER($BX$340),$B$252=1),$BX$340,HLOOKUP(INDIRECT(ADDRESS(2,COLUMN())),OFFSET($CL$2,0,0,ROW()-1,84),ROW()-1,FALSE))</f>
        <v/>
      </c>
      <c r="BY128" t="str">
        <f ca="1">IF(AND(ISNUMBER($BY$340),$B$252=1),$BY$340,HLOOKUP(INDIRECT(ADDRESS(2,COLUMN())),OFFSET($CL$2,0,0,ROW()-1,84),ROW()-1,FALSE))</f>
        <v/>
      </c>
      <c r="BZ128">
        <f ca="1">IF(AND(ISNUMBER($BZ$340),$B$252=1),$BZ$340,HLOOKUP(INDIRECT(ADDRESS(2,COLUMN())),OFFSET($CL$2,0,0,ROW()-1,84),ROW()-1,FALSE))</f>
        <v>1.205848856</v>
      </c>
      <c r="CA128" t="str">
        <f ca="1">IF(AND(ISNUMBER($CA$340),$B$252=1),$CA$340,HLOOKUP(INDIRECT(ADDRESS(2,COLUMN())),OFFSET($CL$2,0,0,ROW()-1,84),ROW()-1,FALSE))</f>
        <v/>
      </c>
      <c r="CB128" t="str">
        <f ca="1">IF(AND(ISNUMBER($CB$340),$B$252=1),$CB$340,HLOOKUP(INDIRECT(ADDRESS(2,COLUMN())),OFFSET($CL$2,0,0,ROW()-1,84),ROW()-1,FALSE))</f>
        <v/>
      </c>
      <c r="CC128">
        <f ca="1">IF(AND(ISNUMBER($CC$340),$B$252=1),$CC$340,HLOOKUP(INDIRECT(ADDRESS(2,COLUMN())),OFFSET($CL$2,0,0,ROW()-1,84),ROW()-1,FALSE))</f>
        <v>1.200412257</v>
      </c>
      <c r="CD128" t="str">
        <f ca="1">IF(AND(ISNUMBER($CD$340),$B$252=1),$CD$340,HLOOKUP(INDIRECT(ADDRESS(2,COLUMN())),OFFSET($CL$2,0,0,ROW()-1,84),ROW()-1,FALSE))</f>
        <v/>
      </c>
      <c r="CE128" t="str">
        <f ca="1">IF(AND(ISNUMBER($CE$340),$B$252=1),$CE$340,HLOOKUP(INDIRECT(ADDRESS(2,COLUMN())),OFFSET($CL$2,0,0,ROW()-1,84),ROW()-1,FALSE))</f>
        <v/>
      </c>
      <c r="CF128">
        <f ca="1">IF(AND(ISNUMBER($CF$340),$B$252=1),$CF$340,HLOOKUP(INDIRECT(ADDRESS(2,COLUMN())),OFFSET($CL$2,0,0,ROW()-1,84),ROW()-1,FALSE))</f>
        <v>1.1056948090000001</v>
      </c>
      <c r="CG128" t="str">
        <f ca="1">IF(AND(ISNUMBER($CG$340),$B$252=1),$CG$340,HLOOKUP(INDIRECT(ADDRESS(2,COLUMN())),OFFSET($CL$2,0,0,ROW()-1,84),ROW()-1,FALSE))</f>
        <v/>
      </c>
      <c r="CH128" t="str">
        <f ca="1">IF(AND(ISNUMBER($CH$340),$B$252=1),$CH$340,HLOOKUP(INDIRECT(ADDRESS(2,COLUMN())),OFFSET($CL$2,0,0,ROW()-1,84),ROW()-1,FALSE))</f>
        <v/>
      </c>
      <c r="CI128">
        <f ca="1">IF(AND(ISNUMBER($CI$340),$B$252=1),$CI$340,HLOOKUP(INDIRECT(ADDRESS(2,COLUMN())),OFFSET($CL$2,0,0,ROW()-1,84),ROW()-1,FALSE))</f>
        <v>1.074044037</v>
      </c>
      <c r="CJ128" t="str">
        <f ca="1">IF(AND(ISNUMBER($CJ$340),$B$252=1),$CJ$340,HLOOKUP(INDIRECT(ADDRESS(2,COLUMN())),OFFSET($CL$2,0,0,ROW()-1,84),ROW()-1,FALSE))</f>
        <v/>
      </c>
      <c r="CK128" t="str">
        <f ca="1">IF(AND(ISNUMBER($CK$340),$B$252=1),$CK$340,HLOOKUP(INDIRECT(ADDRESS(2,COLUMN())),OFFSET($CL$2,0,0,ROW()-1,84),ROW()-1,FALSE))</f>
        <v/>
      </c>
      <c r="CL128" t="str">
        <f>""</f>
        <v/>
      </c>
      <c r="CM128" t="str">
        <f>""</f>
        <v/>
      </c>
      <c r="CN128" t="str">
        <f>""</f>
        <v/>
      </c>
      <c r="CO128">
        <f>2.165294516</f>
        <v>2.1652945159999999</v>
      </c>
      <c r="CP128" t="str">
        <f>""</f>
        <v/>
      </c>
      <c r="CQ128" t="str">
        <f>""</f>
        <v/>
      </c>
      <c r="CR128">
        <f>2.105771033</f>
        <v>2.1057710329999999</v>
      </c>
      <c r="CS128" t="str">
        <f>""</f>
        <v/>
      </c>
      <c r="CT128" t="str">
        <f>""</f>
        <v/>
      </c>
      <c r="CU128">
        <f>1.996241658</f>
        <v>1.996241658</v>
      </c>
      <c r="CV128" t="str">
        <f>""</f>
        <v/>
      </c>
      <c r="CW128" t="str">
        <f>""</f>
        <v/>
      </c>
      <c r="CX128">
        <f>2.010306865</f>
        <v>2.010306865</v>
      </c>
      <c r="CY128" t="str">
        <f>""</f>
        <v/>
      </c>
      <c r="CZ128" t="str">
        <f>""</f>
        <v/>
      </c>
      <c r="DA128">
        <f>2.042792</f>
        <v>2.0427919999999999</v>
      </c>
      <c r="DB128" t="str">
        <f>""</f>
        <v/>
      </c>
      <c r="DC128" t="str">
        <f>""</f>
        <v/>
      </c>
      <c r="DD128">
        <f>1.99134379</f>
        <v>1.9913437899999999</v>
      </c>
      <c r="DE128" t="str">
        <f>""</f>
        <v/>
      </c>
      <c r="DF128" t="str">
        <f>""</f>
        <v/>
      </c>
      <c r="DG128">
        <f>1.937182709</f>
        <v>1.937182709</v>
      </c>
      <c r="DH128" t="str">
        <f>""</f>
        <v/>
      </c>
      <c r="DI128" t="str">
        <f>""</f>
        <v/>
      </c>
      <c r="DJ128">
        <f>1.886353603</f>
        <v>1.8863536030000001</v>
      </c>
      <c r="DK128" t="str">
        <f>""</f>
        <v/>
      </c>
      <c r="DL128" t="str">
        <f>""</f>
        <v/>
      </c>
      <c r="DM128">
        <f>1.904784657</f>
        <v>1.904784657</v>
      </c>
      <c r="DN128" t="str">
        <f>""</f>
        <v/>
      </c>
      <c r="DO128" t="str">
        <f>""</f>
        <v/>
      </c>
      <c r="DP128">
        <f>1.849830539</f>
        <v>1.8498305390000001</v>
      </c>
      <c r="DQ128" t="str">
        <f>""</f>
        <v/>
      </c>
      <c r="DR128" t="str">
        <f>""</f>
        <v/>
      </c>
      <c r="DS128">
        <f>1.782947123</f>
        <v>1.782947123</v>
      </c>
      <c r="DT128" t="str">
        <f>""</f>
        <v/>
      </c>
      <c r="DU128" t="str">
        <f>""</f>
        <v/>
      </c>
      <c r="DV128">
        <f>1.673637742</f>
        <v>1.6736377419999999</v>
      </c>
      <c r="DW128" t="str">
        <f>""</f>
        <v/>
      </c>
      <c r="DX128" t="str">
        <f>""</f>
        <v/>
      </c>
      <c r="DY128">
        <f>1.644798639</f>
        <v>1.644798639</v>
      </c>
      <c r="DZ128" t="str">
        <f>""</f>
        <v/>
      </c>
      <c r="EA128" t="str">
        <f>""</f>
        <v/>
      </c>
      <c r="EB128">
        <f>1.660584115</f>
        <v>1.660584115</v>
      </c>
      <c r="EC128" t="str">
        <f>""</f>
        <v/>
      </c>
      <c r="ED128" t="str">
        <f>""</f>
        <v/>
      </c>
      <c r="EE128">
        <f>1.635307069</f>
        <v>1.635307069</v>
      </c>
      <c r="EF128" t="str">
        <f>""</f>
        <v/>
      </c>
      <c r="EG128" t="str">
        <f>""</f>
        <v/>
      </c>
      <c r="EH128">
        <f>1.561248875</f>
        <v>1.561248875</v>
      </c>
      <c r="EI128" t="str">
        <f>""</f>
        <v/>
      </c>
      <c r="EJ128" t="str">
        <f>""</f>
        <v/>
      </c>
      <c r="EK128">
        <f>1.50708116</f>
        <v>1.50708116</v>
      </c>
      <c r="EL128" t="str">
        <f>""</f>
        <v/>
      </c>
      <c r="EM128" t="str">
        <f>""</f>
        <v/>
      </c>
      <c r="EN128">
        <f>1.560073945</f>
        <v>1.5600739450000001</v>
      </c>
      <c r="EO128" t="str">
        <f>""</f>
        <v/>
      </c>
      <c r="EP128" t="str">
        <f>""</f>
        <v/>
      </c>
      <c r="EQ128">
        <f>1.549923852</f>
        <v>1.549923852</v>
      </c>
      <c r="ER128" t="str">
        <f>""</f>
        <v/>
      </c>
      <c r="ES128" t="str">
        <f>""</f>
        <v/>
      </c>
      <c r="ET128">
        <f>1.294134878</f>
        <v>1.2941348779999999</v>
      </c>
      <c r="EU128" t="str">
        <f>""</f>
        <v/>
      </c>
      <c r="EV128" t="str">
        <f>""</f>
        <v/>
      </c>
      <c r="EW128">
        <f>1.206082643</f>
        <v>1.206082643</v>
      </c>
      <c r="EX128" t="str">
        <f>""</f>
        <v/>
      </c>
      <c r="EY128" t="str">
        <f>""</f>
        <v/>
      </c>
      <c r="EZ128">
        <f>1.369128296</f>
        <v>1.369128296</v>
      </c>
      <c r="FA128" t="str">
        <f>""</f>
        <v/>
      </c>
      <c r="FB128" t="str">
        <f>""</f>
        <v/>
      </c>
      <c r="FC128">
        <f>1.273312792</f>
        <v>1.273312792</v>
      </c>
      <c r="FD128" t="str">
        <f>""</f>
        <v/>
      </c>
      <c r="FE128" t="str">
        <f>""</f>
        <v/>
      </c>
      <c r="FF128">
        <f>1.205848856</f>
        <v>1.205848856</v>
      </c>
      <c r="FG128" t="str">
        <f>""</f>
        <v/>
      </c>
      <c r="FH128" t="str">
        <f>""</f>
        <v/>
      </c>
      <c r="FI128">
        <f>1.200412257</f>
        <v>1.200412257</v>
      </c>
      <c r="FJ128" t="str">
        <f>""</f>
        <v/>
      </c>
      <c r="FK128" t="str">
        <f>""</f>
        <v/>
      </c>
      <c r="FL128">
        <f>1.105694809</f>
        <v>1.1056948090000001</v>
      </c>
      <c r="FM128" t="str">
        <f>""</f>
        <v/>
      </c>
      <c r="FN128" t="str">
        <f>""</f>
        <v/>
      </c>
      <c r="FO128">
        <f>1.074044037</f>
        <v>1.074044037</v>
      </c>
      <c r="FP128" t="str">
        <f>""</f>
        <v/>
      </c>
      <c r="FQ128" t="str">
        <f>""</f>
        <v/>
      </c>
    </row>
    <row r="129" spans="1:173">
      <c r="A129" t="str">
        <f>"    Camden Property Trust"</f>
        <v xml:space="preserve">    Camden Property Trust</v>
      </c>
      <c r="B129" t="str">
        <f>"CPT US Equity"</f>
        <v>CPT US Equity</v>
      </c>
      <c r="C129" t="str">
        <f t="shared" si="39"/>
        <v>F0580</v>
      </c>
      <c r="D129" t="str">
        <f t="shared" si="40"/>
        <v>FUNDS_AVAILABLE_FOR_DIST_PER_SH</v>
      </c>
      <c r="E129" t="str">
        <f t="shared" si="41"/>
        <v>动态</v>
      </c>
      <c r="F129" t="str">
        <f ca="1">IF(AND(ISNUMBER($F$341),$B$252=1),$F$341,HLOOKUP(INDIRECT(ADDRESS(2,COLUMN())),OFFSET($CL$2,0,0,ROW()-1,84),ROW()-1,FALSE))</f>
        <v/>
      </c>
      <c r="G129" t="str">
        <f ca="1">IF(AND(ISNUMBER($G$341),$B$252=1),$G$341,HLOOKUP(INDIRECT(ADDRESS(2,COLUMN())),OFFSET($CL$2,0,0,ROW()-1,84),ROW()-1,FALSE))</f>
        <v/>
      </c>
      <c r="H129" t="str">
        <f ca="1">IF(AND(ISNUMBER($H$341),$B$252=1),$H$341,HLOOKUP(INDIRECT(ADDRESS(2,COLUMN())),OFFSET($CL$2,0,0,ROW()-1,84),ROW()-1,FALSE))</f>
        <v/>
      </c>
      <c r="I129">
        <f ca="1">IF(AND(ISNUMBER($I$341),$B$252=1),$I$341,HLOOKUP(INDIRECT(ADDRESS(2,COLUMN())),OFFSET($CL$2,0,0,ROW()-1,84),ROW()-1,FALSE))</f>
        <v>0.96601351599999996</v>
      </c>
      <c r="J129" t="str">
        <f ca="1">IF(AND(ISNUMBER($J$341),$B$252=1),$J$341,HLOOKUP(INDIRECT(ADDRESS(2,COLUMN())),OFFSET($CL$2,0,0,ROW()-1,84),ROW()-1,FALSE))</f>
        <v/>
      </c>
      <c r="K129" t="str">
        <f ca="1">IF(AND(ISNUMBER($K$341),$B$252=1),$K$341,HLOOKUP(INDIRECT(ADDRESS(2,COLUMN())),OFFSET($CL$2,0,0,ROW()-1,84),ROW()-1,FALSE))</f>
        <v/>
      </c>
      <c r="L129">
        <f ca="1">IF(AND(ISNUMBER($L$341),$B$252=1),$L$341,HLOOKUP(INDIRECT(ADDRESS(2,COLUMN())),OFFSET($CL$2,0,0,ROW()-1,84),ROW()-1,FALSE))</f>
        <v>0.92020276899999998</v>
      </c>
      <c r="M129" t="str">
        <f ca="1">IF(AND(ISNUMBER($M$341),$B$252=1),$M$341,HLOOKUP(INDIRECT(ADDRESS(2,COLUMN())),OFFSET($CL$2,0,0,ROW()-1,84),ROW()-1,FALSE))</f>
        <v/>
      </c>
      <c r="N129" t="str">
        <f ca="1">IF(AND(ISNUMBER($N$341),$B$252=1),$N$341,HLOOKUP(INDIRECT(ADDRESS(2,COLUMN())),OFFSET($CL$2,0,0,ROW()-1,84),ROW()-1,FALSE))</f>
        <v/>
      </c>
      <c r="O129">
        <f ca="1">IF(AND(ISNUMBER($O$341),$B$252=1),$O$341,HLOOKUP(INDIRECT(ADDRESS(2,COLUMN())),OFFSET($CL$2,0,0,ROW()-1,84),ROW()-1,FALSE))</f>
        <v>0.96834529300000005</v>
      </c>
      <c r="P129" t="str">
        <f ca="1">IF(AND(ISNUMBER($P$341),$B$252=1),$P$341,HLOOKUP(INDIRECT(ADDRESS(2,COLUMN())),OFFSET($CL$2,0,0,ROW()-1,84),ROW()-1,FALSE))</f>
        <v/>
      </c>
      <c r="Q129" t="str">
        <f ca="1">IF(AND(ISNUMBER($Q$341),$B$252=1),$Q$341,HLOOKUP(INDIRECT(ADDRESS(2,COLUMN())),OFFSET($CL$2,0,0,ROW()-1,84),ROW()-1,FALSE))</f>
        <v/>
      </c>
      <c r="R129">
        <f ca="1">IF(AND(ISNUMBER($R$341),$B$252=1),$R$341,HLOOKUP(INDIRECT(ADDRESS(2,COLUMN())),OFFSET($CL$2,0,0,ROW()-1,84),ROW()-1,FALSE))</f>
        <v>0.985135121</v>
      </c>
      <c r="S129" t="str">
        <f ca="1">IF(AND(ISNUMBER($S$341),$B$252=1),$S$341,HLOOKUP(INDIRECT(ADDRESS(2,COLUMN())),OFFSET($CL$2,0,0,ROW()-1,84),ROW()-1,FALSE))</f>
        <v/>
      </c>
      <c r="T129" t="str">
        <f ca="1">IF(AND(ISNUMBER($T$341),$B$252=1),$T$341,HLOOKUP(INDIRECT(ADDRESS(2,COLUMN())),OFFSET($CL$2,0,0,ROW()-1,84),ROW()-1,FALSE))</f>
        <v/>
      </c>
      <c r="U129">
        <f ca="1">IF(AND(ISNUMBER($U$341),$B$252=1),$U$341,HLOOKUP(INDIRECT(ADDRESS(2,COLUMN())),OFFSET($CL$2,0,0,ROW()-1,84),ROW()-1,FALSE))</f>
        <v>0.97979896899999996</v>
      </c>
      <c r="V129" t="str">
        <f ca="1">IF(AND(ISNUMBER($V$341),$B$252=1),$V$341,HLOOKUP(INDIRECT(ADDRESS(2,COLUMN())),OFFSET($CL$2,0,0,ROW()-1,84),ROW()-1,FALSE))</f>
        <v/>
      </c>
      <c r="W129" t="str">
        <f ca="1">IF(AND(ISNUMBER($W$341),$B$252=1),$W$341,HLOOKUP(INDIRECT(ADDRESS(2,COLUMN())),OFFSET($CL$2,0,0,ROW()-1,84),ROW()-1,FALSE))</f>
        <v/>
      </c>
      <c r="X129">
        <f ca="1">IF(AND(ISNUMBER($X$341),$B$252=1),$X$341,HLOOKUP(INDIRECT(ADDRESS(2,COLUMN())),OFFSET($CL$2,0,0,ROW()-1,84),ROW()-1,FALSE))</f>
        <v>0.92475598699999995</v>
      </c>
      <c r="Y129" t="str">
        <f ca="1">IF(AND(ISNUMBER($Y$341),$B$252=1),$Y$341,HLOOKUP(INDIRECT(ADDRESS(2,COLUMN())),OFFSET($CL$2,0,0,ROW()-1,84),ROW()-1,FALSE))</f>
        <v/>
      </c>
      <c r="Z129" t="str">
        <f ca="1">IF(AND(ISNUMBER($Z$341),$B$252=1),$Z$341,HLOOKUP(INDIRECT(ADDRESS(2,COLUMN())),OFFSET($CL$2,0,0,ROW()-1,84),ROW()-1,FALSE))</f>
        <v/>
      </c>
      <c r="AA129">
        <f ca="1">IF(AND(ISNUMBER($AA$341),$B$252=1),$AA$341,HLOOKUP(INDIRECT(ADDRESS(2,COLUMN())),OFFSET($CL$2,0,0,ROW()-1,84),ROW()-1,FALSE))</f>
        <v>0.98644186</v>
      </c>
      <c r="AB129" t="str">
        <f ca="1">IF(AND(ISNUMBER($AB$341),$B$252=1),$AB$341,HLOOKUP(INDIRECT(ADDRESS(2,COLUMN())),OFFSET($CL$2,0,0,ROW()-1,84),ROW()-1,FALSE))</f>
        <v/>
      </c>
      <c r="AC129" t="str">
        <f ca="1">IF(AND(ISNUMBER($AC$341),$B$252=1),$AC$341,HLOOKUP(INDIRECT(ADDRESS(2,COLUMN())),OFFSET($CL$2,0,0,ROW()-1,84),ROW()-1,FALSE))</f>
        <v/>
      </c>
      <c r="AD129">
        <f ca="1">IF(AND(ISNUMBER($AD$341),$B$252=1),$AD$341,HLOOKUP(INDIRECT(ADDRESS(2,COLUMN())),OFFSET($CL$2,0,0,ROW()-1,84),ROW()-1,FALSE))</f>
        <v>1.1006954680000001</v>
      </c>
      <c r="AE129" t="str">
        <f ca="1">IF(AND(ISNUMBER($AE$341),$B$252=1),$AE$341,HLOOKUP(INDIRECT(ADDRESS(2,COLUMN())),OFFSET($CL$2,0,0,ROW()-1,84),ROW()-1,FALSE))</f>
        <v/>
      </c>
      <c r="AF129" t="str">
        <f ca="1">IF(AND(ISNUMBER($AF$341),$B$252=1),$AF$341,HLOOKUP(INDIRECT(ADDRESS(2,COLUMN())),OFFSET($CL$2,0,0,ROW()-1,84),ROW()-1,FALSE))</f>
        <v/>
      </c>
      <c r="AG129">
        <f ca="1">IF(AND(ISNUMBER($AG$341),$B$252=1),$AG$341,HLOOKUP(INDIRECT(ADDRESS(2,COLUMN())),OFFSET($CL$2,0,0,ROW()-1,84),ROW()-1,FALSE))</f>
        <v>1.0071145990000001</v>
      </c>
      <c r="AH129" t="str">
        <f ca="1">IF(AND(ISNUMBER($AH$341),$B$252=1),$AH$341,HLOOKUP(INDIRECT(ADDRESS(2,COLUMN())),OFFSET($CL$2,0,0,ROW()-1,84),ROW()-1,FALSE))</f>
        <v/>
      </c>
      <c r="AI129" t="str">
        <f ca="1">IF(AND(ISNUMBER($AI$341),$B$252=1),$AI$341,HLOOKUP(INDIRECT(ADDRESS(2,COLUMN())),OFFSET($CL$2,0,0,ROW()-1,84),ROW()-1,FALSE))</f>
        <v/>
      </c>
      <c r="AJ129">
        <f ca="1">IF(AND(ISNUMBER($AJ$341),$B$252=1),$AJ$341,HLOOKUP(INDIRECT(ADDRESS(2,COLUMN())),OFFSET($CL$2,0,0,ROW()-1,84),ROW()-1,FALSE))</f>
        <v>0.94220588900000002</v>
      </c>
      <c r="AK129" t="str">
        <f ca="1">IF(AND(ISNUMBER($AK$341),$B$252=1),$AK$341,HLOOKUP(INDIRECT(ADDRESS(2,COLUMN())),OFFSET($CL$2,0,0,ROW()-1,84),ROW()-1,FALSE))</f>
        <v/>
      </c>
      <c r="AL129" t="str">
        <f ca="1">IF(AND(ISNUMBER($AL$341),$B$252=1),$AL$341,HLOOKUP(INDIRECT(ADDRESS(2,COLUMN())),OFFSET($CL$2,0,0,ROW()-1,84),ROW()-1,FALSE))</f>
        <v/>
      </c>
      <c r="AM129">
        <f ca="1">IF(AND(ISNUMBER($AM$341),$B$252=1),$AM$341,HLOOKUP(INDIRECT(ADDRESS(2,COLUMN())),OFFSET($CL$2,0,0,ROW()-1,84),ROW()-1,FALSE))</f>
        <v>0.92127044599999997</v>
      </c>
      <c r="AN129" t="str">
        <f ca="1">IF(AND(ISNUMBER($AN$341),$B$252=1),$AN$341,HLOOKUP(INDIRECT(ADDRESS(2,COLUMN())),OFFSET($CL$2,0,0,ROW()-1,84),ROW()-1,FALSE))</f>
        <v/>
      </c>
      <c r="AO129" t="str">
        <f ca="1">IF(AND(ISNUMBER($AO$341),$B$252=1),$AO$341,HLOOKUP(INDIRECT(ADDRESS(2,COLUMN())),OFFSET($CL$2,0,0,ROW()-1,84),ROW()-1,FALSE))</f>
        <v/>
      </c>
      <c r="AP129">
        <f ca="1">IF(AND(ISNUMBER($AP$341),$B$252=1),$AP$341,HLOOKUP(INDIRECT(ADDRESS(2,COLUMN())),OFFSET($CL$2,0,0,ROW()-1,84),ROW()-1,FALSE))</f>
        <v>0.99902492499999995</v>
      </c>
      <c r="AQ129" t="str">
        <f ca="1">IF(AND(ISNUMBER($AQ$341),$B$252=1),$AQ$341,HLOOKUP(INDIRECT(ADDRESS(2,COLUMN())),OFFSET($CL$2,0,0,ROW()-1,84),ROW()-1,FALSE))</f>
        <v/>
      </c>
      <c r="AR129" t="str">
        <f ca="1">IF(AND(ISNUMBER($AR$341),$B$252=1),$AR$341,HLOOKUP(INDIRECT(ADDRESS(2,COLUMN())),OFFSET($CL$2,0,0,ROW()-1,84),ROW()-1,FALSE))</f>
        <v/>
      </c>
      <c r="AS129">
        <f ca="1">IF(AND(ISNUMBER($AS$341),$B$252=1),$AS$341,HLOOKUP(INDIRECT(ADDRESS(2,COLUMN())),OFFSET($CL$2,0,0,ROW()-1,84),ROW()-1,FALSE))</f>
        <v>1.029699599</v>
      </c>
      <c r="AT129" t="str">
        <f ca="1">IF(AND(ISNUMBER($AT$341),$B$252=1),$AT$341,HLOOKUP(INDIRECT(ADDRESS(2,COLUMN())),OFFSET($CL$2,0,0,ROW()-1,84),ROW()-1,FALSE))</f>
        <v/>
      </c>
      <c r="AU129" t="str">
        <f ca="1">IF(AND(ISNUMBER($AU$341),$B$252=1),$AU$341,HLOOKUP(INDIRECT(ADDRESS(2,COLUMN())),OFFSET($CL$2,0,0,ROW()-1,84),ROW()-1,FALSE))</f>
        <v/>
      </c>
      <c r="AV129">
        <f ca="1">IF(AND(ISNUMBER($AV$341),$B$252=1),$AV$341,HLOOKUP(INDIRECT(ADDRESS(2,COLUMN())),OFFSET($CL$2,0,0,ROW()-1,84),ROW()-1,FALSE))</f>
        <v>0.98830150699999997</v>
      </c>
      <c r="AW129" t="str">
        <f ca="1">IF(AND(ISNUMBER($AW$341),$B$252=1),$AW$341,HLOOKUP(INDIRECT(ADDRESS(2,COLUMN())),OFFSET($CL$2,0,0,ROW()-1,84),ROW()-1,FALSE))</f>
        <v/>
      </c>
      <c r="AX129" t="str">
        <f ca="1">IF(AND(ISNUMBER($AX$341),$B$252=1),$AX$341,HLOOKUP(INDIRECT(ADDRESS(2,COLUMN())),OFFSET($CL$2,0,0,ROW()-1,84),ROW()-1,FALSE))</f>
        <v/>
      </c>
      <c r="AY129">
        <f ca="1">IF(AND(ISNUMBER($AY$341),$B$252=1),$AY$341,HLOOKUP(INDIRECT(ADDRESS(2,COLUMN())),OFFSET($CL$2,0,0,ROW()-1,84),ROW()-1,FALSE))</f>
        <v>0.97176264199999995</v>
      </c>
      <c r="AZ129" t="str">
        <f ca="1">IF(AND(ISNUMBER($AZ$341),$B$252=1),$AZ$341,HLOOKUP(INDIRECT(ADDRESS(2,COLUMN())),OFFSET($CL$2,0,0,ROW()-1,84),ROW()-1,FALSE))</f>
        <v/>
      </c>
      <c r="BA129" t="str">
        <f ca="1">IF(AND(ISNUMBER($BA$341),$B$252=1),$BA$341,HLOOKUP(INDIRECT(ADDRESS(2,COLUMN())),OFFSET($CL$2,0,0,ROW()-1,84),ROW()-1,FALSE))</f>
        <v/>
      </c>
      <c r="BB129">
        <f ca="1">IF(AND(ISNUMBER($BB$341),$B$252=1),$BB$341,HLOOKUP(INDIRECT(ADDRESS(2,COLUMN())),OFFSET($CL$2,0,0,ROW()-1,84),ROW()-1,FALSE))</f>
        <v>0.98222667100000005</v>
      </c>
      <c r="BC129" t="str">
        <f ca="1">IF(AND(ISNUMBER($BC$341),$B$252=1),$BC$341,HLOOKUP(INDIRECT(ADDRESS(2,COLUMN())),OFFSET($CL$2,0,0,ROW()-1,84),ROW()-1,FALSE))</f>
        <v/>
      </c>
      <c r="BD129" t="str">
        <f ca="1">IF(AND(ISNUMBER($BD$341),$B$252=1),$BD$341,HLOOKUP(INDIRECT(ADDRESS(2,COLUMN())),OFFSET($CL$2,0,0,ROW()-1,84),ROW()-1,FALSE))</f>
        <v/>
      </c>
      <c r="BE129">
        <f ca="1">IF(AND(ISNUMBER($BE$341),$B$252=1),$BE$341,HLOOKUP(INDIRECT(ADDRESS(2,COLUMN())),OFFSET($CL$2,0,0,ROW()-1,84),ROW()-1,FALSE))</f>
        <v>1.005469411</v>
      </c>
      <c r="BF129" t="str">
        <f ca="1">IF(AND(ISNUMBER($BF$341),$B$252=1),$BF$341,HLOOKUP(INDIRECT(ADDRESS(2,COLUMN())),OFFSET($CL$2,0,0,ROW()-1,84),ROW()-1,FALSE))</f>
        <v/>
      </c>
      <c r="BG129" t="str">
        <f ca="1">IF(AND(ISNUMBER($BG$341),$B$252=1),$BG$341,HLOOKUP(INDIRECT(ADDRESS(2,COLUMN())),OFFSET($CL$2,0,0,ROW()-1,84),ROW()-1,FALSE))</f>
        <v/>
      </c>
      <c r="BH129">
        <f ca="1">IF(AND(ISNUMBER($BH$341),$B$252=1),$BH$341,HLOOKUP(INDIRECT(ADDRESS(2,COLUMN())),OFFSET($CL$2,0,0,ROW()-1,84),ROW()-1,FALSE))</f>
        <v>0.95985612799999998</v>
      </c>
      <c r="BI129" t="str">
        <f ca="1">IF(AND(ISNUMBER($BI$341),$B$252=1),$BI$341,HLOOKUP(INDIRECT(ADDRESS(2,COLUMN())),OFFSET($CL$2,0,0,ROW()-1,84),ROW()-1,FALSE))</f>
        <v/>
      </c>
      <c r="BJ129" t="str">
        <f ca="1">IF(AND(ISNUMBER($BJ$341),$B$252=1),$BJ$341,HLOOKUP(INDIRECT(ADDRESS(2,COLUMN())),OFFSET($CL$2,0,0,ROW()-1,84),ROW()-1,FALSE))</f>
        <v/>
      </c>
      <c r="BK129">
        <f ca="1">IF(AND(ISNUMBER($BK$341),$B$252=1),$BK$341,HLOOKUP(INDIRECT(ADDRESS(2,COLUMN())),OFFSET($CL$2,0,0,ROW()-1,84),ROW()-1,FALSE))</f>
        <v>0.94581165300000003</v>
      </c>
      <c r="BL129" t="str">
        <f ca="1">IF(AND(ISNUMBER($BL$341),$B$252=1),$BL$341,HLOOKUP(INDIRECT(ADDRESS(2,COLUMN())),OFFSET($CL$2,0,0,ROW()-1,84),ROW()-1,FALSE))</f>
        <v/>
      </c>
      <c r="BM129" t="str">
        <f ca="1">IF(AND(ISNUMBER($BM$341),$B$252=1),$BM$341,HLOOKUP(INDIRECT(ADDRESS(2,COLUMN())),OFFSET($CL$2,0,0,ROW()-1,84),ROW()-1,FALSE))</f>
        <v/>
      </c>
      <c r="BN129">
        <f ca="1">IF(AND(ISNUMBER($BN$341),$B$252=1),$BN$341,HLOOKUP(INDIRECT(ADDRESS(2,COLUMN())),OFFSET($CL$2,0,0,ROW()-1,84),ROW()-1,FALSE))</f>
        <v>0.89241620600000005</v>
      </c>
      <c r="BO129" t="str">
        <f ca="1">IF(AND(ISNUMBER($BO$341),$B$252=1),$BO$341,HLOOKUP(INDIRECT(ADDRESS(2,COLUMN())),OFFSET($CL$2,0,0,ROW()-1,84),ROW()-1,FALSE))</f>
        <v/>
      </c>
      <c r="BP129" t="str">
        <f ca="1">IF(AND(ISNUMBER($BP$341),$B$252=1),$BP$341,HLOOKUP(INDIRECT(ADDRESS(2,COLUMN())),OFFSET($CL$2,0,0,ROW()-1,84),ROW()-1,FALSE))</f>
        <v/>
      </c>
      <c r="BQ129">
        <f ca="1">IF(AND(ISNUMBER($BQ$341),$B$252=1),$BQ$341,HLOOKUP(INDIRECT(ADDRESS(2,COLUMN())),OFFSET($CL$2,0,0,ROW()-1,84),ROW()-1,FALSE))</f>
        <v>0.88875279500000004</v>
      </c>
      <c r="BR129" t="str">
        <f ca="1">IF(AND(ISNUMBER($BR$341),$B$252=1),$BR$341,HLOOKUP(INDIRECT(ADDRESS(2,COLUMN())),OFFSET($CL$2,0,0,ROW()-1,84),ROW()-1,FALSE))</f>
        <v/>
      </c>
      <c r="BS129" t="str">
        <f ca="1">IF(AND(ISNUMBER($BS$341),$B$252=1),$BS$341,HLOOKUP(INDIRECT(ADDRESS(2,COLUMN())),OFFSET($CL$2,0,0,ROW()-1,84),ROW()-1,FALSE))</f>
        <v/>
      </c>
      <c r="BT129">
        <f ca="1">IF(AND(ISNUMBER($BT$341),$B$252=1),$BT$341,HLOOKUP(INDIRECT(ADDRESS(2,COLUMN())),OFFSET($CL$2,0,0,ROW()-1,84),ROW()-1,FALSE))</f>
        <v>0.83224122700000003</v>
      </c>
      <c r="BU129" t="str">
        <f ca="1">IF(AND(ISNUMBER($BU$341),$B$252=1),$BU$341,HLOOKUP(INDIRECT(ADDRESS(2,COLUMN())),OFFSET($CL$2,0,0,ROW()-1,84),ROW()-1,FALSE))</f>
        <v/>
      </c>
      <c r="BV129" t="str">
        <f ca="1">IF(AND(ISNUMBER($BV$341),$B$252=1),$BV$341,HLOOKUP(INDIRECT(ADDRESS(2,COLUMN())),OFFSET($CL$2,0,0,ROW()-1,84),ROW()-1,FALSE))</f>
        <v/>
      </c>
      <c r="BW129">
        <f ca="1">IF(AND(ISNUMBER($BW$341),$B$252=1),$BW$341,HLOOKUP(INDIRECT(ADDRESS(2,COLUMN())),OFFSET($CL$2,0,0,ROW()-1,84),ROW()-1,FALSE))</f>
        <v>0.807068911</v>
      </c>
      <c r="BX129" t="str">
        <f ca="1">IF(AND(ISNUMBER($BX$341),$B$252=1),$BX$341,HLOOKUP(INDIRECT(ADDRESS(2,COLUMN())),OFFSET($CL$2,0,0,ROW()-1,84),ROW()-1,FALSE))</f>
        <v/>
      </c>
      <c r="BY129" t="str">
        <f ca="1">IF(AND(ISNUMBER($BY$341),$B$252=1),$BY$341,HLOOKUP(INDIRECT(ADDRESS(2,COLUMN())),OFFSET($CL$2,0,0,ROW()-1,84),ROW()-1,FALSE))</f>
        <v/>
      </c>
      <c r="BZ129">
        <f ca="1">IF(AND(ISNUMBER($BZ$341),$B$252=1),$BZ$341,HLOOKUP(INDIRECT(ADDRESS(2,COLUMN())),OFFSET($CL$2,0,0,ROW()-1,84),ROW()-1,FALSE))</f>
        <v>0.74617102199999996</v>
      </c>
      <c r="CA129" t="str">
        <f ca="1">IF(AND(ISNUMBER($CA$341),$B$252=1),$CA$341,HLOOKUP(INDIRECT(ADDRESS(2,COLUMN())),OFFSET($CL$2,0,0,ROW()-1,84),ROW()-1,FALSE))</f>
        <v/>
      </c>
      <c r="CB129" t="str">
        <f ca="1">IF(AND(ISNUMBER($CB$341),$B$252=1),$CB$341,HLOOKUP(INDIRECT(ADDRESS(2,COLUMN())),OFFSET($CL$2,0,0,ROW()-1,84),ROW()-1,FALSE))</f>
        <v/>
      </c>
      <c r="CC129">
        <f ca="1">IF(AND(ISNUMBER($CC$341),$B$252=1),$CC$341,HLOOKUP(INDIRECT(ADDRESS(2,COLUMN())),OFFSET($CL$2,0,0,ROW()-1,84),ROW()-1,FALSE))</f>
        <v>0.74944226300000005</v>
      </c>
      <c r="CD129" t="str">
        <f ca="1">IF(AND(ISNUMBER($CD$341),$B$252=1),$CD$341,HLOOKUP(INDIRECT(ADDRESS(2,COLUMN())),OFFSET($CL$2,0,0,ROW()-1,84),ROW()-1,FALSE))</f>
        <v/>
      </c>
      <c r="CE129" t="str">
        <f ca="1">IF(AND(ISNUMBER($CE$341),$B$252=1),$CE$341,HLOOKUP(INDIRECT(ADDRESS(2,COLUMN())),OFFSET($CL$2,0,0,ROW()-1,84),ROW()-1,FALSE))</f>
        <v/>
      </c>
      <c r="CF129">
        <f ca="1">IF(AND(ISNUMBER($CF$341),$B$252=1),$CF$341,HLOOKUP(INDIRECT(ADDRESS(2,COLUMN())),OFFSET($CL$2,0,0,ROW()-1,84),ROW()-1,FALSE))</f>
        <v>0.66520249899999995</v>
      </c>
      <c r="CG129" t="str">
        <f ca="1">IF(AND(ISNUMBER($CG$341),$B$252=1),$CG$341,HLOOKUP(INDIRECT(ADDRESS(2,COLUMN())),OFFSET($CL$2,0,0,ROW()-1,84),ROW()-1,FALSE))</f>
        <v/>
      </c>
      <c r="CH129" t="str">
        <f ca="1">IF(AND(ISNUMBER($CH$341),$B$252=1),$CH$341,HLOOKUP(INDIRECT(ADDRESS(2,COLUMN())),OFFSET($CL$2,0,0,ROW()-1,84),ROW()-1,FALSE))</f>
        <v/>
      </c>
      <c r="CI129">
        <f ca="1">IF(AND(ISNUMBER($CI$341),$B$252=1),$CI$341,HLOOKUP(INDIRECT(ADDRESS(2,COLUMN())),OFFSET($CL$2,0,0,ROW()-1,84),ROW()-1,FALSE))</f>
        <v>0.311772573</v>
      </c>
      <c r="CJ129" t="str">
        <f ca="1">IF(AND(ISNUMBER($CJ$341),$B$252=1),$CJ$341,HLOOKUP(INDIRECT(ADDRESS(2,COLUMN())),OFFSET($CL$2,0,0,ROW()-1,84),ROW()-1,FALSE))</f>
        <v/>
      </c>
      <c r="CK129" t="str">
        <f ca="1">IF(AND(ISNUMBER($CK$341),$B$252=1),$CK$341,HLOOKUP(INDIRECT(ADDRESS(2,COLUMN())),OFFSET($CL$2,0,0,ROW()-1,84),ROW()-1,FALSE))</f>
        <v/>
      </c>
      <c r="CL129" t="str">
        <f>""</f>
        <v/>
      </c>
      <c r="CM129" t="str">
        <f>""</f>
        <v/>
      </c>
      <c r="CN129" t="str">
        <f>""</f>
        <v/>
      </c>
      <c r="CO129">
        <f>0.966013516</f>
        <v>0.96601351599999996</v>
      </c>
      <c r="CP129" t="str">
        <f>""</f>
        <v/>
      </c>
      <c r="CQ129" t="str">
        <f>""</f>
        <v/>
      </c>
      <c r="CR129">
        <f>0.920202769</f>
        <v>0.92020276899999998</v>
      </c>
      <c r="CS129" t="str">
        <f>""</f>
        <v/>
      </c>
      <c r="CT129" t="str">
        <f>""</f>
        <v/>
      </c>
      <c r="CU129">
        <f>0.968345293</f>
        <v>0.96834529300000005</v>
      </c>
      <c r="CV129" t="str">
        <f>""</f>
        <v/>
      </c>
      <c r="CW129" t="str">
        <f>""</f>
        <v/>
      </c>
      <c r="CX129">
        <f>0.985135121</f>
        <v>0.985135121</v>
      </c>
      <c r="CY129" t="str">
        <f>""</f>
        <v/>
      </c>
      <c r="CZ129" t="str">
        <f>""</f>
        <v/>
      </c>
      <c r="DA129">
        <f>0.979798969</f>
        <v>0.97979896899999996</v>
      </c>
      <c r="DB129" t="str">
        <f>""</f>
        <v/>
      </c>
      <c r="DC129" t="str">
        <f>""</f>
        <v/>
      </c>
      <c r="DD129">
        <f>0.924755987</f>
        <v>0.92475598699999995</v>
      </c>
      <c r="DE129" t="str">
        <f>""</f>
        <v/>
      </c>
      <c r="DF129" t="str">
        <f>""</f>
        <v/>
      </c>
      <c r="DG129">
        <f>0.98644186</f>
        <v>0.98644186</v>
      </c>
      <c r="DH129" t="str">
        <f>""</f>
        <v/>
      </c>
      <c r="DI129" t="str">
        <f>""</f>
        <v/>
      </c>
      <c r="DJ129">
        <f>1.100695468</f>
        <v>1.1006954680000001</v>
      </c>
      <c r="DK129" t="str">
        <f>""</f>
        <v/>
      </c>
      <c r="DL129" t="str">
        <f>""</f>
        <v/>
      </c>
      <c r="DM129">
        <f>1.007114599</f>
        <v>1.0071145990000001</v>
      </c>
      <c r="DN129" t="str">
        <f>""</f>
        <v/>
      </c>
      <c r="DO129" t="str">
        <f>""</f>
        <v/>
      </c>
      <c r="DP129">
        <f>0.942205889</f>
        <v>0.94220588900000002</v>
      </c>
      <c r="DQ129" t="str">
        <f>""</f>
        <v/>
      </c>
      <c r="DR129" t="str">
        <f>""</f>
        <v/>
      </c>
      <c r="DS129">
        <f>0.921270446</f>
        <v>0.92127044599999997</v>
      </c>
      <c r="DT129" t="str">
        <f>""</f>
        <v/>
      </c>
      <c r="DU129" t="str">
        <f>""</f>
        <v/>
      </c>
      <c r="DV129">
        <f>0.999024925</f>
        <v>0.99902492499999995</v>
      </c>
      <c r="DW129" t="str">
        <f>""</f>
        <v/>
      </c>
      <c r="DX129" t="str">
        <f>""</f>
        <v/>
      </c>
      <c r="DY129">
        <f>1.029699599</f>
        <v>1.029699599</v>
      </c>
      <c r="DZ129" t="str">
        <f>""</f>
        <v/>
      </c>
      <c r="EA129" t="str">
        <f>""</f>
        <v/>
      </c>
      <c r="EB129">
        <f>0.988301507</f>
        <v>0.98830150699999997</v>
      </c>
      <c r="EC129" t="str">
        <f>""</f>
        <v/>
      </c>
      <c r="ED129" t="str">
        <f>""</f>
        <v/>
      </c>
      <c r="EE129">
        <f>0.971762642</f>
        <v>0.97176264199999995</v>
      </c>
      <c r="EF129" t="str">
        <f>""</f>
        <v/>
      </c>
      <c r="EG129" t="str">
        <f>""</f>
        <v/>
      </c>
      <c r="EH129">
        <f>0.982226671</f>
        <v>0.98222667100000005</v>
      </c>
      <c r="EI129" t="str">
        <f>""</f>
        <v/>
      </c>
      <c r="EJ129" t="str">
        <f>""</f>
        <v/>
      </c>
      <c r="EK129">
        <f>1.005469411</f>
        <v>1.005469411</v>
      </c>
      <c r="EL129" t="str">
        <f>""</f>
        <v/>
      </c>
      <c r="EM129" t="str">
        <f>""</f>
        <v/>
      </c>
      <c r="EN129">
        <f>0.959856128</f>
        <v>0.95985612799999998</v>
      </c>
      <c r="EO129" t="str">
        <f>""</f>
        <v/>
      </c>
      <c r="EP129" t="str">
        <f>""</f>
        <v/>
      </c>
      <c r="EQ129">
        <f>0.945811653</f>
        <v>0.94581165300000003</v>
      </c>
      <c r="ER129" t="str">
        <f>""</f>
        <v/>
      </c>
      <c r="ES129" t="str">
        <f>""</f>
        <v/>
      </c>
      <c r="ET129">
        <f>0.892416206</f>
        <v>0.89241620600000005</v>
      </c>
      <c r="EU129" t="str">
        <f>""</f>
        <v/>
      </c>
      <c r="EV129" t="str">
        <f>""</f>
        <v/>
      </c>
      <c r="EW129">
        <f>0.888752795</f>
        <v>0.88875279500000004</v>
      </c>
      <c r="EX129" t="str">
        <f>""</f>
        <v/>
      </c>
      <c r="EY129" t="str">
        <f>""</f>
        <v/>
      </c>
      <c r="EZ129">
        <f>0.832241227</f>
        <v>0.83224122700000003</v>
      </c>
      <c r="FA129" t="str">
        <f>""</f>
        <v/>
      </c>
      <c r="FB129" t="str">
        <f>""</f>
        <v/>
      </c>
      <c r="FC129">
        <f>0.807068911</f>
        <v>0.807068911</v>
      </c>
      <c r="FD129" t="str">
        <f>""</f>
        <v/>
      </c>
      <c r="FE129" t="str">
        <f>""</f>
        <v/>
      </c>
      <c r="FF129">
        <f>0.746171022</f>
        <v>0.74617102199999996</v>
      </c>
      <c r="FG129" t="str">
        <f>""</f>
        <v/>
      </c>
      <c r="FH129" t="str">
        <f>""</f>
        <v/>
      </c>
      <c r="FI129">
        <f>0.749442263</f>
        <v>0.74944226300000005</v>
      </c>
      <c r="FJ129" t="str">
        <f>""</f>
        <v/>
      </c>
      <c r="FK129" t="str">
        <f>""</f>
        <v/>
      </c>
      <c r="FL129">
        <f>0.665202499</f>
        <v>0.66520249899999995</v>
      </c>
      <c r="FM129" t="str">
        <f>""</f>
        <v/>
      </c>
      <c r="FN129" t="str">
        <f>""</f>
        <v/>
      </c>
      <c r="FO129">
        <f>0.311772573</f>
        <v>0.311772573</v>
      </c>
      <c r="FP129" t="str">
        <f>""</f>
        <v/>
      </c>
      <c r="FQ129" t="str">
        <f>""</f>
        <v/>
      </c>
    </row>
    <row r="130" spans="1:173">
      <c r="A130" t="str">
        <f>"    Equity Residential"</f>
        <v xml:space="preserve">    Equity Residential</v>
      </c>
      <c r="B130" t="str">
        <f>"EQR US Equity"</f>
        <v>EQR US Equity</v>
      </c>
      <c r="C130" t="str">
        <f t="shared" si="39"/>
        <v>F0580</v>
      </c>
      <c r="D130" t="str">
        <f t="shared" si="40"/>
        <v>FUNDS_AVAILABLE_FOR_DIST_PER_SH</v>
      </c>
      <c r="E130" t="str">
        <f t="shared" si="41"/>
        <v>动态</v>
      </c>
      <c r="F130" t="str">
        <f ca="1">IF(AND(ISNUMBER($F$342),$B$252=1),$F$342,HLOOKUP(INDIRECT(ADDRESS(2,COLUMN())),OFFSET($CL$2,0,0,ROW()-1,84),ROW()-1,FALSE))</f>
        <v/>
      </c>
      <c r="G130" t="str">
        <f ca="1">IF(AND(ISNUMBER($G$342),$B$252=1),$G$342,HLOOKUP(INDIRECT(ADDRESS(2,COLUMN())),OFFSET($CL$2,0,0,ROW()-1,84),ROW()-1,FALSE))</f>
        <v/>
      </c>
      <c r="H130" t="str">
        <f ca="1">IF(AND(ISNUMBER($H$342),$B$252=1),$H$342,HLOOKUP(INDIRECT(ADDRESS(2,COLUMN())),OFFSET($CL$2,0,0,ROW()-1,84),ROW()-1,FALSE))</f>
        <v/>
      </c>
      <c r="I130">
        <f ca="1">IF(AND(ISNUMBER($I$342),$B$252=1),$I$342,HLOOKUP(INDIRECT(ADDRESS(2,COLUMN())),OFFSET($CL$2,0,0,ROW()-1,84),ROW()-1,FALSE))</f>
        <v>0.77737957000000002</v>
      </c>
      <c r="J130" t="str">
        <f ca="1">IF(AND(ISNUMBER($J$342),$B$252=1),$J$342,HLOOKUP(INDIRECT(ADDRESS(2,COLUMN())),OFFSET($CL$2,0,0,ROW()-1,84),ROW()-1,FALSE))</f>
        <v/>
      </c>
      <c r="K130" t="str">
        <f ca="1">IF(AND(ISNUMBER($K$342),$B$252=1),$K$342,HLOOKUP(INDIRECT(ADDRESS(2,COLUMN())),OFFSET($CL$2,0,0,ROW()-1,84),ROW()-1,FALSE))</f>
        <v/>
      </c>
      <c r="L130">
        <f ca="1">IF(AND(ISNUMBER($L$342),$B$252=1),$L$342,HLOOKUP(INDIRECT(ADDRESS(2,COLUMN())),OFFSET($CL$2,0,0,ROW()-1,84),ROW()-1,FALSE))</f>
        <v>0.74188982699999995</v>
      </c>
      <c r="M130" t="str">
        <f ca="1">IF(AND(ISNUMBER($M$342),$B$252=1),$M$342,HLOOKUP(INDIRECT(ADDRESS(2,COLUMN())),OFFSET($CL$2,0,0,ROW()-1,84),ROW()-1,FALSE))</f>
        <v/>
      </c>
      <c r="N130" t="str">
        <f ca="1">IF(AND(ISNUMBER($N$342),$B$252=1),$N$342,HLOOKUP(INDIRECT(ADDRESS(2,COLUMN())),OFFSET($CL$2,0,0,ROW()-1,84),ROW()-1,FALSE))</f>
        <v/>
      </c>
      <c r="O130">
        <f ca="1">IF(AND(ISNUMBER($O$342),$B$252=1),$O$342,HLOOKUP(INDIRECT(ADDRESS(2,COLUMN())),OFFSET($CL$2,0,0,ROW()-1,84),ROW()-1,FALSE))</f>
        <v>0.70778850900000001</v>
      </c>
      <c r="P130" t="str">
        <f ca="1">IF(AND(ISNUMBER($P$342),$B$252=1),$P$342,HLOOKUP(INDIRECT(ADDRESS(2,COLUMN())),OFFSET($CL$2,0,0,ROW()-1,84),ROW()-1,FALSE))</f>
        <v/>
      </c>
      <c r="Q130" t="str">
        <f ca="1">IF(AND(ISNUMBER($Q$342),$B$252=1),$Q$342,HLOOKUP(INDIRECT(ADDRESS(2,COLUMN())),OFFSET($CL$2,0,0,ROW()-1,84),ROW()-1,FALSE))</f>
        <v/>
      </c>
      <c r="R130">
        <f ca="1">IF(AND(ISNUMBER($R$342),$B$252=1),$R$342,HLOOKUP(INDIRECT(ADDRESS(2,COLUMN())),OFFSET($CL$2,0,0,ROW()-1,84),ROW()-1,FALSE))</f>
        <v>0.68528827000000003</v>
      </c>
      <c r="S130" t="str">
        <f ca="1">IF(AND(ISNUMBER($S$342),$B$252=1),$S$342,HLOOKUP(INDIRECT(ADDRESS(2,COLUMN())),OFFSET($CL$2,0,0,ROW()-1,84),ROW()-1,FALSE))</f>
        <v/>
      </c>
      <c r="T130" t="str">
        <f ca="1">IF(AND(ISNUMBER($T$342),$B$252=1),$T$342,HLOOKUP(INDIRECT(ADDRESS(2,COLUMN())),OFFSET($CL$2,0,0,ROW()-1,84),ROW()-1,FALSE))</f>
        <v/>
      </c>
      <c r="U130">
        <f ca="1">IF(AND(ISNUMBER($U$342),$B$252=1),$U$342,HLOOKUP(INDIRECT(ADDRESS(2,COLUMN())),OFFSET($CL$2,0,0,ROW()-1,84),ROW()-1,FALSE))</f>
        <v>0.73689048300000004</v>
      </c>
      <c r="V130" t="str">
        <f ca="1">IF(AND(ISNUMBER($V$342),$B$252=1),$V$342,HLOOKUP(INDIRECT(ADDRESS(2,COLUMN())),OFFSET($CL$2,0,0,ROW()-1,84),ROW()-1,FALSE))</f>
        <v/>
      </c>
      <c r="W130" t="str">
        <f ca="1">IF(AND(ISNUMBER($W$342),$B$252=1),$W$342,HLOOKUP(INDIRECT(ADDRESS(2,COLUMN())),OFFSET($CL$2,0,0,ROW()-1,84),ROW()-1,FALSE))</f>
        <v/>
      </c>
      <c r="X130">
        <f ca="1">IF(AND(ISNUMBER($X$342),$B$252=1),$X$342,HLOOKUP(INDIRECT(ADDRESS(2,COLUMN())),OFFSET($CL$2,0,0,ROW()-1,84),ROW()-1,FALSE))</f>
        <v>0.71332965500000001</v>
      </c>
      <c r="Y130" t="str">
        <f ca="1">IF(AND(ISNUMBER($Y$342),$B$252=1),$Y$342,HLOOKUP(INDIRECT(ADDRESS(2,COLUMN())),OFFSET($CL$2,0,0,ROW()-1,84),ROW()-1,FALSE))</f>
        <v/>
      </c>
      <c r="Z130" t="str">
        <f ca="1">IF(AND(ISNUMBER($Z$342),$B$252=1),$Z$342,HLOOKUP(INDIRECT(ADDRESS(2,COLUMN())),OFFSET($CL$2,0,0,ROW()-1,84),ROW()-1,FALSE))</f>
        <v/>
      </c>
      <c r="AA130">
        <f ca="1">IF(AND(ISNUMBER($AA$342),$B$252=1),$AA$342,HLOOKUP(INDIRECT(ADDRESS(2,COLUMN())),OFFSET($CL$2,0,0,ROW()-1,84),ROW()-1,FALSE))</f>
        <v>0.81953856000000003</v>
      </c>
      <c r="AB130" t="str">
        <f ca="1">IF(AND(ISNUMBER($AB$342),$B$252=1),$AB$342,HLOOKUP(INDIRECT(ADDRESS(2,COLUMN())),OFFSET($CL$2,0,0,ROW()-1,84),ROW()-1,FALSE))</f>
        <v/>
      </c>
      <c r="AC130" t="str">
        <f ca="1">IF(AND(ISNUMBER($AC$342),$B$252=1),$AC$342,HLOOKUP(INDIRECT(ADDRESS(2,COLUMN())),OFFSET($CL$2,0,0,ROW()-1,84),ROW()-1,FALSE))</f>
        <v/>
      </c>
      <c r="AD130">
        <f ca="1">IF(AND(ISNUMBER($AD$342),$B$252=1),$AD$342,HLOOKUP(INDIRECT(ADDRESS(2,COLUMN())),OFFSET($CL$2,0,0,ROW()-1,84),ROW()-1,FALSE))</f>
        <v>0.69778387099999994</v>
      </c>
      <c r="AE130" t="str">
        <f ca="1">IF(AND(ISNUMBER($AE$342),$B$252=1),$AE$342,HLOOKUP(INDIRECT(ADDRESS(2,COLUMN())),OFFSET($CL$2,0,0,ROW()-1,84),ROW()-1,FALSE))</f>
        <v/>
      </c>
      <c r="AF130" t="str">
        <f ca="1">IF(AND(ISNUMBER($AF$342),$B$252=1),$AF$342,HLOOKUP(INDIRECT(ADDRESS(2,COLUMN())),OFFSET($CL$2,0,0,ROW()-1,84),ROW()-1,FALSE))</f>
        <v/>
      </c>
      <c r="AG130">
        <f ca="1">IF(AND(ISNUMBER($AG$342),$B$252=1),$AG$342,HLOOKUP(INDIRECT(ADDRESS(2,COLUMN())),OFFSET($CL$2,0,0,ROW()-1,84),ROW()-1,FALSE))</f>
        <v>0.86103824600000001</v>
      </c>
      <c r="AH130" t="str">
        <f ca="1">IF(AND(ISNUMBER($AH$342),$B$252=1),$AH$342,HLOOKUP(INDIRECT(ADDRESS(2,COLUMN())),OFFSET($CL$2,0,0,ROW()-1,84),ROW()-1,FALSE))</f>
        <v/>
      </c>
      <c r="AI130" t="str">
        <f ca="1">IF(AND(ISNUMBER($AI$342),$B$252=1),$AI$342,HLOOKUP(INDIRECT(ADDRESS(2,COLUMN())),OFFSET($CL$2,0,0,ROW()-1,84),ROW()-1,FALSE))</f>
        <v/>
      </c>
      <c r="AJ130">
        <f ca="1">IF(AND(ISNUMBER($AJ$342),$B$252=1),$AJ$342,HLOOKUP(INDIRECT(ADDRESS(2,COLUMN())),OFFSET($CL$2,0,0,ROW()-1,84),ROW()-1,FALSE))</f>
        <v>0.81687017299999998</v>
      </c>
      <c r="AK130" t="str">
        <f ca="1">IF(AND(ISNUMBER($AK$342),$B$252=1),$AK$342,HLOOKUP(INDIRECT(ADDRESS(2,COLUMN())),OFFSET($CL$2,0,0,ROW()-1,84),ROW()-1,FALSE))</f>
        <v/>
      </c>
      <c r="AL130" t="str">
        <f ca="1">IF(AND(ISNUMBER($AL$342),$B$252=1),$AL$342,HLOOKUP(INDIRECT(ADDRESS(2,COLUMN())),OFFSET($CL$2,0,0,ROW()-1,84),ROW()-1,FALSE))</f>
        <v/>
      </c>
      <c r="AM130">
        <f ca="1">IF(AND(ISNUMBER($AM$342),$B$252=1),$AM$342,HLOOKUP(INDIRECT(ADDRESS(2,COLUMN())),OFFSET($CL$2,0,0,ROW()-1,84),ROW()-1,FALSE))</f>
        <v>0.78104869799999999</v>
      </c>
      <c r="AN130" t="str">
        <f ca="1">IF(AND(ISNUMBER($AN$342),$B$252=1),$AN$342,HLOOKUP(INDIRECT(ADDRESS(2,COLUMN())),OFFSET($CL$2,0,0,ROW()-1,84),ROW()-1,FALSE))</f>
        <v/>
      </c>
      <c r="AO130" t="str">
        <f ca="1">IF(AND(ISNUMBER($AO$342),$B$252=1),$AO$342,HLOOKUP(INDIRECT(ADDRESS(2,COLUMN())),OFFSET($CL$2,0,0,ROW()-1,84),ROW()-1,FALSE))</f>
        <v/>
      </c>
      <c r="AP130">
        <f ca="1">IF(AND(ISNUMBER($AP$342),$B$252=1),$AP$342,HLOOKUP(INDIRECT(ADDRESS(2,COLUMN())),OFFSET($CL$2,0,0,ROW()-1,84),ROW()-1,FALSE))</f>
        <v>0.71446939099999995</v>
      </c>
      <c r="AQ130" t="str">
        <f ca="1">IF(AND(ISNUMBER($AQ$342),$B$252=1),$AQ$342,HLOOKUP(INDIRECT(ADDRESS(2,COLUMN())),OFFSET($CL$2,0,0,ROW()-1,84),ROW()-1,FALSE))</f>
        <v/>
      </c>
      <c r="AR130" t="str">
        <f ca="1">IF(AND(ISNUMBER($AR$342),$B$252=1),$AR$342,HLOOKUP(INDIRECT(ADDRESS(2,COLUMN())),OFFSET($CL$2,0,0,ROW()-1,84),ROW()-1,FALSE))</f>
        <v/>
      </c>
      <c r="AS130">
        <f ca="1">IF(AND(ISNUMBER($AS$342),$B$252=1),$AS$342,HLOOKUP(INDIRECT(ADDRESS(2,COLUMN())),OFFSET($CL$2,0,0,ROW()-1,84),ROW()-1,FALSE))</f>
        <v>0.79297202899999997</v>
      </c>
      <c r="AT130" t="str">
        <f ca="1">IF(AND(ISNUMBER($AT$342),$B$252=1),$AT$342,HLOOKUP(INDIRECT(ADDRESS(2,COLUMN())),OFFSET($CL$2,0,0,ROW()-1,84),ROW()-1,FALSE))</f>
        <v/>
      </c>
      <c r="AU130" t="str">
        <f ca="1">IF(AND(ISNUMBER($AU$342),$B$252=1),$AU$342,HLOOKUP(INDIRECT(ADDRESS(2,COLUMN())),OFFSET($CL$2,0,0,ROW()-1,84),ROW()-1,FALSE))</f>
        <v/>
      </c>
      <c r="AV130">
        <f ca="1">IF(AND(ISNUMBER($AV$342),$B$252=1),$AV$342,HLOOKUP(INDIRECT(ADDRESS(2,COLUMN())),OFFSET($CL$2,0,0,ROW()-1,84),ROW()-1,FALSE))</f>
        <v>0.74964678200000001</v>
      </c>
      <c r="AW130" t="str">
        <f ca="1">IF(AND(ISNUMBER($AW$342),$B$252=1),$AW$342,HLOOKUP(INDIRECT(ADDRESS(2,COLUMN())),OFFSET($CL$2,0,0,ROW()-1,84),ROW()-1,FALSE))</f>
        <v/>
      </c>
      <c r="AX130" t="str">
        <f ca="1">IF(AND(ISNUMBER($AX$342),$B$252=1),$AX$342,HLOOKUP(INDIRECT(ADDRESS(2,COLUMN())),OFFSET($CL$2,0,0,ROW()-1,84),ROW()-1,FALSE))</f>
        <v/>
      </c>
      <c r="AY130">
        <f ca="1">IF(AND(ISNUMBER($AY$342),$B$252=1),$AY$342,HLOOKUP(INDIRECT(ADDRESS(2,COLUMN())),OFFSET($CL$2,0,0,ROW()-1,84),ROW()-1,FALSE))</f>
        <v>0.71013581999999997</v>
      </c>
      <c r="AZ130" t="str">
        <f ca="1">IF(AND(ISNUMBER($AZ$342),$B$252=1),$AZ$342,HLOOKUP(INDIRECT(ADDRESS(2,COLUMN())),OFFSET($CL$2,0,0,ROW()-1,84),ROW()-1,FALSE))</f>
        <v/>
      </c>
      <c r="BA130" t="str">
        <f ca="1">IF(AND(ISNUMBER($BA$342),$B$252=1),$BA$342,HLOOKUP(INDIRECT(ADDRESS(2,COLUMN())),OFFSET($CL$2,0,0,ROW()-1,84),ROW()-1,FALSE))</f>
        <v/>
      </c>
      <c r="BB130">
        <f ca="1">IF(AND(ISNUMBER($BB$342),$B$252=1),$BB$342,HLOOKUP(INDIRECT(ADDRESS(2,COLUMN())),OFFSET($CL$2,0,0,ROW()-1,84),ROW()-1,FALSE))</f>
        <v>0.63548131699999999</v>
      </c>
      <c r="BC130" t="str">
        <f ca="1">IF(AND(ISNUMBER($BC$342),$B$252=1),$BC$342,HLOOKUP(INDIRECT(ADDRESS(2,COLUMN())),OFFSET($CL$2,0,0,ROW()-1,84),ROW()-1,FALSE))</f>
        <v/>
      </c>
      <c r="BD130" t="str">
        <f ca="1">IF(AND(ISNUMBER($BD$342),$B$252=1),$BD$342,HLOOKUP(INDIRECT(ADDRESS(2,COLUMN())),OFFSET($CL$2,0,0,ROW()-1,84),ROW()-1,FALSE))</f>
        <v/>
      </c>
      <c r="BE130">
        <f ca="1">IF(AND(ISNUMBER($BE$342),$B$252=1),$BE$342,HLOOKUP(INDIRECT(ADDRESS(2,COLUMN())),OFFSET($CL$2,0,0,ROW()-1,84),ROW()-1,FALSE))</f>
        <v>0.69962219999999997</v>
      </c>
      <c r="BF130" t="str">
        <f ca="1">IF(AND(ISNUMBER($BF$342),$B$252=1),$BF$342,HLOOKUP(INDIRECT(ADDRESS(2,COLUMN())),OFFSET($CL$2,0,0,ROW()-1,84),ROW()-1,FALSE))</f>
        <v/>
      </c>
      <c r="BG130" t="str">
        <f ca="1">IF(AND(ISNUMBER($BG$342),$B$252=1),$BG$342,HLOOKUP(INDIRECT(ADDRESS(2,COLUMN())),OFFSET($CL$2,0,0,ROW()-1,84),ROW()-1,FALSE))</f>
        <v/>
      </c>
      <c r="BH130">
        <f ca="1">IF(AND(ISNUMBER($BH$342),$B$252=1),$BH$342,HLOOKUP(INDIRECT(ADDRESS(2,COLUMN())),OFFSET($CL$2,0,0,ROW()-1,84),ROW()-1,FALSE))</f>
        <v>0.65349856200000001</v>
      </c>
      <c r="BI130" t="str">
        <f ca="1">IF(AND(ISNUMBER($BI$342),$B$252=1),$BI$342,HLOOKUP(INDIRECT(ADDRESS(2,COLUMN())),OFFSET($CL$2,0,0,ROW()-1,84),ROW()-1,FALSE))</f>
        <v/>
      </c>
      <c r="BJ130" t="str">
        <f ca="1">IF(AND(ISNUMBER($BJ$342),$B$252=1),$BJ$342,HLOOKUP(INDIRECT(ADDRESS(2,COLUMN())),OFFSET($CL$2,0,0,ROW()-1,84),ROW()-1,FALSE))</f>
        <v/>
      </c>
      <c r="BK130">
        <f ca="1">IF(AND(ISNUMBER($BK$342),$B$252=1),$BK$342,HLOOKUP(INDIRECT(ADDRESS(2,COLUMN())),OFFSET($CL$2,0,0,ROW()-1,84),ROW()-1,FALSE))</f>
        <v>0.63365965300000004</v>
      </c>
      <c r="BL130" t="str">
        <f ca="1">IF(AND(ISNUMBER($BL$342),$B$252=1),$BL$342,HLOOKUP(INDIRECT(ADDRESS(2,COLUMN())),OFFSET($CL$2,0,0,ROW()-1,84),ROW()-1,FALSE))</f>
        <v/>
      </c>
      <c r="BM130" t="str">
        <f ca="1">IF(AND(ISNUMBER($BM$342),$B$252=1),$BM$342,HLOOKUP(INDIRECT(ADDRESS(2,COLUMN())),OFFSET($CL$2,0,0,ROW()-1,84),ROW()-1,FALSE))</f>
        <v/>
      </c>
      <c r="BN130">
        <f ca="1">IF(AND(ISNUMBER($BN$342),$B$252=1),$BN$342,HLOOKUP(INDIRECT(ADDRESS(2,COLUMN())),OFFSET($CL$2,0,0,ROW()-1,84),ROW()-1,FALSE))</f>
        <v>0.56532901999999996</v>
      </c>
      <c r="BO130" t="str">
        <f ca="1">IF(AND(ISNUMBER($BO$342),$B$252=1),$BO$342,HLOOKUP(INDIRECT(ADDRESS(2,COLUMN())),OFFSET($CL$2,0,0,ROW()-1,84),ROW()-1,FALSE))</f>
        <v/>
      </c>
      <c r="BP130" t="str">
        <f ca="1">IF(AND(ISNUMBER($BP$342),$B$252=1),$BP$342,HLOOKUP(INDIRECT(ADDRESS(2,COLUMN())),OFFSET($CL$2,0,0,ROW()-1,84),ROW()-1,FALSE))</f>
        <v/>
      </c>
      <c r="BQ130">
        <f ca="1">IF(AND(ISNUMBER($BQ$342),$B$252=1),$BQ$342,HLOOKUP(INDIRECT(ADDRESS(2,COLUMN())),OFFSET($CL$2,0,0,ROW()-1,84),ROW()-1,FALSE))</f>
        <v>0.66931716699999999</v>
      </c>
      <c r="BR130" t="str">
        <f ca="1">IF(AND(ISNUMBER($BR$342),$B$252=1),$BR$342,HLOOKUP(INDIRECT(ADDRESS(2,COLUMN())),OFFSET($CL$2,0,0,ROW()-1,84),ROW()-1,FALSE))</f>
        <v/>
      </c>
      <c r="BS130" t="str">
        <f ca="1">IF(AND(ISNUMBER($BS$342),$B$252=1),$BS$342,HLOOKUP(INDIRECT(ADDRESS(2,COLUMN())),OFFSET($CL$2,0,0,ROW()-1,84),ROW()-1,FALSE))</f>
        <v/>
      </c>
      <c r="BT130">
        <f ca="1">IF(AND(ISNUMBER($BT$342),$B$252=1),$BT$342,HLOOKUP(INDIRECT(ADDRESS(2,COLUMN())),OFFSET($CL$2,0,0,ROW()-1,84),ROW()-1,FALSE))</f>
        <v>0.639429939</v>
      </c>
      <c r="BU130" t="str">
        <f ca="1">IF(AND(ISNUMBER($BU$342),$B$252=1),$BU$342,HLOOKUP(INDIRECT(ADDRESS(2,COLUMN())),OFFSET($CL$2,0,0,ROW()-1,84),ROW()-1,FALSE))</f>
        <v/>
      </c>
      <c r="BV130" t="str">
        <f ca="1">IF(AND(ISNUMBER($BV$342),$B$252=1),$BV$342,HLOOKUP(INDIRECT(ADDRESS(2,COLUMN())),OFFSET($CL$2,0,0,ROW()-1,84),ROW()-1,FALSE))</f>
        <v/>
      </c>
      <c r="BW130">
        <f ca="1">IF(AND(ISNUMBER($BW$342),$B$252=1),$BW$342,HLOOKUP(INDIRECT(ADDRESS(2,COLUMN())),OFFSET($CL$2,0,0,ROW()-1,84),ROW()-1,FALSE))</f>
        <v>0.75852516000000003</v>
      </c>
      <c r="BX130" t="str">
        <f ca="1">IF(AND(ISNUMBER($BX$342),$B$252=1),$BX$342,HLOOKUP(INDIRECT(ADDRESS(2,COLUMN())),OFFSET($CL$2,0,0,ROW()-1,84),ROW()-1,FALSE))</f>
        <v/>
      </c>
      <c r="BY130" t="str">
        <f ca="1">IF(AND(ISNUMBER($BY$342),$B$252=1),$BY$342,HLOOKUP(INDIRECT(ADDRESS(2,COLUMN())),OFFSET($CL$2,0,0,ROW()-1,84),ROW()-1,FALSE))</f>
        <v/>
      </c>
      <c r="BZ130">
        <f ca="1">IF(AND(ISNUMBER($BZ$342),$B$252=1),$BZ$342,HLOOKUP(INDIRECT(ADDRESS(2,COLUMN())),OFFSET($CL$2,0,0,ROW()-1,84),ROW()-1,FALSE))</f>
        <v>0.52632363699999996</v>
      </c>
      <c r="CA130" t="str">
        <f ca="1">IF(AND(ISNUMBER($CA$342),$B$252=1),$CA$342,HLOOKUP(INDIRECT(ADDRESS(2,COLUMN())),OFFSET($CL$2,0,0,ROW()-1,84),ROW()-1,FALSE))</f>
        <v/>
      </c>
      <c r="CB130" t="str">
        <f ca="1">IF(AND(ISNUMBER($CB$342),$B$252=1),$CB$342,HLOOKUP(INDIRECT(ADDRESS(2,COLUMN())),OFFSET($CL$2,0,0,ROW()-1,84),ROW()-1,FALSE))</f>
        <v/>
      </c>
      <c r="CC130">
        <f ca="1">IF(AND(ISNUMBER($CC$342),$B$252=1),$CC$342,HLOOKUP(INDIRECT(ADDRESS(2,COLUMN())),OFFSET($CL$2,0,0,ROW()-1,84),ROW()-1,FALSE))</f>
        <v>0.57281177800000005</v>
      </c>
      <c r="CD130" t="str">
        <f ca="1">IF(AND(ISNUMBER($CD$342),$B$252=1),$CD$342,HLOOKUP(INDIRECT(ADDRESS(2,COLUMN())),OFFSET($CL$2,0,0,ROW()-1,84),ROW()-1,FALSE))</f>
        <v/>
      </c>
      <c r="CE130" t="str">
        <f ca="1">IF(AND(ISNUMBER($CE$342),$B$252=1),$CE$342,HLOOKUP(INDIRECT(ADDRESS(2,COLUMN())),OFFSET($CL$2,0,0,ROW()-1,84),ROW()-1,FALSE))</f>
        <v/>
      </c>
      <c r="CF130">
        <f ca="1">IF(AND(ISNUMBER($CF$342),$B$252=1),$CF$342,HLOOKUP(INDIRECT(ADDRESS(2,COLUMN())),OFFSET($CL$2,0,0,ROW()-1,84),ROW()-1,FALSE))</f>
        <v>0.53002454899999996</v>
      </c>
      <c r="CG130" t="str">
        <f ca="1">IF(AND(ISNUMBER($CG$342),$B$252=1),$CG$342,HLOOKUP(INDIRECT(ADDRESS(2,COLUMN())),OFFSET($CL$2,0,0,ROW()-1,84),ROW()-1,FALSE))</f>
        <v/>
      </c>
      <c r="CH130" t="str">
        <f ca="1">IF(AND(ISNUMBER($CH$342),$B$252=1),$CH$342,HLOOKUP(INDIRECT(ADDRESS(2,COLUMN())),OFFSET($CL$2,0,0,ROW()-1,84),ROW()-1,FALSE))</f>
        <v/>
      </c>
      <c r="CI130">
        <f ca="1">IF(AND(ISNUMBER($CI$342),$B$252=1),$CI$342,HLOOKUP(INDIRECT(ADDRESS(2,COLUMN())),OFFSET($CL$2,0,0,ROW()-1,84),ROW()-1,FALSE))</f>
        <v>0.681968872</v>
      </c>
      <c r="CJ130" t="str">
        <f ca="1">IF(AND(ISNUMBER($CJ$342),$B$252=1),$CJ$342,HLOOKUP(INDIRECT(ADDRESS(2,COLUMN())),OFFSET($CL$2,0,0,ROW()-1,84),ROW()-1,FALSE))</f>
        <v/>
      </c>
      <c r="CK130" t="str">
        <f ca="1">IF(AND(ISNUMBER($CK$342),$B$252=1),$CK$342,HLOOKUP(INDIRECT(ADDRESS(2,COLUMN())),OFFSET($CL$2,0,0,ROW()-1,84),ROW()-1,FALSE))</f>
        <v/>
      </c>
      <c r="CL130" t="str">
        <f>""</f>
        <v/>
      </c>
      <c r="CM130" t="str">
        <f>""</f>
        <v/>
      </c>
      <c r="CN130" t="str">
        <f>""</f>
        <v/>
      </c>
      <c r="CO130">
        <f>0.77737957</f>
        <v>0.77737957000000002</v>
      </c>
      <c r="CP130" t="str">
        <f>""</f>
        <v/>
      </c>
      <c r="CQ130" t="str">
        <f>""</f>
        <v/>
      </c>
      <c r="CR130">
        <f>0.741889827</f>
        <v>0.74188982699999995</v>
      </c>
      <c r="CS130" t="str">
        <f>""</f>
        <v/>
      </c>
      <c r="CT130" t="str">
        <f>""</f>
        <v/>
      </c>
      <c r="CU130">
        <f>0.707788509</f>
        <v>0.70778850900000001</v>
      </c>
      <c r="CV130" t="str">
        <f>""</f>
        <v/>
      </c>
      <c r="CW130" t="str">
        <f>""</f>
        <v/>
      </c>
      <c r="CX130">
        <f>0.68528827</f>
        <v>0.68528827000000003</v>
      </c>
      <c r="CY130" t="str">
        <f>""</f>
        <v/>
      </c>
      <c r="CZ130" t="str">
        <f>""</f>
        <v/>
      </c>
      <c r="DA130">
        <f>0.736890483</f>
        <v>0.73689048300000004</v>
      </c>
      <c r="DB130" t="str">
        <f>""</f>
        <v/>
      </c>
      <c r="DC130" t="str">
        <f>""</f>
        <v/>
      </c>
      <c r="DD130">
        <f>0.713329655</f>
        <v>0.71332965500000001</v>
      </c>
      <c r="DE130" t="str">
        <f>""</f>
        <v/>
      </c>
      <c r="DF130" t="str">
        <f>""</f>
        <v/>
      </c>
      <c r="DG130">
        <f>0.81953856</f>
        <v>0.81953856000000003</v>
      </c>
      <c r="DH130" t="str">
        <f>""</f>
        <v/>
      </c>
      <c r="DI130" t="str">
        <f>""</f>
        <v/>
      </c>
      <c r="DJ130">
        <f>0.697783871</f>
        <v>0.69778387099999994</v>
      </c>
      <c r="DK130" t="str">
        <f>""</f>
        <v/>
      </c>
      <c r="DL130" t="str">
        <f>""</f>
        <v/>
      </c>
      <c r="DM130">
        <f>0.861038246</f>
        <v>0.86103824600000001</v>
      </c>
      <c r="DN130" t="str">
        <f>""</f>
        <v/>
      </c>
      <c r="DO130" t="str">
        <f>""</f>
        <v/>
      </c>
      <c r="DP130">
        <f>0.816870173</f>
        <v>0.81687017299999998</v>
      </c>
      <c r="DQ130" t="str">
        <f>""</f>
        <v/>
      </c>
      <c r="DR130" t="str">
        <f>""</f>
        <v/>
      </c>
      <c r="DS130">
        <f>0.781048698</f>
        <v>0.78104869799999999</v>
      </c>
      <c r="DT130" t="str">
        <f>""</f>
        <v/>
      </c>
      <c r="DU130" t="str">
        <f>""</f>
        <v/>
      </c>
      <c r="DV130">
        <f>0.714469391</f>
        <v>0.71446939099999995</v>
      </c>
      <c r="DW130" t="str">
        <f>""</f>
        <v/>
      </c>
      <c r="DX130" t="str">
        <f>""</f>
        <v/>
      </c>
      <c r="DY130">
        <f>0.792972029</f>
        <v>0.79297202899999997</v>
      </c>
      <c r="DZ130" t="str">
        <f>""</f>
        <v/>
      </c>
      <c r="EA130" t="str">
        <f>""</f>
        <v/>
      </c>
      <c r="EB130">
        <f>0.749646782</f>
        <v>0.74964678200000001</v>
      </c>
      <c r="EC130" t="str">
        <f>""</f>
        <v/>
      </c>
      <c r="ED130" t="str">
        <f>""</f>
        <v/>
      </c>
      <c r="EE130">
        <f>0.71013582</f>
        <v>0.71013581999999997</v>
      </c>
      <c r="EF130" t="str">
        <f>""</f>
        <v/>
      </c>
      <c r="EG130" t="str">
        <f>""</f>
        <v/>
      </c>
      <c r="EH130">
        <f>0.635481317</f>
        <v>0.63548131699999999</v>
      </c>
      <c r="EI130" t="str">
        <f>""</f>
        <v/>
      </c>
      <c r="EJ130" t="str">
        <f>""</f>
        <v/>
      </c>
      <c r="EK130">
        <f>0.6996222</f>
        <v>0.69962219999999997</v>
      </c>
      <c r="EL130" t="str">
        <f>""</f>
        <v/>
      </c>
      <c r="EM130" t="str">
        <f>""</f>
        <v/>
      </c>
      <c r="EN130">
        <f>0.653498562</f>
        <v>0.65349856200000001</v>
      </c>
      <c r="EO130" t="str">
        <f>""</f>
        <v/>
      </c>
      <c r="EP130" t="str">
        <f>""</f>
        <v/>
      </c>
      <c r="EQ130">
        <f>0.633659653</f>
        <v>0.63365965300000004</v>
      </c>
      <c r="ER130" t="str">
        <f>""</f>
        <v/>
      </c>
      <c r="ES130" t="str">
        <f>""</f>
        <v/>
      </c>
      <c r="ET130">
        <f>0.56532902</f>
        <v>0.56532901999999996</v>
      </c>
      <c r="EU130" t="str">
        <f>""</f>
        <v/>
      </c>
      <c r="EV130" t="str">
        <f>""</f>
        <v/>
      </c>
      <c r="EW130">
        <f>0.669317167</f>
        <v>0.66931716699999999</v>
      </c>
      <c r="EX130" t="str">
        <f>""</f>
        <v/>
      </c>
      <c r="EY130" t="str">
        <f>""</f>
        <v/>
      </c>
      <c r="EZ130">
        <f>0.639429939</f>
        <v>0.639429939</v>
      </c>
      <c r="FA130" t="str">
        <f>""</f>
        <v/>
      </c>
      <c r="FB130" t="str">
        <f>""</f>
        <v/>
      </c>
      <c r="FC130">
        <f>0.75852516</f>
        <v>0.75852516000000003</v>
      </c>
      <c r="FD130" t="str">
        <f>""</f>
        <v/>
      </c>
      <c r="FE130" t="str">
        <f>""</f>
        <v/>
      </c>
      <c r="FF130">
        <f>0.526323637</f>
        <v>0.52632363699999996</v>
      </c>
      <c r="FG130" t="str">
        <f>""</f>
        <v/>
      </c>
      <c r="FH130" t="str">
        <f>""</f>
        <v/>
      </c>
      <c r="FI130">
        <f>0.572811778</f>
        <v>0.57281177800000005</v>
      </c>
      <c r="FJ130" t="str">
        <f>""</f>
        <v/>
      </c>
      <c r="FK130" t="str">
        <f>""</f>
        <v/>
      </c>
      <c r="FL130">
        <f>0.530024549</f>
        <v>0.53002454899999996</v>
      </c>
      <c r="FM130" t="str">
        <f>""</f>
        <v/>
      </c>
      <c r="FN130" t="str">
        <f>""</f>
        <v/>
      </c>
      <c r="FO130">
        <f>0.681968872</f>
        <v>0.681968872</v>
      </c>
      <c r="FP130" t="str">
        <f>""</f>
        <v/>
      </c>
      <c r="FQ130" t="str">
        <f>""</f>
        <v/>
      </c>
    </row>
    <row r="131" spans="1:173">
      <c r="A131" t="str">
        <f>"    Essex Property Trust Inc"</f>
        <v xml:space="preserve">    Essex Property Trust Inc</v>
      </c>
      <c r="B131" t="str">
        <f>"ESS US Equity"</f>
        <v>ESS US Equity</v>
      </c>
      <c r="C131" t="str">
        <f t="shared" si="39"/>
        <v>F0580</v>
      </c>
      <c r="D131" t="str">
        <f t="shared" si="40"/>
        <v>FUNDS_AVAILABLE_FOR_DIST_PER_SH</v>
      </c>
      <c r="E131" t="str">
        <f t="shared" si="41"/>
        <v>动态</v>
      </c>
      <c r="F131" t="str">
        <f ca="1">IF(AND(ISNUMBER($F$343),$B$252=1),$F$343,HLOOKUP(INDIRECT(ADDRESS(2,COLUMN())),OFFSET($CL$2,0,0,ROW()-1,84),ROW()-1,FALSE))</f>
        <v/>
      </c>
      <c r="G131" t="str">
        <f ca="1">IF(AND(ISNUMBER($G$343),$B$252=1),$G$343,HLOOKUP(INDIRECT(ADDRESS(2,COLUMN())),OFFSET($CL$2,0,0,ROW()-1,84),ROW()-1,FALSE))</f>
        <v/>
      </c>
      <c r="H131" t="str">
        <f ca="1">IF(AND(ISNUMBER($H$343),$B$252=1),$H$343,HLOOKUP(INDIRECT(ADDRESS(2,COLUMN())),OFFSET($CL$2,0,0,ROW()-1,84),ROW()-1,FALSE))</f>
        <v/>
      </c>
      <c r="I131">
        <f ca="1">IF(AND(ISNUMBER($I$343),$B$252=1),$I$343,HLOOKUP(INDIRECT(ADDRESS(2,COLUMN())),OFFSET($CL$2,0,0,ROW()-1,84),ROW()-1,FALSE))</f>
        <v>3.0110267070000001</v>
      </c>
      <c r="J131" t="str">
        <f ca="1">IF(AND(ISNUMBER($J$343),$B$252=1),$J$343,HLOOKUP(INDIRECT(ADDRESS(2,COLUMN())),OFFSET($CL$2,0,0,ROW()-1,84),ROW()-1,FALSE))</f>
        <v/>
      </c>
      <c r="K131" t="str">
        <f ca="1">IF(AND(ISNUMBER($K$343),$B$252=1),$K$343,HLOOKUP(INDIRECT(ADDRESS(2,COLUMN())),OFFSET($CL$2,0,0,ROW()-1,84),ROW()-1,FALSE))</f>
        <v/>
      </c>
      <c r="L131">
        <f ca="1">IF(AND(ISNUMBER($L$343),$B$252=1),$L$343,HLOOKUP(INDIRECT(ADDRESS(2,COLUMN())),OFFSET($CL$2,0,0,ROW()-1,84),ROW()-1,FALSE))</f>
        <v>2.6793127000000001</v>
      </c>
      <c r="M131" t="str">
        <f ca="1">IF(AND(ISNUMBER($M$343),$B$252=1),$M$343,HLOOKUP(INDIRECT(ADDRESS(2,COLUMN())),OFFSET($CL$2,0,0,ROW()-1,84),ROW()-1,FALSE))</f>
        <v/>
      </c>
      <c r="N131" t="str">
        <f ca="1">IF(AND(ISNUMBER($N$343),$B$252=1),$N$343,HLOOKUP(INDIRECT(ADDRESS(2,COLUMN())),OFFSET($CL$2,0,0,ROW()-1,84),ROW()-1,FALSE))</f>
        <v/>
      </c>
      <c r="O131">
        <f ca="1">IF(AND(ISNUMBER($O$343),$B$252=1),$O$343,HLOOKUP(INDIRECT(ADDRESS(2,COLUMN())),OFFSET($CL$2,0,0,ROW()-1,84),ROW()-1,FALSE))</f>
        <v>2.9724600790000002</v>
      </c>
      <c r="P131" t="str">
        <f ca="1">IF(AND(ISNUMBER($P$343),$B$252=1),$P$343,HLOOKUP(INDIRECT(ADDRESS(2,COLUMN())),OFFSET($CL$2,0,0,ROW()-1,84),ROW()-1,FALSE))</f>
        <v/>
      </c>
      <c r="Q131" t="str">
        <f ca="1">IF(AND(ISNUMBER($Q$343),$B$252=1),$Q$343,HLOOKUP(INDIRECT(ADDRESS(2,COLUMN())),OFFSET($CL$2,0,0,ROW()-1,84),ROW()-1,FALSE))</f>
        <v/>
      </c>
      <c r="R131">
        <f ca="1">IF(AND(ISNUMBER($R$343),$B$252=1),$R$343,HLOOKUP(INDIRECT(ADDRESS(2,COLUMN())),OFFSET($CL$2,0,0,ROW()-1,84),ROW()-1,FALSE))</f>
        <v>2.7999676349999998</v>
      </c>
      <c r="S131" t="str">
        <f ca="1">IF(AND(ISNUMBER($S$343),$B$252=1),$S$343,HLOOKUP(INDIRECT(ADDRESS(2,COLUMN())),OFFSET($CL$2,0,0,ROW()-1,84),ROW()-1,FALSE))</f>
        <v/>
      </c>
      <c r="T131" t="str">
        <f ca="1">IF(AND(ISNUMBER($T$343),$B$252=1),$T$343,HLOOKUP(INDIRECT(ADDRESS(2,COLUMN())),OFFSET($CL$2,0,0,ROW()-1,84),ROW()-1,FALSE))</f>
        <v/>
      </c>
      <c r="U131">
        <f ca="1">IF(AND(ISNUMBER($U$343),$B$252=1),$U$343,HLOOKUP(INDIRECT(ADDRESS(2,COLUMN())),OFFSET($CL$2,0,0,ROW()-1,84),ROW()-1,FALSE))</f>
        <v>2.8095570529999998</v>
      </c>
      <c r="V131" t="str">
        <f ca="1">IF(AND(ISNUMBER($V$343),$B$252=1),$V$343,HLOOKUP(INDIRECT(ADDRESS(2,COLUMN())),OFFSET($CL$2,0,0,ROW()-1,84),ROW()-1,FALSE))</f>
        <v/>
      </c>
      <c r="W131" t="str">
        <f ca="1">IF(AND(ISNUMBER($W$343),$B$252=1),$W$343,HLOOKUP(INDIRECT(ADDRESS(2,COLUMN())),OFFSET($CL$2,0,0,ROW()-1,84),ROW()-1,FALSE))</f>
        <v/>
      </c>
      <c r="X131">
        <f ca="1">IF(AND(ISNUMBER($X$343),$B$252=1),$X$343,HLOOKUP(INDIRECT(ADDRESS(2,COLUMN())),OFFSET($CL$2,0,0,ROW()-1,84),ROW()-1,FALSE))</f>
        <v>2.8054828879999998</v>
      </c>
      <c r="Y131" t="str">
        <f ca="1">IF(AND(ISNUMBER($Y$343),$B$252=1),$Y$343,HLOOKUP(INDIRECT(ADDRESS(2,COLUMN())),OFFSET($CL$2,0,0,ROW()-1,84),ROW()-1,FALSE))</f>
        <v/>
      </c>
      <c r="Z131" t="str">
        <f ca="1">IF(AND(ISNUMBER($Z$343),$B$252=1),$Z$343,HLOOKUP(INDIRECT(ADDRESS(2,COLUMN())),OFFSET($CL$2,0,0,ROW()-1,84),ROW()-1,FALSE))</f>
        <v/>
      </c>
      <c r="AA131">
        <f ca="1">IF(AND(ISNUMBER($AA$343),$B$252=1),$AA$343,HLOOKUP(INDIRECT(ADDRESS(2,COLUMN())),OFFSET($CL$2,0,0,ROW()-1,84),ROW()-1,FALSE))</f>
        <v>2.7421872810000001</v>
      </c>
      <c r="AB131" t="str">
        <f ca="1">IF(AND(ISNUMBER($AB$343),$B$252=1),$AB$343,HLOOKUP(INDIRECT(ADDRESS(2,COLUMN())),OFFSET($CL$2,0,0,ROW()-1,84),ROW()-1,FALSE))</f>
        <v/>
      </c>
      <c r="AC131" t="str">
        <f ca="1">IF(AND(ISNUMBER($AC$343),$B$252=1),$AC$343,HLOOKUP(INDIRECT(ADDRESS(2,COLUMN())),OFFSET($CL$2,0,0,ROW()-1,84),ROW()-1,FALSE))</f>
        <v/>
      </c>
      <c r="AD131">
        <f ca="1">IF(AND(ISNUMBER($AD$343),$B$252=1),$AD$343,HLOOKUP(INDIRECT(ADDRESS(2,COLUMN())),OFFSET($CL$2,0,0,ROW()-1,84),ROW()-1,FALSE))</f>
        <v>2.6775427710000002</v>
      </c>
      <c r="AE131" t="str">
        <f ca="1">IF(AND(ISNUMBER($AE$343),$B$252=1),$AE$343,HLOOKUP(INDIRECT(ADDRESS(2,COLUMN())),OFFSET($CL$2,0,0,ROW()-1,84),ROW()-1,FALSE))</f>
        <v/>
      </c>
      <c r="AF131" t="str">
        <f ca="1">IF(AND(ISNUMBER($AF$343),$B$252=1),$AF$343,HLOOKUP(INDIRECT(ADDRESS(2,COLUMN())),OFFSET($CL$2,0,0,ROW()-1,84),ROW()-1,FALSE))</f>
        <v/>
      </c>
      <c r="AG131">
        <f ca="1">IF(AND(ISNUMBER($AG$343),$B$252=1),$AG$343,HLOOKUP(INDIRECT(ADDRESS(2,COLUMN())),OFFSET($CL$2,0,0,ROW()-1,84),ROW()-1,FALSE))</f>
        <v>2.630234352</v>
      </c>
      <c r="AH131" t="str">
        <f ca="1">IF(AND(ISNUMBER($AH$343),$B$252=1),$AH$343,HLOOKUP(INDIRECT(ADDRESS(2,COLUMN())),OFFSET($CL$2,0,0,ROW()-1,84),ROW()-1,FALSE))</f>
        <v/>
      </c>
      <c r="AI131" t="str">
        <f ca="1">IF(AND(ISNUMBER($AI$343),$B$252=1),$AI$343,HLOOKUP(INDIRECT(ADDRESS(2,COLUMN())),OFFSET($CL$2,0,0,ROW()-1,84),ROW()-1,FALSE))</f>
        <v/>
      </c>
      <c r="AJ131">
        <f ca="1">IF(AND(ISNUMBER($AJ$343),$B$252=1),$AJ$343,HLOOKUP(INDIRECT(ADDRESS(2,COLUMN())),OFFSET($CL$2,0,0,ROW()-1,84),ROW()-1,FALSE))</f>
        <v>2.4940148309999999</v>
      </c>
      <c r="AK131" t="str">
        <f ca="1">IF(AND(ISNUMBER($AK$343),$B$252=1),$AK$343,HLOOKUP(INDIRECT(ADDRESS(2,COLUMN())),OFFSET($CL$2,0,0,ROW()-1,84),ROW()-1,FALSE))</f>
        <v/>
      </c>
      <c r="AL131" t="str">
        <f ca="1">IF(AND(ISNUMBER($AL$343),$B$252=1),$AL$343,HLOOKUP(INDIRECT(ADDRESS(2,COLUMN())),OFFSET($CL$2,0,0,ROW()-1,84),ROW()-1,FALSE))</f>
        <v/>
      </c>
      <c r="AM131">
        <f ca="1">IF(AND(ISNUMBER($AM$343),$B$252=1),$AM$343,HLOOKUP(INDIRECT(ADDRESS(2,COLUMN())),OFFSET($CL$2,0,0,ROW()-1,84),ROW()-1,FALSE))</f>
        <v>2.4005820349999998</v>
      </c>
      <c r="AN131" t="str">
        <f ca="1">IF(AND(ISNUMBER($AN$343),$B$252=1),$AN$343,HLOOKUP(INDIRECT(ADDRESS(2,COLUMN())),OFFSET($CL$2,0,0,ROW()-1,84),ROW()-1,FALSE))</f>
        <v/>
      </c>
      <c r="AO131" t="str">
        <f ca="1">IF(AND(ISNUMBER($AO$343),$B$252=1),$AO$343,HLOOKUP(INDIRECT(ADDRESS(2,COLUMN())),OFFSET($CL$2,0,0,ROW()-1,84),ROW()-1,FALSE))</f>
        <v/>
      </c>
      <c r="AP131">
        <f ca="1">IF(AND(ISNUMBER($AP$343),$B$252=1),$AP$343,HLOOKUP(INDIRECT(ADDRESS(2,COLUMN())),OFFSET($CL$2,0,0,ROW()-1,84),ROW()-1,FALSE))</f>
        <v>2.290143976</v>
      </c>
      <c r="AQ131" t="str">
        <f ca="1">IF(AND(ISNUMBER($AQ$343),$B$252=1),$AQ$343,HLOOKUP(INDIRECT(ADDRESS(2,COLUMN())),OFFSET($CL$2,0,0,ROW()-1,84),ROW()-1,FALSE))</f>
        <v/>
      </c>
      <c r="AR131" t="str">
        <f ca="1">IF(AND(ISNUMBER($AR$343),$B$252=1),$AR$343,HLOOKUP(INDIRECT(ADDRESS(2,COLUMN())),OFFSET($CL$2,0,0,ROW()-1,84),ROW()-1,FALSE))</f>
        <v/>
      </c>
      <c r="AS131">
        <f ca="1">IF(AND(ISNUMBER($AS$343),$B$252=1),$AS$343,HLOOKUP(INDIRECT(ADDRESS(2,COLUMN())),OFFSET($CL$2,0,0,ROW()-1,84),ROW()-1,FALSE))</f>
        <v>2.0705439609999998</v>
      </c>
      <c r="AT131" t="str">
        <f ca="1">IF(AND(ISNUMBER($AT$343),$B$252=1),$AT$343,HLOOKUP(INDIRECT(ADDRESS(2,COLUMN())),OFFSET($CL$2,0,0,ROW()-1,84),ROW()-1,FALSE))</f>
        <v/>
      </c>
      <c r="AU131" t="str">
        <f ca="1">IF(AND(ISNUMBER($AU$343),$B$252=1),$AU$343,HLOOKUP(INDIRECT(ADDRESS(2,COLUMN())),OFFSET($CL$2,0,0,ROW()-1,84),ROW()-1,FALSE))</f>
        <v/>
      </c>
      <c r="AV131">
        <f ca="1">IF(AND(ISNUMBER($AV$343),$B$252=1),$AV$343,HLOOKUP(INDIRECT(ADDRESS(2,COLUMN())),OFFSET($CL$2,0,0,ROW()-1,84),ROW()-1,FALSE))</f>
        <v>1.9481144960000001</v>
      </c>
      <c r="AW131" t="str">
        <f ca="1">IF(AND(ISNUMBER($AW$343),$B$252=1),$AW$343,HLOOKUP(INDIRECT(ADDRESS(2,COLUMN())),OFFSET($CL$2,0,0,ROW()-1,84),ROW()-1,FALSE))</f>
        <v/>
      </c>
      <c r="AX131" t="str">
        <f ca="1">IF(AND(ISNUMBER($AX$343),$B$252=1),$AX$343,HLOOKUP(INDIRECT(ADDRESS(2,COLUMN())),OFFSET($CL$2,0,0,ROW()-1,84),ROW()-1,FALSE))</f>
        <v/>
      </c>
      <c r="AY131">
        <f ca="1">IF(AND(ISNUMBER($AY$343),$B$252=1),$AY$343,HLOOKUP(INDIRECT(ADDRESS(2,COLUMN())),OFFSET($CL$2,0,0,ROW()-1,84),ROW()-1,FALSE))</f>
        <v>2.0157456009999999</v>
      </c>
      <c r="AZ131" t="str">
        <f ca="1">IF(AND(ISNUMBER($AZ$343),$B$252=1),$AZ$343,HLOOKUP(INDIRECT(ADDRESS(2,COLUMN())),OFFSET($CL$2,0,0,ROW()-1,84),ROW()-1,FALSE))</f>
        <v/>
      </c>
      <c r="BA131" t="str">
        <f ca="1">IF(AND(ISNUMBER($BA$343),$B$252=1),$BA$343,HLOOKUP(INDIRECT(ADDRESS(2,COLUMN())),OFFSET($CL$2,0,0,ROW()-1,84),ROW()-1,FALSE))</f>
        <v/>
      </c>
      <c r="BB131">
        <f ca="1">IF(AND(ISNUMBER($BB$343),$B$252=1),$BB$343,HLOOKUP(INDIRECT(ADDRESS(2,COLUMN())),OFFSET($CL$2,0,0,ROW()-1,84),ROW()-1,FALSE))</f>
        <v>2.0160015649999998</v>
      </c>
      <c r="BC131" t="str">
        <f ca="1">IF(AND(ISNUMBER($BC$343),$B$252=1),$BC$343,HLOOKUP(INDIRECT(ADDRESS(2,COLUMN())),OFFSET($CL$2,0,0,ROW()-1,84),ROW()-1,FALSE))</f>
        <v/>
      </c>
      <c r="BD131" t="str">
        <f ca="1">IF(AND(ISNUMBER($BD$343),$B$252=1),$BD$343,HLOOKUP(INDIRECT(ADDRESS(2,COLUMN())),OFFSET($CL$2,0,0,ROW()-1,84),ROW()-1,FALSE))</f>
        <v/>
      </c>
      <c r="BE131">
        <f ca="1">IF(AND(ISNUMBER($BE$343),$B$252=1),$BE$343,HLOOKUP(INDIRECT(ADDRESS(2,COLUMN())),OFFSET($CL$2,0,0,ROW()-1,84),ROW()-1,FALSE))</f>
        <v>1.8136009399999999</v>
      </c>
      <c r="BF131" t="str">
        <f ca="1">IF(AND(ISNUMBER($BF$343),$B$252=1),$BF$343,HLOOKUP(INDIRECT(ADDRESS(2,COLUMN())),OFFSET($CL$2,0,0,ROW()-1,84),ROW()-1,FALSE))</f>
        <v/>
      </c>
      <c r="BG131" t="str">
        <f ca="1">IF(AND(ISNUMBER($BG$343),$B$252=1),$BG$343,HLOOKUP(INDIRECT(ADDRESS(2,COLUMN())),OFFSET($CL$2,0,0,ROW()-1,84),ROW()-1,FALSE))</f>
        <v/>
      </c>
      <c r="BH131">
        <f ca="1">IF(AND(ISNUMBER($BH$343),$B$252=1),$BH$343,HLOOKUP(INDIRECT(ADDRESS(2,COLUMN())),OFFSET($CL$2,0,0,ROW()-1,84),ROW()-1,FALSE))</f>
        <v>1.6693650689999999</v>
      </c>
      <c r="BI131" t="str">
        <f ca="1">IF(AND(ISNUMBER($BI$343),$B$252=1),$BI$343,HLOOKUP(INDIRECT(ADDRESS(2,COLUMN())),OFFSET($CL$2,0,0,ROW()-1,84),ROW()-1,FALSE))</f>
        <v/>
      </c>
      <c r="BJ131" t="str">
        <f ca="1">IF(AND(ISNUMBER($BJ$343),$B$252=1),$BJ$343,HLOOKUP(INDIRECT(ADDRESS(2,COLUMN())),OFFSET($CL$2,0,0,ROW()-1,84),ROW()-1,FALSE))</f>
        <v/>
      </c>
      <c r="BK131">
        <f ca="1">IF(AND(ISNUMBER($BK$343),$B$252=1),$BK$343,HLOOKUP(INDIRECT(ADDRESS(2,COLUMN())),OFFSET($CL$2,0,0,ROW()-1,84),ROW()-1,FALSE))</f>
        <v>1.665039964</v>
      </c>
      <c r="BL131" t="str">
        <f ca="1">IF(AND(ISNUMBER($BL$343),$B$252=1),$BL$343,HLOOKUP(INDIRECT(ADDRESS(2,COLUMN())),OFFSET($CL$2,0,0,ROW()-1,84),ROW()-1,FALSE))</f>
        <v/>
      </c>
      <c r="BM131" t="str">
        <f ca="1">IF(AND(ISNUMBER($BM$343),$B$252=1),$BM$343,HLOOKUP(INDIRECT(ADDRESS(2,COLUMN())),OFFSET($CL$2,0,0,ROW()-1,84),ROW()-1,FALSE))</f>
        <v/>
      </c>
      <c r="BN131">
        <f ca="1">IF(AND(ISNUMBER($BN$343),$B$252=1),$BN$343,HLOOKUP(INDIRECT(ADDRESS(2,COLUMN())),OFFSET($CL$2,0,0,ROW()-1,84),ROW()-1,FALSE))</f>
        <v>1.7649004370000001</v>
      </c>
      <c r="BO131" t="str">
        <f ca="1">IF(AND(ISNUMBER($BO$343),$B$252=1),$BO$343,HLOOKUP(INDIRECT(ADDRESS(2,COLUMN())),OFFSET($CL$2,0,0,ROW()-1,84),ROW()-1,FALSE))</f>
        <v/>
      </c>
      <c r="BP131" t="str">
        <f ca="1">IF(AND(ISNUMBER($BP$343),$B$252=1),$BP$343,HLOOKUP(INDIRECT(ADDRESS(2,COLUMN())),OFFSET($CL$2,0,0,ROW()-1,84),ROW()-1,FALSE))</f>
        <v/>
      </c>
      <c r="BQ131">
        <f ca="1">IF(AND(ISNUMBER($BQ$343),$B$252=1),$BQ$343,HLOOKUP(INDIRECT(ADDRESS(2,COLUMN())),OFFSET($CL$2,0,0,ROW()-1,84),ROW()-1,FALSE))</f>
        <v>1.4229645259999999</v>
      </c>
      <c r="BR131" t="str">
        <f ca="1">IF(AND(ISNUMBER($BR$343),$B$252=1),$BR$343,HLOOKUP(INDIRECT(ADDRESS(2,COLUMN())),OFFSET($CL$2,0,0,ROW()-1,84),ROW()-1,FALSE))</f>
        <v/>
      </c>
      <c r="BS131" t="str">
        <f ca="1">IF(AND(ISNUMBER($BS$343),$B$252=1),$BS$343,HLOOKUP(INDIRECT(ADDRESS(2,COLUMN())),OFFSET($CL$2,0,0,ROW()-1,84),ROW()-1,FALSE))</f>
        <v/>
      </c>
      <c r="BT131">
        <f ca="1">IF(AND(ISNUMBER($BT$343),$B$252=1),$BT$343,HLOOKUP(INDIRECT(ADDRESS(2,COLUMN())),OFFSET($CL$2,0,0,ROW()-1,84),ROW()-1,FALSE))</f>
        <v>1.937954849</v>
      </c>
      <c r="BU131" t="str">
        <f ca="1">IF(AND(ISNUMBER($BU$343),$B$252=1),$BU$343,HLOOKUP(INDIRECT(ADDRESS(2,COLUMN())),OFFSET($CL$2,0,0,ROW()-1,84),ROW()-1,FALSE))</f>
        <v/>
      </c>
      <c r="BV131" t="str">
        <f ca="1">IF(AND(ISNUMBER($BV$343),$B$252=1),$BV$343,HLOOKUP(INDIRECT(ADDRESS(2,COLUMN())),OFFSET($CL$2,0,0,ROW()-1,84),ROW()-1,FALSE))</f>
        <v/>
      </c>
      <c r="BW131">
        <f ca="1">IF(AND(ISNUMBER($BW$343),$B$252=1),$BW$343,HLOOKUP(INDIRECT(ADDRESS(2,COLUMN())),OFFSET($CL$2,0,0,ROW()-1,84),ROW()-1,FALSE))</f>
        <v>1.560568057</v>
      </c>
      <c r="BX131" t="str">
        <f ca="1">IF(AND(ISNUMBER($BX$343),$B$252=1),$BX$343,HLOOKUP(INDIRECT(ADDRESS(2,COLUMN())),OFFSET($CL$2,0,0,ROW()-1,84),ROW()-1,FALSE))</f>
        <v/>
      </c>
      <c r="BY131" t="str">
        <f ca="1">IF(AND(ISNUMBER($BY$343),$B$252=1),$BY$343,HLOOKUP(INDIRECT(ADDRESS(2,COLUMN())),OFFSET($CL$2,0,0,ROW()-1,84),ROW()-1,FALSE))</f>
        <v/>
      </c>
      <c r="BZ131">
        <f ca="1">IF(AND(ISNUMBER($BZ$343),$B$252=1),$BZ$343,HLOOKUP(INDIRECT(ADDRESS(2,COLUMN())),OFFSET($CL$2,0,0,ROW()-1,84),ROW()-1,FALSE))</f>
        <v>1.6003125119999999</v>
      </c>
      <c r="CA131" t="str">
        <f ca="1">IF(AND(ISNUMBER($CA$343),$B$252=1),$CA$343,HLOOKUP(INDIRECT(ADDRESS(2,COLUMN())),OFFSET($CL$2,0,0,ROW()-1,84),ROW()-1,FALSE))</f>
        <v/>
      </c>
      <c r="CB131" t="str">
        <f ca="1">IF(AND(ISNUMBER($CB$343),$B$252=1),$CB$343,HLOOKUP(INDIRECT(ADDRESS(2,COLUMN())),OFFSET($CL$2,0,0,ROW()-1,84),ROW()-1,FALSE))</f>
        <v/>
      </c>
      <c r="CC131">
        <f ca="1">IF(AND(ISNUMBER($CC$343),$B$252=1),$CC$343,HLOOKUP(INDIRECT(ADDRESS(2,COLUMN())),OFFSET($CL$2,0,0,ROW()-1,84),ROW()-1,FALSE))</f>
        <v>1.167218672</v>
      </c>
      <c r="CD131" t="str">
        <f ca="1">IF(AND(ISNUMBER($CD$343),$B$252=1),$CD$343,HLOOKUP(INDIRECT(ADDRESS(2,COLUMN())),OFFSET($CL$2,0,0,ROW()-1,84),ROW()-1,FALSE))</f>
        <v/>
      </c>
      <c r="CE131" t="str">
        <f ca="1">IF(AND(ISNUMBER($CE$343),$B$252=1),$CE$343,HLOOKUP(INDIRECT(ADDRESS(2,COLUMN())),OFFSET($CL$2,0,0,ROW()-1,84),ROW()-1,FALSE))</f>
        <v/>
      </c>
      <c r="CF131">
        <f ca="1">IF(AND(ISNUMBER($CF$343),$B$252=1),$CF$343,HLOOKUP(INDIRECT(ADDRESS(2,COLUMN())),OFFSET($CL$2,0,0,ROW()-1,84),ROW()-1,FALSE))</f>
        <v>1.2400724540000001</v>
      </c>
      <c r="CG131" t="str">
        <f ca="1">IF(AND(ISNUMBER($CG$343),$B$252=1),$CG$343,HLOOKUP(INDIRECT(ADDRESS(2,COLUMN())),OFFSET($CL$2,0,0,ROW()-1,84),ROW()-1,FALSE))</f>
        <v/>
      </c>
      <c r="CH131" t="str">
        <f ca="1">IF(AND(ISNUMBER($CH$343),$B$252=1),$CH$343,HLOOKUP(INDIRECT(ADDRESS(2,COLUMN())),OFFSET($CL$2,0,0,ROW()-1,84),ROW()-1,FALSE))</f>
        <v/>
      </c>
      <c r="CI131">
        <f ca="1">IF(AND(ISNUMBER($CI$343),$B$252=1),$CI$343,HLOOKUP(INDIRECT(ADDRESS(2,COLUMN())),OFFSET($CL$2,0,0,ROW()-1,84),ROW()-1,FALSE))</f>
        <v>1.256502096</v>
      </c>
      <c r="CJ131" t="str">
        <f ca="1">IF(AND(ISNUMBER($CJ$343),$B$252=1),$CJ$343,HLOOKUP(INDIRECT(ADDRESS(2,COLUMN())),OFFSET($CL$2,0,0,ROW()-1,84),ROW()-1,FALSE))</f>
        <v/>
      </c>
      <c r="CK131" t="str">
        <f ca="1">IF(AND(ISNUMBER($CK$343),$B$252=1),$CK$343,HLOOKUP(INDIRECT(ADDRESS(2,COLUMN())),OFFSET($CL$2,0,0,ROW()-1,84),ROW()-1,FALSE))</f>
        <v/>
      </c>
      <c r="CL131" t="str">
        <f>""</f>
        <v/>
      </c>
      <c r="CM131" t="str">
        <f>""</f>
        <v/>
      </c>
      <c r="CN131" t="str">
        <f>""</f>
        <v/>
      </c>
      <c r="CO131">
        <f>3.011026707</f>
        <v>3.0110267070000001</v>
      </c>
      <c r="CP131" t="str">
        <f>""</f>
        <v/>
      </c>
      <c r="CQ131" t="str">
        <f>""</f>
        <v/>
      </c>
      <c r="CR131">
        <f>2.6793127</f>
        <v>2.6793127000000001</v>
      </c>
      <c r="CS131" t="str">
        <f>""</f>
        <v/>
      </c>
      <c r="CT131" t="str">
        <f>""</f>
        <v/>
      </c>
      <c r="CU131">
        <f>2.972460079</f>
        <v>2.9724600790000002</v>
      </c>
      <c r="CV131" t="str">
        <f>""</f>
        <v/>
      </c>
      <c r="CW131" t="str">
        <f>""</f>
        <v/>
      </c>
      <c r="CX131">
        <f>2.799967635</f>
        <v>2.7999676349999998</v>
      </c>
      <c r="CY131" t="str">
        <f>""</f>
        <v/>
      </c>
      <c r="CZ131" t="str">
        <f>""</f>
        <v/>
      </c>
      <c r="DA131">
        <f>2.809557053</f>
        <v>2.8095570529999998</v>
      </c>
      <c r="DB131" t="str">
        <f>""</f>
        <v/>
      </c>
      <c r="DC131" t="str">
        <f>""</f>
        <v/>
      </c>
      <c r="DD131">
        <f>2.805482888</f>
        <v>2.8054828879999998</v>
      </c>
      <c r="DE131" t="str">
        <f>""</f>
        <v/>
      </c>
      <c r="DF131" t="str">
        <f>""</f>
        <v/>
      </c>
      <c r="DG131">
        <f>2.742187281</f>
        <v>2.7421872810000001</v>
      </c>
      <c r="DH131" t="str">
        <f>""</f>
        <v/>
      </c>
      <c r="DI131" t="str">
        <f>""</f>
        <v/>
      </c>
      <c r="DJ131">
        <f>2.677542771</f>
        <v>2.6775427710000002</v>
      </c>
      <c r="DK131" t="str">
        <f>""</f>
        <v/>
      </c>
      <c r="DL131" t="str">
        <f>""</f>
        <v/>
      </c>
      <c r="DM131">
        <f>2.630234352</f>
        <v>2.630234352</v>
      </c>
      <c r="DN131" t="str">
        <f>""</f>
        <v/>
      </c>
      <c r="DO131" t="str">
        <f>""</f>
        <v/>
      </c>
      <c r="DP131">
        <f>2.494014831</f>
        <v>2.4940148309999999</v>
      </c>
      <c r="DQ131" t="str">
        <f>""</f>
        <v/>
      </c>
      <c r="DR131" t="str">
        <f>""</f>
        <v/>
      </c>
      <c r="DS131">
        <f>2.400582035</f>
        <v>2.4005820349999998</v>
      </c>
      <c r="DT131" t="str">
        <f>""</f>
        <v/>
      </c>
      <c r="DU131" t="str">
        <f>""</f>
        <v/>
      </c>
      <c r="DV131">
        <f>2.290143976</f>
        <v>2.290143976</v>
      </c>
      <c r="DW131" t="str">
        <f>""</f>
        <v/>
      </c>
      <c r="DX131" t="str">
        <f>""</f>
        <v/>
      </c>
      <c r="DY131">
        <f>2.070543961</f>
        <v>2.0705439609999998</v>
      </c>
      <c r="DZ131" t="str">
        <f>""</f>
        <v/>
      </c>
      <c r="EA131" t="str">
        <f>""</f>
        <v/>
      </c>
      <c r="EB131">
        <f>1.948114496</f>
        <v>1.9481144960000001</v>
      </c>
      <c r="EC131" t="str">
        <f>""</f>
        <v/>
      </c>
      <c r="ED131" t="str">
        <f>""</f>
        <v/>
      </c>
      <c r="EE131">
        <f>2.015745601</f>
        <v>2.0157456009999999</v>
      </c>
      <c r="EF131" t="str">
        <f>""</f>
        <v/>
      </c>
      <c r="EG131" t="str">
        <f>""</f>
        <v/>
      </c>
      <c r="EH131">
        <f>2.016001565</f>
        <v>2.0160015649999998</v>
      </c>
      <c r="EI131" t="str">
        <f>""</f>
        <v/>
      </c>
      <c r="EJ131" t="str">
        <f>""</f>
        <v/>
      </c>
      <c r="EK131">
        <f>1.81360094</f>
        <v>1.8136009399999999</v>
      </c>
      <c r="EL131" t="str">
        <f>""</f>
        <v/>
      </c>
      <c r="EM131" t="str">
        <f>""</f>
        <v/>
      </c>
      <c r="EN131">
        <f>1.669365069</f>
        <v>1.6693650689999999</v>
      </c>
      <c r="EO131" t="str">
        <f>""</f>
        <v/>
      </c>
      <c r="EP131" t="str">
        <f>""</f>
        <v/>
      </c>
      <c r="EQ131">
        <f>1.665039964</f>
        <v>1.665039964</v>
      </c>
      <c r="ER131" t="str">
        <f>""</f>
        <v/>
      </c>
      <c r="ES131" t="str">
        <f>""</f>
        <v/>
      </c>
      <c r="ET131">
        <f>1.764900437</f>
        <v>1.7649004370000001</v>
      </c>
      <c r="EU131" t="str">
        <f>""</f>
        <v/>
      </c>
      <c r="EV131" t="str">
        <f>""</f>
        <v/>
      </c>
      <c r="EW131">
        <f>1.422964526</f>
        <v>1.4229645259999999</v>
      </c>
      <c r="EX131" t="str">
        <f>""</f>
        <v/>
      </c>
      <c r="EY131" t="str">
        <f>""</f>
        <v/>
      </c>
      <c r="EZ131">
        <f>1.937954849</f>
        <v>1.937954849</v>
      </c>
      <c r="FA131" t="str">
        <f>""</f>
        <v/>
      </c>
      <c r="FB131" t="str">
        <f>""</f>
        <v/>
      </c>
      <c r="FC131">
        <f>1.560568057</f>
        <v>1.560568057</v>
      </c>
      <c r="FD131" t="str">
        <f>""</f>
        <v/>
      </c>
      <c r="FE131" t="str">
        <f>""</f>
        <v/>
      </c>
      <c r="FF131">
        <f>1.600312512</f>
        <v>1.6003125119999999</v>
      </c>
      <c r="FG131" t="str">
        <f>""</f>
        <v/>
      </c>
      <c r="FH131" t="str">
        <f>""</f>
        <v/>
      </c>
      <c r="FI131">
        <f>1.167218672</f>
        <v>1.167218672</v>
      </c>
      <c r="FJ131" t="str">
        <f>""</f>
        <v/>
      </c>
      <c r="FK131" t="str">
        <f>""</f>
        <v/>
      </c>
      <c r="FL131">
        <f>1.240072454</f>
        <v>1.2400724540000001</v>
      </c>
      <c r="FM131" t="str">
        <f>""</f>
        <v/>
      </c>
      <c r="FN131" t="str">
        <f>""</f>
        <v/>
      </c>
      <c r="FO131">
        <f>1.256502096</f>
        <v>1.256502096</v>
      </c>
      <c r="FP131" t="str">
        <f>""</f>
        <v/>
      </c>
      <c r="FQ131" t="str">
        <f>""</f>
        <v/>
      </c>
    </row>
    <row r="132" spans="1:173">
      <c r="A132" t="str">
        <f>"    Mid-America Apartment Communit"</f>
        <v xml:space="preserve">    Mid-America Apartment Communit</v>
      </c>
      <c r="B132" t="str">
        <f>"MAA US Equity"</f>
        <v>MAA US Equity</v>
      </c>
      <c r="C132" t="str">
        <f t="shared" si="39"/>
        <v>F0580</v>
      </c>
      <c r="D132" t="str">
        <f t="shared" si="40"/>
        <v>FUNDS_AVAILABLE_FOR_DIST_PER_SH</v>
      </c>
      <c r="E132" t="str">
        <f t="shared" si="41"/>
        <v>动态</v>
      </c>
      <c r="F132" t="str">
        <f ca="1">IF(AND(ISNUMBER($F$344),$B$252=1),$F$344,HLOOKUP(INDIRECT(ADDRESS(2,COLUMN())),OFFSET($CL$2,0,0,ROW()-1,84),ROW()-1,FALSE))</f>
        <v/>
      </c>
      <c r="G132" t="str">
        <f ca="1">IF(AND(ISNUMBER($G$344),$B$252=1),$G$344,HLOOKUP(INDIRECT(ADDRESS(2,COLUMN())),OFFSET($CL$2,0,0,ROW()-1,84),ROW()-1,FALSE))</f>
        <v/>
      </c>
      <c r="H132" t="str">
        <f ca="1">IF(AND(ISNUMBER($H$344),$B$252=1),$H$344,HLOOKUP(INDIRECT(ADDRESS(2,COLUMN())),OFFSET($CL$2,0,0,ROW()-1,84),ROW()-1,FALSE))</f>
        <v/>
      </c>
      <c r="I132">
        <f ca="1">IF(AND(ISNUMBER($I$344),$B$252=1),$I$344,HLOOKUP(INDIRECT(ADDRESS(2,COLUMN())),OFFSET($CL$2,0,0,ROW()-1,84),ROW()-1,FALSE))</f>
        <v>1.076038724</v>
      </c>
      <c r="J132" t="str">
        <f ca="1">IF(AND(ISNUMBER($J$344),$B$252=1),$J$344,HLOOKUP(INDIRECT(ADDRESS(2,COLUMN())),OFFSET($CL$2,0,0,ROW()-1,84),ROW()-1,FALSE))</f>
        <v/>
      </c>
      <c r="K132" t="str">
        <f ca="1">IF(AND(ISNUMBER($K$344),$B$252=1),$K$344,HLOOKUP(INDIRECT(ADDRESS(2,COLUMN())),OFFSET($CL$2,0,0,ROW()-1,84),ROW()-1,FALSE))</f>
        <v/>
      </c>
      <c r="L132">
        <f ca="1">IF(AND(ISNUMBER($L$344),$B$252=1),$L$344,HLOOKUP(INDIRECT(ADDRESS(2,COLUMN())),OFFSET($CL$2,0,0,ROW()-1,84),ROW()-1,FALSE))</f>
        <v>1.0769406989999999</v>
      </c>
      <c r="M132" t="str">
        <f ca="1">IF(AND(ISNUMBER($M$344),$B$252=1),$M$344,HLOOKUP(INDIRECT(ADDRESS(2,COLUMN())),OFFSET($CL$2,0,0,ROW()-1,84),ROW()-1,FALSE))</f>
        <v/>
      </c>
      <c r="N132" t="str">
        <f ca="1">IF(AND(ISNUMBER($N$344),$B$252=1),$N$344,HLOOKUP(INDIRECT(ADDRESS(2,COLUMN())),OFFSET($CL$2,0,0,ROW()-1,84),ROW()-1,FALSE))</f>
        <v/>
      </c>
      <c r="O132">
        <f ca="1">IF(AND(ISNUMBER($O$344),$B$252=1),$O$344,HLOOKUP(INDIRECT(ADDRESS(2,COLUMN())),OFFSET($CL$2,0,0,ROW()-1,84),ROW()-1,FALSE))</f>
        <v>1.055389133</v>
      </c>
      <c r="P132" t="str">
        <f ca="1">IF(AND(ISNUMBER($P$344),$B$252=1),$P$344,HLOOKUP(INDIRECT(ADDRESS(2,COLUMN())),OFFSET($CL$2,0,0,ROW()-1,84),ROW()-1,FALSE))</f>
        <v/>
      </c>
      <c r="Q132" t="str">
        <f ca="1">IF(AND(ISNUMBER($Q$344),$B$252=1),$Q$344,HLOOKUP(INDIRECT(ADDRESS(2,COLUMN())),OFFSET($CL$2,0,0,ROW()-1,84),ROW()-1,FALSE))</f>
        <v/>
      </c>
      <c r="R132">
        <f ca="1">IF(AND(ISNUMBER($R$344),$B$252=1),$R$344,HLOOKUP(INDIRECT(ADDRESS(2,COLUMN())),OFFSET($CL$2,0,0,ROW()-1,84),ROW()-1,FALSE))</f>
        <v>1.232381454</v>
      </c>
      <c r="S132" t="str">
        <f ca="1">IF(AND(ISNUMBER($S$344),$B$252=1),$S$344,HLOOKUP(INDIRECT(ADDRESS(2,COLUMN())),OFFSET($CL$2,0,0,ROW()-1,84),ROW()-1,FALSE))</f>
        <v/>
      </c>
      <c r="T132" t="str">
        <f ca="1">IF(AND(ISNUMBER($T$344),$B$252=1),$T$344,HLOOKUP(INDIRECT(ADDRESS(2,COLUMN())),OFFSET($CL$2,0,0,ROW()-1,84),ROW()-1,FALSE))</f>
        <v/>
      </c>
      <c r="U132">
        <f ca="1">IF(AND(ISNUMBER($U$344),$B$252=1),$U$344,HLOOKUP(INDIRECT(ADDRESS(2,COLUMN())),OFFSET($CL$2,0,0,ROW()-1,84),ROW()-1,FALSE))</f>
        <v>0.86024747400000001</v>
      </c>
      <c r="V132" t="str">
        <f ca="1">IF(AND(ISNUMBER($V$344),$B$252=1),$V$344,HLOOKUP(INDIRECT(ADDRESS(2,COLUMN())),OFFSET($CL$2,0,0,ROW()-1,84),ROW()-1,FALSE))</f>
        <v/>
      </c>
      <c r="W132" t="str">
        <f ca="1">IF(AND(ISNUMBER($W$344),$B$252=1),$W$344,HLOOKUP(INDIRECT(ADDRESS(2,COLUMN())),OFFSET($CL$2,0,0,ROW()-1,84),ROW()-1,FALSE))</f>
        <v/>
      </c>
      <c r="X132">
        <f ca="1">IF(AND(ISNUMBER($X$344),$B$252=1),$X$344,HLOOKUP(INDIRECT(ADDRESS(2,COLUMN())),OFFSET($CL$2,0,0,ROW()-1,84),ROW()-1,FALSE))</f>
        <v>1.0477947169999999</v>
      </c>
      <c r="Y132" t="str">
        <f ca="1">IF(AND(ISNUMBER($Y$344),$B$252=1),$Y$344,HLOOKUP(INDIRECT(ADDRESS(2,COLUMN())),OFFSET($CL$2,0,0,ROW()-1,84),ROW()-1,FALSE))</f>
        <v/>
      </c>
      <c r="Z132" t="str">
        <f ca="1">IF(AND(ISNUMBER($Z$344),$B$252=1),$Z$344,HLOOKUP(INDIRECT(ADDRESS(2,COLUMN())),OFFSET($CL$2,0,0,ROW()-1,84),ROW()-1,FALSE))</f>
        <v/>
      </c>
      <c r="AA132">
        <f ca="1">IF(AND(ISNUMBER($AA$344),$B$252=1),$AA$344,HLOOKUP(INDIRECT(ADDRESS(2,COLUMN())),OFFSET($CL$2,0,0,ROW()-1,84),ROW()-1,FALSE))</f>
        <v>1.028274444</v>
      </c>
      <c r="AB132" t="str">
        <f ca="1">IF(AND(ISNUMBER($AB$344),$B$252=1),$AB$344,HLOOKUP(INDIRECT(ADDRESS(2,COLUMN())),OFFSET($CL$2,0,0,ROW()-1,84),ROW()-1,FALSE))</f>
        <v/>
      </c>
      <c r="AC132" t="str">
        <f ca="1">IF(AND(ISNUMBER($AC$344),$B$252=1),$AC$344,HLOOKUP(INDIRECT(ADDRESS(2,COLUMN())),OFFSET($CL$2,0,0,ROW()-1,84),ROW()-1,FALSE))</f>
        <v/>
      </c>
      <c r="AD132">
        <f ca="1">IF(AND(ISNUMBER($AD$344),$B$252=1),$AD$344,HLOOKUP(INDIRECT(ADDRESS(2,COLUMN())),OFFSET($CL$2,0,0,ROW()-1,84),ROW()-1,FALSE))</f>
        <v>1.1256562919999999</v>
      </c>
      <c r="AE132" t="str">
        <f ca="1">IF(AND(ISNUMBER($AE$344),$B$252=1),$AE$344,HLOOKUP(INDIRECT(ADDRESS(2,COLUMN())),OFFSET($CL$2,0,0,ROW()-1,84),ROW()-1,FALSE))</f>
        <v/>
      </c>
      <c r="AF132" t="str">
        <f ca="1">IF(AND(ISNUMBER($AF$344),$B$252=1),$AF$344,HLOOKUP(INDIRECT(ADDRESS(2,COLUMN())),OFFSET($CL$2,0,0,ROW()-1,84),ROW()-1,FALSE))</f>
        <v/>
      </c>
      <c r="AG132">
        <f ca="1">IF(AND(ISNUMBER($AG$344),$B$252=1),$AG$344,HLOOKUP(INDIRECT(ADDRESS(2,COLUMN())),OFFSET($CL$2,0,0,ROW()-1,84),ROW()-1,FALSE))</f>
        <v>1.1174504240000001</v>
      </c>
      <c r="AH132" t="str">
        <f ca="1">IF(AND(ISNUMBER($AH$344),$B$252=1),$AH$344,HLOOKUP(INDIRECT(ADDRESS(2,COLUMN())),OFFSET($CL$2,0,0,ROW()-1,84),ROW()-1,FALSE))</f>
        <v/>
      </c>
      <c r="AI132" t="str">
        <f ca="1">IF(AND(ISNUMBER($AI$344),$B$252=1),$AI$344,HLOOKUP(INDIRECT(ADDRESS(2,COLUMN())),OFFSET($CL$2,0,0,ROW()-1,84),ROW()-1,FALSE))</f>
        <v/>
      </c>
      <c r="AJ132">
        <f ca="1">IF(AND(ISNUMBER($AJ$344),$B$252=1),$AJ$344,HLOOKUP(INDIRECT(ADDRESS(2,COLUMN())),OFFSET($CL$2,0,0,ROW()-1,84),ROW()-1,FALSE))</f>
        <v>0.90761477499999998</v>
      </c>
      <c r="AK132" t="str">
        <f ca="1">IF(AND(ISNUMBER($AK$344),$B$252=1),$AK$344,HLOOKUP(INDIRECT(ADDRESS(2,COLUMN())),OFFSET($CL$2,0,0,ROW()-1,84),ROW()-1,FALSE))</f>
        <v/>
      </c>
      <c r="AL132" t="str">
        <f ca="1">IF(AND(ISNUMBER($AL$344),$B$252=1),$AL$344,HLOOKUP(INDIRECT(ADDRESS(2,COLUMN())),OFFSET($CL$2,0,0,ROW()-1,84),ROW()-1,FALSE))</f>
        <v/>
      </c>
      <c r="AM132">
        <f ca="1">IF(AND(ISNUMBER($AM$344),$B$252=1),$AM$344,HLOOKUP(INDIRECT(ADDRESS(2,COLUMN())),OFFSET($CL$2,0,0,ROW()-1,84),ROW()-1,FALSE))</f>
        <v>1.08180699</v>
      </c>
      <c r="AN132" t="str">
        <f ca="1">IF(AND(ISNUMBER($AN$344),$B$252=1),$AN$344,HLOOKUP(INDIRECT(ADDRESS(2,COLUMN())),OFFSET($CL$2,0,0,ROW()-1,84),ROW()-1,FALSE))</f>
        <v/>
      </c>
      <c r="AO132" t="str">
        <f ca="1">IF(AND(ISNUMBER($AO$344),$B$252=1),$AO$344,HLOOKUP(INDIRECT(ADDRESS(2,COLUMN())),OFFSET($CL$2,0,0,ROW()-1,84),ROW()-1,FALSE))</f>
        <v/>
      </c>
      <c r="AP132">
        <f ca="1">IF(AND(ISNUMBER($AP$344),$B$252=1),$AP$344,HLOOKUP(INDIRECT(ADDRESS(2,COLUMN())),OFFSET($CL$2,0,0,ROW()-1,84),ROW()-1,FALSE))</f>
        <v>1.011433099</v>
      </c>
      <c r="AQ132" t="str">
        <f ca="1">IF(AND(ISNUMBER($AQ$344),$B$252=1),$AQ$344,HLOOKUP(INDIRECT(ADDRESS(2,COLUMN())),OFFSET($CL$2,0,0,ROW()-1,84),ROW()-1,FALSE))</f>
        <v/>
      </c>
      <c r="AR132" t="str">
        <f ca="1">IF(AND(ISNUMBER($AR$344),$B$252=1),$AR$344,HLOOKUP(INDIRECT(ADDRESS(2,COLUMN())),OFFSET($CL$2,0,0,ROW()-1,84),ROW()-1,FALSE))</f>
        <v/>
      </c>
      <c r="AS132">
        <f ca="1">IF(AND(ISNUMBER($AS$344),$B$252=1),$AS$344,HLOOKUP(INDIRECT(ADDRESS(2,COLUMN())),OFFSET($CL$2,0,0,ROW()-1,84),ROW()-1,FALSE))</f>
        <v>1.1759227800000001</v>
      </c>
      <c r="AT132" t="str">
        <f ca="1">IF(AND(ISNUMBER($AT$344),$B$252=1),$AT$344,HLOOKUP(INDIRECT(ADDRESS(2,COLUMN())),OFFSET($CL$2,0,0,ROW()-1,84),ROW()-1,FALSE))</f>
        <v/>
      </c>
      <c r="AU132" t="str">
        <f ca="1">IF(AND(ISNUMBER($AU$344),$B$252=1),$AU$344,HLOOKUP(INDIRECT(ADDRESS(2,COLUMN())),OFFSET($CL$2,0,0,ROW()-1,84),ROW()-1,FALSE))</f>
        <v/>
      </c>
      <c r="AV132">
        <f ca="1">IF(AND(ISNUMBER($AV$344),$B$252=1),$AV$344,HLOOKUP(INDIRECT(ADDRESS(2,COLUMN())),OFFSET($CL$2,0,0,ROW()-1,84),ROW()-1,FALSE))</f>
        <v>1.037053824</v>
      </c>
      <c r="AW132" t="str">
        <f ca="1">IF(AND(ISNUMBER($AW$344),$B$252=1),$AW$344,HLOOKUP(INDIRECT(ADDRESS(2,COLUMN())),OFFSET($CL$2,0,0,ROW()-1,84),ROW()-1,FALSE))</f>
        <v/>
      </c>
      <c r="AX132" t="str">
        <f ca="1">IF(AND(ISNUMBER($AX$344),$B$252=1),$AX$344,HLOOKUP(INDIRECT(ADDRESS(2,COLUMN())),OFFSET($CL$2,0,0,ROW()-1,84),ROW()-1,FALSE))</f>
        <v/>
      </c>
      <c r="AY132">
        <f ca="1">IF(AND(ISNUMBER($AY$344),$B$252=1),$AY$344,HLOOKUP(INDIRECT(ADDRESS(2,COLUMN())),OFFSET($CL$2,0,0,ROW()-1,84),ROW()-1,FALSE))</f>
        <v>0.93594283599999994</v>
      </c>
      <c r="AZ132" t="str">
        <f ca="1">IF(AND(ISNUMBER($AZ$344),$B$252=1),$AZ$344,HLOOKUP(INDIRECT(ADDRESS(2,COLUMN())),OFFSET($CL$2,0,0,ROW()-1,84),ROW()-1,FALSE))</f>
        <v/>
      </c>
      <c r="BA132" t="str">
        <f ca="1">IF(AND(ISNUMBER($BA$344),$B$252=1),$BA$344,HLOOKUP(INDIRECT(ADDRESS(2,COLUMN())),OFFSET($CL$2,0,0,ROW()-1,84),ROW()-1,FALSE))</f>
        <v/>
      </c>
      <c r="BB132">
        <f ca="1">IF(AND(ISNUMBER($BB$344),$B$252=1),$BB$344,HLOOKUP(INDIRECT(ADDRESS(2,COLUMN())),OFFSET($CL$2,0,0,ROW()-1,84),ROW()-1,FALSE))</f>
        <v>1.1300594450000001</v>
      </c>
      <c r="BC132" t="str">
        <f ca="1">IF(AND(ISNUMBER($BC$344),$B$252=1),$BC$344,HLOOKUP(INDIRECT(ADDRESS(2,COLUMN())),OFFSET($CL$2,0,0,ROW()-1,84),ROW()-1,FALSE))</f>
        <v/>
      </c>
      <c r="BD132" t="str">
        <f ca="1">IF(AND(ISNUMBER($BD$344),$B$252=1),$BD$344,HLOOKUP(INDIRECT(ADDRESS(2,COLUMN())),OFFSET($CL$2,0,0,ROW()-1,84),ROW()-1,FALSE))</f>
        <v/>
      </c>
      <c r="BE132">
        <f ca="1">IF(AND(ISNUMBER($BE$344),$B$252=1),$BE$344,HLOOKUP(INDIRECT(ADDRESS(2,COLUMN())),OFFSET($CL$2,0,0,ROW()-1,84),ROW()-1,FALSE))</f>
        <v>0.97214741800000004</v>
      </c>
      <c r="BF132" t="str">
        <f ca="1">IF(AND(ISNUMBER($BF$344),$B$252=1),$BF$344,HLOOKUP(INDIRECT(ADDRESS(2,COLUMN())),OFFSET($CL$2,0,0,ROW()-1,84),ROW()-1,FALSE))</f>
        <v/>
      </c>
      <c r="BG132" t="str">
        <f ca="1">IF(AND(ISNUMBER($BG$344),$B$252=1),$BG$344,HLOOKUP(INDIRECT(ADDRESS(2,COLUMN())),OFFSET($CL$2,0,0,ROW()-1,84),ROW()-1,FALSE))</f>
        <v/>
      </c>
      <c r="BH132">
        <f ca="1">IF(AND(ISNUMBER($BH$344),$B$252=1),$BH$344,HLOOKUP(INDIRECT(ADDRESS(2,COLUMN())),OFFSET($CL$2,0,0,ROW()-1,84),ROW()-1,FALSE))</f>
        <v>1.076499044</v>
      </c>
      <c r="BI132" t="str">
        <f ca="1">IF(AND(ISNUMBER($BI$344),$B$252=1),$BI$344,HLOOKUP(INDIRECT(ADDRESS(2,COLUMN())),OFFSET($CL$2,0,0,ROW()-1,84),ROW()-1,FALSE))</f>
        <v/>
      </c>
      <c r="BJ132" t="str">
        <f ca="1">IF(AND(ISNUMBER($BJ$344),$B$252=1),$BJ$344,HLOOKUP(INDIRECT(ADDRESS(2,COLUMN())),OFFSET($CL$2,0,0,ROW()-1,84),ROW()-1,FALSE))</f>
        <v/>
      </c>
      <c r="BK132">
        <f ca="1">IF(AND(ISNUMBER($BK$344),$B$252=1),$BK$344,HLOOKUP(INDIRECT(ADDRESS(2,COLUMN())),OFFSET($CL$2,0,0,ROW()-1,84),ROW()-1,FALSE))</f>
        <v>1.049464398</v>
      </c>
      <c r="BL132" t="str">
        <f ca="1">IF(AND(ISNUMBER($BL$344),$B$252=1),$BL$344,HLOOKUP(INDIRECT(ADDRESS(2,COLUMN())),OFFSET($CL$2,0,0,ROW()-1,84),ROW()-1,FALSE))</f>
        <v/>
      </c>
      <c r="BM132" t="str">
        <f ca="1">IF(AND(ISNUMBER($BM$344),$B$252=1),$BM$344,HLOOKUP(INDIRECT(ADDRESS(2,COLUMN())),OFFSET($CL$2,0,0,ROW()-1,84),ROW()-1,FALSE))</f>
        <v/>
      </c>
      <c r="BN132">
        <f ca="1">IF(AND(ISNUMBER($BN$344),$B$252=1),$BN$344,HLOOKUP(INDIRECT(ADDRESS(2,COLUMN())),OFFSET($CL$2,0,0,ROW()-1,84),ROW()-1,FALSE))</f>
        <v>1.1227207859999999</v>
      </c>
      <c r="BO132" t="str">
        <f ca="1">IF(AND(ISNUMBER($BO$344),$B$252=1),$BO$344,HLOOKUP(INDIRECT(ADDRESS(2,COLUMN())),OFFSET($CL$2,0,0,ROW()-1,84),ROW()-1,FALSE))</f>
        <v/>
      </c>
      <c r="BP132" t="str">
        <f ca="1">IF(AND(ISNUMBER($BP$344),$B$252=1),$BP$344,HLOOKUP(INDIRECT(ADDRESS(2,COLUMN())),OFFSET($CL$2,0,0,ROW()-1,84),ROW()-1,FALSE))</f>
        <v/>
      </c>
      <c r="BQ132">
        <f ca="1">IF(AND(ISNUMBER($BQ$344),$B$252=1),$BQ$344,HLOOKUP(INDIRECT(ADDRESS(2,COLUMN())),OFFSET($CL$2,0,0,ROW()-1,84),ROW()-1,FALSE))</f>
        <v>9.1121707999999996E-2</v>
      </c>
      <c r="BR132" t="str">
        <f ca="1">IF(AND(ISNUMBER($BR$344),$B$252=1),$BR$344,HLOOKUP(INDIRECT(ADDRESS(2,COLUMN())),OFFSET($CL$2,0,0,ROW()-1,84),ROW()-1,FALSE))</f>
        <v/>
      </c>
      <c r="BS132" t="str">
        <f ca="1">IF(AND(ISNUMBER($BS$344),$B$252=1),$BS$344,HLOOKUP(INDIRECT(ADDRESS(2,COLUMN())),OFFSET($CL$2,0,0,ROW()-1,84),ROW()-1,FALSE))</f>
        <v/>
      </c>
      <c r="BT132">
        <f ca="1">IF(AND(ISNUMBER($BT$344),$B$252=1),$BT$344,HLOOKUP(INDIRECT(ADDRESS(2,COLUMN())),OFFSET($CL$2,0,0,ROW()-1,84),ROW()-1,FALSE))</f>
        <v>1.001411351</v>
      </c>
      <c r="BU132" t="str">
        <f ca="1">IF(AND(ISNUMBER($BU$344),$B$252=1),$BU$344,HLOOKUP(INDIRECT(ADDRESS(2,COLUMN())),OFFSET($CL$2,0,0,ROW()-1,84),ROW()-1,FALSE))</f>
        <v/>
      </c>
      <c r="BV132" t="str">
        <f ca="1">IF(AND(ISNUMBER($BV$344),$B$252=1),$BV$344,HLOOKUP(INDIRECT(ADDRESS(2,COLUMN())),OFFSET($CL$2,0,0,ROW()-1,84),ROW()-1,FALSE))</f>
        <v/>
      </c>
      <c r="BW132">
        <f ca="1">IF(AND(ISNUMBER($BW$344),$B$252=1),$BW$344,HLOOKUP(INDIRECT(ADDRESS(2,COLUMN())),OFFSET($CL$2,0,0,ROW()-1,84),ROW()-1,FALSE))</f>
        <v>0.90722130199999995</v>
      </c>
      <c r="BX132" t="str">
        <f ca="1">IF(AND(ISNUMBER($BX$344),$B$252=1),$BX$344,HLOOKUP(INDIRECT(ADDRESS(2,COLUMN())),OFFSET($CL$2,0,0,ROW()-1,84),ROW()-1,FALSE))</f>
        <v/>
      </c>
      <c r="BY132" t="str">
        <f ca="1">IF(AND(ISNUMBER($BY$344),$B$252=1),$BY$344,HLOOKUP(INDIRECT(ADDRESS(2,COLUMN())),OFFSET($CL$2,0,0,ROW()-1,84),ROW()-1,FALSE))</f>
        <v/>
      </c>
      <c r="BZ132">
        <f ca="1">IF(AND(ISNUMBER($BZ$344),$B$252=1),$BZ$344,HLOOKUP(INDIRECT(ADDRESS(2,COLUMN())),OFFSET($CL$2,0,0,ROW()-1,84),ROW()-1,FALSE))</f>
        <v>0.93625881600000005</v>
      </c>
      <c r="CA132" t="str">
        <f ca="1">IF(AND(ISNUMBER($CA$344),$B$252=1),$CA$344,HLOOKUP(INDIRECT(ADDRESS(2,COLUMN())),OFFSET($CL$2,0,0,ROW()-1,84),ROW()-1,FALSE))</f>
        <v/>
      </c>
      <c r="CB132" t="str">
        <f ca="1">IF(AND(ISNUMBER($CB$344),$B$252=1),$CB$344,HLOOKUP(INDIRECT(ADDRESS(2,COLUMN())),OFFSET($CL$2,0,0,ROW()-1,84),ROW()-1,FALSE))</f>
        <v/>
      </c>
      <c r="CC132">
        <f ca="1">IF(AND(ISNUMBER($CC$344),$B$252=1),$CC$344,HLOOKUP(INDIRECT(ADDRESS(2,COLUMN())),OFFSET($CL$2,0,0,ROW()-1,84),ROW()-1,FALSE))</f>
        <v>0.97463497300000002</v>
      </c>
      <c r="CD132" t="str">
        <f ca="1">IF(AND(ISNUMBER($CD$344),$B$252=1),$CD$344,HLOOKUP(INDIRECT(ADDRESS(2,COLUMN())),OFFSET($CL$2,0,0,ROW()-1,84),ROW()-1,FALSE))</f>
        <v/>
      </c>
      <c r="CE132" t="str">
        <f ca="1">IF(AND(ISNUMBER($CE$344),$B$252=1),$CE$344,HLOOKUP(INDIRECT(ADDRESS(2,COLUMN())),OFFSET($CL$2,0,0,ROW()-1,84),ROW()-1,FALSE))</f>
        <v/>
      </c>
      <c r="CF132">
        <f ca="1">IF(AND(ISNUMBER($CF$344),$B$252=1),$CF$344,HLOOKUP(INDIRECT(ADDRESS(2,COLUMN())),OFFSET($CL$2,0,0,ROW()-1,84),ROW()-1,FALSE))</f>
        <v>0.81595419899999999</v>
      </c>
      <c r="CG132" t="str">
        <f ca="1">IF(AND(ISNUMBER($CG$344),$B$252=1),$CG$344,HLOOKUP(INDIRECT(ADDRESS(2,COLUMN())),OFFSET($CL$2,0,0,ROW()-1,84),ROW()-1,FALSE))</f>
        <v/>
      </c>
      <c r="CH132" t="str">
        <f ca="1">IF(AND(ISNUMBER($CH$344),$B$252=1),$CH$344,HLOOKUP(INDIRECT(ADDRESS(2,COLUMN())),OFFSET($CL$2,0,0,ROW()-1,84),ROW()-1,FALSE))</f>
        <v/>
      </c>
      <c r="CI132">
        <f ca="1">IF(AND(ISNUMBER($CI$344),$B$252=1),$CI$344,HLOOKUP(INDIRECT(ADDRESS(2,COLUMN())),OFFSET($CL$2,0,0,ROW()-1,84),ROW()-1,FALSE))</f>
        <v>0.68522467399999998</v>
      </c>
      <c r="CJ132" t="str">
        <f ca="1">IF(AND(ISNUMBER($CJ$344),$B$252=1),$CJ$344,HLOOKUP(INDIRECT(ADDRESS(2,COLUMN())),OFFSET($CL$2,0,0,ROW()-1,84),ROW()-1,FALSE))</f>
        <v/>
      </c>
      <c r="CK132" t="str">
        <f ca="1">IF(AND(ISNUMBER($CK$344),$B$252=1),$CK$344,HLOOKUP(INDIRECT(ADDRESS(2,COLUMN())),OFFSET($CL$2,0,0,ROW()-1,84),ROW()-1,FALSE))</f>
        <v/>
      </c>
      <c r="CL132" t="str">
        <f>""</f>
        <v/>
      </c>
      <c r="CM132" t="str">
        <f>""</f>
        <v/>
      </c>
      <c r="CN132" t="str">
        <f>""</f>
        <v/>
      </c>
      <c r="CO132">
        <f>1.076038724</f>
        <v>1.076038724</v>
      </c>
      <c r="CP132" t="str">
        <f>""</f>
        <v/>
      </c>
      <c r="CQ132" t="str">
        <f>""</f>
        <v/>
      </c>
      <c r="CR132">
        <f>1.076940699</f>
        <v>1.0769406989999999</v>
      </c>
      <c r="CS132" t="str">
        <f>""</f>
        <v/>
      </c>
      <c r="CT132" t="str">
        <f>""</f>
        <v/>
      </c>
      <c r="CU132">
        <f>1.055389133</f>
        <v>1.055389133</v>
      </c>
      <c r="CV132" t="str">
        <f>""</f>
        <v/>
      </c>
      <c r="CW132" t="str">
        <f>""</f>
        <v/>
      </c>
      <c r="CX132">
        <f>1.232381454</f>
        <v>1.232381454</v>
      </c>
      <c r="CY132" t="str">
        <f>""</f>
        <v/>
      </c>
      <c r="CZ132" t="str">
        <f>""</f>
        <v/>
      </c>
      <c r="DA132">
        <f>0.860247474</f>
        <v>0.86024747400000001</v>
      </c>
      <c r="DB132" t="str">
        <f>""</f>
        <v/>
      </c>
      <c r="DC132" t="str">
        <f>""</f>
        <v/>
      </c>
      <c r="DD132">
        <f>1.047794717</f>
        <v>1.0477947169999999</v>
      </c>
      <c r="DE132" t="str">
        <f>""</f>
        <v/>
      </c>
      <c r="DF132" t="str">
        <f>""</f>
        <v/>
      </c>
      <c r="DG132">
        <f>1.028274444</f>
        <v>1.028274444</v>
      </c>
      <c r="DH132" t="str">
        <f>""</f>
        <v/>
      </c>
      <c r="DI132" t="str">
        <f>""</f>
        <v/>
      </c>
      <c r="DJ132">
        <f>1.125656292</f>
        <v>1.1256562919999999</v>
      </c>
      <c r="DK132" t="str">
        <f>""</f>
        <v/>
      </c>
      <c r="DL132" t="str">
        <f>""</f>
        <v/>
      </c>
      <c r="DM132">
        <f>1.117450424</f>
        <v>1.1174504240000001</v>
      </c>
      <c r="DN132" t="str">
        <f>""</f>
        <v/>
      </c>
      <c r="DO132" t="str">
        <f>""</f>
        <v/>
      </c>
      <c r="DP132">
        <f>0.907614775</f>
        <v>0.90761477499999998</v>
      </c>
      <c r="DQ132" t="str">
        <f>""</f>
        <v/>
      </c>
      <c r="DR132" t="str">
        <f>""</f>
        <v/>
      </c>
      <c r="DS132">
        <f>1.08180699</f>
        <v>1.08180699</v>
      </c>
      <c r="DT132" t="str">
        <f>""</f>
        <v/>
      </c>
      <c r="DU132" t="str">
        <f>""</f>
        <v/>
      </c>
      <c r="DV132">
        <f>1.011433099</f>
        <v>1.011433099</v>
      </c>
      <c r="DW132" t="str">
        <f>""</f>
        <v/>
      </c>
      <c r="DX132" t="str">
        <f>""</f>
        <v/>
      </c>
      <c r="DY132">
        <f>1.17592278</f>
        <v>1.1759227800000001</v>
      </c>
      <c r="DZ132" t="str">
        <f>""</f>
        <v/>
      </c>
      <c r="EA132" t="str">
        <f>""</f>
        <v/>
      </c>
      <c r="EB132">
        <f>1.037053824</f>
        <v>1.037053824</v>
      </c>
      <c r="EC132" t="str">
        <f>""</f>
        <v/>
      </c>
      <c r="ED132" t="str">
        <f>""</f>
        <v/>
      </c>
      <c r="EE132">
        <f>0.935942836</f>
        <v>0.93594283599999994</v>
      </c>
      <c r="EF132" t="str">
        <f>""</f>
        <v/>
      </c>
      <c r="EG132" t="str">
        <f>""</f>
        <v/>
      </c>
      <c r="EH132">
        <f>1.130059445</f>
        <v>1.1300594450000001</v>
      </c>
      <c r="EI132" t="str">
        <f>""</f>
        <v/>
      </c>
      <c r="EJ132" t="str">
        <f>""</f>
        <v/>
      </c>
      <c r="EK132">
        <f>0.972147418</f>
        <v>0.97214741800000004</v>
      </c>
      <c r="EL132" t="str">
        <f>""</f>
        <v/>
      </c>
      <c r="EM132" t="str">
        <f>""</f>
        <v/>
      </c>
      <c r="EN132">
        <f>1.076499044</f>
        <v>1.076499044</v>
      </c>
      <c r="EO132" t="str">
        <f>""</f>
        <v/>
      </c>
      <c r="EP132" t="str">
        <f>""</f>
        <v/>
      </c>
      <c r="EQ132">
        <f>1.049464398</f>
        <v>1.049464398</v>
      </c>
      <c r="ER132" t="str">
        <f>""</f>
        <v/>
      </c>
      <c r="ES132" t="str">
        <f>""</f>
        <v/>
      </c>
      <c r="ET132">
        <f>1.122720786</f>
        <v>1.1227207859999999</v>
      </c>
      <c r="EU132" t="str">
        <f>""</f>
        <v/>
      </c>
      <c r="EV132" t="str">
        <f>""</f>
        <v/>
      </c>
      <c r="EW132">
        <f>0.091121708</f>
        <v>9.1121707999999996E-2</v>
      </c>
      <c r="EX132" t="str">
        <f>""</f>
        <v/>
      </c>
      <c r="EY132" t="str">
        <f>""</f>
        <v/>
      </c>
      <c r="EZ132">
        <f>1.001411351</f>
        <v>1.001411351</v>
      </c>
      <c r="FA132" t="str">
        <f>""</f>
        <v/>
      </c>
      <c r="FB132" t="str">
        <f>""</f>
        <v/>
      </c>
      <c r="FC132">
        <f>0.907221302</f>
        <v>0.90722130199999995</v>
      </c>
      <c r="FD132" t="str">
        <f>""</f>
        <v/>
      </c>
      <c r="FE132" t="str">
        <f>""</f>
        <v/>
      </c>
      <c r="FF132">
        <f>0.936258816</f>
        <v>0.93625881600000005</v>
      </c>
      <c r="FG132" t="str">
        <f>""</f>
        <v/>
      </c>
      <c r="FH132" t="str">
        <f>""</f>
        <v/>
      </c>
      <c r="FI132">
        <f>0.974634973</f>
        <v>0.97463497300000002</v>
      </c>
      <c r="FJ132" t="str">
        <f>""</f>
        <v/>
      </c>
      <c r="FK132" t="str">
        <f>""</f>
        <v/>
      </c>
      <c r="FL132">
        <f>0.815954199</f>
        <v>0.81595419899999999</v>
      </c>
      <c r="FM132" t="str">
        <f>""</f>
        <v/>
      </c>
      <c r="FN132" t="str">
        <f>""</f>
        <v/>
      </c>
      <c r="FO132">
        <f>0.685224674</f>
        <v>0.68522467399999998</v>
      </c>
      <c r="FP132" t="str">
        <f>""</f>
        <v/>
      </c>
      <c r="FQ132" t="str">
        <f>""</f>
        <v/>
      </c>
    </row>
    <row r="133" spans="1:173">
      <c r="A133" t="str">
        <f>"    Monogram Residential Trust Inc"</f>
        <v xml:space="preserve">    Monogram Residential Trust Inc</v>
      </c>
      <c r="B133" t="str">
        <f>"MORE US Equity"</f>
        <v>MORE US Equity</v>
      </c>
      <c r="C133" t="str">
        <f t="shared" si="39"/>
        <v>F0580</v>
      </c>
      <c r="D133" t="str">
        <f t="shared" si="40"/>
        <v>FUNDS_AVAILABLE_FOR_DIST_PER_SH</v>
      </c>
      <c r="E133" t="str">
        <f t="shared" si="41"/>
        <v>动态</v>
      </c>
      <c r="F133" t="str">
        <f ca="1">IF(AND(ISNUMBER($F$345),$B$252=1),$F$345,HLOOKUP(INDIRECT(ADDRESS(2,COLUMN())),OFFSET($CL$2,0,0,ROW()-1,84),ROW()-1,FALSE))</f>
        <v/>
      </c>
      <c r="G133" t="str">
        <f ca="1">IF(AND(ISNUMBER($G$345),$B$252=1),$G$345,HLOOKUP(INDIRECT(ADDRESS(2,COLUMN())),OFFSET($CL$2,0,0,ROW()-1,84),ROW()-1,FALSE))</f>
        <v/>
      </c>
      <c r="H133" t="str">
        <f ca="1">IF(AND(ISNUMBER($H$345),$B$252=1),$H$345,HLOOKUP(INDIRECT(ADDRESS(2,COLUMN())),OFFSET($CL$2,0,0,ROW()-1,84),ROW()-1,FALSE))</f>
        <v/>
      </c>
      <c r="I133" t="str">
        <f ca="1">IF(AND(ISNUMBER($I$345),$B$252=1),$I$345,HLOOKUP(INDIRECT(ADDRESS(2,COLUMN())),OFFSET($CL$2,0,0,ROW()-1,84),ROW()-1,FALSE))</f>
        <v/>
      </c>
      <c r="J133" t="str">
        <f ca="1">IF(AND(ISNUMBER($J$345),$B$252=1),$J$345,HLOOKUP(INDIRECT(ADDRESS(2,COLUMN())),OFFSET($CL$2,0,0,ROW()-1,84),ROW()-1,FALSE))</f>
        <v/>
      </c>
      <c r="K133" t="str">
        <f ca="1">IF(AND(ISNUMBER($K$345),$B$252=1),$K$345,HLOOKUP(INDIRECT(ADDRESS(2,COLUMN())),OFFSET($CL$2,0,0,ROW()-1,84),ROW()-1,FALSE))</f>
        <v/>
      </c>
      <c r="L133" t="str">
        <f ca="1">IF(AND(ISNUMBER($L$345),$B$252=1),$L$345,HLOOKUP(INDIRECT(ADDRESS(2,COLUMN())),OFFSET($CL$2,0,0,ROW()-1,84),ROW()-1,FALSE))</f>
        <v/>
      </c>
      <c r="M133" t="str">
        <f ca="1">IF(AND(ISNUMBER($M$345),$B$252=1),$M$345,HLOOKUP(INDIRECT(ADDRESS(2,COLUMN())),OFFSET($CL$2,0,0,ROW()-1,84),ROW()-1,FALSE))</f>
        <v/>
      </c>
      <c r="N133" t="str">
        <f ca="1">IF(AND(ISNUMBER($N$345),$B$252=1),$N$345,HLOOKUP(INDIRECT(ADDRESS(2,COLUMN())),OFFSET($CL$2,0,0,ROW()-1,84),ROW()-1,FALSE))</f>
        <v/>
      </c>
      <c r="O133">
        <f ca="1">IF(AND(ISNUMBER($O$345),$B$252=1),$O$345,HLOOKUP(INDIRECT(ADDRESS(2,COLUMN())),OFFSET($CL$2,0,0,ROW()-1,84),ROW()-1,FALSE))</f>
        <v>8.5243757000000003E-2</v>
      </c>
      <c r="P133" t="str">
        <f ca="1">IF(AND(ISNUMBER($P$345),$B$252=1),$P$345,HLOOKUP(INDIRECT(ADDRESS(2,COLUMN())),OFFSET($CL$2,0,0,ROW()-1,84),ROW()-1,FALSE))</f>
        <v/>
      </c>
      <c r="Q133" t="str">
        <f ca="1">IF(AND(ISNUMBER($Q$345),$B$252=1),$Q$345,HLOOKUP(INDIRECT(ADDRESS(2,COLUMN())),OFFSET($CL$2,0,0,ROW()-1,84),ROW()-1,FALSE))</f>
        <v/>
      </c>
      <c r="R133">
        <f ca="1">IF(AND(ISNUMBER($R$345),$B$252=1),$R$345,HLOOKUP(INDIRECT(ADDRESS(2,COLUMN())),OFFSET($CL$2,0,0,ROW()-1,84),ROW()-1,FALSE))</f>
        <v>6.9225268000000006E-2</v>
      </c>
      <c r="S133" t="str">
        <f ca="1">IF(AND(ISNUMBER($S$345),$B$252=1),$S$345,HLOOKUP(INDIRECT(ADDRESS(2,COLUMN())),OFFSET($CL$2,0,0,ROW()-1,84),ROW()-1,FALSE))</f>
        <v/>
      </c>
      <c r="T133" t="str">
        <f ca="1">IF(AND(ISNUMBER($T$345),$B$252=1),$T$345,HLOOKUP(INDIRECT(ADDRESS(2,COLUMN())),OFFSET($CL$2,0,0,ROW()-1,84),ROW()-1,FALSE))</f>
        <v/>
      </c>
      <c r="U133">
        <f ca="1">IF(AND(ISNUMBER($U$345),$B$252=1),$U$345,HLOOKUP(INDIRECT(ADDRESS(2,COLUMN())),OFFSET($CL$2,0,0,ROW()-1,84),ROW()-1,FALSE))</f>
        <v>0.117982822</v>
      </c>
      <c r="V133" t="str">
        <f ca="1">IF(AND(ISNUMBER($V$345),$B$252=1),$V$345,HLOOKUP(INDIRECT(ADDRESS(2,COLUMN())),OFFSET($CL$2,0,0,ROW()-1,84),ROW()-1,FALSE))</f>
        <v/>
      </c>
      <c r="W133" t="str">
        <f ca="1">IF(AND(ISNUMBER($W$345),$B$252=1),$W$345,HLOOKUP(INDIRECT(ADDRESS(2,COLUMN())),OFFSET($CL$2,0,0,ROW()-1,84),ROW()-1,FALSE))</f>
        <v/>
      </c>
      <c r="X133">
        <f ca="1">IF(AND(ISNUMBER($X$345),$B$252=1),$X$345,HLOOKUP(INDIRECT(ADDRESS(2,COLUMN())),OFFSET($CL$2,0,0,ROW()-1,84),ROW()-1,FALSE))</f>
        <v>9.8515351000000001E-2</v>
      </c>
      <c r="Y133" t="str">
        <f ca="1">IF(AND(ISNUMBER($Y$345),$B$252=1),$Y$345,HLOOKUP(INDIRECT(ADDRESS(2,COLUMN())),OFFSET($CL$2,0,0,ROW()-1,84),ROW()-1,FALSE))</f>
        <v/>
      </c>
      <c r="Z133" t="str">
        <f ca="1">IF(AND(ISNUMBER($Z$345),$B$252=1),$Z$345,HLOOKUP(INDIRECT(ADDRESS(2,COLUMN())),OFFSET($CL$2,0,0,ROW()-1,84),ROW()-1,FALSE))</f>
        <v/>
      </c>
      <c r="AA133">
        <f ca="1">IF(AND(ISNUMBER($AA$345),$B$252=1),$AA$345,HLOOKUP(INDIRECT(ADDRESS(2,COLUMN())),OFFSET($CL$2,0,0,ROW()-1,84),ROW()-1,FALSE))</f>
        <v>8.7953460999999997E-2</v>
      </c>
      <c r="AB133" t="str">
        <f ca="1">IF(AND(ISNUMBER($AB$345),$B$252=1),$AB$345,HLOOKUP(INDIRECT(ADDRESS(2,COLUMN())),OFFSET($CL$2,0,0,ROW()-1,84),ROW()-1,FALSE))</f>
        <v/>
      </c>
      <c r="AC133" t="str">
        <f ca="1">IF(AND(ISNUMBER($AC$345),$B$252=1),$AC$345,HLOOKUP(INDIRECT(ADDRESS(2,COLUMN())),OFFSET($CL$2,0,0,ROW()-1,84),ROW()-1,FALSE))</f>
        <v/>
      </c>
      <c r="AD133">
        <f ca="1">IF(AND(ISNUMBER($AD$345),$B$252=1),$AD$345,HLOOKUP(INDIRECT(ADDRESS(2,COLUMN())),OFFSET($CL$2,0,0,ROW()-1,84),ROW()-1,FALSE))</f>
        <v>7.7346084999999995E-2</v>
      </c>
      <c r="AE133" t="str">
        <f ca="1">IF(AND(ISNUMBER($AE$345),$B$252=1),$AE$345,HLOOKUP(INDIRECT(ADDRESS(2,COLUMN())),OFFSET($CL$2,0,0,ROW()-1,84),ROW()-1,FALSE))</f>
        <v/>
      </c>
      <c r="AF133" t="str">
        <f ca="1">IF(AND(ISNUMBER($AF$345),$B$252=1),$AF$345,HLOOKUP(INDIRECT(ADDRESS(2,COLUMN())),OFFSET($CL$2,0,0,ROW()-1,84),ROW()-1,FALSE))</f>
        <v/>
      </c>
      <c r="AG133">
        <f ca="1">IF(AND(ISNUMBER($AG$345),$B$252=1),$AG$345,HLOOKUP(INDIRECT(ADDRESS(2,COLUMN())),OFFSET($CL$2,0,0,ROW()-1,84),ROW()-1,FALSE))</f>
        <v>8.7170471999999999E-2</v>
      </c>
      <c r="AH133" t="str">
        <f ca="1">IF(AND(ISNUMBER($AH$345),$B$252=1),$AH$345,HLOOKUP(INDIRECT(ADDRESS(2,COLUMN())),OFFSET($CL$2,0,0,ROW()-1,84),ROW()-1,FALSE))</f>
        <v/>
      </c>
      <c r="AI133" t="str">
        <f ca="1">IF(AND(ISNUMBER($AI$345),$B$252=1),$AI$345,HLOOKUP(INDIRECT(ADDRESS(2,COLUMN())),OFFSET($CL$2,0,0,ROW()-1,84),ROW()-1,FALSE))</f>
        <v/>
      </c>
      <c r="AJ133">
        <f ca="1">IF(AND(ISNUMBER($AJ$345),$B$252=1),$AJ$345,HLOOKUP(INDIRECT(ADDRESS(2,COLUMN())),OFFSET($CL$2,0,0,ROW()-1,84),ROW()-1,FALSE))</f>
        <v>9.0663479000000005E-2</v>
      </c>
      <c r="AK133" t="str">
        <f ca="1">IF(AND(ISNUMBER($AK$345),$B$252=1),$AK$345,HLOOKUP(INDIRECT(ADDRESS(2,COLUMN())),OFFSET($CL$2,0,0,ROW()-1,84),ROW()-1,FALSE))</f>
        <v/>
      </c>
      <c r="AL133" t="str">
        <f ca="1">IF(AND(ISNUMBER($AL$345),$B$252=1),$AL$345,HLOOKUP(INDIRECT(ADDRESS(2,COLUMN())),OFFSET($CL$2,0,0,ROW()-1,84),ROW()-1,FALSE))</f>
        <v/>
      </c>
      <c r="AM133">
        <f ca="1">IF(AND(ISNUMBER($AM$345),$B$252=1),$AM$345,HLOOKUP(INDIRECT(ADDRESS(2,COLUMN())),OFFSET($CL$2,0,0,ROW()-1,84),ROW()-1,FALSE))</f>
        <v>0.129651559</v>
      </c>
      <c r="AN133" t="str">
        <f ca="1">IF(AND(ISNUMBER($AN$345),$B$252=1),$AN$345,HLOOKUP(INDIRECT(ADDRESS(2,COLUMN())),OFFSET($CL$2,0,0,ROW()-1,84),ROW()-1,FALSE))</f>
        <v/>
      </c>
      <c r="AO133" t="str">
        <f ca="1">IF(AND(ISNUMBER($AO$345),$B$252=1),$AO$345,HLOOKUP(INDIRECT(ADDRESS(2,COLUMN())),OFFSET($CL$2,0,0,ROW()-1,84),ROW()-1,FALSE))</f>
        <v/>
      </c>
      <c r="AP133">
        <f ca="1">IF(AND(ISNUMBER($AP$345),$B$252=1),$AP$345,HLOOKUP(INDIRECT(ADDRESS(2,COLUMN())),OFFSET($CL$2,0,0,ROW()-1,84),ROW()-1,FALSE))</f>
        <v>9.2094553999999995E-2</v>
      </c>
      <c r="AQ133" t="str">
        <f ca="1">IF(AND(ISNUMBER($AQ$345),$B$252=1),$AQ$345,HLOOKUP(INDIRECT(ADDRESS(2,COLUMN())),OFFSET($CL$2,0,0,ROW()-1,84),ROW()-1,FALSE))</f>
        <v/>
      </c>
      <c r="AR133" t="str">
        <f ca="1">IF(AND(ISNUMBER($AR$345),$B$252=1),$AR$345,HLOOKUP(INDIRECT(ADDRESS(2,COLUMN())),OFFSET($CL$2,0,0,ROW()-1,84),ROW()-1,FALSE))</f>
        <v/>
      </c>
      <c r="AS133">
        <f ca="1">IF(AND(ISNUMBER($AS$345),$B$252=1),$AS$345,HLOOKUP(INDIRECT(ADDRESS(2,COLUMN())),OFFSET($CL$2,0,0,ROW()-1,84),ROW()-1,FALSE))</f>
        <v>9.3661647000000001E-2</v>
      </c>
      <c r="AT133" t="str">
        <f ca="1">IF(AND(ISNUMBER($AT$345),$B$252=1),$AT$345,HLOOKUP(INDIRECT(ADDRESS(2,COLUMN())),OFFSET($CL$2,0,0,ROW()-1,84),ROW()-1,FALSE))</f>
        <v/>
      </c>
      <c r="AU133" t="str">
        <f ca="1">IF(AND(ISNUMBER($AU$345),$B$252=1),$AU$345,HLOOKUP(INDIRECT(ADDRESS(2,COLUMN())),OFFSET($CL$2,0,0,ROW()-1,84),ROW()-1,FALSE))</f>
        <v/>
      </c>
      <c r="AV133">
        <f ca="1">IF(AND(ISNUMBER($AV$345),$B$252=1),$AV$345,HLOOKUP(INDIRECT(ADDRESS(2,COLUMN())),OFFSET($CL$2,0,0,ROW()-1,84),ROW()-1,FALSE))</f>
        <v>9.4461537999999998E-2</v>
      </c>
      <c r="AW133" t="str">
        <f ca="1">IF(AND(ISNUMBER($AW$345),$B$252=1),$AW$345,HLOOKUP(INDIRECT(ADDRESS(2,COLUMN())),OFFSET($CL$2,0,0,ROW()-1,84),ROW()-1,FALSE))</f>
        <v/>
      </c>
      <c r="AX133" t="str">
        <f ca="1">IF(AND(ISNUMBER($AX$345),$B$252=1),$AX$345,HLOOKUP(INDIRECT(ADDRESS(2,COLUMN())),OFFSET($CL$2,0,0,ROW()-1,84),ROW()-1,FALSE))</f>
        <v/>
      </c>
      <c r="AY133">
        <f ca="1">IF(AND(ISNUMBER($AY$345),$B$252=1),$AY$345,HLOOKUP(INDIRECT(ADDRESS(2,COLUMN())),OFFSET($CL$2,0,0,ROW()-1,84),ROW()-1,FALSE))</f>
        <v>8.1356153E-2</v>
      </c>
      <c r="AZ133" t="str">
        <f ca="1">IF(AND(ISNUMBER($AZ$345),$B$252=1),$AZ$345,HLOOKUP(INDIRECT(ADDRESS(2,COLUMN())),OFFSET($CL$2,0,0,ROW()-1,84),ROW()-1,FALSE))</f>
        <v/>
      </c>
      <c r="BA133" t="str">
        <f ca="1">IF(AND(ISNUMBER($BA$345),$B$252=1),$BA$345,HLOOKUP(INDIRECT(ADDRESS(2,COLUMN())),OFFSET($CL$2,0,0,ROW()-1,84),ROW()-1,FALSE))</f>
        <v/>
      </c>
      <c r="BB133">
        <f ca="1">IF(AND(ISNUMBER($BB$345),$B$252=1),$BB$345,HLOOKUP(INDIRECT(ADDRESS(2,COLUMN())),OFFSET($CL$2,0,0,ROW()-1,84),ROW()-1,FALSE))</f>
        <v>8.2261692999999997E-2</v>
      </c>
      <c r="BC133" t="str">
        <f ca="1">IF(AND(ISNUMBER($BC$345),$B$252=1),$BC$345,HLOOKUP(INDIRECT(ADDRESS(2,COLUMN())),OFFSET($CL$2,0,0,ROW()-1,84),ROW()-1,FALSE))</f>
        <v/>
      </c>
      <c r="BD133" t="str">
        <f ca="1">IF(AND(ISNUMBER($BD$345),$B$252=1),$BD$345,HLOOKUP(INDIRECT(ADDRESS(2,COLUMN())),OFFSET($CL$2,0,0,ROW()-1,84),ROW()-1,FALSE))</f>
        <v/>
      </c>
      <c r="BE133">
        <f ca="1">IF(AND(ISNUMBER($BE$345),$B$252=1),$BE$345,HLOOKUP(INDIRECT(ADDRESS(2,COLUMN())),OFFSET($CL$2,0,0,ROW()-1,84),ROW()-1,FALSE))</f>
        <v>0.13418536</v>
      </c>
      <c r="BF133" t="str">
        <f ca="1">IF(AND(ISNUMBER($BF$345),$B$252=1),$BF$345,HLOOKUP(INDIRECT(ADDRESS(2,COLUMN())),OFFSET($CL$2,0,0,ROW()-1,84),ROW()-1,FALSE))</f>
        <v/>
      </c>
      <c r="BG133" t="str">
        <f ca="1">IF(AND(ISNUMBER($BG$345),$B$252=1),$BG$345,HLOOKUP(INDIRECT(ADDRESS(2,COLUMN())),OFFSET($CL$2,0,0,ROW()-1,84),ROW()-1,FALSE))</f>
        <v/>
      </c>
      <c r="BH133">
        <f ca="1">IF(AND(ISNUMBER($BH$345),$B$252=1),$BH$345,HLOOKUP(INDIRECT(ADDRESS(2,COLUMN())),OFFSET($CL$2,0,0,ROW()-1,84),ROW()-1,FALSE))</f>
        <v>2.723505E-2</v>
      </c>
      <c r="BI133" t="str">
        <f ca="1">IF(AND(ISNUMBER($BI$345),$B$252=1),$BI$345,HLOOKUP(INDIRECT(ADDRESS(2,COLUMN())),OFFSET($CL$2,0,0,ROW()-1,84),ROW()-1,FALSE))</f>
        <v/>
      </c>
      <c r="BJ133" t="str">
        <f ca="1">IF(AND(ISNUMBER($BJ$345),$B$252=1),$BJ$345,HLOOKUP(INDIRECT(ADDRESS(2,COLUMN())),OFFSET($CL$2,0,0,ROW()-1,84),ROW()-1,FALSE))</f>
        <v/>
      </c>
      <c r="BK133">
        <f ca="1">IF(AND(ISNUMBER($BK$345),$B$252=1),$BK$345,HLOOKUP(INDIRECT(ADDRESS(2,COLUMN())),OFFSET($CL$2,0,0,ROW()-1,84),ROW()-1,FALSE))</f>
        <v>8.3481349999999996E-2</v>
      </c>
      <c r="BL133" t="str">
        <f ca="1">IF(AND(ISNUMBER($BL$345),$B$252=1),$BL$345,HLOOKUP(INDIRECT(ADDRESS(2,COLUMN())),OFFSET($CL$2,0,0,ROW()-1,84),ROW()-1,FALSE))</f>
        <v/>
      </c>
      <c r="BM133" t="str">
        <f ca="1">IF(AND(ISNUMBER($BM$345),$B$252=1),$BM$345,HLOOKUP(INDIRECT(ADDRESS(2,COLUMN())),OFFSET($CL$2,0,0,ROW()-1,84),ROW()-1,FALSE))</f>
        <v/>
      </c>
      <c r="BN133">
        <f ca="1">IF(AND(ISNUMBER($BN$345),$B$252=1),$BN$345,HLOOKUP(INDIRECT(ADDRESS(2,COLUMN())),OFFSET($CL$2,0,0,ROW()-1,84),ROW()-1,FALSE))</f>
        <v>8.2093992000000005E-2</v>
      </c>
      <c r="BO133" t="str">
        <f ca="1">IF(AND(ISNUMBER($BO$345),$B$252=1),$BO$345,HLOOKUP(INDIRECT(ADDRESS(2,COLUMN())),OFFSET($CL$2,0,0,ROW()-1,84),ROW()-1,FALSE))</f>
        <v/>
      </c>
      <c r="BP133" t="str">
        <f ca="1">IF(AND(ISNUMBER($BP$345),$B$252=1),$BP$345,HLOOKUP(INDIRECT(ADDRESS(2,COLUMN())),OFFSET($CL$2,0,0,ROW()-1,84),ROW()-1,FALSE))</f>
        <v/>
      </c>
      <c r="BQ133">
        <f ca="1">IF(AND(ISNUMBER($BQ$345),$B$252=1),$BQ$345,HLOOKUP(INDIRECT(ADDRESS(2,COLUMN())),OFFSET($CL$2,0,0,ROW()-1,84),ROW()-1,FALSE))</f>
        <v>7.3677956000000003E-2</v>
      </c>
      <c r="BR133" t="str">
        <f ca="1">IF(AND(ISNUMBER($BR$345),$B$252=1),$BR$345,HLOOKUP(INDIRECT(ADDRESS(2,COLUMN())),OFFSET($CL$2,0,0,ROW()-1,84),ROW()-1,FALSE))</f>
        <v/>
      </c>
      <c r="BS133" t="str">
        <f ca="1">IF(AND(ISNUMBER($BS$345),$B$252=1),$BS$345,HLOOKUP(INDIRECT(ADDRESS(2,COLUMN())),OFFSET($CL$2,0,0,ROW()-1,84),ROW()-1,FALSE))</f>
        <v/>
      </c>
      <c r="BT133">
        <f ca="1">IF(AND(ISNUMBER($BT$345),$B$252=1),$BT$345,HLOOKUP(INDIRECT(ADDRESS(2,COLUMN())),OFFSET($CL$2,0,0,ROW()-1,84),ROW()-1,FALSE))</f>
        <v>5.8293269000000002E-2</v>
      </c>
      <c r="BU133" t="str">
        <f ca="1">IF(AND(ISNUMBER($BU$345),$B$252=1),$BU$345,HLOOKUP(INDIRECT(ADDRESS(2,COLUMN())),OFFSET($CL$2,0,0,ROW()-1,84),ROW()-1,FALSE))</f>
        <v/>
      </c>
      <c r="BV133" t="str">
        <f ca="1">IF(AND(ISNUMBER($BV$345),$B$252=1),$BV$345,HLOOKUP(INDIRECT(ADDRESS(2,COLUMN())),OFFSET($CL$2,0,0,ROW()-1,84),ROW()-1,FALSE))</f>
        <v/>
      </c>
      <c r="BW133">
        <f ca="1">IF(AND(ISNUMBER($BW$345),$B$252=1),$BW$345,HLOOKUP(INDIRECT(ADDRESS(2,COLUMN())),OFFSET($CL$2,0,0,ROW()-1,84),ROW()-1,FALSE))</f>
        <v>5.6159420000000002E-2</v>
      </c>
      <c r="BX133" t="str">
        <f ca="1">IF(AND(ISNUMBER($BX$345),$B$252=1),$BX$345,HLOOKUP(INDIRECT(ADDRESS(2,COLUMN())),OFFSET($CL$2,0,0,ROW()-1,84),ROW()-1,FALSE))</f>
        <v/>
      </c>
      <c r="BY133" t="str">
        <f ca="1">IF(AND(ISNUMBER($BY$345),$B$252=1),$BY$345,HLOOKUP(INDIRECT(ADDRESS(2,COLUMN())),OFFSET($CL$2,0,0,ROW()-1,84),ROW()-1,FALSE))</f>
        <v/>
      </c>
      <c r="BZ133">
        <f ca="1">IF(AND(ISNUMBER($BZ$345),$B$252=1),$BZ$345,HLOOKUP(INDIRECT(ADDRESS(2,COLUMN())),OFFSET($CL$2,0,0,ROW()-1,84),ROW()-1,FALSE))</f>
        <v>5.8965956999999999E-2</v>
      </c>
      <c r="CA133" t="str">
        <f ca="1">IF(AND(ISNUMBER($CA$345),$B$252=1),$CA$345,HLOOKUP(INDIRECT(ADDRESS(2,COLUMN())),OFFSET($CL$2,0,0,ROW()-1,84),ROW()-1,FALSE))</f>
        <v/>
      </c>
      <c r="CB133" t="str">
        <f ca="1">IF(AND(ISNUMBER($CB$345),$B$252=1),$CB$345,HLOOKUP(INDIRECT(ADDRESS(2,COLUMN())),OFFSET($CL$2,0,0,ROW()-1,84),ROW()-1,FALSE))</f>
        <v/>
      </c>
      <c r="CC133" t="str">
        <f ca="1">IF(AND(ISNUMBER($CC$345),$B$252=1),$CC$345,HLOOKUP(INDIRECT(ADDRESS(2,COLUMN())),OFFSET($CL$2,0,0,ROW()-1,84),ROW()-1,FALSE))</f>
        <v/>
      </c>
      <c r="CD133" t="str">
        <f ca="1">IF(AND(ISNUMBER($CD$345),$B$252=1),$CD$345,HLOOKUP(INDIRECT(ADDRESS(2,COLUMN())),OFFSET($CL$2,0,0,ROW()-1,84),ROW()-1,FALSE))</f>
        <v/>
      </c>
      <c r="CE133" t="str">
        <f ca="1">IF(AND(ISNUMBER($CE$345),$B$252=1),$CE$345,HLOOKUP(INDIRECT(ADDRESS(2,COLUMN())),OFFSET($CL$2,0,0,ROW()-1,84),ROW()-1,FALSE))</f>
        <v/>
      </c>
      <c r="CF133" t="str">
        <f ca="1">IF(AND(ISNUMBER($CF$345),$B$252=1),$CF$345,HLOOKUP(INDIRECT(ADDRESS(2,COLUMN())),OFFSET($CL$2,0,0,ROW()-1,84),ROW()-1,FALSE))</f>
        <v/>
      </c>
      <c r="CG133" t="str">
        <f ca="1">IF(AND(ISNUMBER($CG$345),$B$252=1),$CG$345,HLOOKUP(INDIRECT(ADDRESS(2,COLUMN())),OFFSET($CL$2,0,0,ROW()-1,84),ROW()-1,FALSE))</f>
        <v/>
      </c>
      <c r="CH133" t="str">
        <f ca="1">IF(AND(ISNUMBER($CH$345),$B$252=1),$CH$345,HLOOKUP(INDIRECT(ADDRESS(2,COLUMN())),OFFSET($CL$2,0,0,ROW()-1,84),ROW()-1,FALSE))</f>
        <v/>
      </c>
      <c r="CI133" t="str">
        <f ca="1">IF(AND(ISNUMBER($CI$345),$B$252=1),$CI$345,HLOOKUP(INDIRECT(ADDRESS(2,COLUMN())),OFFSET($CL$2,0,0,ROW()-1,84),ROW()-1,FALSE))</f>
        <v/>
      </c>
      <c r="CJ133" t="str">
        <f ca="1">IF(AND(ISNUMBER($CJ$345),$B$252=1),$CJ$345,HLOOKUP(INDIRECT(ADDRESS(2,COLUMN())),OFFSET($CL$2,0,0,ROW()-1,84),ROW()-1,FALSE))</f>
        <v/>
      </c>
      <c r="CK133" t="str">
        <f ca="1">IF(AND(ISNUMBER($CK$345),$B$252=1),$CK$345,HLOOKUP(INDIRECT(ADDRESS(2,COLUMN())),OFFSET($CL$2,0,0,ROW()-1,84),ROW()-1,FALSE))</f>
        <v/>
      </c>
      <c r="CL133" t="str">
        <f>""</f>
        <v/>
      </c>
      <c r="CM133" t="str">
        <f>""</f>
        <v/>
      </c>
      <c r="CN133" t="str">
        <f>""</f>
        <v/>
      </c>
      <c r="CO133" t="str">
        <f>""</f>
        <v/>
      </c>
      <c r="CP133" t="str">
        <f>""</f>
        <v/>
      </c>
      <c r="CQ133" t="str">
        <f>""</f>
        <v/>
      </c>
      <c r="CR133" t="str">
        <f>""</f>
        <v/>
      </c>
      <c r="CS133" t="str">
        <f>""</f>
        <v/>
      </c>
      <c r="CT133" t="str">
        <f>""</f>
        <v/>
      </c>
      <c r="CU133">
        <f>0.085243757</f>
        <v>8.5243757000000003E-2</v>
      </c>
      <c r="CV133" t="str">
        <f>""</f>
        <v/>
      </c>
      <c r="CW133" t="str">
        <f>""</f>
        <v/>
      </c>
      <c r="CX133">
        <f>0.069225268</f>
        <v>6.9225268000000006E-2</v>
      </c>
      <c r="CY133" t="str">
        <f>""</f>
        <v/>
      </c>
      <c r="CZ133" t="str">
        <f>""</f>
        <v/>
      </c>
      <c r="DA133">
        <f>0.117982822</f>
        <v>0.117982822</v>
      </c>
      <c r="DB133" t="str">
        <f>""</f>
        <v/>
      </c>
      <c r="DC133" t="str">
        <f>""</f>
        <v/>
      </c>
      <c r="DD133">
        <f>0.098515351</f>
        <v>9.8515351000000001E-2</v>
      </c>
      <c r="DE133" t="str">
        <f>""</f>
        <v/>
      </c>
      <c r="DF133" t="str">
        <f>""</f>
        <v/>
      </c>
      <c r="DG133">
        <f>0.087953461</f>
        <v>8.7953460999999997E-2</v>
      </c>
      <c r="DH133" t="str">
        <f>""</f>
        <v/>
      </c>
      <c r="DI133" t="str">
        <f>""</f>
        <v/>
      </c>
      <c r="DJ133">
        <f>0.077346085</f>
        <v>7.7346084999999995E-2</v>
      </c>
      <c r="DK133" t="str">
        <f>""</f>
        <v/>
      </c>
      <c r="DL133" t="str">
        <f>""</f>
        <v/>
      </c>
      <c r="DM133">
        <f>0.087170472</f>
        <v>8.7170471999999999E-2</v>
      </c>
      <c r="DN133" t="str">
        <f>""</f>
        <v/>
      </c>
      <c r="DO133" t="str">
        <f>""</f>
        <v/>
      </c>
      <c r="DP133">
        <f>0.090663479</f>
        <v>9.0663479000000005E-2</v>
      </c>
      <c r="DQ133" t="str">
        <f>""</f>
        <v/>
      </c>
      <c r="DR133" t="str">
        <f>""</f>
        <v/>
      </c>
      <c r="DS133">
        <f>0.129651559</f>
        <v>0.129651559</v>
      </c>
      <c r="DT133" t="str">
        <f>""</f>
        <v/>
      </c>
      <c r="DU133" t="str">
        <f>""</f>
        <v/>
      </c>
      <c r="DV133">
        <f>0.092094554</f>
        <v>9.2094553999999995E-2</v>
      </c>
      <c r="DW133" t="str">
        <f>""</f>
        <v/>
      </c>
      <c r="DX133" t="str">
        <f>""</f>
        <v/>
      </c>
      <c r="DY133">
        <f>0.093661647</f>
        <v>9.3661647000000001E-2</v>
      </c>
      <c r="DZ133" t="str">
        <f>""</f>
        <v/>
      </c>
      <c r="EA133" t="str">
        <f>""</f>
        <v/>
      </c>
      <c r="EB133">
        <f>0.094461538</f>
        <v>9.4461537999999998E-2</v>
      </c>
      <c r="EC133" t="str">
        <f>""</f>
        <v/>
      </c>
      <c r="ED133" t="str">
        <f>""</f>
        <v/>
      </c>
      <c r="EE133">
        <f>0.081356153</f>
        <v>8.1356153E-2</v>
      </c>
      <c r="EF133" t="str">
        <f>""</f>
        <v/>
      </c>
      <c r="EG133" t="str">
        <f>""</f>
        <v/>
      </c>
      <c r="EH133">
        <f>0.082261693</f>
        <v>8.2261692999999997E-2</v>
      </c>
      <c r="EI133" t="str">
        <f>""</f>
        <v/>
      </c>
      <c r="EJ133" t="str">
        <f>""</f>
        <v/>
      </c>
      <c r="EK133">
        <f>0.13418536</f>
        <v>0.13418536</v>
      </c>
      <c r="EL133" t="str">
        <f>""</f>
        <v/>
      </c>
      <c r="EM133" t="str">
        <f>""</f>
        <v/>
      </c>
      <c r="EN133">
        <f>0.02723505</f>
        <v>2.723505E-2</v>
      </c>
      <c r="EO133" t="str">
        <f>""</f>
        <v/>
      </c>
      <c r="EP133" t="str">
        <f>""</f>
        <v/>
      </c>
      <c r="EQ133">
        <f>0.08348135</f>
        <v>8.3481349999999996E-2</v>
      </c>
      <c r="ER133" t="str">
        <f>""</f>
        <v/>
      </c>
      <c r="ES133" t="str">
        <f>""</f>
        <v/>
      </c>
      <c r="ET133">
        <f>0.082093992</f>
        <v>8.2093992000000005E-2</v>
      </c>
      <c r="EU133" t="str">
        <f>""</f>
        <v/>
      </c>
      <c r="EV133" t="str">
        <f>""</f>
        <v/>
      </c>
      <c r="EW133">
        <f>0.073677956</f>
        <v>7.3677956000000003E-2</v>
      </c>
      <c r="EX133" t="str">
        <f>""</f>
        <v/>
      </c>
      <c r="EY133" t="str">
        <f>""</f>
        <v/>
      </c>
      <c r="EZ133">
        <f>0.058293269</f>
        <v>5.8293269000000002E-2</v>
      </c>
      <c r="FA133" t="str">
        <f>""</f>
        <v/>
      </c>
      <c r="FB133" t="str">
        <f>""</f>
        <v/>
      </c>
      <c r="FC133">
        <f>0.05615942</f>
        <v>5.6159420000000002E-2</v>
      </c>
      <c r="FD133" t="str">
        <f>""</f>
        <v/>
      </c>
      <c r="FE133" t="str">
        <f>""</f>
        <v/>
      </c>
      <c r="FF133">
        <f>0.058965957</f>
        <v>5.8965956999999999E-2</v>
      </c>
      <c r="FG133" t="str">
        <f>""</f>
        <v/>
      </c>
      <c r="FH133" t="str">
        <f>""</f>
        <v/>
      </c>
      <c r="FI133" t="str">
        <f>""</f>
        <v/>
      </c>
      <c r="FJ133" t="str">
        <f>""</f>
        <v/>
      </c>
      <c r="FK133" t="str">
        <f>""</f>
        <v/>
      </c>
      <c r="FL133" t="str">
        <f>""</f>
        <v/>
      </c>
      <c r="FM133" t="str">
        <f>""</f>
        <v/>
      </c>
      <c r="FN133" t="str">
        <f>""</f>
        <v/>
      </c>
      <c r="FO133" t="str">
        <f>""</f>
        <v/>
      </c>
      <c r="FP133" t="str">
        <f>""</f>
        <v/>
      </c>
      <c r="FQ133" t="str">
        <f>""</f>
        <v/>
      </c>
    </row>
    <row r="134" spans="1:173">
      <c r="A134" t="str">
        <f>"    UDR Inc"</f>
        <v xml:space="preserve">    UDR Inc</v>
      </c>
      <c r="B134" t="str">
        <f>"UDR US Equity"</f>
        <v>UDR US Equity</v>
      </c>
      <c r="C134" t="str">
        <f t="shared" si="39"/>
        <v>F0580</v>
      </c>
      <c r="D134" t="str">
        <f t="shared" si="40"/>
        <v>FUNDS_AVAILABLE_FOR_DIST_PER_SH</v>
      </c>
      <c r="E134" t="str">
        <f t="shared" si="41"/>
        <v>动态</v>
      </c>
      <c r="F134" t="str">
        <f ca="1">IF(AND(ISNUMBER($F$346),$B$252=1),$F$346,HLOOKUP(INDIRECT(ADDRESS(2,COLUMN())),OFFSET($CL$2,0,0,ROW()-1,84),ROW()-1,FALSE))</f>
        <v/>
      </c>
      <c r="G134" t="str">
        <f ca="1">IF(AND(ISNUMBER($G$346),$B$252=1),$G$346,HLOOKUP(INDIRECT(ADDRESS(2,COLUMN())),OFFSET($CL$2,0,0,ROW()-1,84),ROW()-1,FALSE))</f>
        <v/>
      </c>
      <c r="H134" t="str">
        <f ca="1">IF(AND(ISNUMBER($H$346),$B$252=1),$H$346,HLOOKUP(INDIRECT(ADDRESS(2,COLUMN())),OFFSET($CL$2,0,0,ROW()-1,84),ROW()-1,FALSE))</f>
        <v/>
      </c>
      <c r="I134">
        <f ca="1">IF(AND(ISNUMBER($I$346),$B$252=1),$I$346,HLOOKUP(INDIRECT(ADDRESS(2,COLUMN())),OFFSET($CL$2,0,0,ROW()-1,84),ROW()-1,FALSE))</f>
        <v>0.423743486</v>
      </c>
      <c r="J134" t="str">
        <f ca="1">IF(AND(ISNUMBER($J$346),$B$252=1),$J$346,HLOOKUP(INDIRECT(ADDRESS(2,COLUMN())),OFFSET($CL$2,0,0,ROW()-1,84),ROW()-1,FALSE))</f>
        <v/>
      </c>
      <c r="K134" t="str">
        <f ca="1">IF(AND(ISNUMBER($K$346),$B$252=1),$K$346,HLOOKUP(INDIRECT(ADDRESS(2,COLUMN())),OFFSET($CL$2,0,0,ROW()-1,84),ROW()-1,FALSE))</f>
        <v/>
      </c>
      <c r="L134">
        <f ca="1">IF(AND(ISNUMBER($L$346),$B$252=1),$L$346,HLOOKUP(INDIRECT(ADDRESS(2,COLUMN())),OFFSET($CL$2,0,0,ROW()-1,84),ROW()-1,FALSE))</f>
        <v>0.42760188599999999</v>
      </c>
      <c r="M134" t="str">
        <f ca="1">IF(AND(ISNUMBER($M$346),$B$252=1),$M$346,HLOOKUP(INDIRECT(ADDRESS(2,COLUMN())),OFFSET($CL$2,0,0,ROW()-1,84),ROW()-1,FALSE))</f>
        <v/>
      </c>
      <c r="N134" t="str">
        <f ca="1">IF(AND(ISNUMBER($N$346),$B$252=1),$N$346,HLOOKUP(INDIRECT(ADDRESS(2,COLUMN())),OFFSET($CL$2,0,0,ROW()-1,84),ROW()-1,FALSE))</f>
        <v/>
      </c>
      <c r="O134">
        <f ca="1">IF(AND(ISNUMBER($O$346),$B$252=1),$O$346,HLOOKUP(INDIRECT(ADDRESS(2,COLUMN())),OFFSET($CL$2,0,0,ROW()-1,84),ROW()-1,FALSE))</f>
        <v>0.43415523499999997</v>
      </c>
      <c r="P134" t="str">
        <f ca="1">IF(AND(ISNUMBER($P$346),$B$252=1),$P$346,HLOOKUP(INDIRECT(ADDRESS(2,COLUMN())),OFFSET($CL$2,0,0,ROW()-1,84),ROW()-1,FALSE))</f>
        <v/>
      </c>
      <c r="Q134" t="str">
        <f ca="1">IF(AND(ISNUMBER($Q$346),$B$252=1),$Q$346,HLOOKUP(INDIRECT(ADDRESS(2,COLUMN())),OFFSET($CL$2,0,0,ROW()-1,84),ROW()-1,FALSE))</f>
        <v/>
      </c>
      <c r="R134">
        <f ca="1">IF(AND(ISNUMBER($R$346),$B$252=1),$R$346,HLOOKUP(INDIRECT(ADDRESS(2,COLUMN())),OFFSET($CL$2,0,0,ROW()-1,84),ROW()-1,FALSE))</f>
        <v>0.428919569</v>
      </c>
      <c r="S134" t="str">
        <f ca="1">IF(AND(ISNUMBER($S$346),$B$252=1),$S$346,HLOOKUP(INDIRECT(ADDRESS(2,COLUMN())),OFFSET($CL$2,0,0,ROW()-1,84),ROW()-1,FALSE))</f>
        <v/>
      </c>
      <c r="T134" t="str">
        <f ca="1">IF(AND(ISNUMBER($T$346),$B$252=1),$T$346,HLOOKUP(INDIRECT(ADDRESS(2,COLUMN())),OFFSET($CL$2,0,0,ROW()-1,84),ROW()-1,FALSE))</f>
        <v/>
      </c>
      <c r="U134">
        <f ca="1">IF(AND(ISNUMBER($U$346),$B$252=1),$U$346,HLOOKUP(INDIRECT(ADDRESS(2,COLUMN())),OFFSET($CL$2,0,0,ROW()-1,84),ROW()-1,FALSE))</f>
        <v>0.40475981700000002</v>
      </c>
      <c r="V134" t="str">
        <f ca="1">IF(AND(ISNUMBER($V$346),$B$252=1),$V$346,HLOOKUP(INDIRECT(ADDRESS(2,COLUMN())),OFFSET($CL$2,0,0,ROW()-1,84),ROW()-1,FALSE))</f>
        <v/>
      </c>
      <c r="W134" t="str">
        <f ca="1">IF(AND(ISNUMBER($W$346),$B$252=1),$W$346,HLOOKUP(INDIRECT(ADDRESS(2,COLUMN())),OFFSET($CL$2,0,0,ROW()-1,84),ROW()-1,FALSE))</f>
        <v/>
      </c>
      <c r="X134">
        <f ca="1">IF(AND(ISNUMBER($X$346),$B$252=1),$X$346,HLOOKUP(INDIRECT(ADDRESS(2,COLUMN())),OFFSET($CL$2,0,0,ROW()-1,84),ROW()-1,FALSE))</f>
        <v>0.40753618699999999</v>
      </c>
      <c r="Y134" t="str">
        <f ca="1">IF(AND(ISNUMBER($Y$346),$B$252=1),$Y$346,HLOOKUP(INDIRECT(ADDRESS(2,COLUMN())),OFFSET($CL$2,0,0,ROW()-1,84),ROW()-1,FALSE))</f>
        <v/>
      </c>
      <c r="Z134" t="str">
        <f ca="1">IF(AND(ISNUMBER($Z$346),$B$252=1),$Z$346,HLOOKUP(INDIRECT(ADDRESS(2,COLUMN())),OFFSET($CL$2,0,0,ROW()-1,84),ROW()-1,FALSE))</f>
        <v/>
      </c>
      <c r="AA134">
        <f ca="1">IF(AND(ISNUMBER($AA$346),$B$252=1),$AA$346,HLOOKUP(INDIRECT(ADDRESS(2,COLUMN())),OFFSET($CL$2,0,0,ROW()-1,84),ROW()-1,FALSE))</f>
        <v>0.40855230300000001</v>
      </c>
      <c r="AB134" t="str">
        <f ca="1">IF(AND(ISNUMBER($AB$346),$B$252=1),$AB$346,HLOOKUP(INDIRECT(ADDRESS(2,COLUMN())),OFFSET($CL$2,0,0,ROW()-1,84),ROW()-1,FALSE))</f>
        <v/>
      </c>
      <c r="AC134" t="str">
        <f ca="1">IF(AND(ISNUMBER($AC$346),$B$252=1),$AC$346,HLOOKUP(INDIRECT(ADDRESS(2,COLUMN())),OFFSET($CL$2,0,0,ROW()-1,84),ROW()-1,FALSE))</f>
        <v/>
      </c>
      <c r="AD134">
        <f ca="1">IF(AND(ISNUMBER($AD$346),$B$252=1),$AD$346,HLOOKUP(INDIRECT(ADDRESS(2,COLUMN())),OFFSET($CL$2,0,0,ROW()-1,84),ROW()-1,FALSE))</f>
        <v>0.405844023</v>
      </c>
      <c r="AE134" t="str">
        <f ca="1">IF(AND(ISNUMBER($AE$346),$B$252=1),$AE$346,HLOOKUP(INDIRECT(ADDRESS(2,COLUMN())),OFFSET($CL$2,0,0,ROW()-1,84),ROW()-1,FALSE))</f>
        <v/>
      </c>
      <c r="AF134" t="str">
        <f ca="1">IF(AND(ISNUMBER($AF$346),$B$252=1),$AF$346,HLOOKUP(INDIRECT(ADDRESS(2,COLUMN())),OFFSET($CL$2,0,0,ROW()-1,84),ROW()-1,FALSE))</f>
        <v/>
      </c>
      <c r="AG134">
        <f ca="1">IF(AND(ISNUMBER($AG$346),$B$252=1),$AG$346,HLOOKUP(INDIRECT(ADDRESS(2,COLUMN())),OFFSET($CL$2,0,0,ROW()-1,84),ROW()-1,FALSE))</f>
        <v>0.37482697599999998</v>
      </c>
      <c r="AH134" t="str">
        <f ca="1">IF(AND(ISNUMBER($AH$346),$B$252=1),$AH$346,HLOOKUP(INDIRECT(ADDRESS(2,COLUMN())),OFFSET($CL$2,0,0,ROW()-1,84),ROW()-1,FALSE))</f>
        <v/>
      </c>
      <c r="AI134" t="str">
        <f ca="1">IF(AND(ISNUMBER($AI$346),$B$252=1),$AI$346,HLOOKUP(INDIRECT(ADDRESS(2,COLUMN())),OFFSET($CL$2,0,0,ROW()-1,84),ROW()-1,FALSE))</f>
        <v/>
      </c>
      <c r="AJ134">
        <f ca="1">IF(AND(ISNUMBER($AJ$346),$B$252=1),$AJ$346,HLOOKUP(INDIRECT(ADDRESS(2,COLUMN())),OFFSET($CL$2,0,0,ROW()-1,84),ROW()-1,FALSE))</f>
        <v>0.37308495899999999</v>
      </c>
      <c r="AK134" t="str">
        <f ca="1">IF(AND(ISNUMBER($AK$346),$B$252=1),$AK$346,HLOOKUP(INDIRECT(ADDRESS(2,COLUMN())),OFFSET($CL$2,0,0,ROW()-1,84),ROW()-1,FALSE))</f>
        <v/>
      </c>
      <c r="AL134" t="str">
        <f ca="1">IF(AND(ISNUMBER($AL$346),$B$252=1),$AL$346,HLOOKUP(INDIRECT(ADDRESS(2,COLUMN())),OFFSET($CL$2,0,0,ROW()-1,84),ROW()-1,FALSE))</f>
        <v/>
      </c>
      <c r="AM134">
        <f ca="1">IF(AND(ISNUMBER($AM$346),$B$252=1),$AM$346,HLOOKUP(INDIRECT(ADDRESS(2,COLUMN())),OFFSET($CL$2,0,0,ROW()-1,84),ROW()-1,FALSE))</f>
        <v>0.38273766599999998</v>
      </c>
      <c r="AN134" t="str">
        <f ca="1">IF(AND(ISNUMBER($AN$346),$B$252=1),$AN$346,HLOOKUP(INDIRECT(ADDRESS(2,COLUMN())),OFFSET($CL$2,0,0,ROW()-1,84),ROW()-1,FALSE))</f>
        <v/>
      </c>
      <c r="AO134" t="str">
        <f ca="1">IF(AND(ISNUMBER($AO$346),$B$252=1),$AO$346,HLOOKUP(INDIRECT(ADDRESS(2,COLUMN())),OFFSET($CL$2,0,0,ROW()-1,84),ROW()-1,FALSE))</f>
        <v/>
      </c>
      <c r="AP134">
        <f ca="1">IF(AND(ISNUMBER($AP$346),$B$252=1),$AP$346,HLOOKUP(INDIRECT(ADDRESS(2,COLUMN())),OFFSET($CL$2,0,0,ROW()-1,84),ROW()-1,FALSE))</f>
        <v>0.37341386599999998</v>
      </c>
      <c r="AQ134" t="str">
        <f ca="1">IF(AND(ISNUMBER($AQ$346),$B$252=1),$AQ$346,HLOOKUP(INDIRECT(ADDRESS(2,COLUMN())),OFFSET($CL$2,0,0,ROW()-1,84),ROW()-1,FALSE))</f>
        <v/>
      </c>
      <c r="AR134" t="str">
        <f ca="1">IF(AND(ISNUMBER($AR$346),$B$252=1),$AR$346,HLOOKUP(INDIRECT(ADDRESS(2,COLUMN())),OFFSET($CL$2,0,0,ROW()-1,84),ROW()-1,FALSE))</f>
        <v/>
      </c>
      <c r="AS134">
        <f ca="1">IF(AND(ISNUMBER($AS$346),$B$252=1),$AS$346,HLOOKUP(INDIRECT(ADDRESS(2,COLUMN())),OFFSET($CL$2,0,0,ROW()-1,84),ROW()-1,FALSE))</f>
        <v>0.338095327</v>
      </c>
      <c r="AT134" t="str">
        <f ca="1">IF(AND(ISNUMBER($AT$346),$B$252=1),$AT$346,HLOOKUP(INDIRECT(ADDRESS(2,COLUMN())),OFFSET($CL$2,0,0,ROW()-1,84),ROW()-1,FALSE))</f>
        <v/>
      </c>
      <c r="AU134" t="str">
        <f ca="1">IF(AND(ISNUMBER($AU$346),$B$252=1),$AU$346,HLOOKUP(INDIRECT(ADDRESS(2,COLUMN())),OFFSET($CL$2,0,0,ROW()-1,84),ROW()-1,FALSE))</f>
        <v/>
      </c>
      <c r="AV134" t="str">
        <f ca="1">IF(AND(ISNUMBER($AV$346),$B$252=1),$AV$346,HLOOKUP(INDIRECT(ADDRESS(2,COLUMN())),OFFSET($CL$2,0,0,ROW()-1,84),ROW()-1,FALSE))</f>
        <v/>
      </c>
      <c r="AW134" t="str">
        <f ca="1">IF(AND(ISNUMBER($AW$346),$B$252=1),$AW$346,HLOOKUP(INDIRECT(ADDRESS(2,COLUMN())),OFFSET($CL$2,0,0,ROW()-1,84),ROW()-1,FALSE))</f>
        <v/>
      </c>
      <c r="AX134" t="str">
        <f ca="1">IF(AND(ISNUMBER($AX$346),$B$252=1),$AX$346,HLOOKUP(INDIRECT(ADDRESS(2,COLUMN())),OFFSET($CL$2,0,0,ROW()-1,84),ROW()-1,FALSE))</f>
        <v/>
      </c>
      <c r="AY134" t="str">
        <f ca="1">IF(AND(ISNUMBER($AY$346),$B$252=1),$AY$346,HLOOKUP(INDIRECT(ADDRESS(2,COLUMN())),OFFSET($CL$2,0,0,ROW()-1,84),ROW()-1,FALSE))</f>
        <v/>
      </c>
      <c r="AZ134" t="str">
        <f ca="1">IF(AND(ISNUMBER($AZ$346),$B$252=1),$AZ$346,HLOOKUP(INDIRECT(ADDRESS(2,COLUMN())),OFFSET($CL$2,0,0,ROW()-1,84),ROW()-1,FALSE))</f>
        <v/>
      </c>
      <c r="BA134" t="str">
        <f ca="1">IF(AND(ISNUMBER($BA$346),$B$252=1),$BA$346,HLOOKUP(INDIRECT(ADDRESS(2,COLUMN())),OFFSET($CL$2,0,0,ROW()-1,84),ROW()-1,FALSE))</f>
        <v/>
      </c>
      <c r="BB134">
        <f ca="1">IF(AND(ISNUMBER($BB$346),$B$252=1),$BB$346,HLOOKUP(INDIRECT(ADDRESS(2,COLUMN())),OFFSET($CL$2,0,0,ROW()-1,84),ROW()-1,FALSE))</f>
        <v>0.33280338599999998</v>
      </c>
      <c r="BC134" t="str">
        <f ca="1">IF(AND(ISNUMBER($BC$346),$B$252=1),$BC$346,HLOOKUP(INDIRECT(ADDRESS(2,COLUMN())),OFFSET($CL$2,0,0,ROW()-1,84),ROW()-1,FALSE))</f>
        <v/>
      </c>
      <c r="BD134" t="str">
        <f ca="1">IF(AND(ISNUMBER($BD$346),$B$252=1),$BD$346,HLOOKUP(INDIRECT(ADDRESS(2,COLUMN())),OFFSET($CL$2,0,0,ROW()-1,84),ROW()-1,FALSE))</f>
        <v/>
      </c>
      <c r="BE134">
        <f ca="1">IF(AND(ISNUMBER($BE$346),$B$252=1),$BE$346,HLOOKUP(INDIRECT(ADDRESS(2,COLUMN())),OFFSET($CL$2,0,0,ROW()-1,84),ROW()-1,FALSE))</f>
        <v>0.31816854500000002</v>
      </c>
      <c r="BF134" t="str">
        <f ca="1">IF(AND(ISNUMBER($BF$346),$B$252=1),$BF$346,HLOOKUP(INDIRECT(ADDRESS(2,COLUMN())),OFFSET($CL$2,0,0,ROW()-1,84),ROW()-1,FALSE))</f>
        <v/>
      </c>
      <c r="BG134" t="str">
        <f ca="1">IF(AND(ISNUMBER($BG$346),$B$252=1),$BG$346,HLOOKUP(INDIRECT(ADDRESS(2,COLUMN())),OFFSET($CL$2,0,0,ROW()-1,84),ROW()-1,FALSE))</f>
        <v/>
      </c>
      <c r="BH134">
        <f ca="1">IF(AND(ISNUMBER($BH$346),$B$252=1),$BH$346,HLOOKUP(INDIRECT(ADDRESS(2,COLUMN())),OFFSET($CL$2,0,0,ROW()-1,84),ROW()-1,FALSE))</f>
        <v>0.31056467999999998</v>
      </c>
      <c r="BI134" t="str">
        <f ca="1">IF(AND(ISNUMBER($BI$346),$B$252=1),$BI$346,HLOOKUP(INDIRECT(ADDRESS(2,COLUMN())),OFFSET($CL$2,0,0,ROW()-1,84),ROW()-1,FALSE))</f>
        <v/>
      </c>
      <c r="BJ134" t="str">
        <f ca="1">IF(AND(ISNUMBER($BJ$346),$B$252=1),$BJ$346,HLOOKUP(INDIRECT(ADDRESS(2,COLUMN())),OFFSET($CL$2,0,0,ROW()-1,84),ROW()-1,FALSE))</f>
        <v/>
      </c>
      <c r="BK134">
        <f ca="1">IF(AND(ISNUMBER($BK$346),$B$252=1),$BK$346,HLOOKUP(INDIRECT(ADDRESS(2,COLUMN())),OFFSET($CL$2,0,0,ROW()-1,84),ROW()-1,FALSE))</f>
        <v>0.30857654099999998</v>
      </c>
      <c r="BL134" t="str">
        <f ca="1">IF(AND(ISNUMBER($BL$346),$B$252=1),$BL$346,HLOOKUP(INDIRECT(ADDRESS(2,COLUMN())),OFFSET($CL$2,0,0,ROW()-1,84),ROW()-1,FALSE))</f>
        <v/>
      </c>
      <c r="BM134" t="str">
        <f ca="1">IF(AND(ISNUMBER($BM$346),$B$252=1),$BM$346,HLOOKUP(INDIRECT(ADDRESS(2,COLUMN())),OFFSET($CL$2,0,0,ROW()-1,84),ROW()-1,FALSE))</f>
        <v/>
      </c>
      <c r="BN134">
        <f ca="1">IF(AND(ISNUMBER($BN$346),$B$252=1),$BN$346,HLOOKUP(INDIRECT(ADDRESS(2,COLUMN())),OFFSET($CL$2,0,0,ROW()-1,84),ROW()-1,FALSE))</f>
        <v>0.31310265300000001</v>
      </c>
      <c r="BO134" t="str">
        <f ca="1">IF(AND(ISNUMBER($BO$346),$B$252=1),$BO$346,HLOOKUP(INDIRECT(ADDRESS(2,COLUMN())),OFFSET($CL$2,0,0,ROW()-1,84),ROW()-1,FALSE))</f>
        <v/>
      </c>
      <c r="BP134" t="str">
        <f ca="1">IF(AND(ISNUMBER($BP$346),$B$252=1),$BP$346,HLOOKUP(INDIRECT(ADDRESS(2,COLUMN())),OFFSET($CL$2,0,0,ROW()-1,84),ROW()-1,FALSE))</f>
        <v/>
      </c>
      <c r="BQ134">
        <f ca="1">IF(AND(ISNUMBER($BQ$346),$B$252=1),$BQ$346,HLOOKUP(INDIRECT(ADDRESS(2,COLUMN())),OFFSET($CL$2,0,0,ROW()-1,84),ROW()-1,FALSE))</f>
        <v>0.33562041399999998</v>
      </c>
      <c r="BR134" t="str">
        <f ca="1">IF(AND(ISNUMBER($BR$346),$B$252=1),$BR$346,HLOOKUP(INDIRECT(ADDRESS(2,COLUMN())),OFFSET($CL$2,0,0,ROW()-1,84),ROW()-1,FALSE))</f>
        <v/>
      </c>
      <c r="BS134" t="str">
        <f ca="1">IF(AND(ISNUMBER($BS$346),$B$252=1),$BS$346,HLOOKUP(INDIRECT(ADDRESS(2,COLUMN())),OFFSET($CL$2,0,0,ROW()-1,84),ROW()-1,FALSE))</f>
        <v/>
      </c>
      <c r="BT134">
        <f ca="1">IF(AND(ISNUMBER($BT$346),$B$252=1),$BT$346,HLOOKUP(INDIRECT(ADDRESS(2,COLUMN())),OFFSET($CL$2,0,0,ROW()-1,84),ROW()-1,FALSE))</f>
        <v>0.30075052499999999</v>
      </c>
      <c r="BU134" t="str">
        <f ca="1">IF(AND(ISNUMBER($BU$346),$B$252=1),$BU$346,HLOOKUP(INDIRECT(ADDRESS(2,COLUMN())),OFFSET($CL$2,0,0,ROW()-1,84),ROW()-1,FALSE))</f>
        <v/>
      </c>
      <c r="BV134" t="str">
        <f ca="1">IF(AND(ISNUMBER($BV$346),$B$252=1),$BV$346,HLOOKUP(INDIRECT(ADDRESS(2,COLUMN())),OFFSET($CL$2,0,0,ROW()-1,84),ROW()-1,FALSE))</f>
        <v/>
      </c>
      <c r="BW134">
        <f ca="1">IF(AND(ISNUMBER($BW$346),$B$252=1),$BW$346,HLOOKUP(INDIRECT(ADDRESS(2,COLUMN())),OFFSET($CL$2,0,0,ROW()-1,84),ROW()-1,FALSE))</f>
        <v>0.29293982400000002</v>
      </c>
      <c r="BX134" t="str">
        <f ca="1">IF(AND(ISNUMBER($BX$346),$B$252=1),$BX$346,HLOOKUP(INDIRECT(ADDRESS(2,COLUMN())),OFFSET($CL$2,0,0,ROW()-1,84),ROW()-1,FALSE))</f>
        <v/>
      </c>
      <c r="BY134" t="str">
        <f ca="1">IF(AND(ISNUMBER($BY$346),$B$252=1),$BY$346,HLOOKUP(INDIRECT(ADDRESS(2,COLUMN())),OFFSET($CL$2,0,0,ROW()-1,84),ROW()-1,FALSE))</f>
        <v/>
      </c>
      <c r="BZ134">
        <f ca="1">IF(AND(ISNUMBER($BZ$346),$B$252=1),$BZ$346,HLOOKUP(INDIRECT(ADDRESS(2,COLUMN())),OFFSET($CL$2,0,0,ROW()-1,84),ROW()-1,FALSE))</f>
        <v>0.32489390499999998</v>
      </c>
      <c r="CA134" t="str">
        <f ca="1">IF(AND(ISNUMBER($CA$346),$B$252=1),$CA$346,HLOOKUP(INDIRECT(ADDRESS(2,COLUMN())),OFFSET($CL$2,0,0,ROW()-1,84),ROW()-1,FALSE))</f>
        <v/>
      </c>
      <c r="CB134" t="str">
        <f ca="1">IF(AND(ISNUMBER($CB$346),$B$252=1),$CB$346,HLOOKUP(INDIRECT(ADDRESS(2,COLUMN())),OFFSET($CL$2,0,0,ROW()-1,84),ROW()-1,FALSE))</f>
        <v/>
      </c>
      <c r="CC134">
        <f ca="1">IF(AND(ISNUMBER($CC$346),$B$252=1),$CC$346,HLOOKUP(INDIRECT(ADDRESS(2,COLUMN())),OFFSET($CL$2,0,0,ROW()-1,84),ROW()-1,FALSE))</f>
        <v>0.29607984500000001</v>
      </c>
      <c r="CD134" t="str">
        <f ca="1">IF(AND(ISNUMBER($CD$346),$B$252=1),$CD$346,HLOOKUP(INDIRECT(ADDRESS(2,COLUMN())),OFFSET($CL$2,0,0,ROW()-1,84),ROW()-1,FALSE))</f>
        <v/>
      </c>
      <c r="CE134" t="str">
        <f ca="1">IF(AND(ISNUMBER($CE$346),$B$252=1),$CE$346,HLOOKUP(INDIRECT(ADDRESS(2,COLUMN())),OFFSET($CL$2,0,0,ROW()-1,84),ROW()-1,FALSE))</f>
        <v/>
      </c>
      <c r="CF134">
        <f ca="1">IF(AND(ISNUMBER($CF$346),$B$252=1),$CF$346,HLOOKUP(INDIRECT(ADDRESS(2,COLUMN())),OFFSET($CL$2,0,0,ROW()-1,84),ROW()-1,FALSE))</f>
        <v>0.34133554100000002</v>
      </c>
      <c r="CG134" t="str">
        <f ca="1">IF(AND(ISNUMBER($CG$346),$B$252=1),$CG$346,HLOOKUP(INDIRECT(ADDRESS(2,COLUMN())),OFFSET($CL$2,0,0,ROW()-1,84),ROW()-1,FALSE))</f>
        <v/>
      </c>
      <c r="CH134" t="str">
        <f ca="1">IF(AND(ISNUMBER($CH$346),$B$252=1),$CH$346,HLOOKUP(INDIRECT(ADDRESS(2,COLUMN())),OFFSET($CL$2,0,0,ROW()-1,84),ROW()-1,FALSE))</f>
        <v/>
      </c>
      <c r="CI134">
        <f ca="1">IF(AND(ISNUMBER($CI$346),$B$252=1),$CI$346,HLOOKUP(INDIRECT(ADDRESS(2,COLUMN())),OFFSET($CL$2,0,0,ROW()-1,84),ROW()-1,FALSE))</f>
        <v>0.33376907700000003</v>
      </c>
      <c r="CJ134" t="str">
        <f ca="1">IF(AND(ISNUMBER($CJ$346),$B$252=1),$CJ$346,HLOOKUP(INDIRECT(ADDRESS(2,COLUMN())),OFFSET($CL$2,0,0,ROW()-1,84),ROW()-1,FALSE))</f>
        <v/>
      </c>
      <c r="CK134" t="str">
        <f ca="1">IF(AND(ISNUMBER($CK$346),$B$252=1),$CK$346,HLOOKUP(INDIRECT(ADDRESS(2,COLUMN())),OFFSET($CL$2,0,0,ROW()-1,84),ROW()-1,FALSE))</f>
        <v/>
      </c>
      <c r="CL134" t="str">
        <f>""</f>
        <v/>
      </c>
      <c r="CM134" t="str">
        <f>""</f>
        <v/>
      </c>
      <c r="CN134" t="str">
        <f>""</f>
        <v/>
      </c>
      <c r="CO134">
        <f>0.423743486</f>
        <v>0.423743486</v>
      </c>
      <c r="CP134" t="str">
        <f>""</f>
        <v/>
      </c>
      <c r="CQ134" t="str">
        <f>""</f>
        <v/>
      </c>
      <c r="CR134">
        <f>0.427601886</f>
        <v>0.42760188599999999</v>
      </c>
      <c r="CS134" t="str">
        <f>""</f>
        <v/>
      </c>
      <c r="CT134" t="str">
        <f>""</f>
        <v/>
      </c>
      <c r="CU134">
        <f>0.434155235</f>
        <v>0.43415523499999997</v>
      </c>
      <c r="CV134" t="str">
        <f>""</f>
        <v/>
      </c>
      <c r="CW134" t="str">
        <f>""</f>
        <v/>
      </c>
      <c r="CX134">
        <f>0.428919569</f>
        <v>0.428919569</v>
      </c>
      <c r="CY134" t="str">
        <f>""</f>
        <v/>
      </c>
      <c r="CZ134" t="str">
        <f>""</f>
        <v/>
      </c>
      <c r="DA134">
        <f>0.404759817</f>
        <v>0.40475981700000002</v>
      </c>
      <c r="DB134" t="str">
        <f>""</f>
        <v/>
      </c>
      <c r="DC134" t="str">
        <f>""</f>
        <v/>
      </c>
      <c r="DD134">
        <f>0.407536187</f>
        <v>0.40753618699999999</v>
      </c>
      <c r="DE134" t="str">
        <f>""</f>
        <v/>
      </c>
      <c r="DF134" t="str">
        <f>""</f>
        <v/>
      </c>
      <c r="DG134">
        <f>0.408552303</f>
        <v>0.40855230300000001</v>
      </c>
      <c r="DH134" t="str">
        <f>""</f>
        <v/>
      </c>
      <c r="DI134" t="str">
        <f>""</f>
        <v/>
      </c>
      <c r="DJ134">
        <f>0.405844023</f>
        <v>0.405844023</v>
      </c>
      <c r="DK134" t="str">
        <f>""</f>
        <v/>
      </c>
      <c r="DL134" t="str">
        <f>""</f>
        <v/>
      </c>
      <c r="DM134">
        <f>0.374826976</f>
        <v>0.37482697599999998</v>
      </c>
      <c r="DN134" t="str">
        <f>""</f>
        <v/>
      </c>
      <c r="DO134" t="str">
        <f>""</f>
        <v/>
      </c>
      <c r="DP134">
        <f>0.373084959</f>
        <v>0.37308495899999999</v>
      </c>
      <c r="DQ134" t="str">
        <f>""</f>
        <v/>
      </c>
      <c r="DR134" t="str">
        <f>""</f>
        <v/>
      </c>
      <c r="DS134">
        <f>0.382737666</f>
        <v>0.38273766599999998</v>
      </c>
      <c r="DT134" t="str">
        <f>""</f>
        <v/>
      </c>
      <c r="DU134" t="str">
        <f>""</f>
        <v/>
      </c>
      <c r="DV134">
        <f>0.373413866</f>
        <v>0.37341386599999998</v>
      </c>
      <c r="DW134" t="str">
        <f>""</f>
        <v/>
      </c>
      <c r="DX134" t="str">
        <f>""</f>
        <v/>
      </c>
      <c r="DY134">
        <f>0.338095327</f>
        <v>0.338095327</v>
      </c>
      <c r="DZ134" t="str">
        <f>""</f>
        <v/>
      </c>
      <c r="EA134" t="str">
        <f>""</f>
        <v/>
      </c>
      <c r="EB134" t="str">
        <f>""</f>
        <v/>
      </c>
      <c r="EC134" t="str">
        <f>""</f>
        <v/>
      </c>
      <c r="ED134" t="str">
        <f>""</f>
        <v/>
      </c>
      <c r="EE134" t="str">
        <f>""</f>
        <v/>
      </c>
      <c r="EF134" t="str">
        <f>""</f>
        <v/>
      </c>
      <c r="EG134" t="str">
        <f>""</f>
        <v/>
      </c>
      <c r="EH134">
        <f>0.332803386</f>
        <v>0.33280338599999998</v>
      </c>
      <c r="EI134" t="str">
        <f>""</f>
        <v/>
      </c>
      <c r="EJ134" t="str">
        <f>""</f>
        <v/>
      </c>
      <c r="EK134">
        <f>0.318168545</f>
        <v>0.31816854500000002</v>
      </c>
      <c r="EL134" t="str">
        <f>""</f>
        <v/>
      </c>
      <c r="EM134" t="str">
        <f>""</f>
        <v/>
      </c>
      <c r="EN134">
        <f>0.31056468</f>
        <v>0.31056467999999998</v>
      </c>
      <c r="EO134" t="str">
        <f>""</f>
        <v/>
      </c>
      <c r="EP134" t="str">
        <f>""</f>
        <v/>
      </c>
      <c r="EQ134">
        <f>0.308576541</f>
        <v>0.30857654099999998</v>
      </c>
      <c r="ER134" t="str">
        <f>""</f>
        <v/>
      </c>
      <c r="ES134" t="str">
        <f>""</f>
        <v/>
      </c>
      <c r="ET134">
        <f>0.313102653</f>
        <v>0.31310265300000001</v>
      </c>
      <c r="EU134" t="str">
        <f>""</f>
        <v/>
      </c>
      <c r="EV134" t="str">
        <f>""</f>
        <v/>
      </c>
      <c r="EW134">
        <f>0.335620414</f>
        <v>0.33562041399999998</v>
      </c>
      <c r="EX134" t="str">
        <f>""</f>
        <v/>
      </c>
      <c r="EY134" t="str">
        <f>""</f>
        <v/>
      </c>
      <c r="EZ134">
        <f>0.300750525</f>
        <v>0.30075052499999999</v>
      </c>
      <c r="FA134" t="str">
        <f>""</f>
        <v/>
      </c>
      <c r="FB134" t="str">
        <f>""</f>
        <v/>
      </c>
      <c r="FC134">
        <f>0.292939824</f>
        <v>0.29293982400000002</v>
      </c>
      <c r="FD134" t="str">
        <f>""</f>
        <v/>
      </c>
      <c r="FE134" t="str">
        <f>""</f>
        <v/>
      </c>
      <c r="FF134">
        <f>0.324893905</f>
        <v>0.32489390499999998</v>
      </c>
      <c r="FG134" t="str">
        <f>""</f>
        <v/>
      </c>
      <c r="FH134" t="str">
        <f>""</f>
        <v/>
      </c>
      <c r="FI134">
        <f>0.296079845</f>
        <v>0.29607984500000001</v>
      </c>
      <c r="FJ134" t="str">
        <f>""</f>
        <v/>
      </c>
      <c r="FK134" t="str">
        <f>""</f>
        <v/>
      </c>
      <c r="FL134">
        <f>0.341335541</f>
        <v>0.34133554100000002</v>
      </c>
      <c r="FM134" t="str">
        <f>""</f>
        <v/>
      </c>
      <c r="FN134" t="str">
        <f>""</f>
        <v/>
      </c>
      <c r="FO134">
        <f>0.333769077</f>
        <v>0.33376907700000003</v>
      </c>
      <c r="FP134" t="str">
        <f>""</f>
        <v/>
      </c>
      <c r="FQ134" t="str">
        <f>""</f>
        <v/>
      </c>
    </row>
    <row r="135" spans="1:173">
      <c r="A135" t="str">
        <f>"每股FAD TTM"</f>
        <v>每股FAD TTM</v>
      </c>
      <c r="B135" t="str">
        <f>"BRFREITV Index"</f>
        <v>BRFREITV Index</v>
      </c>
      <c r="E135" t="str">
        <f>"Sum"</f>
        <v>Sum</v>
      </c>
      <c r="F135" t="str">
        <f ca="1">IF(ISERROR(IF(SUM($F$136:$F$142) = 0, "", SUM($F$136:$F$142))), "", (IF(SUM($F$136:$F$142) = 0, "", SUM($F$136:$F$142))))</f>
        <v/>
      </c>
      <c r="G135" t="str">
        <f ca="1">IF(ISERROR(IF(SUM($G$136:$G$142) = 0, "", SUM($G$136:$G$142))), "", (IF(SUM($G$136:$G$142) = 0, "", SUM($G$136:$G$142))))</f>
        <v/>
      </c>
      <c r="H135" t="str">
        <f ca="1">IF(ISERROR(IF(SUM($H$136:$H$142) = 0, "", SUM($H$136:$H$142))), "", (IF(SUM($H$136:$H$142) = 0, "", SUM($H$136:$H$142))))</f>
        <v/>
      </c>
      <c r="I135">
        <f ca="1">IF(ISERROR(IF(SUM($I$136:$I$142) = 0, "", SUM($I$136:$I$142))), "", (IF(SUM($I$136:$I$142) = 0, "", SUM($I$136:$I$142))))</f>
        <v>34.764800799999996</v>
      </c>
      <c r="J135" t="str">
        <f ca="1">IF(ISERROR(IF(SUM($J$136:$J$142) = 0, "", SUM($J$136:$J$142))), "", (IF(SUM($J$136:$J$142) = 0, "", SUM($J$136:$J$142))))</f>
        <v/>
      </c>
      <c r="K135" t="str">
        <f ca="1">IF(ISERROR(IF(SUM($K$136:$K$142) = 0, "", SUM($K$136:$K$142))), "", (IF(SUM($K$136:$K$142) = 0, "", SUM($K$136:$K$142))))</f>
        <v/>
      </c>
      <c r="L135">
        <f ca="1">IF(ISERROR(IF(SUM($L$136:$L$142) = 0, "", SUM($L$136:$L$142))), "", (IF(SUM($L$136:$L$142) = 0, "", SUM($L$136:$L$142))))</f>
        <v>34.123545685999993</v>
      </c>
      <c r="M135" t="str">
        <f ca="1">IF(ISERROR(IF(SUM($M$136:$M$142) = 0, "", SUM($M$136:$M$142))), "", (IF(SUM($M$136:$M$142) = 0, "", SUM($M$136:$M$142))))</f>
        <v/>
      </c>
      <c r="N135" t="str">
        <f ca="1">IF(ISERROR(IF(SUM($N$136:$N$142) = 0, "", SUM($N$136:$N$142))), "", (IF(SUM($N$136:$N$142) = 0, "", SUM($N$136:$N$142))))</f>
        <v/>
      </c>
      <c r="O135">
        <f ca="1">IF(ISERROR(IF(SUM($O$136:$O$142) = 0, "", SUM($O$136:$O$142))), "", (IF(SUM($O$136:$O$142) = 0, "", SUM($O$136:$O$142))))</f>
        <v>33.981191698999993</v>
      </c>
      <c r="P135" t="str">
        <f ca="1">IF(ISERROR(IF(SUM($P$136:$P$142) = 0, "", SUM($P$136:$P$142))), "", (IF(SUM($P$136:$P$142) = 0, "", SUM($P$136:$P$142))))</f>
        <v/>
      </c>
      <c r="Q135" t="str">
        <f ca="1">IF(ISERROR(IF(SUM($Q$136:$Q$142) = 0, "", SUM($Q$136:$Q$142))), "", (IF(SUM($Q$136:$Q$142) = 0, "", SUM($Q$136:$Q$142))))</f>
        <v/>
      </c>
      <c r="R135">
        <f ca="1">IF(ISERROR(IF(SUM($R$136:$R$142) = 0, "", SUM($R$136:$R$142))), "", (IF(SUM($R$136:$R$142) = 0, "", SUM($R$136:$R$142))))</f>
        <v>33.758122364000002</v>
      </c>
      <c r="S135" t="str">
        <f ca="1">IF(ISERROR(IF(SUM($S$136:$S$142) = 0, "", SUM($S$136:$S$142))), "", (IF(SUM($S$136:$S$142) = 0, "", SUM($S$136:$S$142))))</f>
        <v/>
      </c>
      <c r="T135" t="str">
        <f ca="1">IF(ISERROR(IF(SUM($T$136:$T$142) = 0, "", SUM($T$136:$T$142))), "", (IF(SUM($T$136:$T$142) = 0, "", SUM($T$136:$T$142))))</f>
        <v/>
      </c>
      <c r="U135">
        <f ca="1">IF(ISERROR(IF(SUM($U$136:$U$142) = 0, "", SUM($U$136:$U$142))), "", (IF(SUM($U$136:$U$142) = 0, "", SUM($U$136:$U$142))))</f>
        <v>33.504155312999998</v>
      </c>
      <c r="V135" t="str">
        <f ca="1">IF(ISERROR(IF(SUM($V$136:$V$142) = 0, "", SUM($V$136:$V$142))), "", (IF(SUM($V$136:$V$142) = 0, "", SUM($V$136:$V$142))))</f>
        <v/>
      </c>
      <c r="W135" t="str">
        <f ca="1">IF(ISERROR(IF(SUM($W$136:$W$142) = 0, "", SUM($W$136:$W$142))), "", (IF(SUM($W$136:$W$142) = 0, "", SUM($W$136:$W$142))))</f>
        <v/>
      </c>
      <c r="X135">
        <f ca="1">IF(ISERROR(IF(SUM($X$136:$X$142) = 0, "", SUM($X$136:$X$142))), "", (IF(SUM($X$136:$X$142) = 0, "", SUM($X$136:$X$142))))</f>
        <v>33.537545241000004</v>
      </c>
      <c r="Y135" t="str">
        <f ca="1">IF(ISERROR(IF(SUM($Y$136:$Y$142) = 0, "", SUM($Y$136:$Y$142))), "", (IF(SUM($Y$136:$Y$142) = 0, "", SUM($Y$136:$Y$142))))</f>
        <v/>
      </c>
      <c r="Z135" t="str">
        <f ca="1">IF(ISERROR(IF(SUM($Z$136:$Z$142) = 0, "", SUM($Z$136:$Z$142))), "", (IF(SUM($Z$136:$Z$142) = 0, "", SUM($Z$136:$Z$142))))</f>
        <v/>
      </c>
      <c r="AA135">
        <f ca="1">IF(ISERROR(IF(SUM($AA$136:$AA$142) = 0, "", SUM($AA$136:$AA$142))), "", (IF(SUM($AA$136:$AA$142) = 0, "", SUM($AA$136:$AA$142))))</f>
        <v>33.054607161</v>
      </c>
      <c r="AB135" t="str">
        <f ca="1">IF(ISERROR(IF(SUM($AB$136:$AB$142) = 0, "", SUM($AB$136:$AB$142))), "", (IF(SUM($AB$136:$AB$142) = 0, "", SUM($AB$136:$AB$142))))</f>
        <v/>
      </c>
      <c r="AC135" t="str">
        <f ca="1">IF(ISERROR(IF(SUM($AC$136:$AC$142) = 0, "", SUM($AC$136:$AC$142))), "", (IF(SUM($AC$136:$AC$142) = 0, "", SUM($AC$136:$AC$142))))</f>
        <v/>
      </c>
      <c r="AD135">
        <f ca="1">IF(ISERROR(IF(SUM($AD$136:$AD$142) = 0, "", SUM($AD$136:$AD$142))), "", (IF(SUM($AD$136:$AD$142) = 0, "", SUM($AD$136:$AD$142))))</f>
        <v>32.448018171000001</v>
      </c>
      <c r="AE135" t="str">
        <f ca="1">IF(ISERROR(IF(SUM($AE$136:$AE$142) = 0, "", SUM($AE$136:$AE$142))), "", (IF(SUM($AE$136:$AE$142) = 0, "", SUM($AE$136:$AE$142))))</f>
        <v/>
      </c>
      <c r="AF135" t="str">
        <f ca="1">IF(ISERROR(IF(SUM($AF$136:$AF$142) = 0, "", SUM($AF$136:$AF$142))), "", (IF(SUM($AF$136:$AF$142) = 0, "", SUM($AF$136:$AF$142))))</f>
        <v/>
      </c>
      <c r="AG135">
        <f ca="1">IF(ISERROR(IF(SUM($AG$136:$AG$142) = 0, "", SUM($AG$136:$AG$142))), "", (IF(SUM($AG$136:$AG$142) = 0, "", SUM($AG$136:$AG$142))))</f>
        <v>31.570054984000002</v>
      </c>
      <c r="AH135" t="str">
        <f ca="1">IF(ISERROR(IF(SUM($AH$136:$AH$142) = 0, "", SUM($AH$136:$AH$142))), "", (IF(SUM($AH$136:$AH$142) = 0, "", SUM($AH$136:$AH$142))))</f>
        <v/>
      </c>
      <c r="AI135" t="str">
        <f ca="1">IF(ISERROR(IF(SUM($AI$136:$AI$142) = 0, "", SUM($AI$136:$AI$142))), "", (IF(SUM($AI$136:$AI$142) = 0, "", SUM($AI$136:$AI$142))))</f>
        <v/>
      </c>
      <c r="AJ135">
        <f ca="1">IF(ISERROR(IF(SUM($AJ$136:$AJ$142) = 0, "", SUM($AJ$136:$AJ$142))), "", (IF(SUM($AJ$136:$AJ$142) = 0, "", SUM($AJ$136:$AJ$142))))</f>
        <v>30.678729228000002</v>
      </c>
      <c r="AK135" t="str">
        <f ca="1">IF(ISERROR(IF(SUM($AK$136:$AK$142) = 0, "", SUM($AK$136:$AK$142))), "", (IF(SUM($AK$136:$AK$142) = 0, "", SUM($AK$136:$AK$142))))</f>
        <v/>
      </c>
      <c r="AL135" t="str">
        <f ca="1">IF(ISERROR(IF(SUM($AL$136:$AL$142) = 0, "", SUM($AL$136:$AL$142))), "", (IF(SUM($AL$136:$AL$142) = 0, "", SUM($AL$136:$AL$142))))</f>
        <v/>
      </c>
      <c r="AM135">
        <f ca="1">IF(ISERROR(IF(SUM($AM$136:$AM$142) = 0, "", SUM($AM$136:$AM$142))), "", (IF(SUM($AM$136:$AM$142) = 0, "", SUM($AM$136:$AM$142))))</f>
        <v>28.499697911999998</v>
      </c>
      <c r="AN135" t="str">
        <f ca="1">IF(ISERROR(IF(SUM($AN$136:$AN$142) = 0, "", SUM($AN$136:$AN$142))), "", (IF(SUM($AN$136:$AN$142) = 0, "", SUM($AN$136:$AN$142))))</f>
        <v/>
      </c>
      <c r="AO135" t="str">
        <f ca="1">IF(ISERROR(IF(SUM($AO$136:$AO$142) = 0, "", SUM($AO$136:$AO$142))), "", (IF(SUM($AO$136:$AO$142) = 0, "", SUM($AO$136:$AO$142))))</f>
        <v/>
      </c>
      <c r="AP135">
        <f ca="1">IF(ISERROR(IF(SUM($AP$136:$AP$142) = 0, "", SUM($AP$136:$AP$142))), "", (IF(SUM($AP$136:$AP$142) = 0, "", SUM($AP$136:$AP$142))))</f>
        <v>27.772510531999998</v>
      </c>
      <c r="AQ135" t="str">
        <f ca="1">IF(ISERROR(IF(SUM($AQ$136:$AQ$142) = 0, "", SUM($AQ$136:$AQ$142))), "", (IF(SUM($AQ$136:$AQ$142) = 0, "", SUM($AQ$136:$AQ$142))))</f>
        <v/>
      </c>
      <c r="AR135" t="str">
        <f ca="1">IF(ISERROR(IF(SUM($AR$136:$AR$142) = 0, "", SUM($AR$136:$AR$142))), "", (IF(SUM($AR$136:$AR$142) = 0, "", SUM($AR$136:$AR$142))))</f>
        <v/>
      </c>
      <c r="AS135">
        <f ca="1">IF(ISERROR(IF(SUM($AS$136:$AS$142) = 0, "", SUM($AS$136:$AS$142))), "", (IF(SUM($AS$136:$AS$142) = 0, "", SUM($AS$136:$AS$142))))</f>
        <v>27.374935139999998</v>
      </c>
      <c r="AT135" t="str">
        <f ca="1">IF(ISERROR(IF(SUM($AT$136:$AT$142) = 0, "", SUM($AT$136:$AT$142))), "", (IF(SUM($AT$136:$AT$142) = 0, "", SUM($AT$136:$AT$142))))</f>
        <v/>
      </c>
      <c r="AU135" t="str">
        <f ca="1">IF(ISERROR(IF(SUM($AU$136:$AU$142) = 0, "", SUM($AU$136:$AU$142))), "", (IF(SUM($AU$136:$AU$142) = 0, "", SUM($AU$136:$AU$142))))</f>
        <v/>
      </c>
      <c r="AV135">
        <f ca="1">IF(ISERROR(IF(SUM($AV$136:$AV$142) = 0, "", SUM($AV$136:$AV$142))), "", (IF(SUM($AV$136:$AV$142) = 0, "", SUM($AV$136:$AV$142))))</f>
        <v>26.659391513999999</v>
      </c>
      <c r="AW135" t="str">
        <f ca="1">IF(ISERROR(IF(SUM($AW$136:$AW$142) = 0, "", SUM($AW$136:$AW$142))), "", (IF(SUM($AW$136:$AW$142) = 0, "", SUM($AW$136:$AW$142))))</f>
        <v/>
      </c>
      <c r="AX135" t="str">
        <f ca="1">IF(ISERROR(IF(SUM($AX$136:$AX$142) = 0, "", SUM($AX$136:$AX$142))), "", (IF(SUM($AX$136:$AX$142) = 0, "", SUM($AX$136:$AX$142))))</f>
        <v/>
      </c>
      <c r="AY135">
        <f ca="1">IF(ISERROR(IF(SUM($AY$136:$AY$142) = 0, "", SUM($AY$136:$AY$142))), "", (IF(SUM($AY$136:$AY$142) = 0, "", SUM($AY$136:$AY$142))))</f>
        <v>26.152794185000001</v>
      </c>
      <c r="AZ135" t="str">
        <f ca="1">IF(ISERROR(IF(SUM($AZ$136:$AZ$142) = 0, "", SUM($AZ$136:$AZ$142))), "", (IF(SUM($AZ$136:$AZ$142) = 0, "", SUM($AZ$136:$AZ$142))))</f>
        <v/>
      </c>
      <c r="BA135" t="str">
        <f ca="1">IF(ISERROR(IF(SUM($BA$136:$BA$142) = 0, "", SUM($BA$136:$BA$142))), "", (IF(SUM($BA$136:$BA$142) = 0, "", SUM($BA$136:$BA$142))))</f>
        <v/>
      </c>
      <c r="BB135">
        <f ca="1">IF(ISERROR(IF(SUM($BB$136:$BB$142) = 0, "", SUM($BB$136:$BB$142))), "", (IF(SUM($BB$136:$BB$142) = 0, "", SUM($BB$136:$BB$142))))</f>
        <v>26.928227629999999</v>
      </c>
      <c r="BC135" t="str">
        <f ca="1">IF(ISERROR(IF(SUM($BC$136:$BC$142) = 0, "", SUM($BC$136:$BC$142))), "", (IF(SUM($BC$136:$BC$142) = 0, "", SUM($BC$136:$BC$142))))</f>
        <v/>
      </c>
      <c r="BD135" t="str">
        <f ca="1">IF(ISERROR(IF(SUM($BD$136:$BD$142) = 0, "", SUM($BD$136:$BD$142))), "", (IF(SUM($BD$136:$BD$142) = 0, "", SUM($BD$136:$BD$142))))</f>
        <v/>
      </c>
      <c r="BE135">
        <f ca="1">IF(ISERROR(IF(SUM($BE$136:$BE$142) = 0, "", SUM($BE$136:$BE$142))), "", (IF(SUM($BE$136:$BE$142) = 0, "", SUM($BE$136:$BE$142))))</f>
        <v>26.176189718</v>
      </c>
      <c r="BF135" t="str">
        <f ca="1">IF(ISERROR(IF(SUM($BF$136:$BF$142) = 0, "", SUM($BF$136:$BF$142))), "", (IF(SUM($BF$136:$BF$142) = 0, "", SUM($BF$136:$BF$142))))</f>
        <v/>
      </c>
      <c r="BG135" t="str">
        <f ca="1">IF(ISERROR(IF(SUM($BG$136:$BG$142) = 0, "", SUM($BG$136:$BG$142))), "", (IF(SUM($BG$136:$BG$142) = 0, "", SUM($BG$136:$BG$142))))</f>
        <v/>
      </c>
      <c r="BH135">
        <f ca="1">IF(ISERROR(IF(SUM($BH$136:$BH$142) = 0, "", SUM($BH$136:$BH$142))), "", (IF(SUM($BH$136:$BH$142) = 0, "", SUM($BH$136:$BH$142))))</f>
        <v>24.423745773</v>
      </c>
      <c r="BI135" t="str">
        <f ca="1">IF(ISERROR(IF(SUM($BI$136:$BI$142) = 0, "", SUM($BI$136:$BI$142))), "", (IF(SUM($BI$136:$BI$142) = 0, "", SUM($BI$136:$BI$142))))</f>
        <v/>
      </c>
      <c r="BJ135" t="str">
        <f ca="1">IF(ISERROR(IF(SUM($BJ$136:$BJ$142) = 0, "", SUM($BJ$136:$BJ$142))), "", (IF(SUM($BJ$136:$BJ$142) = 0, "", SUM($BJ$136:$BJ$142))))</f>
        <v/>
      </c>
      <c r="BK135">
        <f ca="1">IF(ISERROR(IF(SUM($BK$136:$BK$142) = 0, "", SUM($BK$136:$BK$142))), "", (IF(SUM($BK$136:$BK$142) = 0, "", SUM($BK$136:$BK$142))))</f>
        <v>24.253090672000003</v>
      </c>
      <c r="BL135" t="str">
        <f ca="1">IF(ISERROR(IF(SUM($BL$136:$BL$142) = 0, "", SUM($BL$136:$BL$142))), "", (IF(SUM($BL$136:$BL$142) = 0, "", SUM($BL$136:$BL$142))))</f>
        <v/>
      </c>
      <c r="BM135" t="str">
        <f ca="1">IF(ISERROR(IF(SUM($BM$136:$BM$142) = 0, "", SUM($BM$136:$BM$142))), "", (IF(SUM($BM$136:$BM$142) = 0, "", SUM($BM$136:$BM$142))))</f>
        <v/>
      </c>
      <c r="BN135">
        <f ca="1">IF(ISERROR(IF(SUM($BN$136:$BN$142) = 0, "", SUM($BN$136:$BN$142))), "", (IF(SUM($BN$136:$BN$142) = 0, "", SUM($BN$136:$BN$142))))</f>
        <v>23.671615081999999</v>
      </c>
      <c r="BO135" t="str">
        <f ca="1">IF(ISERROR(IF(SUM($BO$136:$BO$142) = 0, "", SUM($BO$136:$BO$142))), "", (IF(SUM($BO$136:$BO$142) = 0, "", SUM($BO$136:$BO$142))))</f>
        <v/>
      </c>
      <c r="BP135" t="str">
        <f ca="1">IF(ISERROR(IF(SUM($BP$136:$BP$142) = 0, "", SUM($BP$136:$BP$142))), "", (IF(SUM($BP$136:$BP$142) = 0, "", SUM($BP$136:$BP$142))))</f>
        <v/>
      </c>
      <c r="BQ135">
        <f ca="1">IF(ISERROR(IF(SUM($BQ$136:$BQ$142) = 0, "", SUM($BQ$136:$BQ$142))), "", (IF(SUM($BQ$136:$BQ$142) = 0, "", SUM($BQ$136:$BQ$142))))</f>
        <v>22.971216680000001</v>
      </c>
      <c r="BR135" t="str">
        <f ca="1">IF(ISERROR(IF(SUM($BR$136:$BR$142) = 0, "", SUM($BR$136:$BR$142))), "", (IF(SUM($BR$136:$BR$142) = 0, "", SUM($BR$136:$BR$142))))</f>
        <v/>
      </c>
      <c r="BS135" t="str">
        <f ca="1">IF(ISERROR(IF(SUM($BS$136:$BS$142) = 0, "", SUM($BS$136:$BS$142))), "", (IF(SUM($BS$136:$BS$142) = 0, "", SUM($BS$136:$BS$142))))</f>
        <v/>
      </c>
      <c r="BT135">
        <f ca="1">IF(ISERROR(IF(SUM($BT$136:$BT$142) = 0, "", SUM($BT$136:$BT$142))), "", (IF(SUM($BT$136:$BT$142) = 0, "", SUM($BT$136:$BT$142))))</f>
        <v>23.140936118000003</v>
      </c>
      <c r="BU135" t="str">
        <f ca="1">IF(ISERROR(IF(SUM($BU$136:$BU$142) = 0, "", SUM($BU$136:$BU$142))), "", (IF(SUM($BU$136:$BU$142) = 0, "", SUM($BU$136:$BU$142))))</f>
        <v/>
      </c>
      <c r="BV135" t="str">
        <f ca="1">IF(ISERROR(IF(SUM($BV$136:$BV$142) = 0, "", SUM($BV$136:$BV$142))), "", (IF(SUM($BV$136:$BV$142) = 0, "", SUM($BV$136:$BV$142))))</f>
        <v/>
      </c>
      <c r="BW135">
        <f ca="1">IF(ISERROR(IF(SUM($BW$136:$BW$142) = 0, "", SUM($BW$136:$BW$142))), "", (IF(SUM($BW$136:$BW$142) = 0, "", SUM($BW$136:$BW$142))))</f>
        <v>21.672989827000002</v>
      </c>
      <c r="BX135" t="str">
        <f ca="1">IF(ISERROR(IF(SUM($BX$136:$BX$142) = 0, "", SUM($BX$136:$BX$142))), "", (IF(SUM($BX$136:$BX$142) = 0, "", SUM($BX$136:$BX$142))))</f>
        <v/>
      </c>
      <c r="BY135" t="str">
        <f ca="1">IF(ISERROR(IF(SUM($BY$136:$BY$142) = 0, "", SUM($BY$136:$BY$142))), "", (IF(SUM($BY$136:$BY$142) = 0, "", SUM($BY$136:$BY$142))))</f>
        <v/>
      </c>
      <c r="BZ135">
        <f ca="1">IF(ISERROR(IF(SUM($BZ$136:$BZ$142) = 0, "", SUM($BZ$136:$BZ$142))), "", (IF(SUM($BZ$136:$BZ$142) = 0, "", SUM($BZ$136:$BZ$142))))</f>
        <v>20.213816935000001</v>
      </c>
      <c r="CA135" t="str">
        <f ca="1">IF(ISERROR(IF(SUM($CA$136:$CA$142) = 0, "", SUM($CA$136:$CA$142))), "", (IF(SUM($CA$136:$CA$142) = 0, "", SUM($CA$136:$CA$142))))</f>
        <v/>
      </c>
      <c r="CB135" t="str">
        <f ca="1">IF(ISERROR(IF(SUM($CB$136:$CB$142) = 0, "", SUM($CB$136:$CB$142))), "", (IF(SUM($CB$136:$CB$142) = 0, "", SUM($CB$136:$CB$142))))</f>
        <v/>
      </c>
      <c r="CC135">
        <f ca="1">IF(ISERROR(IF(SUM($CC$136:$CC$142) = 0, "", SUM($CC$136:$CC$142))), "", (IF(SUM($CC$136:$CC$142) = 0, "", SUM($CC$136:$CC$142))))</f>
        <v>19.354022777999997</v>
      </c>
      <c r="CD135" t="str">
        <f ca="1">IF(ISERROR(IF(SUM($CD$136:$CD$142) = 0, "", SUM($CD$136:$CD$142))), "", (IF(SUM($CD$136:$CD$142) = 0, "", SUM($CD$136:$CD$142))))</f>
        <v/>
      </c>
      <c r="CE135" t="str">
        <f ca="1">IF(ISERROR(IF(SUM($CE$136:$CE$142) = 0, "", SUM($CE$136:$CE$142))), "", (IF(SUM($CE$136:$CE$142) = 0, "", SUM($CE$136:$CE$142))))</f>
        <v/>
      </c>
      <c r="CF135">
        <f ca="1">IF(ISERROR(IF(SUM($CF$136:$CF$142) = 0, "", SUM($CF$136:$CF$142))), "", (IF(SUM($CF$136:$CF$142) = 0, "", SUM($CF$136:$CF$142))))</f>
        <v>19.00056743</v>
      </c>
      <c r="CG135" t="str">
        <f ca="1">IF(ISERROR(IF(SUM($CG$136:$CG$142) = 0, "", SUM($CG$136:$CG$142))), "", (IF(SUM($CG$136:$CG$142) = 0, "", SUM($CG$136:$CG$142))))</f>
        <v/>
      </c>
      <c r="CH135" t="str">
        <f ca="1">IF(ISERROR(IF(SUM($CH$136:$CH$142) = 0, "", SUM($CH$136:$CH$142))), "", (IF(SUM($CH$136:$CH$142) = 0, "", SUM($CH$136:$CH$142))))</f>
        <v/>
      </c>
      <c r="CI135">
        <f ca="1">IF(ISERROR(IF(SUM($CI$136:$CI$142) = 0, "", SUM($CI$136:$CI$142))), "", (IF(SUM($CI$136:$CI$142) = 0, "", SUM($CI$136:$CI$142))))</f>
        <v>18.567268416000001</v>
      </c>
      <c r="CJ135" t="str">
        <f ca="1">IF(ISERROR(IF(SUM($CJ$136:$CJ$142) = 0, "", SUM($CJ$136:$CJ$142))), "", (IF(SUM($CJ$136:$CJ$142) = 0, "", SUM($CJ$136:$CJ$142))))</f>
        <v/>
      </c>
      <c r="CK135" t="str">
        <f ca="1">IF(ISERROR(IF(SUM($CK$136:$CK$142) = 0, "", SUM($CK$136:$CK$142))), "", (IF(SUM($CK$136:$CK$142) = 0, "", SUM($CK$136:$CK$142))))</f>
        <v/>
      </c>
      <c r="CL135" t="str">
        <f>""</f>
        <v/>
      </c>
      <c r="CM135" t="str">
        <f>""</f>
        <v/>
      </c>
      <c r="CN135" t="str">
        <f>""</f>
        <v/>
      </c>
      <c r="CO135">
        <f>34.7648008</f>
        <v>34.764800800000003</v>
      </c>
      <c r="CP135" t="str">
        <f>""</f>
        <v/>
      </c>
      <c r="CQ135" t="str">
        <f>""</f>
        <v/>
      </c>
      <c r="CR135">
        <f>34.12354568</f>
        <v>34.123545679999999</v>
      </c>
      <c r="CS135" t="str">
        <f>""</f>
        <v/>
      </c>
      <c r="CT135" t="str">
        <f>""</f>
        <v/>
      </c>
      <c r="CU135">
        <f>33.9811917</f>
        <v>33.981191699999997</v>
      </c>
      <c r="CV135" t="str">
        <f>""</f>
        <v/>
      </c>
      <c r="CW135" t="str">
        <f>""</f>
        <v/>
      </c>
      <c r="CX135">
        <f>33.75812236</f>
        <v>33.758122360000002</v>
      </c>
      <c r="CY135" t="str">
        <f>""</f>
        <v/>
      </c>
      <c r="CZ135" t="str">
        <f>""</f>
        <v/>
      </c>
      <c r="DA135">
        <f>33.50415532</f>
        <v>33.504155320000002</v>
      </c>
      <c r="DB135" t="str">
        <f>""</f>
        <v/>
      </c>
      <c r="DC135" t="str">
        <f>""</f>
        <v/>
      </c>
      <c r="DD135">
        <f>33.53754524</f>
        <v>33.53754524</v>
      </c>
      <c r="DE135" t="str">
        <f>""</f>
        <v/>
      </c>
      <c r="DF135" t="str">
        <f>""</f>
        <v/>
      </c>
      <c r="DG135">
        <f>33.05460716</f>
        <v>33.054607160000003</v>
      </c>
      <c r="DH135" t="str">
        <f>""</f>
        <v/>
      </c>
      <c r="DI135" t="str">
        <f>""</f>
        <v/>
      </c>
      <c r="DJ135">
        <f>32.44801817</f>
        <v>32.448018169999997</v>
      </c>
      <c r="DK135" t="str">
        <f>""</f>
        <v/>
      </c>
      <c r="DL135" t="str">
        <f>""</f>
        <v/>
      </c>
      <c r="DM135">
        <f>31.57005498</f>
        <v>31.570054979999998</v>
      </c>
      <c r="DN135" t="str">
        <f>""</f>
        <v/>
      </c>
      <c r="DO135" t="str">
        <f>""</f>
        <v/>
      </c>
      <c r="DP135">
        <f>30.67872923</f>
        <v>30.678729229999998</v>
      </c>
      <c r="DQ135" t="str">
        <f>""</f>
        <v/>
      </c>
      <c r="DR135" t="str">
        <f>""</f>
        <v/>
      </c>
      <c r="DS135">
        <f>28.49969791</f>
        <v>28.499697909999998</v>
      </c>
      <c r="DT135" t="str">
        <f>""</f>
        <v/>
      </c>
      <c r="DU135" t="str">
        <f>""</f>
        <v/>
      </c>
      <c r="DV135">
        <f>27.77251053</f>
        <v>27.772510530000002</v>
      </c>
      <c r="DW135" t="str">
        <f>""</f>
        <v/>
      </c>
      <c r="DX135" t="str">
        <f>""</f>
        <v/>
      </c>
      <c r="DY135">
        <f>27.37493514</f>
        <v>27.374935140000002</v>
      </c>
      <c r="DZ135" t="str">
        <f>""</f>
        <v/>
      </c>
      <c r="EA135" t="str">
        <f>""</f>
        <v/>
      </c>
      <c r="EB135">
        <f>26.65939151</f>
        <v>26.659391509999999</v>
      </c>
      <c r="EC135" t="str">
        <f>""</f>
        <v/>
      </c>
      <c r="ED135" t="str">
        <f>""</f>
        <v/>
      </c>
      <c r="EE135">
        <f>26.15279418</f>
        <v>26.152794180000001</v>
      </c>
      <c r="EF135" t="str">
        <f>""</f>
        <v/>
      </c>
      <c r="EG135" t="str">
        <f>""</f>
        <v/>
      </c>
      <c r="EH135">
        <f>26.92822763</f>
        <v>26.928227629999999</v>
      </c>
      <c r="EI135" t="str">
        <f>""</f>
        <v/>
      </c>
      <c r="EJ135" t="str">
        <f>""</f>
        <v/>
      </c>
      <c r="EK135">
        <f>26.17618972</f>
        <v>26.17618972</v>
      </c>
      <c r="EL135" t="str">
        <f>""</f>
        <v/>
      </c>
      <c r="EM135" t="str">
        <f>""</f>
        <v/>
      </c>
      <c r="EN135">
        <f>24.42374577</f>
        <v>24.42374577</v>
      </c>
      <c r="EO135" t="str">
        <f>""</f>
        <v/>
      </c>
      <c r="EP135" t="str">
        <f>""</f>
        <v/>
      </c>
      <c r="EQ135">
        <f>24.25309067</f>
        <v>24.253090669999999</v>
      </c>
      <c r="ER135" t="str">
        <f>""</f>
        <v/>
      </c>
      <c r="ES135" t="str">
        <f>""</f>
        <v/>
      </c>
      <c r="ET135">
        <f>23.67161508</f>
        <v>23.671615079999999</v>
      </c>
      <c r="EU135" t="str">
        <f>""</f>
        <v/>
      </c>
      <c r="EV135" t="str">
        <f>""</f>
        <v/>
      </c>
      <c r="EW135">
        <f>22.97121668</f>
        <v>22.971216680000001</v>
      </c>
      <c r="EX135" t="str">
        <f>""</f>
        <v/>
      </c>
      <c r="EY135" t="str">
        <f>""</f>
        <v/>
      </c>
      <c r="EZ135">
        <f>23.14093612</f>
        <v>23.140936119999999</v>
      </c>
      <c r="FA135" t="str">
        <f>""</f>
        <v/>
      </c>
      <c r="FB135" t="str">
        <f>""</f>
        <v/>
      </c>
      <c r="FC135">
        <f>21.67298983</f>
        <v>21.672989829999999</v>
      </c>
      <c r="FD135" t="str">
        <f>""</f>
        <v/>
      </c>
      <c r="FE135" t="str">
        <f>""</f>
        <v/>
      </c>
      <c r="FF135">
        <f>20.21381693</f>
        <v>20.21381693</v>
      </c>
      <c r="FG135" t="str">
        <f>""</f>
        <v/>
      </c>
      <c r="FH135" t="str">
        <f>""</f>
        <v/>
      </c>
      <c r="FI135">
        <f>19.35402278</f>
        <v>19.354022780000001</v>
      </c>
      <c r="FJ135" t="str">
        <f>""</f>
        <v/>
      </c>
      <c r="FK135" t="str">
        <f>""</f>
        <v/>
      </c>
      <c r="FL135">
        <f>19.00056743</f>
        <v>19.00056743</v>
      </c>
      <c r="FM135" t="str">
        <f>""</f>
        <v/>
      </c>
      <c r="FN135" t="str">
        <f>""</f>
        <v/>
      </c>
      <c r="FO135">
        <f>18.56726842</f>
        <v>18.567268420000001</v>
      </c>
      <c r="FP135" t="str">
        <f>""</f>
        <v/>
      </c>
      <c r="FQ135" t="str">
        <f>""</f>
        <v/>
      </c>
    </row>
    <row r="136" spans="1:173">
      <c r="A136" t="str">
        <f>"    公寓投资与管理"</f>
        <v xml:space="preserve">    公寓投资与管理</v>
      </c>
      <c r="B136" t="str">
        <f>"AIV US Equity"</f>
        <v>AIV US Equity</v>
      </c>
      <c r="C136" t="str">
        <f t="shared" ref="C136:C142" si="42">"F0892"</f>
        <v>F0892</v>
      </c>
      <c r="D136" t="str">
        <f t="shared" ref="D136:D142" si="43">"TRAILING_12_MONTHS_FAD_PS"</f>
        <v>TRAILING_12_MONTHS_FAD_PS</v>
      </c>
      <c r="E136" t="str">
        <f t="shared" ref="E136:E142" si="44">"动态"</f>
        <v>动态</v>
      </c>
      <c r="F136" t="str">
        <f ca="1">IF(AND(ISNUMBER($F$347),$B$252=1),$F$347,HLOOKUP(INDIRECT(ADDRESS(2,COLUMN())),OFFSET($CL$2,0,0,ROW()-1,84),ROW()-1,FALSE))</f>
        <v/>
      </c>
      <c r="G136" t="str">
        <f ca="1">IF(AND(ISNUMBER($G$347),$B$252=1),$G$347,HLOOKUP(INDIRECT(ADDRESS(2,COLUMN())),OFFSET($CL$2,0,0,ROW()-1,84),ROW()-1,FALSE))</f>
        <v/>
      </c>
      <c r="H136" t="str">
        <f ca="1">IF(AND(ISNUMBER($H$347),$B$252=1),$H$347,HLOOKUP(INDIRECT(ADDRESS(2,COLUMN())),OFFSET($CL$2,0,0,ROW()-1,84),ROW()-1,FALSE))</f>
        <v/>
      </c>
      <c r="I136">
        <f ca="1">IF(AND(ISNUMBER($I$347),$B$252=1),$I$347,HLOOKUP(INDIRECT(ADDRESS(2,COLUMN())),OFFSET($CL$2,0,0,ROW()-1,84),ROW()-1,FALSE))</f>
        <v>2.117206549</v>
      </c>
      <c r="J136" t="str">
        <f ca="1">IF(AND(ISNUMBER($J$347),$B$252=1),$J$347,HLOOKUP(INDIRECT(ADDRESS(2,COLUMN())),OFFSET($CL$2,0,0,ROW()-1,84),ROW()-1,FALSE))</f>
        <v/>
      </c>
      <c r="K136" t="str">
        <f ca="1">IF(AND(ISNUMBER($K$347),$B$252=1),$K$347,HLOOKUP(INDIRECT(ADDRESS(2,COLUMN())),OFFSET($CL$2,0,0,ROW()-1,84),ROW()-1,FALSE))</f>
        <v/>
      </c>
      <c r="L136">
        <f ca="1">IF(AND(ISNUMBER($L$347),$B$252=1),$L$347,HLOOKUP(INDIRECT(ADDRESS(2,COLUMN())),OFFSET($CL$2,0,0,ROW()-1,84),ROW()-1,FALSE))</f>
        <v>2.061402153</v>
      </c>
      <c r="M136" t="str">
        <f ca="1">IF(AND(ISNUMBER($M$347),$B$252=1),$M$347,HLOOKUP(INDIRECT(ADDRESS(2,COLUMN())),OFFSET($CL$2,0,0,ROW()-1,84),ROW()-1,FALSE))</f>
        <v/>
      </c>
      <c r="N136" t="str">
        <f ca="1">IF(AND(ISNUMBER($N$347),$B$252=1),$N$347,HLOOKUP(INDIRECT(ADDRESS(2,COLUMN())),OFFSET($CL$2,0,0,ROW()-1,84),ROW()-1,FALSE))</f>
        <v/>
      </c>
      <c r="O136">
        <f ca="1">IF(AND(ISNUMBER($O$347),$B$252=1),$O$347,HLOOKUP(INDIRECT(ADDRESS(2,COLUMN())),OFFSET($CL$2,0,0,ROW()-1,84),ROW()-1,FALSE))</f>
        <v>1.980523864</v>
      </c>
      <c r="P136" t="str">
        <f ca="1">IF(AND(ISNUMBER($P$347),$B$252=1),$P$347,HLOOKUP(INDIRECT(ADDRESS(2,COLUMN())),OFFSET($CL$2,0,0,ROW()-1,84),ROW()-1,FALSE))</f>
        <v/>
      </c>
      <c r="Q136" t="str">
        <f ca="1">IF(AND(ISNUMBER($Q$347),$B$252=1),$Q$347,HLOOKUP(INDIRECT(ADDRESS(2,COLUMN())),OFFSET($CL$2,0,0,ROW()-1,84),ROW()-1,FALSE))</f>
        <v/>
      </c>
      <c r="R136">
        <f ca="1">IF(AND(ISNUMBER($R$347),$B$252=1),$R$347,HLOOKUP(INDIRECT(ADDRESS(2,COLUMN())),OFFSET($CL$2,0,0,ROW()-1,84),ROW()-1,FALSE))</f>
        <v>1.969657268</v>
      </c>
      <c r="S136" t="str">
        <f ca="1">IF(AND(ISNUMBER($S$347),$B$252=1),$S$347,HLOOKUP(INDIRECT(ADDRESS(2,COLUMN())),OFFSET($CL$2,0,0,ROW()-1,84),ROW()-1,FALSE))</f>
        <v/>
      </c>
      <c r="T136" t="str">
        <f ca="1">IF(AND(ISNUMBER($T$347),$B$252=1),$T$347,HLOOKUP(INDIRECT(ADDRESS(2,COLUMN())),OFFSET($CL$2,0,0,ROW()-1,84),ROW()-1,FALSE))</f>
        <v/>
      </c>
      <c r="U136">
        <f ca="1">IF(AND(ISNUMBER($U$347),$B$252=1),$U$347,HLOOKUP(INDIRECT(ADDRESS(2,COLUMN())),OFFSET($CL$2,0,0,ROW()-1,84),ROW()-1,FALSE))</f>
        <v>1.9638131109999999</v>
      </c>
      <c r="V136" t="str">
        <f ca="1">IF(AND(ISNUMBER($V$347),$B$252=1),$V$347,HLOOKUP(INDIRECT(ADDRESS(2,COLUMN())),OFFSET($CL$2,0,0,ROW()-1,84),ROW()-1,FALSE))</f>
        <v/>
      </c>
      <c r="W136" t="str">
        <f ca="1">IF(AND(ISNUMBER($W$347),$B$252=1),$W$347,HLOOKUP(INDIRECT(ADDRESS(2,COLUMN())),OFFSET($CL$2,0,0,ROW()-1,84),ROW()-1,FALSE))</f>
        <v/>
      </c>
      <c r="X136">
        <f ca="1">IF(AND(ISNUMBER($X$347),$B$252=1),$X$347,HLOOKUP(INDIRECT(ADDRESS(2,COLUMN())),OFFSET($CL$2,0,0,ROW()-1,84),ROW()-1,FALSE))</f>
        <v>1.935799582</v>
      </c>
      <c r="Y136" t="str">
        <f ca="1">IF(AND(ISNUMBER($Y$347),$B$252=1),$Y$347,HLOOKUP(INDIRECT(ADDRESS(2,COLUMN())),OFFSET($CL$2,0,0,ROW()-1,84),ROW()-1,FALSE))</f>
        <v/>
      </c>
      <c r="Z136" t="str">
        <f ca="1">IF(AND(ISNUMBER($Z$347),$B$252=1),$Z$347,HLOOKUP(INDIRECT(ADDRESS(2,COLUMN())),OFFSET($CL$2,0,0,ROW()-1,84),ROW()-1,FALSE))</f>
        <v/>
      </c>
      <c r="AA136">
        <f ca="1">IF(AND(ISNUMBER($AA$347),$B$252=1),$AA$347,HLOOKUP(INDIRECT(ADDRESS(2,COLUMN())),OFFSET($CL$2,0,0,ROW()-1,84),ROW()-1,FALSE))</f>
        <v>1.959483563</v>
      </c>
      <c r="AB136" t="str">
        <f ca="1">IF(AND(ISNUMBER($AB$347),$B$252=1),$AB$347,HLOOKUP(INDIRECT(ADDRESS(2,COLUMN())),OFFSET($CL$2,0,0,ROW()-1,84),ROW()-1,FALSE))</f>
        <v/>
      </c>
      <c r="AC136" t="str">
        <f ca="1">IF(AND(ISNUMBER($AC$347),$B$252=1),$AC$347,HLOOKUP(INDIRECT(ADDRESS(2,COLUMN())),OFFSET($CL$2,0,0,ROW()-1,84),ROW()-1,FALSE))</f>
        <v/>
      </c>
      <c r="AD136">
        <f ca="1">IF(AND(ISNUMBER($AD$347),$B$252=1),$AD$347,HLOOKUP(INDIRECT(ADDRESS(2,COLUMN())),OFFSET($CL$2,0,0,ROW()-1,84),ROW()-1,FALSE))</f>
        <v>1.924678769</v>
      </c>
      <c r="AE136" t="str">
        <f ca="1">IF(AND(ISNUMBER($AE$347),$B$252=1),$AE$347,HLOOKUP(INDIRECT(ADDRESS(2,COLUMN())),OFFSET($CL$2,0,0,ROW()-1,84),ROW()-1,FALSE))</f>
        <v/>
      </c>
      <c r="AF136" t="str">
        <f ca="1">IF(AND(ISNUMBER($AF$347),$B$252=1),$AF$347,HLOOKUP(INDIRECT(ADDRESS(2,COLUMN())),OFFSET($CL$2,0,0,ROW()-1,84),ROW()-1,FALSE))</f>
        <v/>
      </c>
      <c r="AG136">
        <f ca="1">IF(AND(ISNUMBER($AG$347),$B$252=1),$AG$347,HLOOKUP(INDIRECT(ADDRESS(2,COLUMN())),OFFSET($CL$2,0,0,ROW()-1,84),ROW()-1,FALSE))</f>
        <v>1.878468611</v>
      </c>
      <c r="AH136" t="str">
        <f ca="1">IF(AND(ISNUMBER($AH$347),$B$252=1),$AH$347,HLOOKUP(INDIRECT(ADDRESS(2,COLUMN())),OFFSET($CL$2,0,0,ROW()-1,84),ROW()-1,FALSE))</f>
        <v/>
      </c>
      <c r="AI136" t="str">
        <f ca="1">IF(AND(ISNUMBER($AI$347),$B$252=1),$AI$347,HLOOKUP(INDIRECT(ADDRESS(2,COLUMN())),OFFSET($CL$2,0,0,ROW()-1,84),ROW()-1,FALSE))</f>
        <v/>
      </c>
      <c r="AJ136">
        <f ca="1">IF(AND(ISNUMBER($AJ$347),$B$252=1),$AJ$347,HLOOKUP(INDIRECT(ADDRESS(2,COLUMN())),OFFSET($CL$2,0,0,ROW()-1,84),ROW()-1,FALSE))</f>
        <v>1.8305597730000001</v>
      </c>
      <c r="AK136" t="str">
        <f ca="1">IF(AND(ISNUMBER($AK$347),$B$252=1),$AK$347,HLOOKUP(INDIRECT(ADDRESS(2,COLUMN())),OFFSET($CL$2,0,0,ROW()-1,84),ROW()-1,FALSE))</f>
        <v/>
      </c>
      <c r="AL136" t="str">
        <f ca="1">IF(AND(ISNUMBER($AL$347),$B$252=1),$AL$347,HLOOKUP(INDIRECT(ADDRESS(2,COLUMN())),OFFSET($CL$2,0,0,ROW()-1,84),ROW()-1,FALSE))</f>
        <v/>
      </c>
      <c r="AM136">
        <f ca="1">IF(AND(ISNUMBER($AM$347),$B$252=1),$AM$347,HLOOKUP(INDIRECT(ADDRESS(2,COLUMN())),OFFSET($CL$2,0,0,ROW()-1,84),ROW()-1,FALSE))</f>
        <v>1.7456957559999999</v>
      </c>
      <c r="AN136" t="str">
        <f ca="1">IF(AND(ISNUMBER($AN$347),$B$252=1),$AN$347,HLOOKUP(INDIRECT(ADDRESS(2,COLUMN())),OFFSET($CL$2,0,0,ROW()-1,84),ROW()-1,FALSE))</f>
        <v/>
      </c>
      <c r="AO136" t="str">
        <f ca="1">IF(AND(ISNUMBER($AO$347),$B$252=1),$AO$347,HLOOKUP(INDIRECT(ADDRESS(2,COLUMN())),OFFSET($CL$2,0,0,ROW()-1,84),ROW()-1,FALSE))</f>
        <v/>
      </c>
      <c r="AP136">
        <f ca="1">IF(AND(ISNUMBER($AP$347),$B$252=1),$AP$347,HLOOKUP(INDIRECT(ADDRESS(2,COLUMN())),OFFSET($CL$2,0,0,ROW()-1,84),ROW()-1,FALSE))</f>
        <v>1.717269699</v>
      </c>
      <c r="AQ136" t="str">
        <f ca="1">IF(AND(ISNUMBER($AQ$347),$B$252=1),$AQ$347,HLOOKUP(INDIRECT(ADDRESS(2,COLUMN())),OFFSET($CL$2,0,0,ROW()-1,84),ROW()-1,FALSE))</f>
        <v/>
      </c>
      <c r="AR136" t="str">
        <f ca="1">IF(AND(ISNUMBER($AR$347),$B$252=1),$AR$347,HLOOKUP(INDIRECT(ADDRESS(2,COLUMN())),OFFSET($CL$2,0,0,ROW()-1,84),ROW()-1,FALSE))</f>
        <v/>
      </c>
      <c r="AS136">
        <f ca="1">IF(AND(ISNUMBER($AS$347),$B$252=1),$AS$347,HLOOKUP(INDIRECT(ADDRESS(2,COLUMN())),OFFSET($CL$2,0,0,ROW()-1,84),ROW()-1,FALSE))</f>
        <v>1.6833855689999999</v>
      </c>
      <c r="AT136" t="str">
        <f ca="1">IF(AND(ISNUMBER($AT$347),$B$252=1),$AT$347,HLOOKUP(INDIRECT(ADDRESS(2,COLUMN())),OFFSET($CL$2,0,0,ROW()-1,84),ROW()-1,FALSE))</f>
        <v/>
      </c>
      <c r="AU136" t="str">
        <f ca="1">IF(AND(ISNUMBER($AU$347),$B$252=1),$AU$347,HLOOKUP(INDIRECT(ADDRESS(2,COLUMN())),OFFSET($CL$2,0,0,ROW()-1,84),ROW()-1,FALSE))</f>
        <v/>
      </c>
      <c r="AV136">
        <f ca="1">IF(AND(ISNUMBER($AV$347),$B$252=1),$AV$347,HLOOKUP(INDIRECT(ADDRESS(2,COLUMN())),OFFSET($CL$2,0,0,ROW()-1,84),ROW()-1,FALSE))</f>
        <v>1.6838578209999999</v>
      </c>
      <c r="AW136" t="str">
        <f ca="1">IF(AND(ISNUMBER($AW$347),$B$252=1),$AW$347,HLOOKUP(INDIRECT(ADDRESS(2,COLUMN())),OFFSET($CL$2,0,0,ROW()-1,84),ROW()-1,FALSE))</f>
        <v/>
      </c>
      <c r="AX136" t="str">
        <f ca="1">IF(AND(ISNUMBER($AX$347),$B$252=1),$AX$347,HLOOKUP(INDIRECT(ADDRESS(2,COLUMN())),OFFSET($CL$2,0,0,ROW()-1,84),ROW()-1,FALSE))</f>
        <v/>
      </c>
      <c r="AY136">
        <f ca="1">IF(AND(ISNUMBER($AY$347),$B$252=1),$AY$347,HLOOKUP(INDIRECT(ADDRESS(2,COLUMN())),OFFSET($CL$2,0,0,ROW()-1,84),ROW()-1,FALSE))</f>
        <v>1.641668468</v>
      </c>
      <c r="AZ136" t="str">
        <f ca="1">IF(AND(ISNUMBER($AZ$347),$B$252=1),$AZ$347,HLOOKUP(INDIRECT(ADDRESS(2,COLUMN())),OFFSET($CL$2,0,0,ROW()-1,84),ROW()-1,FALSE))</f>
        <v/>
      </c>
      <c r="BA136" t="str">
        <f ca="1">IF(AND(ISNUMBER($BA$347),$B$252=1),$BA$347,HLOOKUP(INDIRECT(ADDRESS(2,COLUMN())),OFFSET($CL$2,0,0,ROW()-1,84),ROW()-1,FALSE))</f>
        <v/>
      </c>
      <c r="BB136">
        <f ca="1">IF(AND(ISNUMBER($BB$347),$B$252=1),$BB$347,HLOOKUP(INDIRECT(ADDRESS(2,COLUMN())),OFFSET($CL$2,0,0,ROW()-1,84),ROW()-1,FALSE))</f>
        <v>1.5719832090000001</v>
      </c>
      <c r="BC136" t="str">
        <f ca="1">IF(AND(ISNUMBER($BC$347),$B$252=1),$BC$347,HLOOKUP(INDIRECT(ADDRESS(2,COLUMN())),OFFSET($CL$2,0,0,ROW()-1,84),ROW()-1,FALSE))</f>
        <v/>
      </c>
      <c r="BD136" t="str">
        <f ca="1">IF(AND(ISNUMBER($BD$347),$B$252=1),$BD$347,HLOOKUP(INDIRECT(ADDRESS(2,COLUMN())),OFFSET($CL$2,0,0,ROW()-1,84),ROW()-1,FALSE))</f>
        <v/>
      </c>
      <c r="BE136">
        <f ca="1">IF(AND(ISNUMBER($BE$347),$B$252=1),$BE$347,HLOOKUP(INDIRECT(ADDRESS(2,COLUMN())),OFFSET($CL$2,0,0,ROW()-1,84),ROW()-1,FALSE))</f>
        <v>1.525162575</v>
      </c>
      <c r="BF136" t="str">
        <f ca="1">IF(AND(ISNUMBER($BF$347),$B$252=1),$BF$347,HLOOKUP(INDIRECT(ADDRESS(2,COLUMN())),OFFSET($CL$2,0,0,ROW()-1,84),ROW()-1,FALSE))</f>
        <v/>
      </c>
      <c r="BG136" t="str">
        <f ca="1">IF(AND(ISNUMBER($BG$347),$B$252=1),$BG$347,HLOOKUP(INDIRECT(ADDRESS(2,COLUMN())),OFFSET($CL$2,0,0,ROW()-1,84),ROW()-1,FALSE))</f>
        <v/>
      </c>
      <c r="BH136">
        <f ca="1">IF(AND(ISNUMBER($BH$347),$B$252=1),$BH$347,HLOOKUP(INDIRECT(ADDRESS(2,COLUMN())),OFFSET($CL$2,0,0,ROW()-1,84),ROW()-1,FALSE))</f>
        <v>1.47494905</v>
      </c>
      <c r="BI136" t="str">
        <f ca="1">IF(AND(ISNUMBER($BI$347),$B$252=1),$BI$347,HLOOKUP(INDIRECT(ADDRESS(2,COLUMN())),OFFSET($CL$2,0,0,ROW()-1,84),ROW()-1,FALSE))</f>
        <v/>
      </c>
      <c r="BJ136" t="str">
        <f ca="1">IF(AND(ISNUMBER($BJ$347),$B$252=1),$BJ$347,HLOOKUP(INDIRECT(ADDRESS(2,COLUMN())),OFFSET($CL$2,0,0,ROW()-1,84),ROW()-1,FALSE))</f>
        <v/>
      </c>
      <c r="BK136">
        <f ca="1">IF(AND(ISNUMBER($BK$347),$B$252=1),$BK$347,HLOOKUP(INDIRECT(ADDRESS(2,COLUMN())),OFFSET($CL$2,0,0,ROW()-1,84),ROW()-1,FALSE))</f>
        <v>1.4532351889999999</v>
      </c>
      <c r="BL136" t="str">
        <f ca="1">IF(AND(ISNUMBER($BL$347),$B$252=1),$BL$347,HLOOKUP(INDIRECT(ADDRESS(2,COLUMN())),OFFSET($CL$2,0,0,ROW()-1,84),ROW()-1,FALSE))</f>
        <v/>
      </c>
      <c r="BM136" t="str">
        <f ca="1">IF(AND(ISNUMBER($BM$347),$B$252=1),$BM$347,HLOOKUP(INDIRECT(ADDRESS(2,COLUMN())),OFFSET($CL$2,0,0,ROW()-1,84),ROW()-1,FALSE))</f>
        <v/>
      </c>
      <c r="BN136">
        <f ca="1">IF(AND(ISNUMBER($BN$347),$B$252=1),$BN$347,HLOOKUP(INDIRECT(ADDRESS(2,COLUMN())),OFFSET($CL$2,0,0,ROW()-1,84),ROW()-1,FALSE))</f>
        <v>1.424599612</v>
      </c>
      <c r="BO136" t="str">
        <f ca="1">IF(AND(ISNUMBER($BO$347),$B$252=1),$BO$347,HLOOKUP(INDIRECT(ADDRESS(2,COLUMN())),OFFSET($CL$2,0,0,ROW()-1,84),ROW()-1,FALSE))</f>
        <v/>
      </c>
      <c r="BP136" t="str">
        <f ca="1">IF(AND(ISNUMBER($BP$347),$B$252=1),$BP$347,HLOOKUP(INDIRECT(ADDRESS(2,COLUMN())),OFFSET($CL$2,0,0,ROW()-1,84),ROW()-1,FALSE))</f>
        <v/>
      </c>
      <c r="BQ136">
        <f ca="1">IF(AND(ISNUMBER($BQ$347),$B$252=1),$BQ$347,HLOOKUP(INDIRECT(ADDRESS(2,COLUMN())),OFFSET($CL$2,0,0,ROW()-1,84),ROW()-1,FALSE))</f>
        <v>1.3369964430000001</v>
      </c>
      <c r="BR136" t="str">
        <f ca="1">IF(AND(ISNUMBER($BR$347),$B$252=1),$BR$347,HLOOKUP(INDIRECT(ADDRESS(2,COLUMN())),OFFSET($CL$2,0,0,ROW()-1,84),ROW()-1,FALSE))</f>
        <v/>
      </c>
      <c r="BS136" t="str">
        <f ca="1">IF(AND(ISNUMBER($BS$347),$B$252=1),$BS$347,HLOOKUP(INDIRECT(ADDRESS(2,COLUMN())),OFFSET($CL$2,0,0,ROW()-1,84),ROW()-1,FALSE))</f>
        <v/>
      </c>
      <c r="BT136">
        <f ca="1">IF(AND(ISNUMBER($BT$347),$B$252=1),$BT$347,HLOOKUP(INDIRECT(ADDRESS(2,COLUMN())),OFFSET($CL$2,0,0,ROW()-1,84),ROW()-1,FALSE))</f>
        <v>1.159975349</v>
      </c>
      <c r="BU136" t="str">
        <f ca="1">IF(AND(ISNUMBER($BU$347),$B$252=1),$BU$347,HLOOKUP(INDIRECT(ADDRESS(2,COLUMN())),OFFSET($CL$2,0,0,ROW()-1,84),ROW()-1,FALSE))</f>
        <v/>
      </c>
      <c r="BV136" t="str">
        <f ca="1">IF(AND(ISNUMBER($BV$347),$B$252=1),$BV$347,HLOOKUP(INDIRECT(ADDRESS(2,COLUMN())),OFFSET($CL$2,0,0,ROW()-1,84),ROW()-1,FALSE))</f>
        <v/>
      </c>
      <c r="BW136">
        <f ca="1">IF(AND(ISNUMBER($BW$347),$B$252=1),$BW$347,HLOOKUP(INDIRECT(ADDRESS(2,COLUMN())),OFFSET($CL$2,0,0,ROW()-1,84),ROW()-1,FALSE))</f>
        <v>1.074661195</v>
      </c>
      <c r="BX136" t="str">
        <f ca="1">IF(AND(ISNUMBER($BX$347),$B$252=1),$BX$347,HLOOKUP(INDIRECT(ADDRESS(2,COLUMN())),OFFSET($CL$2,0,0,ROW()-1,84),ROW()-1,FALSE))</f>
        <v/>
      </c>
      <c r="BY136" t="str">
        <f ca="1">IF(AND(ISNUMBER($BY$347),$B$252=1),$BY$347,HLOOKUP(INDIRECT(ADDRESS(2,COLUMN())),OFFSET($CL$2,0,0,ROW()-1,84),ROW()-1,FALSE))</f>
        <v/>
      </c>
      <c r="BZ136">
        <f ca="1">IF(AND(ISNUMBER($BZ$347),$B$252=1),$BZ$347,HLOOKUP(INDIRECT(ADDRESS(2,COLUMN())),OFFSET($CL$2,0,0,ROW()-1,84),ROW()-1,FALSE))</f>
        <v>0.87184301799999997</v>
      </c>
      <c r="CA136" t="str">
        <f ca="1">IF(AND(ISNUMBER($CA$347),$B$252=1),$CA$347,HLOOKUP(INDIRECT(ADDRESS(2,COLUMN())),OFFSET($CL$2,0,0,ROW()-1,84),ROW()-1,FALSE))</f>
        <v/>
      </c>
      <c r="CB136" t="str">
        <f ca="1">IF(AND(ISNUMBER($CB$347),$B$252=1),$CB$347,HLOOKUP(INDIRECT(ADDRESS(2,COLUMN())),OFFSET($CL$2,0,0,ROW()-1,84),ROW()-1,FALSE))</f>
        <v/>
      </c>
      <c r="CC136">
        <f ca="1">IF(AND(ISNUMBER($CC$347),$B$252=1),$CC$347,HLOOKUP(INDIRECT(ADDRESS(2,COLUMN())),OFFSET($CL$2,0,0,ROW()-1,84),ROW()-1,FALSE))</f>
        <v>0.87268596700000001</v>
      </c>
      <c r="CD136" t="str">
        <f ca="1">IF(AND(ISNUMBER($CD$347),$B$252=1),$CD$347,HLOOKUP(INDIRECT(ADDRESS(2,COLUMN())),OFFSET($CL$2,0,0,ROW()-1,84),ROW()-1,FALSE))</f>
        <v/>
      </c>
      <c r="CE136" t="str">
        <f ca="1">IF(AND(ISNUMBER($CE$347),$B$252=1),$CE$347,HLOOKUP(INDIRECT(ADDRESS(2,COLUMN())),OFFSET($CL$2,0,0,ROW()-1,84),ROW()-1,FALSE))</f>
        <v/>
      </c>
      <c r="CF136">
        <f ca="1">IF(AND(ISNUMBER($CF$347),$B$252=1),$CF$347,HLOOKUP(INDIRECT(ADDRESS(2,COLUMN())),OFFSET($CL$2,0,0,ROW()-1,84),ROW()-1,FALSE))</f>
        <v>0.92394911599999996</v>
      </c>
      <c r="CG136" t="str">
        <f ca="1">IF(AND(ISNUMBER($CG$347),$B$252=1),$CG$347,HLOOKUP(INDIRECT(ADDRESS(2,COLUMN())),OFFSET($CL$2,0,0,ROW()-1,84),ROW()-1,FALSE))</f>
        <v/>
      </c>
      <c r="CH136" t="str">
        <f ca="1">IF(AND(ISNUMBER($CH$347),$B$252=1),$CH$347,HLOOKUP(INDIRECT(ADDRESS(2,COLUMN())),OFFSET($CL$2,0,0,ROW()-1,84),ROW()-1,FALSE))</f>
        <v/>
      </c>
      <c r="CI136">
        <f ca="1">IF(AND(ISNUMBER($CI$347),$B$252=1),$CI$347,HLOOKUP(INDIRECT(ADDRESS(2,COLUMN())),OFFSET($CL$2,0,0,ROW()-1,84),ROW()-1,FALSE))</f>
        <v>0.93585523599999998</v>
      </c>
      <c r="CJ136" t="str">
        <f ca="1">IF(AND(ISNUMBER($CJ$347),$B$252=1),$CJ$347,HLOOKUP(INDIRECT(ADDRESS(2,COLUMN())),OFFSET($CL$2,0,0,ROW()-1,84),ROW()-1,FALSE))</f>
        <v/>
      </c>
      <c r="CK136" t="str">
        <f ca="1">IF(AND(ISNUMBER($CK$347),$B$252=1),$CK$347,HLOOKUP(INDIRECT(ADDRESS(2,COLUMN())),OFFSET($CL$2,0,0,ROW()-1,84),ROW()-1,FALSE))</f>
        <v/>
      </c>
      <c r="CL136" t="str">
        <f>""</f>
        <v/>
      </c>
      <c r="CM136" t="str">
        <f>""</f>
        <v/>
      </c>
      <c r="CN136" t="str">
        <f>""</f>
        <v/>
      </c>
      <c r="CO136">
        <f>2.117206549</f>
        <v>2.117206549</v>
      </c>
      <c r="CP136" t="str">
        <f>""</f>
        <v/>
      </c>
      <c r="CQ136" t="str">
        <f>""</f>
        <v/>
      </c>
      <c r="CR136">
        <f>2.061402153</f>
        <v>2.061402153</v>
      </c>
      <c r="CS136" t="str">
        <f>""</f>
        <v/>
      </c>
      <c r="CT136" t="str">
        <f>""</f>
        <v/>
      </c>
      <c r="CU136">
        <f>1.980523864</f>
        <v>1.980523864</v>
      </c>
      <c r="CV136" t="str">
        <f>""</f>
        <v/>
      </c>
      <c r="CW136" t="str">
        <f>""</f>
        <v/>
      </c>
      <c r="CX136">
        <f>1.969657268</f>
        <v>1.969657268</v>
      </c>
      <c r="CY136" t="str">
        <f>""</f>
        <v/>
      </c>
      <c r="CZ136" t="str">
        <f>""</f>
        <v/>
      </c>
      <c r="DA136">
        <f>1.963813111</f>
        <v>1.9638131109999999</v>
      </c>
      <c r="DB136" t="str">
        <f>""</f>
        <v/>
      </c>
      <c r="DC136" t="str">
        <f>""</f>
        <v/>
      </c>
      <c r="DD136">
        <f>1.935799582</f>
        <v>1.935799582</v>
      </c>
      <c r="DE136" t="str">
        <f>""</f>
        <v/>
      </c>
      <c r="DF136" t="str">
        <f>""</f>
        <v/>
      </c>
      <c r="DG136">
        <f>1.959483563</f>
        <v>1.959483563</v>
      </c>
      <c r="DH136" t="str">
        <f>""</f>
        <v/>
      </c>
      <c r="DI136" t="str">
        <f>""</f>
        <v/>
      </c>
      <c r="DJ136">
        <f>1.924678769</f>
        <v>1.924678769</v>
      </c>
      <c r="DK136" t="str">
        <f>""</f>
        <v/>
      </c>
      <c r="DL136" t="str">
        <f>""</f>
        <v/>
      </c>
      <c r="DM136">
        <f>1.878468611</f>
        <v>1.878468611</v>
      </c>
      <c r="DN136" t="str">
        <f>""</f>
        <v/>
      </c>
      <c r="DO136" t="str">
        <f>""</f>
        <v/>
      </c>
      <c r="DP136">
        <f>1.830559773</f>
        <v>1.8305597730000001</v>
      </c>
      <c r="DQ136" t="str">
        <f>""</f>
        <v/>
      </c>
      <c r="DR136" t="str">
        <f>""</f>
        <v/>
      </c>
      <c r="DS136">
        <f>1.745695756</f>
        <v>1.7456957559999999</v>
      </c>
      <c r="DT136" t="str">
        <f>""</f>
        <v/>
      </c>
      <c r="DU136" t="str">
        <f>""</f>
        <v/>
      </c>
      <c r="DV136">
        <f>1.717269699</f>
        <v>1.717269699</v>
      </c>
      <c r="DW136" t="str">
        <f>""</f>
        <v/>
      </c>
      <c r="DX136" t="str">
        <f>""</f>
        <v/>
      </c>
      <c r="DY136">
        <f>1.683385569</f>
        <v>1.6833855689999999</v>
      </c>
      <c r="DZ136" t="str">
        <f>""</f>
        <v/>
      </c>
      <c r="EA136" t="str">
        <f>""</f>
        <v/>
      </c>
      <c r="EB136">
        <f>1.683857821</f>
        <v>1.6838578209999999</v>
      </c>
      <c r="EC136" t="str">
        <f>""</f>
        <v/>
      </c>
      <c r="ED136" t="str">
        <f>""</f>
        <v/>
      </c>
      <c r="EE136">
        <f>1.641668468</f>
        <v>1.641668468</v>
      </c>
      <c r="EF136" t="str">
        <f>""</f>
        <v/>
      </c>
      <c r="EG136" t="str">
        <f>""</f>
        <v/>
      </c>
      <c r="EH136">
        <f>1.571983209</f>
        <v>1.5719832090000001</v>
      </c>
      <c r="EI136" t="str">
        <f>""</f>
        <v/>
      </c>
      <c r="EJ136" t="str">
        <f>""</f>
        <v/>
      </c>
      <c r="EK136">
        <f>1.525162575</f>
        <v>1.525162575</v>
      </c>
      <c r="EL136" t="str">
        <f>""</f>
        <v/>
      </c>
      <c r="EM136" t="str">
        <f>""</f>
        <v/>
      </c>
      <c r="EN136">
        <f>1.47494905</f>
        <v>1.47494905</v>
      </c>
      <c r="EO136" t="str">
        <f>""</f>
        <v/>
      </c>
      <c r="EP136" t="str">
        <f>""</f>
        <v/>
      </c>
      <c r="EQ136">
        <f>1.453235189</f>
        <v>1.4532351889999999</v>
      </c>
      <c r="ER136" t="str">
        <f>""</f>
        <v/>
      </c>
      <c r="ES136" t="str">
        <f>""</f>
        <v/>
      </c>
      <c r="ET136">
        <f>1.424599612</f>
        <v>1.424599612</v>
      </c>
      <c r="EU136" t="str">
        <f>""</f>
        <v/>
      </c>
      <c r="EV136" t="str">
        <f>""</f>
        <v/>
      </c>
      <c r="EW136">
        <f>1.336996443</f>
        <v>1.3369964430000001</v>
      </c>
      <c r="EX136" t="str">
        <f>""</f>
        <v/>
      </c>
      <c r="EY136" t="str">
        <f>""</f>
        <v/>
      </c>
      <c r="EZ136">
        <f>1.159975349</f>
        <v>1.159975349</v>
      </c>
      <c r="FA136" t="str">
        <f>""</f>
        <v/>
      </c>
      <c r="FB136" t="str">
        <f>""</f>
        <v/>
      </c>
      <c r="FC136">
        <f>1.074661195</f>
        <v>1.074661195</v>
      </c>
      <c r="FD136" t="str">
        <f>""</f>
        <v/>
      </c>
      <c r="FE136" t="str">
        <f>""</f>
        <v/>
      </c>
      <c r="FF136">
        <f>0.871843018</f>
        <v>0.87184301799999997</v>
      </c>
      <c r="FG136" t="str">
        <f>""</f>
        <v/>
      </c>
      <c r="FH136" t="str">
        <f>""</f>
        <v/>
      </c>
      <c r="FI136">
        <f>0.872685967</f>
        <v>0.87268596700000001</v>
      </c>
      <c r="FJ136" t="str">
        <f>""</f>
        <v/>
      </c>
      <c r="FK136" t="str">
        <f>""</f>
        <v/>
      </c>
      <c r="FL136">
        <f>0.923949116</f>
        <v>0.92394911599999996</v>
      </c>
      <c r="FM136" t="str">
        <f>""</f>
        <v/>
      </c>
      <c r="FN136" t="str">
        <f>""</f>
        <v/>
      </c>
      <c r="FO136">
        <f>0.935855236</f>
        <v>0.93585523599999998</v>
      </c>
      <c r="FP136" t="str">
        <f>""</f>
        <v/>
      </c>
      <c r="FQ136" t="str">
        <f>""</f>
        <v/>
      </c>
    </row>
    <row r="137" spans="1:173">
      <c r="A137" t="str">
        <f>"    AvalonBay社区股份有限公司"</f>
        <v xml:space="preserve">    AvalonBay社区股份有限公司</v>
      </c>
      <c r="B137" t="str">
        <f>"AVB US Equity"</f>
        <v>AVB US Equity</v>
      </c>
      <c r="C137" t="str">
        <f t="shared" si="42"/>
        <v>F0892</v>
      </c>
      <c r="D137" t="str">
        <f t="shared" si="43"/>
        <v>TRAILING_12_MONTHS_FAD_PS</v>
      </c>
      <c r="E137" t="str">
        <f t="shared" si="44"/>
        <v>动态</v>
      </c>
      <c r="F137" t="str">
        <f ca="1">IF(AND(ISNUMBER($F$348),$B$252=1),$F$348,HLOOKUP(INDIRECT(ADDRESS(2,COLUMN())),OFFSET($CL$2,0,0,ROW()-1,84),ROW()-1,FALSE))</f>
        <v/>
      </c>
      <c r="G137" t="str">
        <f ca="1">IF(AND(ISNUMBER($G$348),$B$252=1),$G$348,HLOOKUP(INDIRECT(ADDRESS(2,COLUMN())),OFFSET($CL$2,0,0,ROW()-1,84),ROW()-1,FALSE))</f>
        <v/>
      </c>
      <c r="H137" t="str">
        <f ca="1">IF(AND(ISNUMBER($H$348),$B$252=1),$H$348,HLOOKUP(INDIRECT(ADDRESS(2,COLUMN())),OFFSET($CL$2,0,0,ROW()-1,84),ROW()-1,FALSE))</f>
        <v/>
      </c>
      <c r="I137">
        <f ca="1">IF(AND(ISNUMBER($I$348),$B$252=1),$I$348,HLOOKUP(INDIRECT(ADDRESS(2,COLUMN())),OFFSET($CL$2,0,0,ROW()-1,84),ROW()-1,FALSE))</f>
        <v>8.2776140720000004</v>
      </c>
      <c r="J137" t="str">
        <f ca="1">IF(AND(ISNUMBER($J$348),$B$252=1),$J$348,HLOOKUP(INDIRECT(ADDRESS(2,COLUMN())),OFFSET($CL$2,0,0,ROW()-1,84),ROW()-1,FALSE))</f>
        <v/>
      </c>
      <c r="K137" t="str">
        <f ca="1">IF(AND(ISNUMBER($K$348),$B$252=1),$K$348,HLOOKUP(INDIRECT(ADDRESS(2,COLUMN())),OFFSET($CL$2,0,0,ROW()-1,84),ROW()-1,FALSE))</f>
        <v/>
      </c>
      <c r="L137">
        <f ca="1">IF(AND(ISNUMBER($L$348),$B$252=1),$L$348,HLOOKUP(INDIRECT(ADDRESS(2,COLUMN())),OFFSET($CL$2,0,0,ROW()-1,84),ROW()-1,FALSE))</f>
        <v>8.1551115559999996</v>
      </c>
      <c r="M137" t="str">
        <f ca="1">IF(AND(ISNUMBER($M$348),$B$252=1),$M$348,HLOOKUP(INDIRECT(ADDRESS(2,COLUMN())),OFFSET($CL$2,0,0,ROW()-1,84),ROW()-1,FALSE))</f>
        <v/>
      </c>
      <c r="N137" t="str">
        <f ca="1">IF(AND(ISNUMBER($N$348),$B$252=1),$N$348,HLOOKUP(INDIRECT(ADDRESS(2,COLUMN())),OFFSET($CL$2,0,0,ROW()-1,84),ROW()-1,FALSE))</f>
        <v/>
      </c>
      <c r="O137">
        <f ca="1">IF(AND(ISNUMBER($O$348),$B$252=1),$O$348,HLOOKUP(INDIRECT(ADDRESS(2,COLUMN())),OFFSET($CL$2,0,0,ROW()-1,84),ROW()-1,FALSE))</f>
        <v>8.0406843129999999</v>
      </c>
      <c r="P137" t="str">
        <f ca="1">IF(AND(ISNUMBER($P$348),$B$252=1),$P$348,HLOOKUP(INDIRECT(ADDRESS(2,COLUMN())),OFFSET($CL$2,0,0,ROW()-1,84),ROW()-1,FALSE))</f>
        <v/>
      </c>
      <c r="Q137" t="str">
        <f ca="1">IF(AND(ISNUMBER($Q$348),$B$252=1),$Q$348,HLOOKUP(INDIRECT(ADDRESS(2,COLUMN())),OFFSET($CL$2,0,0,ROW()-1,84),ROW()-1,FALSE))</f>
        <v/>
      </c>
      <c r="R137">
        <f ca="1">IF(AND(ISNUMBER($R$348),$B$252=1),$R$348,HLOOKUP(INDIRECT(ADDRESS(2,COLUMN())),OFFSET($CL$2,0,0,ROW()-1,84),ROW()-1,FALSE))</f>
        <v>7.9816253650000002</v>
      </c>
      <c r="S137" t="str">
        <f ca="1">IF(AND(ISNUMBER($S$348),$B$252=1),$S$348,HLOOKUP(INDIRECT(ADDRESS(2,COLUMN())),OFFSET($CL$2,0,0,ROW()-1,84),ROW()-1,FALSE))</f>
        <v/>
      </c>
      <c r="T137" t="str">
        <f ca="1">IF(AND(ISNUMBER($T$348),$B$252=1),$T$348,HLOOKUP(INDIRECT(ADDRESS(2,COLUMN())),OFFSET($CL$2,0,0,ROW()-1,84),ROW()-1,FALSE))</f>
        <v/>
      </c>
      <c r="U137">
        <f ca="1">IF(AND(ISNUMBER($U$348),$B$252=1),$U$348,HLOOKUP(INDIRECT(ADDRESS(2,COLUMN())),OFFSET($CL$2,0,0,ROW()-1,84),ROW()-1,FALSE))</f>
        <v>7.8576721020000004</v>
      </c>
      <c r="V137" t="str">
        <f ca="1">IF(AND(ISNUMBER($V$348),$B$252=1),$V$348,HLOOKUP(INDIRECT(ADDRESS(2,COLUMN())),OFFSET($CL$2,0,0,ROW()-1,84),ROW()-1,FALSE))</f>
        <v/>
      </c>
      <c r="W137" t="str">
        <f ca="1">IF(AND(ISNUMBER($W$348),$B$252=1),$W$348,HLOOKUP(INDIRECT(ADDRESS(2,COLUMN())),OFFSET($CL$2,0,0,ROW()-1,84),ROW()-1,FALSE))</f>
        <v/>
      </c>
      <c r="X137">
        <f ca="1">IF(AND(ISNUMBER($X$348),$B$252=1),$X$348,HLOOKUP(INDIRECT(ADDRESS(2,COLUMN())),OFFSET($CL$2,0,0,ROW()-1,84),ROW()-1,FALSE))</f>
        <v>7.7196647589999996</v>
      </c>
      <c r="Y137" t="str">
        <f ca="1">IF(AND(ISNUMBER($Y$348),$B$252=1),$Y$348,HLOOKUP(INDIRECT(ADDRESS(2,COLUMN())),OFFSET($CL$2,0,0,ROW()-1,84),ROW()-1,FALSE))</f>
        <v/>
      </c>
      <c r="Z137" t="str">
        <f ca="1">IF(AND(ISNUMBER($Z$348),$B$252=1),$Z$348,HLOOKUP(INDIRECT(ADDRESS(2,COLUMN())),OFFSET($CL$2,0,0,ROW()-1,84),ROW()-1,FALSE))</f>
        <v/>
      </c>
      <c r="AA137">
        <f ca="1">IF(AND(ISNUMBER($AA$348),$B$252=1),$AA$348,HLOOKUP(INDIRECT(ADDRESS(2,COLUMN())),OFFSET($CL$2,0,0,ROW()-1,84),ROW()-1,FALSE))</f>
        <v>7.5781515080000004</v>
      </c>
      <c r="AB137" t="str">
        <f ca="1">IF(AND(ISNUMBER($AB$348),$B$252=1),$AB$348,HLOOKUP(INDIRECT(ADDRESS(2,COLUMN())),OFFSET($CL$2,0,0,ROW()-1,84),ROW()-1,FALSE))</f>
        <v/>
      </c>
      <c r="AC137" t="str">
        <f ca="1">IF(AND(ISNUMBER($AC$348),$B$252=1),$AC$348,HLOOKUP(INDIRECT(ADDRESS(2,COLUMN())),OFFSET($CL$2,0,0,ROW()-1,84),ROW()-1,FALSE))</f>
        <v/>
      </c>
      <c r="AD137">
        <f ca="1">IF(AND(ISNUMBER($AD$348),$B$252=1),$AD$348,HLOOKUP(INDIRECT(ADDRESS(2,COLUMN())),OFFSET($CL$2,0,0,ROW()-1,84),ROW()-1,FALSE))</f>
        <v>7.4239159219999999</v>
      </c>
      <c r="AE137" t="str">
        <f ca="1">IF(AND(ISNUMBER($AE$348),$B$252=1),$AE$348,HLOOKUP(INDIRECT(ADDRESS(2,COLUMN())),OFFSET($CL$2,0,0,ROW()-1,84),ROW()-1,FALSE))</f>
        <v/>
      </c>
      <c r="AF137" t="str">
        <f ca="1">IF(AND(ISNUMBER($AF$348),$B$252=1),$AF$348,HLOOKUP(INDIRECT(ADDRESS(2,COLUMN())),OFFSET($CL$2,0,0,ROW()-1,84),ROW()-1,FALSE))</f>
        <v/>
      </c>
      <c r="AG137">
        <f ca="1">IF(AND(ISNUMBER($AG$348),$B$252=1),$AG$348,HLOOKUP(INDIRECT(ADDRESS(2,COLUMN())),OFFSET($CL$2,0,0,ROW()-1,84),ROW()-1,FALSE))</f>
        <v>7.2112000610000004</v>
      </c>
      <c r="AH137" t="str">
        <f ca="1">IF(AND(ISNUMBER($AH$348),$B$252=1),$AH$348,HLOOKUP(INDIRECT(ADDRESS(2,COLUMN())),OFFSET($CL$2,0,0,ROW()-1,84),ROW()-1,FALSE))</f>
        <v/>
      </c>
      <c r="AI137" t="str">
        <f ca="1">IF(AND(ISNUMBER($AI$348),$B$252=1),$AI$348,HLOOKUP(INDIRECT(ADDRESS(2,COLUMN())),OFFSET($CL$2,0,0,ROW()-1,84),ROW()-1,FALSE))</f>
        <v/>
      </c>
      <c r="AJ137">
        <f ca="1">IF(AND(ISNUMBER($AJ$348),$B$252=1),$AJ$348,HLOOKUP(INDIRECT(ADDRESS(2,COLUMN())),OFFSET($CL$2,0,0,ROW()-1,84),ROW()-1,FALSE))</f>
        <v>6.9512140430000002</v>
      </c>
      <c r="AK137" t="str">
        <f ca="1">IF(AND(ISNUMBER($AK$348),$B$252=1),$AK$348,HLOOKUP(INDIRECT(ADDRESS(2,COLUMN())),OFFSET($CL$2,0,0,ROW()-1,84),ROW()-1,FALSE))</f>
        <v/>
      </c>
      <c r="AL137" t="str">
        <f ca="1">IF(AND(ISNUMBER($AL$348),$B$252=1),$AL$348,HLOOKUP(INDIRECT(ADDRESS(2,COLUMN())),OFFSET($CL$2,0,0,ROW()-1,84),ROW()-1,FALSE))</f>
        <v/>
      </c>
      <c r="AM137">
        <f ca="1">IF(AND(ISNUMBER($AM$348),$B$252=1),$AM$348,HLOOKUP(INDIRECT(ADDRESS(2,COLUMN())),OFFSET($CL$2,0,0,ROW()-1,84),ROW()-1,FALSE))</f>
        <v>6.761967619</v>
      </c>
      <c r="AN137" t="str">
        <f ca="1">IF(AND(ISNUMBER($AN$348),$B$252=1),$AN$348,HLOOKUP(INDIRECT(ADDRESS(2,COLUMN())),OFFSET($CL$2,0,0,ROW()-1,84),ROW()-1,FALSE))</f>
        <v/>
      </c>
      <c r="AO137" t="str">
        <f ca="1">IF(AND(ISNUMBER($AO$348),$B$252=1),$AO$348,HLOOKUP(INDIRECT(ADDRESS(2,COLUMN())),OFFSET($CL$2,0,0,ROW()-1,84),ROW()-1,FALSE))</f>
        <v/>
      </c>
      <c r="AP137">
        <f ca="1">IF(AND(ISNUMBER($AP$348),$B$252=1),$AP$348,HLOOKUP(INDIRECT(ADDRESS(2,COLUMN())),OFFSET($CL$2,0,0,ROW()-1,84),ROW()-1,FALSE))</f>
        <v>6.6143275639999999</v>
      </c>
      <c r="AQ137" t="str">
        <f ca="1">IF(AND(ISNUMBER($AQ$348),$B$252=1),$AQ$348,HLOOKUP(INDIRECT(ADDRESS(2,COLUMN())),OFFSET($CL$2,0,0,ROW()-1,84),ROW()-1,FALSE))</f>
        <v/>
      </c>
      <c r="AR137" t="str">
        <f ca="1">IF(AND(ISNUMBER($AR$348),$B$252=1),$AR$348,HLOOKUP(INDIRECT(ADDRESS(2,COLUMN())),OFFSET($CL$2,0,0,ROW()-1,84),ROW()-1,FALSE))</f>
        <v/>
      </c>
      <c r="AS137">
        <f ca="1">IF(AND(ISNUMBER($AS$348),$B$252=1),$AS$348,HLOOKUP(INDIRECT(ADDRESS(2,COLUMN())),OFFSET($CL$2,0,0,ROW()-1,84),ROW()-1,FALSE))</f>
        <v>6.5019386969999999</v>
      </c>
      <c r="AT137" t="str">
        <f ca="1">IF(AND(ISNUMBER($AT$348),$B$252=1),$AT$348,HLOOKUP(INDIRECT(ADDRESS(2,COLUMN())),OFFSET($CL$2,0,0,ROW()-1,84),ROW()-1,FALSE))</f>
        <v/>
      </c>
      <c r="AU137" t="str">
        <f ca="1">IF(AND(ISNUMBER($AU$348),$B$252=1),$AU$348,HLOOKUP(INDIRECT(ADDRESS(2,COLUMN())),OFFSET($CL$2,0,0,ROW()-1,84),ROW()-1,FALSE))</f>
        <v/>
      </c>
      <c r="AV137">
        <f ca="1">IF(AND(ISNUMBER($AV$348),$B$252=1),$AV$348,HLOOKUP(INDIRECT(ADDRESS(2,COLUMN())),OFFSET($CL$2,0,0,ROW()-1,84),ROW()-1,FALSE))</f>
        <v>6.364221218</v>
      </c>
      <c r="AW137" t="str">
        <f ca="1">IF(AND(ISNUMBER($AW$348),$B$252=1),$AW$348,HLOOKUP(INDIRECT(ADDRESS(2,COLUMN())),OFFSET($CL$2,0,0,ROW()-1,84),ROW()-1,FALSE))</f>
        <v/>
      </c>
      <c r="AX137" t="str">
        <f ca="1">IF(AND(ISNUMBER($AX$348),$B$252=1),$AX$348,HLOOKUP(INDIRECT(ADDRESS(2,COLUMN())),OFFSET($CL$2,0,0,ROW()-1,84),ROW()-1,FALSE))</f>
        <v/>
      </c>
      <c r="AY137">
        <f ca="1">IF(AND(ISNUMBER($AY$348),$B$252=1),$AY$348,HLOOKUP(INDIRECT(ADDRESS(2,COLUMN())),OFFSET($CL$2,0,0,ROW()-1,84),ROW()-1,FALSE))</f>
        <v>6.2637110480000002</v>
      </c>
      <c r="AZ137" t="str">
        <f ca="1">IF(AND(ISNUMBER($AZ$348),$B$252=1),$AZ$348,HLOOKUP(INDIRECT(ADDRESS(2,COLUMN())),OFFSET($CL$2,0,0,ROW()-1,84),ROW()-1,FALSE))</f>
        <v/>
      </c>
      <c r="BA137" t="str">
        <f ca="1">IF(AND(ISNUMBER($BA$348),$B$252=1),$BA$348,HLOOKUP(INDIRECT(ADDRESS(2,COLUMN())),OFFSET($CL$2,0,0,ROW()-1,84),ROW()-1,FALSE))</f>
        <v/>
      </c>
      <c r="BB137">
        <f ca="1">IF(AND(ISNUMBER($BB$348),$B$252=1),$BB$348,HLOOKUP(INDIRECT(ADDRESS(2,COLUMN())),OFFSET($CL$2,0,0,ROW()-1,84),ROW()-1,FALSE))</f>
        <v>6.1783278309999998</v>
      </c>
      <c r="BC137" t="str">
        <f ca="1">IF(AND(ISNUMBER($BC$348),$B$252=1),$BC$348,HLOOKUP(INDIRECT(ADDRESS(2,COLUMN())),OFFSET($CL$2,0,0,ROW()-1,84),ROW()-1,FALSE))</f>
        <v/>
      </c>
      <c r="BD137" t="str">
        <f ca="1">IF(AND(ISNUMBER($BD$348),$B$252=1),$BD$348,HLOOKUP(INDIRECT(ADDRESS(2,COLUMN())),OFFSET($CL$2,0,0,ROW()-1,84),ROW()-1,FALSE))</f>
        <v/>
      </c>
      <c r="BE137">
        <f ca="1">IF(AND(ISNUMBER($BE$348),$B$252=1),$BE$348,HLOOKUP(INDIRECT(ADDRESS(2,COLUMN())),OFFSET($CL$2,0,0,ROW()-1,84),ROW()-1,FALSE))</f>
        <v>5.9112138339999998</v>
      </c>
      <c r="BF137" t="str">
        <f ca="1">IF(AND(ISNUMBER($BF$348),$B$252=1),$BF$348,HLOOKUP(INDIRECT(ADDRESS(2,COLUMN())),OFFSET($CL$2,0,0,ROW()-1,84),ROW()-1,FALSE))</f>
        <v/>
      </c>
      <c r="BG137" t="str">
        <f ca="1">IF(AND(ISNUMBER($BG$348),$B$252=1),$BG$348,HLOOKUP(INDIRECT(ADDRESS(2,COLUMN())),OFFSET($CL$2,0,0,ROW()-1,84),ROW()-1,FALSE))</f>
        <v/>
      </c>
      <c r="BH137">
        <f ca="1">IF(AND(ISNUMBER($BH$348),$B$252=1),$BH$348,HLOOKUP(INDIRECT(ADDRESS(2,COLUMN())),OFFSET($CL$2,0,0,ROW()-1,84),ROW()-1,FALSE))</f>
        <v>5.6102153169999998</v>
      </c>
      <c r="BI137" t="str">
        <f ca="1">IF(AND(ISNUMBER($BI$348),$B$252=1),$BI$348,HLOOKUP(INDIRECT(ADDRESS(2,COLUMN())),OFFSET($CL$2,0,0,ROW()-1,84),ROW()-1,FALSE))</f>
        <v/>
      </c>
      <c r="BJ137" t="str">
        <f ca="1">IF(AND(ISNUMBER($BJ$348),$B$252=1),$BJ$348,HLOOKUP(INDIRECT(ADDRESS(2,COLUMN())),OFFSET($CL$2,0,0,ROW()-1,84),ROW()-1,FALSE))</f>
        <v/>
      </c>
      <c r="BK137">
        <f ca="1">IF(AND(ISNUMBER($BK$348),$B$252=1),$BK$348,HLOOKUP(INDIRECT(ADDRESS(2,COLUMN())),OFFSET($CL$2,0,0,ROW()-1,84),ROW()-1,FALSE))</f>
        <v>5.4192696690000002</v>
      </c>
      <c r="BL137" t="str">
        <f ca="1">IF(AND(ISNUMBER($BL$348),$B$252=1),$BL$348,HLOOKUP(INDIRECT(ADDRESS(2,COLUMN())),OFFSET($CL$2,0,0,ROW()-1,84),ROW()-1,FALSE))</f>
        <v/>
      </c>
      <c r="BM137" t="str">
        <f ca="1">IF(AND(ISNUMBER($BM$348),$B$252=1),$BM$348,HLOOKUP(INDIRECT(ADDRESS(2,COLUMN())),OFFSET($CL$2,0,0,ROW()-1,84),ROW()-1,FALSE))</f>
        <v/>
      </c>
      <c r="BN137">
        <f ca="1">IF(AND(ISNUMBER($BN$348),$B$252=1),$BN$348,HLOOKUP(INDIRECT(ADDRESS(2,COLUMN())),OFFSET($CL$2,0,0,ROW()-1,84),ROW()-1,FALSE))</f>
        <v>5.1426586089999997</v>
      </c>
      <c r="BO137" t="str">
        <f ca="1">IF(AND(ISNUMBER($BO$348),$B$252=1),$BO$348,HLOOKUP(INDIRECT(ADDRESS(2,COLUMN())),OFFSET($CL$2,0,0,ROW()-1,84),ROW()-1,FALSE))</f>
        <v/>
      </c>
      <c r="BP137" t="str">
        <f ca="1">IF(AND(ISNUMBER($BP$348),$B$252=1),$BP$348,HLOOKUP(INDIRECT(ADDRESS(2,COLUMN())),OFFSET($CL$2,0,0,ROW()-1,84),ROW()-1,FALSE))</f>
        <v/>
      </c>
      <c r="BQ137">
        <f ca="1">IF(AND(ISNUMBER($BQ$348),$B$252=1),$BQ$348,HLOOKUP(INDIRECT(ADDRESS(2,COLUMN())),OFFSET($CL$2,0,0,ROW()-1,84),ROW()-1,FALSE))</f>
        <v>5.0543725869999996</v>
      </c>
      <c r="BR137" t="str">
        <f ca="1">IF(AND(ISNUMBER($BR$348),$B$252=1),$BR$348,HLOOKUP(INDIRECT(ADDRESS(2,COLUMN())),OFFSET($CL$2,0,0,ROW()-1,84),ROW()-1,FALSE))</f>
        <v/>
      </c>
      <c r="BS137" t="str">
        <f ca="1">IF(AND(ISNUMBER($BS$348),$B$252=1),$BS$348,HLOOKUP(INDIRECT(ADDRESS(2,COLUMN())),OFFSET($CL$2,0,0,ROW()-1,84),ROW()-1,FALSE))</f>
        <v/>
      </c>
      <c r="BT137">
        <f ca="1">IF(AND(ISNUMBER($BT$348),$B$252=1),$BT$348,HLOOKUP(INDIRECT(ADDRESS(2,COLUMN())),OFFSET($CL$2,0,0,ROW()-1,84),ROW()-1,FALSE))</f>
        <v>5.0487022010000002</v>
      </c>
      <c r="BU137" t="str">
        <f ca="1">IF(AND(ISNUMBER($BU$348),$B$252=1),$BU$348,HLOOKUP(INDIRECT(ADDRESS(2,COLUMN())),OFFSET($CL$2,0,0,ROW()-1,84),ROW()-1,FALSE))</f>
        <v/>
      </c>
      <c r="BV137" t="str">
        <f ca="1">IF(AND(ISNUMBER($BV$348),$B$252=1),$BV$348,HLOOKUP(INDIRECT(ADDRESS(2,COLUMN())),OFFSET($CL$2,0,0,ROW()-1,84),ROW()-1,FALSE))</f>
        <v/>
      </c>
      <c r="BW137">
        <f ca="1">IF(AND(ISNUMBER($BW$348),$B$252=1),$BW$348,HLOOKUP(INDIRECT(ADDRESS(2,COLUMN())),OFFSET($CL$2,0,0,ROW()-1,84),ROW()-1,FALSE))</f>
        <v>4.7852687139999999</v>
      </c>
      <c r="BX137" t="str">
        <f ca="1">IF(AND(ISNUMBER($BX$348),$B$252=1),$BX$348,HLOOKUP(INDIRECT(ADDRESS(2,COLUMN())),OFFSET($CL$2,0,0,ROW()-1,84),ROW()-1,FALSE))</f>
        <v/>
      </c>
      <c r="BY137" t="str">
        <f ca="1">IF(AND(ISNUMBER($BY$348),$B$252=1),$BY$348,HLOOKUP(INDIRECT(ADDRESS(2,COLUMN())),OFFSET($CL$2,0,0,ROW()-1,84),ROW()-1,FALSE))</f>
        <v/>
      </c>
      <c r="BZ137">
        <f ca="1">IF(AND(ISNUMBER($BZ$348),$B$252=1),$BZ$348,HLOOKUP(INDIRECT(ADDRESS(2,COLUMN())),OFFSET($CL$2,0,0,ROW()-1,84),ROW()-1,FALSE))</f>
        <v>4.5859999599999997</v>
      </c>
      <c r="CA137" t="str">
        <f ca="1">IF(AND(ISNUMBER($CA$348),$B$252=1),$CA$348,HLOOKUP(INDIRECT(ADDRESS(2,COLUMN())),OFFSET($CL$2,0,0,ROW()-1,84),ROW()-1,FALSE))</f>
        <v/>
      </c>
      <c r="CB137" t="str">
        <f ca="1">IF(AND(ISNUMBER($CB$348),$B$252=1),$CB$348,HLOOKUP(INDIRECT(ADDRESS(2,COLUMN())),OFFSET($CL$2,0,0,ROW()-1,84),ROW()-1,FALSE))</f>
        <v/>
      </c>
      <c r="CC137">
        <f ca="1">IF(AND(ISNUMBER($CC$348),$B$252=1),$CC$348,HLOOKUP(INDIRECT(ADDRESS(2,COLUMN())),OFFSET($CL$2,0,0,ROW()-1,84),ROW()-1,FALSE))</f>
        <v>4.3879268409999996</v>
      </c>
      <c r="CD137" t="str">
        <f ca="1">IF(AND(ISNUMBER($CD$348),$B$252=1),$CD$348,HLOOKUP(INDIRECT(ADDRESS(2,COLUMN())),OFFSET($CL$2,0,0,ROW()-1,84),ROW()-1,FALSE))</f>
        <v/>
      </c>
      <c r="CE137" t="str">
        <f ca="1">IF(AND(ISNUMBER($CE$348),$B$252=1),$CE$348,HLOOKUP(INDIRECT(ADDRESS(2,COLUMN())),OFFSET($CL$2,0,0,ROW()-1,84),ROW()-1,FALSE))</f>
        <v/>
      </c>
      <c r="CF137">
        <f ca="1">IF(AND(ISNUMBER($CF$348),$B$252=1),$CF$348,HLOOKUP(INDIRECT(ADDRESS(2,COLUMN())),OFFSET($CL$2,0,0,ROW()-1,84),ROW()-1,FALSE))</f>
        <v>4.1328164669999996</v>
      </c>
      <c r="CG137" t="str">
        <f ca="1">IF(AND(ISNUMBER($CG$348),$B$252=1),$CG$348,HLOOKUP(INDIRECT(ADDRESS(2,COLUMN())),OFFSET($CL$2,0,0,ROW()-1,84),ROW()-1,FALSE))</f>
        <v/>
      </c>
      <c r="CH137" t="str">
        <f ca="1">IF(AND(ISNUMBER($CH$348),$B$252=1),$CH$348,HLOOKUP(INDIRECT(ADDRESS(2,COLUMN())),OFFSET($CL$2,0,0,ROW()-1,84),ROW()-1,FALSE))</f>
        <v/>
      </c>
      <c r="CI137">
        <f ca="1">IF(AND(ISNUMBER($CI$348),$B$252=1),$CI$348,HLOOKUP(INDIRECT(ADDRESS(2,COLUMN())),OFFSET($CL$2,0,0,ROW()-1,84),ROW()-1,FALSE))</f>
        <v>3.9515032059999999</v>
      </c>
      <c r="CJ137" t="str">
        <f ca="1">IF(AND(ISNUMBER($CJ$348),$B$252=1),$CJ$348,HLOOKUP(INDIRECT(ADDRESS(2,COLUMN())),OFFSET($CL$2,0,0,ROW()-1,84),ROW()-1,FALSE))</f>
        <v/>
      </c>
      <c r="CK137" t="str">
        <f ca="1">IF(AND(ISNUMBER($CK$348),$B$252=1),$CK$348,HLOOKUP(INDIRECT(ADDRESS(2,COLUMN())),OFFSET($CL$2,0,0,ROW()-1,84),ROW()-1,FALSE))</f>
        <v/>
      </c>
      <c r="CL137" t="str">
        <f>""</f>
        <v/>
      </c>
      <c r="CM137" t="str">
        <f>""</f>
        <v/>
      </c>
      <c r="CN137" t="str">
        <f>""</f>
        <v/>
      </c>
      <c r="CO137">
        <f>8.277614072</f>
        <v>8.2776140720000004</v>
      </c>
      <c r="CP137" t="str">
        <f>""</f>
        <v/>
      </c>
      <c r="CQ137" t="str">
        <f>""</f>
        <v/>
      </c>
      <c r="CR137">
        <f>8.155111556</f>
        <v>8.1551115559999996</v>
      </c>
      <c r="CS137" t="str">
        <f>""</f>
        <v/>
      </c>
      <c r="CT137" t="str">
        <f>""</f>
        <v/>
      </c>
      <c r="CU137">
        <f>8.040684313</f>
        <v>8.0406843129999999</v>
      </c>
      <c r="CV137" t="str">
        <f>""</f>
        <v/>
      </c>
      <c r="CW137" t="str">
        <f>""</f>
        <v/>
      </c>
      <c r="CX137">
        <f>7.981625365</f>
        <v>7.9816253650000002</v>
      </c>
      <c r="CY137" t="str">
        <f>""</f>
        <v/>
      </c>
      <c r="CZ137" t="str">
        <f>""</f>
        <v/>
      </c>
      <c r="DA137">
        <f>7.857672102</f>
        <v>7.8576721020000004</v>
      </c>
      <c r="DB137" t="str">
        <f>""</f>
        <v/>
      </c>
      <c r="DC137" t="str">
        <f>""</f>
        <v/>
      </c>
      <c r="DD137">
        <f>7.719664759</f>
        <v>7.7196647589999996</v>
      </c>
      <c r="DE137" t="str">
        <f>""</f>
        <v/>
      </c>
      <c r="DF137" t="str">
        <f>""</f>
        <v/>
      </c>
      <c r="DG137">
        <f>7.578151508</f>
        <v>7.5781515080000004</v>
      </c>
      <c r="DH137" t="str">
        <f>""</f>
        <v/>
      </c>
      <c r="DI137" t="str">
        <f>""</f>
        <v/>
      </c>
      <c r="DJ137">
        <f>7.423915922</f>
        <v>7.4239159219999999</v>
      </c>
      <c r="DK137" t="str">
        <f>""</f>
        <v/>
      </c>
      <c r="DL137" t="str">
        <f>""</f>
        <v/>
      </c>
      <c r="DM137">
        <f>7.211200061</f>
        <v>7.2112000610000004</v>
      </c>
      <c r="DN137" t="str">
        <f>""</f>
        <v/>
      </c>
      <c r="DO137" t="str">
        <f>""</f>
        <v/>
      </c>
      <c r="DP137">
        <f>6.951214043</f>
        <v>6.9512140430000002</v>
      </c>
      <c r="DQ137" t="str">
        <f>""</f>
        <v/>
      </c>
      <c r="DR137" t="str">
        <f>""</f>
        <v/>
      </c>
      <c r="DS137">
        <f>6.761967619</f>
        <v>6.761967619</v>
      </c>
      <c r="DT137" t="str">
        <f>""</f>
        <v/>
      </c>
      <c r="DU137" t="str">
        <f>""</f>
        <v/>
      </c>
      <c r="DV137">
        <f>6.614327564</f>
        <v>6.6143275639999999</v>
      </c>
      <c r="DW137" t="str">
        <f>""</f>
        <v/>
      </c>
      <c r="DX137" t="str">
        <f>""</f>
        <v/>
      </c>
      <c r="DY137">
        <f>6.501938697</f>
        <v>6.5019386969999999</v>
      </c>
      <c r="DZ137" t="str">
        <f>""</f>
        <v/>
      </c>
      <c r="EA137" t="str">
        <f>""</f>
        <v/>
      </c>
      <c r="EB137">
        <f>6.364221218</f>
        <v>6.364221218</v>
      </c>
      <c r="EC137" t="str">
        <f>""</f>
        <v/>
      </c>
      <c r="ED137" t="str">
        <f>""</f>
        <v/>
      </c>
      <c r="EE137">
        <f>6.263711048</f>
        <v>6.2637110480000002</v>
      </c>
      <c r="EF137" t="str">
        <f>""</f>
        <v/>
      </c>
      <c r="EG137" t="str">
        <f>""</f>
        <v/>
      </c>
      <c r="EH137">
        <f>6.178327831</f>
        <v>6.1783278309999998</v>
      </c>
      <c r="EI137" t="str">
        <f>""</f>
        <v/>
      </c>
      <c r="EJ137" t="str">
        <f>""</f>
        <v/>
      </c>
      <c r="EK137">
        <f>5.911213834</f>
        <v>5.9112138339999998</v>
      </c>
      <c r="EL137" t="str">
        <f>""</f>
        <v/>
      </c>
      <c r="EM137" t="str">
        <f>""</f>
        <v/>
      </c>
      <c r="EN137">
        <f>5.610215317</f>
        <v>5.6102153169999998</v>
      </c>
      <c r="EO137" t="str">
        <f>""</f>
        <v/>
      </c>
      <c r="EP137" t="str">
        <f>""</f>
        <v/>
      </c>
      <c r="EQ137">
        <f>5.419269669</f>
        <v>5.4192696690000002</v>
      </c>
      <c r="ER137" t="str">
        <f>""</f>
        <v/>
      </c>
      <c r="ES137" t="str">
        <f>""</f>
        <v/>
      </c>
      <c r="ET137">
        <f>5.142658609</f>
        <v>5.1426586089999997</v>
      </c>
      <c r="EU137" t="str">
        <f>""</f>
        <v/>
      </c>
      <c r="EV137" t="str">
        <f>""</f>
        <v/>
      </c>
      <c r="EW137">
        <f>5.054372587</f>
        <v>5.0543725869999996</v>
      </c>
      <c r="EX137" t="str">
        <f>""</f>
        <v/>
      </c>
      <c r="EY137" t="str">
        <f>""</f>
        <v/>
      </c>
      <c r="EZ137">
        <f>5.048702201</f>
        <v>5.0487022010000002</v>
      </c>
      <c r="FA137" t="str">
        <f>""</f>
        <v/>
      </c>
      <c r="FB137" t="str">
        <f>""</f>
        <v/>
      </c>
      <c r="FC137">
        <f>4.785268714</f>
        <v>4.7852687139999999</v>
      </c>
      <c r="FD137" t="str">
        <f>""</f>
        <v/>
      </c>
      <c r="FE137" t="str">
        <f>""</f>
        <v/>
      </c>
      <c r="FF137">
        <f>4.58599996</f>
        <v>4.5859999599999997</v>
      </c>
      <c r="FG137" t="str">
        <f>""</f>
        <v/>
      </c>
      <c r="FH137" t="str">
        <f>""</f>
        <v/>
      </c>
      <c r="FI137">
        <f>4.387926841</f>
        <v>4.3879268409999996</v>
      </c>
      <c r="FJ137" t="str">
        <f>""</f>
        <v/>
      </c>
      <c r="FK137" t="str">
        <f>""</f>
        <v/>
      </c>
      <c r="FL137">
        <f>4.132816467</f>
        <v>4.1328164669999996</v>
      </c>
      <c r="FM137" t="str">
        <f>""</f>
        <v/>
      </c>
      <c r="FN137" t="str">
        <f>""</f>
        <v/>
      </c>
      <c r="FO137">
        <f>3.951503206</f>
        <v>3.9515032059999999</v>
      </c>
      <c r="FP137" t="str">
        <f>""</f>
        <v/>
      </c>
      <c r="FQ137" t="str">
        <f>""</f>
        <v/>
      </c>
    </row>
    <row r="138" spans="1:173">
      <c r="A138" t="str">
        <f>"    Camden 房地产信托公司"</f>
        <v xml:space="preserve">    Camden 房地产信托公司</v>
      </c>
      <c r="B138" t="str">
        <f>"CPT US Equity"</f>
        <v>CPT US Equity</v>
      </c>
      <c r="C138" t="str">
        <f t="shared" si="42"/>
        <v>F0892</v>
      </c>
      <c r="D138" t="str">
        <f t="shared" si="43"/>
        <v>TRAILING_12_MONTHS_FAD_PS</v>
      </c>
      <c r="E138" t="str">
        <f t="shared" si="44"/>
        <v>动态</v>
      </c>
      <c r="F138" t="str">
        <f ca="1">IF(AND(ISNUMBER($F$349),$B$252=1),$F$349,HLOOKUP(INDIRECT(ADDRESS(2,COLUMN())),OFFSET($CL$2,0,0,ROW()-1,84),ROW()-1,FALSE))</f>
        <v/>
      </c>
      <c r="G138" t="str">
        <f ca="1">IF(AND(ISNUMBER($G$349),$B$252=1),$G$349,HLOOKUP(INDIRECT(ADDRESS(2,COLUMN())),OFFSET($CL$2,0,0,ROW()-1,84),ROW()-1,FALSE))</f>
        <v/>
      </c>
      <c r="H138" t="str">
        <f ca="1">IF(AND(ISNUMBER($H$349),$B$252=1),$H$349,HLOOKUP(INDIRECT(ADDRESS(2,COLUMN())),OFFSET($CL$2,0,0,ROW()-1,84),ROW()-1,FALSE))</f>
        <v/>
      </c>
      <c r="I138">
        <f ca="1">IF(AND(ISNUMBER($I$349),$B$252=1),$I$349,HLOOKUP(INDIRECT(ADDRESS(2,COLUMN())),OFFSET($CL$2,0,0,ROW()-1,84),ROW()-1,FALSE))</f>
        <v>3.839696698</v>
      </c>
      <c r="J138" t="str">
        <f ca="1">IF(AND(ISNUMBER($J$349),$B$252=1),$J$349,HLOOKUP(INDIRECT(ADDRESS(2,COLUMN())),OFFSET($CL$2,0,0,ROW()-1,84),ROW()-1,FALSE))</f>
        <v/>
      </c>
      <c r="K138" t="str">
        <f ca="1">IF(AND(ISNUMBER($K$349),$B$252=1),$K$349,HLOOKUP(INDIRECT(ADDRESS(2,COLUMN())),OFFSET($CL$2,0,0,ROW()-1,84),ROW()-1,FALSE))</f>
        <v/>
      </c>
      <c r="L138">
        <f ca="1">IF(AND(ISNUMBER($L$349),$B$252=1),$L$349,HLOOKUP(INDIRECT(ADDRESS(2,COLUMN())),OFFSET($CL$2,0,0,ROW()-1,84),ROW()-1,FALSE))</f>
        <v>3.8534821500000001</v>
      </c>
      <c r="M138" t="str">
        <f ca="1">IF(AND(ISNUMBER($M$349),$B$252=1),$M$349,HLOOKUP(INDIRECT(ADDRESS(2,COLUMN())),OFFSET($CL$2,0,0,ROW()-1,84),ROW()-1,FALSE))</f>
        <v/>
      </c>
      <c r="N138" t="str">
        <f ca="1">IF(AND(ISNUMBER($N$349),$B$252=1),$N$349,HLOOKUP(INDIRECT(ADDRESS(2,COLUMN())),OFFSET($CL$2,0,0,ROW()-1,84),ROW()-1,FALSE))</f>
        <v/>
      </c>
      <c r="O138">
        <f ca="1">IF(AND(ISNUMBER($O$349),$B$252=1),$O$349,HLOOKUP(INDIRECT(ADDRESS(2,COLUMN())),OFFSET($CL$2,0,0,ROW()-1,84),ROW()-1,FALSE))</f>
        <v>3.858035369</v>
      </c>
      <c r="P138" t="str">
        <f ca="1">IF(AND(ISNUMBER($P$349),$B$252=1),$P$349,HLOOKUP(INDIRECT(ADDRESS(2,COLUMN())),OFFSET($CL$2,0,0,ROW()-1,84),ROW()-1,FALSE))</f>
        <v/>
      </c>
      <c r="Q138" t="str">
        <f ca="1">IF(AND(ISNUMBER($Q$349),$B$252=1),$Q$349,HLOOKUP(INDIRECT(ADDRESS(2,COLUMN())),OFFSET($CL$2,0,0,ROW()-1,84),ROW()-1,FALSE))</f>
        <v/>
      </c>
      <c r="R138">
        <f ca="1">IF(AND(ISNUMBER($R$349),$B$252=1),$R$349,HLOOKUP(INDIRECT(ADDRESS(2,COLUMN())),OFFSET($CL$2,0,0,ROW()-1,84),ROW()-1,FALSE))</f>
        <v>3.8761319369999998</v>
      </c>
      <c r="S138" t="str">
        <f ca="1">IF(AND(ISNUMBER($S$349),$B$252=1),$S$349,HLOOKUP(INDIRECT(ADDRESS(2,COLUMN())),OFFSET($CL$2,0,0,ROW()-1,84),ROW()-1,FALSE))</f>
        <v/>
      </c>
      <c r="T138" t="str">
        <f ca="1">IF(AND(ISNUMBER($T$349),$B$252=1),$T$349,HLOOKUP(INDIRECT(ADDRESS(2,COLUMN())),OFFSET($CL$2,0,0,ROW()-1,84),ROW()-1,FALSE))</f>
        <v/>
      </c>
      <c r="U138">
        <f ca="1">IF(AND(ISNUMBER($U$349),$B$252=1),$U$349,HLOOKUP(INDIRECT(ADDRESS(2,COLUMN())),OFFSET($CL$2,0,0,ROW()-1,84),ROW()-1,FALSE))</f>
        <v>3.991692284</v>
      </c>
      <c r="V138" t="str">
        <f ca="1">IF(AND(ISNUMBER($V$349),$B$252=1),$V$349,HLOOKUP(INDIRECT(ADDRESS(2,COLUMN())),OFFSET($CL$2,0,0,ROW()-1,84),ROW()-1,FALSE))</f>
        <v/>
      </c>
      <c r="W138" t="str">
        <f ca="1">IF(AND(ISNUMBER($W$349),$B$252=1),$W$349,HLOOKUP(INDIRECT(ADDRESS(2,COLUMN())),OFFSET($CL$2,0,0,ROW()-1,84),ROW()-1,FALSE))</f>
        <v/>
      </c>
      <c r="X138">
        <f ca="1">IF(AND(ISNUMBER($X$349),$B$252=1),$X$349,HLOOKUP(INDIRECT(ADDRESS(2,COLUMN())),OFFSET($CL$2,0,0,ROW()-1,84),ROW()-1,FALSE))</f>
        <v>4.0190079140000003</v>
      </c>
      <c r="Y138" t="str">
        <f ca="1">IF(AND(ISNUMBER($Y$349),$B$252=1),$Y$349,HLOOKUP(INDIRECT(ADDRESS(2,COLUMN())),OFFSET($CL$2,0,0,ROW()-1,84),ROW()-1,FALSE))</f>
        <v/>
      </c>
      <c r="Z138" t="str">
        <f ca="1">IF(AND(ISNUMBER($Z$349),$B$252=1),$Z$349,HLOOKUP(INDIRECT(ADDRESS(2,COLUMN())),OFFSET($CL$2,0,0,ROW()-1,84),ROW()-1,FALSE))</f>
        <v/>
      </c>
      <c r="AA138">
        <f ca="1">IF(AND(ISNUMBER($AA$349),$B$252=1),$AA$349,HLOOKUP(INDIRECT(ADDRESS(2,COLUMN())),OFFSET($CL$2,0,0,ROW()-1,84),ROW()-1,FALSE))</f>
        <v>4.0364578160000004</v>
      </c>
      <c r="AB138" t="str">
        <f ca="1">IF(AND(ISNUMBER($AB$349),$B$252=1),$AB$349,HLOOKUP(INDIRECT(ADDRESS(2,COLUMN())),OFFSET($CL$2,0,0,ROW()-1,84),ROW()-1,FALSE))</f>
        <v/>
      </c>
      <c r="AC138" t="str">
        <f ca="1">IF(AND(ISNUMBER($AC$349),$B$252=1),$AC$349,HLOOKUP(INDIRECT(ADDRESS(2,COLUMN())),OFFSET($CL$2,0,0,ROW()-1,84),ROW()-1,FALSE))</f>
        <v/>
      </c>
      <c r="AD138">
        <f ca="1">IF(AND(ISNUMBER($AD$349),$B$252=1),$AD$349,HLOOKUP(INDIRECT(ADDRESS(2,COLUMN())),OFFSET($CL$2,0,0,ROW()-1,84),ROW()-1,FALSE))</f>
        <v>3.971286401</v>
      </c>
      <c r="AE138" t="str">
        <f ca="1">IF(AND(ISNUMBER($AE$349),$B$252=1),$AE$349,HLOOKUP(INDIRECT(ADDRESS(2,COLUMN())),OFFSET($CL$2,0,0,ROW()-1,84),ROW()-1,FALSE))</f>
        <v/>
      </c>
      <c r="AF138" t="str">
        <f ca="1">IF(AND(ISNUMBER($AF$349),$B$252=1),$AF$349,HLOOKUP(INDIRECT(ADDRESS(2,COLUMN())),OFFSET($CL$2,0,0,ROW()-1,84),ROW()-1,FALSE))</f>
        <v/>
      </c>
      <c r="AG138">
        <f ca="1">IF(AND(ISNUMBER($AG$349),$B$252=1),$AG$349,HLOOKUP(INDIRECT(ADDRESS(2,COLUMN())),OFFSET($CL$2,0,0,ROW()-1,84),ROW()-1,FALSE))</f>
        <v>3.869615858</v>
      </c>
      <c r="AH138" t="str">
        <f ca="1">IF(AND(ISNUMBER($AH$349),$B$252=1),$AH$349,HLOOKUP(INDIRECT(ADDRESS(2,COLUMN())),OFFSET($CL$2,0,0,ROW()-1,84),ROW()-1,FALSE))</f>
        <v/>
      </c>
      <c r="AI138" t="str">
        <f ca="1">IF(AND(ISNUMBER($AI$349),$B$252=1),$AI$349,HLOOKUP(INDIRECT(ADDRESS(2,COLUMN())),OFFSET($CL$2,0,0,ROW()-1,84),ROW()-1,FALSE))</f>
        <v/>
      </c>
      <c r="AJ138">
        <f ca="1">IF(AND(ISNUMBER($AJ$349),$B$252=1),$AJ$349,HLOOKUP(INDIRECT(ADDRESS(2,COLUMN())),OFFSET($CL$2,0,0,ROW()-1,84),ROW()-1,FALSE))</f>
        <v>3.8922008589999999</v>
      </c>
      <c r="AK138" t="str">
        <f ca="1">IF(AND(ISNUMBER($AK$349),$B$252=1),$AK$349,HLOOKUP(INDIRECT(ADDRESS(2,COLUMN())),OFFSET($CL$2,0,0,ROW()-1,84),ROW()-1,FALSE))</f>
        <v/>
      </c>
      <c r="AL138" t="str">
        <f ca="1">IF(AND(ISNUMBER($AL$349),$B$252=1),$AL$349,HLOOKUP(INDIRECT(ADDRESS(2,COLUMN())),OFFSET($CL$2,0,0,ROW()-1,84),ROW()-1,FALSE))</f>
        <v/>
      </c>
      <c r="AM138">
        <f ca="1">IF(AND(ISNUMBER($AM$349),$B$252=1),$AM$349,HLOOKUP(INDIRECT(ADDRESS(2,COLUMN())),OFFSET($CL$2,0,0,ROW()-1,84),ROW()-1,FALSE))</f>
        <v>3.9382964770000002</v>
      </c>
      <c r="AN138" t="str">
        <f ca="1">IF(AND(ISNUMBER($AN$349),$B$252=1),$AN$349,HLOOKUP(INDIRECT(ADDRESS(2,COLUMN())),OFFSET($CL$2,0,0,ROW()-1,84),ROW()-1,FALSE))</f>
        <v/>
      </c>
      <c r="AO138" t="str">
        <f ca="1">IF(AND(ISNUMBER($AO$349),$B$252=1),$AO$349,HLOOKUP(INDIRECT(ADDRESS(2,COLUMN())),OFFSET($CL$2,0,0,ROW()-1,84),ROW()-1,FALSE))</f>
        <v/>
      </c>
      <c r="AP138">
        <f ca="1">IF(AND(ISNUMBER($AP$349),$B$252=1),$AP$349,HLOOKUP(INDIRECT(ADDRESS(2,COLUMN())),OFFSET($CL$2,0,0,ROW()-1,84),ROW()-1,FALSE))</f>
        <v>3.9887886730000002</v>
      </c>
      <c r="AQ138" t="str">
        <f ca="1">IF(AND(ISNUMBER($AQ$349),$B$252=1),$AQ$349,HLOOKUP(INDIRECT(ADDRESS(2,COLUMN())),OFFSET($CL$2,0,0,ROW()-1,84),ROW()-1,FALSE))</f>
        <v/>
      </c>
      <c r="AR138" t="str">
        <f ca="1">IF(AND(ISNUMBER($AR$349),$B$252=1),$AR$349,HLOOKUP(INDIRECT(ADDRESS(2,COLUMN())),OFFSET($CL$2,0,0,ROW()-1,84),ROW()-1,FALSE))</f>
        <v/>
      </c>
      <c r="AS138">
        <f ca="1">IF(AND(ISNUMBER($AS$349),$B$252=1),$AS$349,HLOOKUP(INDIRECT(ADDRESS(2,COLUMN())),OFFSET($CL$2,0,0,ROW()-1,84),ROW()-1,FALSE))</f>
        <v>3.9719904189999999</v>
      </c>
      <c r="AT138" t="str">
        <f ca="1">IF(AND(ISNUMBER($AT$349),$B$252=1),$AT$349,HLOOKUP(INDIRECT(ADDRESS(2,COLUMN())),OFFSET($CL$2,0,0,ROW()-1,84),ROW()-1,FALSE))</f>
        <v/>
      </c>
      <c r="AU138" t="str">
        <f ca="1">IF(AND(ISNUMBER($AU$349),$B$252=1),$AU$349,HLOOKUP(INDIRECT(ADDRESS(2,COLUMN())),OFFSET($CL$2,0,0,ROW()-1,84),ROW()-1,FALSE))</f>
        <v/>
      </c>
      <c r="AV138">
        <f ca="1">IF(AND(ISNUMBER($AV$349),$B$252=1),$AV$349,HLOOKUP(INDIRECT(ADDRESS(2,COLUMN())),OFFSET($CL$2,0,0,ROW()-1,84),ROW()-1,FALSE))</f>
        <v>3.9477602310000002</v>
      </c>
      <c r="AW138" t="str">
        <f ca="1">IF(AND(ISNUMBER($AW$349),$B$252=1),$AW$349,HLOOKUP(INDIRECT(ADDRESS(2,COLUMN())),OFFSET($CL$2,0,0,ROW()-1,84),ROW()-1,FALSE))</f>
        <v/>
      </c>
      <c r="AX138" t="str">
        <f ca="1">IF(AND(ISNUMBER($AX$349),$B$252=1),$AX$349,HLOOKUP(INDIRECT(ADDRESS(2,COLUMN())),OFFSET($CL$2,0,0,ROW()-1,84),ROW()-1,FALSE))</f>
        <v/>
      </c>
      <c r="AY138">
        <f ca="1">IF(AND(ISNUMBER($AY$349),$B$252=1),$AY$349,HLOOKUP(INDIRECT(ADDRESS(2,COLUMN())),OFFSET($CL$2,0,0,ROW()-1,84),ROW()-1,FALSE))</f>
        <v>3.9193148519999998</v>
      </c>
      <c r="AZ138" t="str">
        <f ca="1">IF(AND(ISNUMBER($AZ$349),$B$252=1),$AZ$349,HLOOKUP(INDIRECT(ADDRESS(2,COLUMN())),OFFSET($CL$2,0,0,ROW()-1,84),ROW()-1,FALSE))</f>
        <v/>
      </c>
      <c r="BA138" t="str">
        <f ca="1">IF(AND(ISNUMBER($BA$349),$B$252=1),$BA$349,HLOOKUP(INDIRECT(ADDRESS(2,COLUMN())),OFFSET($CL$2,0,0,ROW()-1,84),ROW()-1,FALSE))</f>
        <v/>
      </c>
      <c r="BB138">
        <f ca="1">IF(AND(ISNUMBER($BB$349),$B$252=1),$BB$349,HLOOKUP(INDIRECT(ADDRESS(2,COLUMN())),OFFSET($CL$2,0,0,ROW()-1,84),ROW()-1,FALSE))</f>
        <v>3.8933638629999998</v>
      </c>
      <c r="BC138" t="str">
        <f ca="1">IF(AND(ISNUMBER($BC$349),$B$252=1),$BC$349,HLOOKUP(INDIRECT(ADDRESS(2,COLUMN())),OFFSET($CL$2,0,0,ROW()-1,84),ROW()-1,FALSE))</f>
        <v/>
      </c>
      <c r="BD138" t="str">
        <f ca="1">IF(AND(ISNUMBER($BD$349),$B$252=1),$BD$349,HLOOKUP(INDIRECT(ADDRESS(2,COLUMN())),OFFSET($CL$2,0,0,ROW()-1,84),ROW()-1,FALSE))</f>
        <v/>
      </c>
      <c r="BE138">
        <f ca="1">IF(AND(ISNUMBER($BE$349),$B$252=1),$BE$349,HLOOKUP(INDIRECT(ADDRESS(2,COLUMN())),OFFSET($CL$2,0,0,ROW()-1,84),ROW()-1,FALSE))</f>
        <v>3.803553398</v>
      </c>
      <c r="BF138" t="str">
        <f ca="1">IF(AND(ISNUMBER($BF$349),$B$252=1),$BF$349,HLOOKUP(INDIRECT(ADDRESS(2,COLUMN())),OFFSET($CL$2,0,0,ROW()-1,84),ROW()-1,FALSE))</f>
        <v/>
      </c>
      <c r="BG138" t="str">
        <f ca="1">IF(AND(ISNUMBER($BG$349),$B$252=1),$BG$349,HLOOKUP(INDIRECT(ADDRESS(2,COLUMN())),OFFSET($CL$2,0,0,ROW()-1,84),ROW()-1,FALSE))</f>
        <v/>
      </c>
      <c r="BH138">
        <f ca="1">IF(AND(ISNUMBER($BH$349),$B$252=1),$BH$349,HLOOKUP(INDIRECT(ADDRESS(2,COLUMN())),OFFSET($CL$2,0,0,ROW()-1,84),ROW()-1,FALSE))</f>
        <v>3.6868367819999999</v>
      </c>
      <c r="BI138" t="str">
        <f ca="1">IF(AND(ISNUMBER($BI$349),$B$252=1),$BI$349,HLOOKUP(INDIRECT(ADDRESS(2,COLUMN())),OFFSET($CL$2,0,0,ROW()-1,84),ROW()-1,FALSE))</f>
        <v/>
      </c>
      <c r="BJ138" t="str">
        <f ca="1">IF(AND(ISNUMBER($BJ$349),$B$252=1),$BJ$349,HLOOKUP(INDIRECT(ADDRESS(2,COLUMN())),OFFSET($CL$2,0,0,ROW()-1,84),ROW()-1,FALSE))</f>
        <v/>
      </c>
      <c r="BK138">
        <f ca="1">IF(AND(ISNUMBER($BK$349),$B$252=1),$BK$349,HLOOKUP(INDIRECT(ADDRESS(2,COLUMN())),OFFSET($CL$2,0,0,ROW()-1,84),ROW()-1,FALSE))</f>
        <v>3.559221881</v>
      </c>
      <c r="BL138" t="str">
        <f ca="1">IF(AND(ISNUMBER($BL$349),$B$252=1),$BL$349,HLOOKUP(INDIRECT(ADDRESS(2,COLUMN())),OFFSET($CL$2,0,0,ROW()-1,84),ROW()-1,FALSE))</f>
        <v/>
      </c>
      <c r="BM138" t="str">
        <f ca="1">IF(AND(ISNUMBER($BM$349),$B$252=1),$BM$349,HLOOKUP(INDIRECT(ADDRESS(2,COLUMN())),OFFSET($CL$2,0,0,ROW()-1,84),ROW()-1,FALSE))</f>
        <v/>
      </c>
      <c r="BN138">
        <f ca="1">IF(AND(ISNUMBER($BN$349),$B$252=1),$BN$349,HLOOKUP(INDIRECT(ADDRESS(2,COLUMN())),OFFSET($CL$2,0,0,ROW()-1,84),ROW()-1,FALSE))</f>
        <v>3.4204791399999999</v>
      </c>
      <c r="BO138" t="str">
        <f ca="1">IF(AND(ISNUMBER($BO$349),$B$252=1),$BO$349,HLOOKUP(INDIRECT(ADDRESS(2,COLUMN())),OFFSET($CL$2,0,0,ROW()-1,84),ROW()-1,FALSE))</f>
        <v/>
      </c>
      <c r="BP138" t="str">
        <f ca="1">IF(AND(ISNUMBER($BP$349),$B$252=1),$BP$349,HLOOKUP(INDIRECT(ADDRESS(2,COLUMN())),OFFSET($CL$2,0,0,ROW()-1,84),ROW()-1,FALSE))</f>
        <v/>
      </c>
      <c r="BQ138">
        <f ca="1">IF(AND(ISNUMBER($BQ$349),$B$252=1),$BQ$349,HLOOKUP(INDIRECT(ADDRESS(2,COLUMN())),OFFSET($CL$2,0,0,ROW()-1,84),ROW()-1,FALSE))</f>
        <v>3.2742339559999998</v>
      </c>
      <c r="BR138" t="str">
        <f ca="1">IF(AND(ISNUMBER($BR$349),$B$252=1),$BR$349,HLOOKUP(INDIRECT(ADDRESS(2,COLUMN())),OFFSET($CL$2,0,0,ROW()-1,84),ROW()-1,FALSE))</f>
        <v/>
      </c>
      <c r="BS138" t="str">
        <f ca="1">IF(AND(ISNUMBER($BS$349),$B$252=1),$BS$349,HLOOKUP(INDIRECT(ADDRESS(2,COLUMN())),OFFSET($CL$2,0,0,ROW()-1,84),ROW()-1,FALSE))</f>
        <v/>
      </c>
      <c r="BT138">
        <f ca="1">IF(AND(ISNUMBER($BT$349),$B$252=1),$BT$349,HLOOKUP(INDIRECT(ADDRESS(2,COLUMN())),OFFSET($CL$2,0,0,ROW()-1,84),ROW()-1,FALSE))</f>
        <v>3.134923423</v>
      </c>
      <c r="BU138" t="str">
        <f ca="1">IF(AND(ISNUMBER($BU$349),$B$252=1),$BU$349,HLOOKUP(INDIRECT(ADDRESS(2,COLUMN())),OFFSET($CL$2,0,0,ROW()-1,84),ROW()-1,FALSE))</f>
        <v/>
      </c>
      <c r="BV138" t="str">
        <f ca="1">IF(AND(ISNUMBER($BV$349),$B$252=1),$BV$349,HLOOKUP(INDIRECT(ADDRESS(2,COLUMN())),OFFSET($CL$2,0,0,ROW()-1,84),ROW()-1,FALSE))</f>
        <v/>
      </c>
      <c r="BW138">
        <f ca="1">IF(AND(ISNUMBER($BW$349),$B$252=1),$BW$349,HLOOKUP(INDIRECT(ADDRESS(2,COLUMN())),OFFSET($CL$2,0,0,ROW()-1,84),ROW()-1,FALSE))</f>
        <v>2.967884695</v>
      </c>
      <c r="BX138" t="str">
        <f ca="1">IF(AND(ISNUMBER($BX$349),$B$252=1),$BX$349,HLOOKUP(INDIRECT(ADDRESS(2,COLUMN())),OFFSET($CL$2,0,0,ROW()-1,84),ROW()-1,FALSE))</f>
        <v/>
      </c>
      <c r="BY138" t="str">
        <f ca="1">IF(AND(ISNUMBER($BY$349),$B$252=1),$BY$349,HLOOKUP(INDIRECT(ADDRESS(2,COLUMN())),OFFSET($CL$2,0,0,ROW()-1,84),ROW()-1,FALSE))</f>
        <v/>
      </c>
      <c r="BZ138">
        <f ca="1">IF(AND(ISNUMBER($BZ$349),$B$252=1),$BZ$349,HLOOKUP(INDIRECT(ADDRESS(2,COLUMN())),OFFSET($CL$2,0,0,ROW()-1,84),ROW()-1,FALSE))</f>
        <v>2.4725883569999998</v>
      </c>
      <c r="CA138" t="str">
        <f ca="1">IF(AND(ISNUMBER($CA$349),$B$252=1),$CA$349,HLOOKUP(INDIRECT(ADDRESS(2,COLUMN())),OFFSET($CL$2,0,0,ROW()-1,84),ROW()-1,FALSE))</f>
        <v/>
      </c>
      <c r="CB138" t="str">
        <f ca="1">IF(AND(ISNUMBER($CB$349),$B$252=1),$CB$349,HLOOKUP(INDIRECT(ADDRESS(2,COLUMN())),OFFSET($CL$2,0,0,ROW()-1,84),ROW()-1,FALSE))</f>
        <v/>
      </c>
      <c r="CC138">
        <f ca="1">IF(AND(ISNUMBER($CC$349),$B$252=1),$CC$349,HLOOKUP(INDIRECT(ADDRESS(2,COLUMN())),OFFSET($CL$2,0,0,ROW()-1,84),ROW()-1,FALSE))</f>
        <v>2.3562943029999999</v>
      </c>
      <c r="CD138" t="str">
        <f ca="1">IF(AND(ISNUMBER($CD$349),$B$252=1),$CD$349,HLOOKUP(INDIRECT(ADDRESS(2,COLUMN())),OFFSET($CL$2,0,0,ROW()-1,84),ROW()-1,FALSE))</f>
        <v/>
      </c>
      <c r="CE138" t="str">
        <f ca="1">IF(AND(ISNUMBER($CE$349),$B$252=1),$CE$349,HLOOKUP(INDIRECT(ADDRESS(2,COLUMN())),OFFSET($CL$2,0,0,ROW()-1,84),ROW()-1,FALSE))</f>
        <v/>
      </c>
      <c r="CF138">
        <f ca="1">IF(AND(ISNUMBER($CF$349),$B$252=1),$CF$349,HLOOKUP(INDIRECT(ADDRESS(2,COLUMN())),OFFSET($CL$2,0,0,ROW()-1,84),ROW()-1,FALSE))</f>
        <v>2.2608122549999998</v>
      </c>
      <c r="CG138" t="str">
        <f ca="1">IF(AND(ISNUMBER($CG$349),$B$252=1),$CG$349,HLOOKUP(INDIRECT(ADDRESS(2,COLUMN())),OFFSET($CL$2,0,0,ROW()-1,84),ROW()-1,FALSE))</f>
        <v/>
      </c>
      <c r="CH138" t="str">
        <f ca="1">IF(AND(ISNUMBER($CH$349),$B$252=1),$CH$349,HLOOKUP(INDIRECT(ADDRESS(2,COLUMN())),OFFSET($CL$2,0,0,ROW()-1,84),ROW()-1,FALSE))</f>
        <v/>
      </c>
      <c r="CI138">
        <f ca="1">IF(AND(ISNUMBER($CI$349),$B$252=1),$CI$349,HLOOKUP(INDIRECT(ADDRESS(2,COLUMN())),OFFSET($CL$2,0,0,ROW()-1,84),ROW()-1,FALSE))</f>
        <v>2.143114094</v>
      </c>
      <c r="CJ138" t="str">
        <f ca="1">IF(AND(ISNUMBER($CJ$349),$B$252=1),$CJ$349,HLOOKUP(INDIRECT(ADDRESS(2,COLUMN())),OFFSET($CL$2,0,0,ROW()-1,84),ROW()-1,FALSE))</f>
        <v/>
      </c>
      <c r="CK138" t="str">
        <f ca="1">IF(AND(ISNUMBER($CK$349),$B$252=1),$CK$349,HLOOKUP(INDIRECT(ADDRESS(2,COLUMN())),OFFSET($CL$2,0,0,ROW()-1,84),ROW()-1,FALSE))</f>
        <v/>
      </c>
      <c r="CL138" t="str">
        <f>""</f>
        <v/>
      </c>
      <c r="CM138" t="str">
        <f>""</f>
        <v/>
      </c>
      <c r="CN138" t="str">
        <f>""</f>
        <v/>
      </c>
      <c r="CO138">
        <f>3.839696698</f>
        <v>3.839696698</v>
      </c>
      <c r="CP138" t="str">
        <f>""</f>
        <v/>
      </c>
      <c r="CQ138" t="str">
        <f>""</f>
        <v/>
      </c>
      <c r="CR138">
        <f>3.85348215</f>
        <v>3.8534821500000001</v>
      </c>
      <c r="CS138" t="str">
        <f>""</f>
        <v/>
      </c>
      <c r="CT138" t="str">
        <f>""</f>
        <v/>
      </c>
      <c r="CU138">
        <f>3.858035369</f>
        <v>3.858035369</v>
      </c>
      <c r="CV138" t="str">
        <f>""</f>
        <v/>
      </c>
      <c r="CW138" t="str">
        <f>""</f>
        <v/>
      </c>
      <c r="CX138">
        <f>3.876131937</f>
        <v>3.8761319369999998</v>
      </c>
      <c r="CY138" t="str">
        <f>""</f>
        <v/>
      </c>
      <c r="CZ138" t="str">
        <f>""</f>
        <v/>
      </c>
      <c r="DA138">
        <f>3.991692284</f>
        <v>3.991692284</v>
      </c>
      <c r="DB138" t="str">
        <f>""</f>
        <v/>
      </c>
      <c r="DC138" t="str">
        <f>""</f>
        <v/>
      </c>
      <c r="DD138">
        <f>4.019007914</f>
        <v>4.0190079140000003</v>
      </c>
      <c r="DE138" t="str">
        <f>""</f>
        <v/>
      </c>
      <c r="DF138" t="str">
        <f>""</f>
        <v/>
      </c>
      <c r="DG138">
        <f>4.036457816</f>
        <v>4.0364578160000004</v>
      </c>
      <c r="DH138" t="str">
        <f>""</f>
        <v/>
      </c>
      <c r="DI138" t="str">
        <f>""</f>
        <v/>
      </c>
      <c r="DJ138">
        <f>3.971286401</f>
        <v>3.971286401</v>
      </c>
      <c r="DK138" t="str">
        <f>""</f>
        <v/>
      </c>
      <c r="DL138" t="str">
        <f>""</f>
        <v/>
      </c>
      <c r="DM138">
        <f>3.869615858</f>
        <v>3.869615858</v>
      </c>
      <c r="DN138" t="str">
        <f>""</f>
        <v/>
      </c>
      <c r="DO138" t="str">
        <f>""</f>
        <v/>
      </c>
      <c r="DP138">
        <f>3.892200859</f>
        <v>3.8922008589999999</v>
      </c>
      <c r="DQ138" t="str">
        <f>""</f>
        <v/>
      </c>
      <c r="DR138" t="str">
        <f>""</f>
        <v/>
      </c>
      <c r="DS138">
        <f>3.938296477</f>
        <v>3.9382964770000002</v>
      </c>
      <c r="DT138" t="str">
        <f>""</f>
        <v/>
      </c>
      <c r="DU138" t="str">
        <f>""</f>
        <v/>
      </c>
      <c r="DV138">
        <f>3.988788673</f>
        <v>3.9887886730000002</v>
      </c>
      <c r="DW138" t="str">
        <f>""</f>
        <v/>
      </c>
      <c r="DX138" t="str">
        <f>""</f>
        <v/>
      </c>
      <c r="DY138">
        <f>3.971990419</f>
        <v>3.9719904189999999</v>
      </c>
      <c r="DZ138" t="str">
        <f>""</f>
        <v/>
      </c>
      <c r="EA138" t="str">
        <f>""</f>
        <v/>
      </c>
      <c r="EB138">
        <f>3.947760231</f>
        <v>3.9477602310000002</v>
      </c>
      <c r="EC138" t="str">
        <f>""</f>
        <v/>
      </c>
      <c r="ED138" t="str">
        <f>""</f>
        <v/>
      </c>
      <c r="EE138">
        <f>3.919314852</f>
        <v>3.9193148519999998</v>
      </c>
      <c r="EF138" t="str">
        <f>""</f>
        <v/>
      </c>
      <c r="EG138" t="str">
        <f>""</f>
        <v/>
      </c>
      <c r="EH138">
        <f>3.893363863</f>
        <v>3.8933638629999998</v>
      </c>
      <c r="EI138" t="str">
        <f>""</f>
        <v/>
      </c>
      <c r="EJ138" t="str">
        <f>""</f>
        <v/>
      </c>
      <c r="EK138">
        <f>3.803553398</f>
        <v>3.803553398</v>
      </c>
      <c r="EL138" t="str">
        <f>""</f>
        <v/>
      </c>
      <c r="EM138" t="str">
        <f>""</f>
        <v/>
      </c>
      <c r="EN138">
        <f>3.686836782</f>
        <v>3.6868367819999999</v>
      </c>
      <c r="EO138" t="str">
        <f>""</f>
        <v/>
      </c>
      <c r="EP138" t="str">
        <f>""</f>
        <v/>
      </c>
      <c r="EQ138">
        <f>3.559221881</f>
        <v>3.559221881</v>
      </c>
      <c r="ER138" t="str">
        <f>""</f>
        <v/>
      </c>
      <c r="ES138" t="str">
        <f>""</f>
        <v/>
      </c>
      <c r="ET138">
        <f>3.42047914</f>
        <v>3.4204791399999999</v>
      </c>
      <c r="EU138" t="str">
        <f>""</f>
        <v/>
      </c>
      <c r="EV138" t="str">
        <f>""</f>
        <v/>
      </c>
      <c r="EW138">
        <f>3.274233956</f>
        <v>3.2742339559999998</v>
      </c>
      <c r="EX138" t="str">
        <f>""</f>
        <v/>
      </c>
      <c r="EY138" t="str">
        <f>""</f>
        <v/>
      </c>
      <c r="EZ138">
        <f>3.134923423</f>
        <v>3.134923423</v>
      </c>
      <c r="FA138" t="str">
        <f>""</f>
        <v/>
      </c>
      <c r="FB138" t="str">
        <f>""</f>
        <v/>
      </c>
      <c r="FC138">
        <f>2.967884695</f>
        <v>2.967884695</v>
      </c>
      <c r="FD138" t="str">
        <f>""</f>
        <v/>
      </c>
      <c r="FE138" t="str">
        <f>""</f>
        <v/>
      </c>
      <c r="FF138">
        <f>2.472588357</f>
        <v>2.4725883569999998</v>
      </c>
      <c r="FG138" t="str">
        <f>""</f>
        <v/>
      </c>
      <c r="FH138" t="str">
        <f>""</f>
        <v/>
      </c>
      <c r="FI138">
        <f>2.356294303</f>
        <v>2.3562943029999999</v>
      </c>
      <c r="FJ138" t="str">
        <f>""</f>
        <v/>
      </c>
      <c r="FK138" t="str">
        <f>""</f>
        <v/>
      </c>
      <c r="FL138">
        <f>2.260812255</f>
        <v>2.2608122549999998</v>
      </c>
      <c r="FM138" t="str">
        <f>""</f>
        <v/>
      </c>
      <c r="FN138" t="str">
        <f>""</f>
        <v/>
      </c>
      <c r="FO138">
        <f>2.143114094</f>
        <v>2.143114094</v>
      </c>
      <c r="FP138" t="str">
        <f>""</f>
        <v/>
      </c>
      <c r="FQ138" t="str">
        <f>""</f>
        <v/>
      </c>
    </row>
    <row r="139" spans="1:173">
      <c r="A139" t="str">
        <f>"    公寓物业权益信托"</f>
        <v xml:space="preserve">    公寓物业权益信托</v>
      </c>
      <c r="B139" t="str">
        <f>"EQR US Equity"</f>
        <v>EQR US Equity</v>
      </c>
      <c r="C139" t="str">
        <f t="shared" si="42"/>
        <v>F0892</v>
      </c>
      <c r="D139" t="str">
        <f t="shared" si="43"/>
        <v>TRAILING_12_MONTHS_FAD_PS</v>
      </c>
      <c r="E139" t="str">
        <f t="shared" si="44"/>
        <v>动态</v>
      </c>
      <c r="F139" t="str">
        <f ca="1">IF(AND(ISNUMBER($F$350),$B$252=1),$F$350,HLOOKUP(INDIRECT(ADDRESS(2,COLUMN())),OFFSET($CL$2,0,0,ROW()-1,84),ROW()-1,FALSE))</f>
        <v/>
      </c>
      <c r="G139" t="str">
        <f ca="1">IF(AND(ISNUMBER($G$350),$B$252=1),$G$350,HLOOKUP(INDIRECT(ADDRESS(2,COLUMN())),OFFSET($CL$2,0,0,ROW()-1,84),ROW()-1,FALSE))</f>
        <v/>
      </c>
      <c r="H139" t="str">
        <f ca="1">IF(AND(ISNUMBER($H$350),$B$252=1),$H$350,HLOOKUP(INDIRECT(ADDRESS(2,COLUMN())),OFFSET($CL$2,0,0,ROW()-1,84),ROW()-1,FALSE))</f>
        <v/>
      </c>
      <c r="I139">
        <f ca="1">IF(AND(ISNUMBER($I$350),$B$252=1),$I$350,HLOOKUP(INDIRECT(ADDRESS(2,COLUMN())),OFFSET($CL$2,0,0,ROW()-1,84),ROW()-1,FALSE))</f>
        <v>2.9123461759999998</v>
      </c>
      <c r="J139" t="str">
        <f ca="1">IF(AND(ISNUMBER($J$350),$B$252=1),$J$350,HLOOKUP(INDIRECT(ADDRESS(2,COLUMN())),OFFSET($CL$2,0,0,ROW()-1,84),ROW()-1,FALSE))</f>
        <v/>
      </c>
      <c r="K139" t="str">
        <f ca="1">IF(AND(ISNUMBER($K$350),$B$252=1),$K$350,HLOOKUP(INDIRECT(ADDRESS(2,COLUMN())),OFFSET($CL$2,0,0,ROW()-1,84),ROW()-1,FALSE))</f>
        <v/>
      </c>
      <c r="L139">
        <f ca="1">IF(AND(ISNUMBER($L$350),$B$252=1),$L$350,HLOOKUP(INDIRECT(ADDRESS(2,COLUMN())),OFFSET($CL$2,0,0,ROW()-1,84),ROW()-1,FALSE))</f>
        <v>2.8718570899999998</v>
      </c>
      <c r="M139" t="str">
        <f ca="1">IF(AND(ISNUMBER($M$350),$B$252=1),$M$350,HLOOKUP(INDIRECT(ADDRESS(2,COLUMN())),OFFSET($CL$2,0,0,ROW()-1,84),ROW()-1,FALSE))</f>
        <v/>
      </c>
      <c r="N139" t="str">
        <f ca="1">IF(AND(ISNUMBER($N$350),$B$252=1),$N$350,HLOOKUP(INDIRECT(ADDRESS(2,COLUMN())),OFFSET($CL$2,0,0,ROW()-1,84),ROW()-1,FALSE))</f>
        <v/>
      </c>
      <c r="O139">
        <f ca="1">IF(AND(ISNUMBER($O$350),$B$252=1),$O$350,HLOOKUP(INDIRECT(ADDRESS(2,COLUMN())),OFFSET($CL$2,0,0,ROW()-1,84),ROW()-1,FALSE))</f>
        <v>2.843296917</v>
      </c>
      <c r="P139" t="str">
        <f ca="1">IF(AND(ISNUMBER($P$350),$B$252=1),$P$350,HLOOKUP(INDIRECT(ADDRESS(2,COLUMN())),OFFSET($CL$2,0,0,ROW()-1,84),ROW()-1,FALSE))</f>
        <v/>
      </c>
      <c r="Q139" t="str">
        <f ca="1">IF(AND(ISNUMBER($Q$350),$B$252=1),$Q$350,HLOOKUP(INDIRECT(ADDRESS(2,COLUMN())),OFFSET($CL$2,0,0,ROW()-1,84),ROW()-1,FALSE))</f>
        <v/>
      </c>
      <c r="R139">
        <f ca="1">IF(AND(ISNUMBER($R$350),$B$252=1),$R$350,HLOOKUP(INDIRECT(ADDRESS(2,COLUMN())),OFFSET($CL$2,0,0,ROW()-1,84),ROW()-1,FALSE))</f>
        <v>2.9550469690000001</v>
      </c>
      <c r="S139" t="str">
        <f ca="1">IF(AND(ISNUMBER($S$350),$B$252=1),$S$350,HLOOKUP(INDIRECT(ADDRESS(2,COLUMN())),OFFSET($CL$2,0,0,ROW()-1,84),ROW()-1,FALSE))</f>
        <v/>
      </c>
      <c r="T139" t="str">
        <f ca="1">IF(AND(ISNUMBER($T$350),$B$252=1),$T$350,HLOOKUP(INDIRECT(ADDRESS(2,COLUMN())),OFFSET($CL$2,0,0,ROW()-1,84),ROW()-1,FALSE))</f>
        <v/>
      </c>
      <c r="U139">
        <f ca="1">IF(AND(ISNUMBER($U$350),$B$252=1),$U$350,HLOOKUP(INDIRECT(ADDRESS(2,COLUMN())),OFFSET($CL$2,0,0,ROW()-1,84),ROW()-1,FALSE))</f>
        <v>2.9675425689999999</v>
      </c>
      <c r="V139" t="str">
        <f ca="1">IF(AND(ISNUMBER($V$350),$B$252=1),$V$350,HLOOKUP(INDIRECT(ADDRESS(2,COLUMN())),OFFSET($CL$2,0,0,ROW()-1,84),ROW()-1,FALSE))</f>
        <v/>
      </c>
      <c r="W139" t="str">
        <f ca="1">IF(AND(ISNUMBER($W$350),$B$252=1),$W$350,HLOOKUP(INDIRECT(ADDRESS(2,COLUMN())),OFFSET($CL$2,0,0,ROW()-1,84),ROW()-1,FALSE))</f>
        <v/>
      </c>
      <c r="X139">
        <f ca="1">IF(AND(ISNUMBER($X$350),$B$252=1),$X$350,HLOOKUP(INDIRECT(ADDRESS(2,COLUMN())),OFFSET($CL$2,0,0,ROW()-1,84),ROW()-1,FALSE))</f>
        <v>3.0916903310000001</v>
      </c>
      <c r="Y139" t="str">
        <f ca="1">IF(AND(ISNUMBER($Y$350),$B$252=1),$Y$350,HLOOKUP(INDIRECT(ADDRESS(2,COLUMN())),OFFSET($CL$2,0,0,ROW()-1,84),ROW()-1,FALSE))</f>
        <v/>
      </c>
      <c r="Z139" t="str">
        <f ca="1">IF(AND(ISNUMBER($Z$350),$B$252=1),$Z$350,HLOOKUP(INDIRECT(ADDRESS(2,COLUMN())),OFFSET($CL$2,0,0,ROW()-1,84),ROW()-1,FALSE))</f>
        <v/>
      </c>
      <c r="AA139">
        <f ca="1">IF(AND(ISNUMBER($AA$350),$B$252=1),$AA$350,HLOOKUP(INDIRECT(ADDRESS(2,COLUMN())),OFFSET($CL$2,0,0,ROW()-1,84),ROW()-1,FALSE))</f>
        <v>3.1952308500000002</v>
      </c>
      <c r="AB139" t="str">
        <f ca="1">IF(AND(ISNUMBER($AB$350),$B$252=1),$AB$350,HLOOKUP(INDIRECT(ADDRESS(2,COLUMN())),OFFSET($CL$2,0,0,ROW()-1,84),ROW()-1,FALSE))</f>
        <v/>
      </c>
      <c r="AC139" t="str">
        <f ca="1">IF(AND(ISNUMBER($AC$350),$B$252=1),$AC$350,HLOOKUP(INDIRECT(ADDRESS(2,COLUMN())),OFFSET($CL$2,0,0,ROW()-1,84),ROW()-1,FALSE))</f>
        <v/>
      </c>
      <c r="AD139">
        <f ca="1">IF(AND(ISNUMBER($AD$350),$B$252=1),$AD$350,HLOOKUP(INDIRECT(ADDRESS(2,COLUMN())),OFFSET($CL$2,0,0,ROW()-1,84),ROW()-1,FALSE))</f>
        <v>3.1567409870000001</v>
      </c>
      <c r="AE139" t="str">
        <f ca="1">IF(AND(ISNUMBER($AE$350),$B$252=1),$AE$350,HLOOKUP(INDIRECT(ADDRESS(2,COLUMN())),OFFSET($CL$2,0,0,ROW()-1,84),ROW()-1,FALSE))</f>
        <v/>
      </c>
      <c r="AF139" t="str">
        <f ca="1">IF(AND(ISNUMBER($AF$350),$B$252=1),$AF$350,HLOOKUP(INDIRECT(ADDRESS(2,COLUMN())),OFFSET($CL$2,0,0,ROW()-1,84),ROW()-1,FALSE))</f>
        <v/>
      </c>
      <c r="AG139">
        <f ca="1">IF(AND(ISNUMBER($AG$350),$B$252=1),$AG$350,HLOOKUP(INDIRECT(ADDRESS(2,COLUMN())),OFFSET($CL$2,0,0,ROW()-1,84),ROW()-1,FALSE))</f>
        <v>3.1734265069999998</v>
      </c>
      <c r="AH139" t="str">
        <f ca="1">IF(AND(ISNUMBER($AH$350),$B$252=1),$AH$350,HLOOKUP(INDIRECT(ADDRESS(2,COLUMN())),OFFSET($CL$2,0,0,ROW()-1,84),ROW()-1,FALSE))</f>
        <v/>
      </c>
      <c r="AI139" t="str">
        <f ca="1">IF(AND(ISNUMBER($AI$350),$B$252=1),$AI$350,HLOOKUP(INDIRECT(ADDRESS(2,COLUMN())),OFFSET($CL$2,0,0,ROW()-1,84),ROW()-1,FALSE))</f>
        <v/>
      </c>
      <c r="AJ139">
        <f ca="1">IF(AND(ISNUMBER($AJ$350),$B$252=1),$AJ$350,HLOOKUP(INDIRECT(ADDRESS(2,COLUMN())),OFFSET($CL$2,0,0,ROW()-1,84),ROW()-1,FALSE))</f>
        <v>3.1053602900000001</v>
      </c>
      <c r="AK139" t="str">
        <f ca="1">IF(AND(ISNUMBER($AK$350),$B$252=1),$AK$350,HLOOKUP(INDIRECT(ADDRESS(2,COLUMN())),OFFSET($CL$2,0,0,ROW()-1,84),ROW()-1,FALSE))</f>
        <v/>
      </c>
      <c r="AL139" t="str">
        <f ca="1">IF(AND(ISNUMBER($AL$350),$B$252=1),$AL$350,HLOOKUP(INDIRECT(ADDRESS(2,COLUMN())),OFFSET($CL$2,0,0,ROW()-1,84),ROW()-1,FALSE))</f>
        <v/>
      </c>
      <c r="AM139">
        <f ca="1">IF(AND(ISNUMBER($AM$350),$B$252=1),$AM$350,HLOOKUP(INDIRECT(ADDRESS(2,COLUMN())),OFFSET($CL$2,0,0,ROW()-1,84),ROW()-1,FALSE))</f>
        <v>3.0381368989999999</v>
      </c>
      <c r="AN139" t="str">
        <f ca="1">IF(AND(ISNUMBER($AN$350),$B$252=1),$AN$350,HLOOKUP(INDIRECT(ADDRESS(2,COLUMN())),OFFSET($CL$2,0,0,ROW()-1,84),ROW()-1,FALSE))</f>
        <v/>
      </c>
      <c r="AO139" t="str">
        <f ca="1">IF(AND(ISNUMBER($AO$350),$B$252=1),$AO$350,HLOOKUP(INDIRECT(ADDRESS(2,COLUMN())),OFFSET($CL$2,0,0,ROW()-1,84),ROW()-1,FALSE))</f>
        <v/>
      </c>
      <c r="AP139">
        <f ca="1">IF(AND(ISNUMBER($AP$350),$B$252=1),$AP$350,HLOOKUP(INDIRECT(ADDRESS(2,COLUMN())),OFFSET($CL$2,0,0,ROW()-1,84),ROW()-1,FALSE))</f>
        <v>2.9672240209999998</v>
      </c>
      <c r="AQ139" t="str">
        <f ca="1">IF(AND(ISNUMBER($AQ$350),$B$252=1),$AQ$350,HLOOKUP(INDIRECT(ADDRESS(2,COLUMN())),OFFSET($CL$2,0,0,ROW()-1,84),ROW()-1,FALSE))</f>
        <v/>
      </c>
      <c r="AR139" t="str">
        <f ca="1">IF(AND(ISNUMBER($AR$350),$B$252=1),$AR$350,HLOOKUP(INDIRECT(ADDRESS(2,COLUMN())),OFFSET($CL$2,0,0,ROW()-1,84),ROW()-1,FALSE))</f>
        <v/>
      </c>
      <c r="AS139">
        <f ca="1">IF(AND(ISNUMBER($AS$350),$B$252=1),$AS$350,HLOOKUP(INDIRECT(ADDRESS(2,COLUMN())),OFFSET($CL$2,0,0,ROW()-1,84),ROW()-1,FALSE))</f>
        <v>2.8882359470000001</v>
      </c>
      <c r="AT139" t="str">
        <f ca="1">IF(AND(ISNUMBER($AT$350),$B$252=1),$AT$350,HLOOKUP(INDIRECT(ADDRESS(2,COLUMN())),OFFSET($CL$2,0,0,ROW()-1,84),ROW()-1,FALSE))</f>
        <v/>
      </c>
      <c r="AU139" t="str">
        <f ca="1">IF(AND(ISNUMBER($AU$350),$B$252=1),$AU$350,HLOOKUP(INDIRECT(ADDRESS(2,COLUMN())),OFFSET($CL$2,0,0,ROW()-1,84),ROW()-1,FALSE))</f>
        <v/>
      </c>
      <c r="AV139">
        <f ca="1">IF(AND(ISNUMBER($AV$350),$B$252=1),$AV$350,HLOOKUP(INDIRECT(ADDRESS(2,COLUMN())),OFFSET($CL$2,0,0,ROW()-1,84),ROW()-1,FALSE))</f>
        <v>2.7948861190000001</v>
      </c>
      <c r="AW139" t="str">
        <f ca="1">IF(AND(ISNUMBER($AW$350),$B$252=1),$AW$350,HLOOKUP(INDIRECT(ADDRESS(2,COLUMN())),OFFSET($CL$2,0,0,ROW()-1,84),ROW()-1,FALSE))</f>
        <v/>
      </c>
      <c r="AX139" t="str">
        <f ca="1">IF(AND(ISNUMBER($AX$350),$B$252=1),$AX$350,HLOOKUP(INDIRECT(ADDRESS(2,COLUMN())),OFFSET($CL$2,0,0,ROW()-1,84),ROW()-1,FALSE))</f>
        <v/>
      </c>
      <c r="AY139">
        <f ca="1">IF(AND(ISNUMBER($AY$350),$B$252=1),$AY$350,HLOOKUP(INDIRECT(ADDRESS(2,COLUMN())),OFFSET($CL$2,0,0,ROW()-1,84),ROW()-1,FALSE))</f>
        <v>2.6987378980000001</v>
      </c>
      <c r="AZ139" t="str">
        <f ca="1">IF(AND(ISNUMBER($AZ$350),$B$252=1),$AZ$350,HLOOKUP(INDIRECT(ADDRESS(2,COLUMN())),OFFSET($CL$2,0,0,ROW()-1,84),ROW()-1,FALSE))</f>
        <v/>
      </c>
      <c r="BA139" t="str">
        <f ca="1">IF(AND(ISNUMBER($BA$350),$B$252=1),$BA$350,HLOOKUP(INDIRECT(ADDRESS(2,COLUMN())),OFFSET($CL$2,0,0,ROW()-1,84),ROW()-1,FALSE))</f>
        <v/>
      </c>
      <c r="BB139">
        <f ca="1">IF(AND(ISNUMBER($BB$350),$B$252=1),$BB$350,HLOOKUP(INDIRECT(ADDRESS(2,COLUMN())),OFFSET($CL$2,0,0,ROW()-1,84),ROW()-1,FALSE))</f>
        <v>2.622261731</v>
      </c>
      <c r="BC139" t="str">
        <f ca="1">IF(AND(ISNUMBER($BC$350),$B$252=1),$BC$350,HLOOKUP(INDIRECT(ADDRESS(2,COLUMN())),OFFSET($CL$2,0,0,ROW()-1,84),ROW()-1,FALSE))</f>
        <v/>
      </c>
      <c r="BD139" t="str">
        <f ca="1">IF(AND(ISNUMBER($BD$350),$B$252=1),$BD$350,HLOOKUP(INDIRECT(ADDRESS(2,COLUMN())),OFFSET($CL$2,0,0,ROW()-1,84),ROW()-1,FALSE))</f>
        <v/>
      </c>
      <c r="BE139">
        <f ca="1">IF(AND(ISNUMBER($BE$350),$B$252=1),$BE$350,HLOOKUP(INDIRECT(ADDRESS(2,COLUMN())),OFFSET($CL$2,0,0,ROW()-1,84),ROW()-1,FALSE))</f>
        <v>2.5521094350000002</v>
      </c>
      <c r="BF139" t="str">
        <f ca="1">IF(AND(ISNUMBER($BF$350),$B$252=1),$BF$350,HLOOKUP(INDIRECT(ADDRESS(2,COLUMN())),OFFSET($CL$2,0,0,ROW()-1,84),ROW()-1,FALSE))</f>
        <v/>
      </c>
      <c r="BG139" t="str">
        <f ca="1">IF(AND(ISNUMBER($BG$350),$B$252=1),$BG$350,HLOOKUP(INDIRECT(ADDRESS(2,COLUMN())),OFFSET($CL$2,0,0,ROW()-1,84),ROW()-1,FALSE))</f>
        <v/>
      </c>
      <c r="BH139">
        <f ca="1">IF(AND(ISNUMBER($BH$350),$B$252=1),$BH$350,HLOOKUP(INDIRECT(ADDRESS(2,COLUMN())),OFFSET($CL$2,0,0,ROW()-1,84),ROW()-1,FALSE))</f>
        <v>2.5218044019999999</v>
      </c>
      <c r="BI139" t="str">
        <f ca="1">IF(AND(ISNUMBER($BI$350),$B$252=1),$BI$350,HLOOKUP(INDIRECT(ADDRESS(2,COLUMN())),OFFSET($CL$2,0,0,ROW()-1,84),ROW()-1,FALSE))</f>
        <v/>
      </c>
      <c r="BJ139" t="str">
        <f ca="1">IF(AND(ISNUMBER($BJ$350),$B$252=1),$BJ$350,HLOOKUP(INDIRECT(ADDRESS(2,COLUMN())),OFFSET($CL$2,0,0,ROW()-1,84),ROW()-1,FALSE))</f>
        <v/>
      </c>
      <c r="BK139">
        <f ca="1">IF(AND(ISNUMBER($BK$350),$B$252=1),$BK$350,HLOOKUP(INDIRECT(ADDRESS(2,COLUMN())),OFFSET($CL$2,0,0,ROW()-1,84),ROW()-1,FALSE))</f>
        <v>2.5077357789999999</v>
      </c>
      <c r="BL139" t="str">
        <f ca="1">IF(AND(ISNUMBER($BL$350),$B$252=1),$BL$350,HLOOKUP(INDIRECT(ADDRESS(2,COLUMN())),OFFSET($CL$2,0,0,ROW()-1,84),ROW()-1,FALSE))</f>
        <v/>
      </c>
      <c r="BM139" t="str">
        <f ca="1">IF(AND(ISNUMBER($BM$350),$B$252=1),$BM$350,HLOOKUP(INDIRECT(ADDRESS(2,COLUMN())),OFFSET($CL$2,0,0,ROW()-1,84),ROW()-1,FALSE))</f>
        <v/>
      </c>
      <c r="BN139">
        <f ca="1">IF(AND(ISNUMBER($BN$350),$B$252=1),$BN$350,HLOOKUP(INDIRECT(ADDRESS(2,COLUMN())),OFFSET($CL$2,0,0,ROW()-1,84),ROW()-1,FALSE))</f>
        <v>2.632601287</v>
      </c>
      <c r="BO139" t="str">
        <f ca="1">IF(AND(ISNUMBER($BO$350),$B$252=1),$BO$350,HLOOKUP(INDIRECT(ADDRESS(2,COLUMN())),OFFSET($CL$2,0,0,ROW()-1,84),ROW()-1,FALSE))</f>
        <v/>
      </c>
      <c r="BP139" t="str">
        <f ca="1">IF(AND(ISNUMBER($BP$350),$B$252=1),$BP$350,HLOOKUP(INDIRECT(ADDRESS(2,COLUMN())),OFFSET($CL$2,0,0,ROW()-1,84),ROW()-1,FALSE))</f>
        <v/>
      </c>
      <c r="BQ139">
        <f ca="1">IF(AND(ISNUMBER($BQ$350),$B$252=1),$BQ$350,HLOOKUP(INDIRECT(ADDRESS(2,COLUMN())),OFFSET($CL$2,0,0,ROW()-1,84),ROW()-1,FALSE))</f>
        <v>2.5935959030000002</v>
      </c>
      <c r="BR139" t="str">
        <f ca="1">IF(AND(ISNUMBER($BR$350),$B$252=1),$BR$350,HLOOKUP(INDIRECT(ADDRESS(2,COLUMN())),OFFSET($CL$2,0,0,ROW()-1,84),ROW()-1,FALSE))</f>
        <v/>
      </c>
      <c r="BS139" t="str">
        <f ca="1">IF(AND(ISNUMBER($BS$350),$B$252=1),$BS$350,HLOOKUP(INDIRECT(ADDRESS(2,COLUMN())),OFFSET($CL$2,0,0,ROW()-1,84),ROW()-1,FALSE))</f>
        <v/>
      </c>
      <c r="BT139">
        <f ca="1">IF(AND(ISNUMBER($BT$350),$B$252=1),$BT$350,HLOOKUP(INDIRECT(ADDRESS(2,COLUMN())),OFFSET($CL$2,0,0,ROW()-1,84),ROW()-1,FALSE))</f>
        <v>2.4970905129999998</v>
      </c>
      <c r="BU139" t="str">
        <f ca="1">IF(AND(ISNUMBER($BU$350),$B$252=1),$BU$350,HLOOKUP(INDIRECT(ADDRESS(2,COLUMN())),OFFSET($CL$2,0,0,ROW()-1,84),ROW()-1,FALSE))</f>
        <v/>
      </c>
      <c r="BV139" t="str">
        <f ca="1">IF(AND(ISNUMBER($BV$350),$B$252=1),$BV$350,HLOOKUP(INDIRECT(ADDRESS(2,COLUMN())),OFFSET($CL$2,0,0,ROW()-1,84),ROW()-1,FALSE))</f>
        <v/>
      </c>
      <c r="BW139">
        <f ca="1">IF(AND(ISNUMBER($BW$350),$B$252=1),$BW$350,HLOOKUP(INDIRECT(ADDRESS(2,COLUMN())),OFFSET($CL$2,0,0,ROW()-1,84),ROW()-1,FALSE))</f>
        <v>2.3876851229999998</v>
      </c>
      <c r="BX139" t="str">
        <f ca="1">IF(AND(ISNUMBER($BX$350),$B$252=1),$BX$350,HLOOKUP(INDIRECT(ADDRESS(2,COLUMN())),OFFSET($CL$2,0,0,ROW()-1,84),ROW()-1,FALSE))</f>
        <v/>
      </c>
      <c r="BY139" t="str">
        <f ca="1">IF(AND(ISNUMBER($BY$350),$B$252=1),$BY$350,HLOOKUP(INDIRECT(ADDRESS(2,COLUMN())),OFFSET($CL$2,0,0,ROW()-1,84),ROW()-1,FALSE))</f>
        <v/>
      </c>
      <c r="BZ139">
        <f ca="1">IF(AND(ISNUMBER($BZ$350),$B$252=1),$BZ$350,HLOOKUP(INDIRECT(ADDRESS(2,COLUMN())),OFFSET($CL$2,0,0,ROW()-1,84),ROW()-1,FALSE))</f>
        <v>2.311128836</v>
      </c>
      <c r="CA139" t="str">
        <f ca="1">IF(AND(ISNUMBER($CA$350),$B$252=1),$CA$350,HLOOKUP(INDIRECT(ADDRESS(2,COLUMN())),OFFSET($CL$2,0,0,ROW()-1,84),ROW()-1,FALSE))</f>
        <v/>
      </c>
      <c r="CB139" t="str">
        <f ca="1">IF(AND(ISNUMBER($CB$350),$B$252=1),$CB$350,HLOOKUP(INDIRECT(ADDRESS(2,COLUMN())),OFFSET($CL$2,0,0,ROW()-1,84),ROW()-1,FALSE))</f>
        <v/>
      </c>
      <c r="CC139">
        <f ca="1">IF(AND(ISNUMBER($CC$350),$B$252=1),$CC$350,HLOOKUP(INDIRECT(ADDRESS(2,COLUMN())),OFFSET($CL$2,0,0,ROW()-1,84),ROW()-1,FALSE))</f>
        <v>2.265587375</v>
      </c>
      <c r="CD139" t="str">
        <f ca="1">IF(AND(ISNUMBER($CD$350),$B$252=1),$CD$350,HLOOKUP(INDIRECT(ADDRESS(2,COLUMN())),OFFSET($CL$2,0,0,ROW()-1,84),ROW()-1,FALSE))</f>
        <v/>
      </c>
      <c r="CE139" t="str">
        <f ca="1">IF(AND(ISNUMBER($CE$350),$B$252=1),$CE$350,HLOOKUP(INDIRECT(ADDRESS(2,COLUMN())),OFFSET($CL$2,0,0,ROW()-1,84),ROW()-1,FALSE))</f>
        <v/>
      </c>
      <c r="CF139">
        <f ca="1">IF(AND(ISNUMBER($CF$350),$B$252=1),$CF$350,HLOOKUP(INDIRECT(ADDRESS(2,COLUMN())),OFFSET($CL$2,0,0,ROW()-1,84),ROW()-1,FALSE))</f>
        <v>2.2146853000000002</v>
      </c>
      <c r="CG139" t="str">
        <f ca="1">IF(AND(ISNUMBER($CG$350),$B$252=1),$CG$350,HLOOKUP(INDIRECT(ADDRESS(2,COLUMN())),OFFSET($CL$2,0,0,ROW()-1,84),ROW()-1,FALSE))</f>
        <v/>
      </c>
      <c r="CH139" t="str">
        <f ca="1">IF(AND(ISNUMBER($CH$350),$B$252=1),$CH$350,HLOOKUP(INDIRECT(ADDRESS(2,COLUMN())),OFFSET($CL$2,0,0,ROW()-1,84),ROW()-1,FALSE))</f>
        <v/>
      </c>
      <c r="CI139">
        <f ca="1">IF(AND(ISNUMBER($CI$350),$B$252=1),$CI$350,HLOOKUP(INDIRECT(ADDRESS(2,COLUMN())),OFFSET($CL$2,0,0,ROW()-1,84),ROW()-1,FALSE))</f>
        <v>2.1603251220000002</v>
      </c>
      <c r="CJ139" t="str">
        <f ca="1">IF(AND(ISNUMBER($CJ$350),$B$252=1),$CJ$350,HLOOKUP(INDIRECT(ADDRESS(2,COLUMN())),OFFSET($CL$2,0,0,ROW()-1,84),ROW()-1,FALSE))</f>
        <v/>
      </c>
      <c r="CK139" t="str">
        <f ca="1">IF(AND(ISNUMBER($CK$350),$B$252=1),$CK$350,HLOOKUP(INDIRECT(ADDRESS(2,COLUMN())),OFFSET($CL$2,0,0,ROW()-1,84),ROW()-1,FALSE))</f>
        <v/>
      </c>
      <c r="CL139" t="str">
        <f>""</f>
        <v/>
      </c>
      <c r="CM139" t="str">
        <f>""</f>
        <v/>
      </c>
      <c r="CN139" t="str">
        <f>""</f>
        <v/>
      </c>
      <c r="CO139">
        <f>2.912346176</f>
        <v>2.9123461759999998</v>
      </c>
      <c r="CP139" t="str">
        <f>""</f>
        <v/>
      </c>
      <c r="CQ139" t="str">
        <f>""</f>
        <v/>
      </c>
      <c r="CR139">
        <f>2.87185709</f>
        <v>2.8718570899999998</v>
      </c>
      <c r="CS139" t="str">
        <f>""</f>
        <v/>
      </c>
      <c r="CT139" t="str">
        <f>""</f>
        <v/>
      </c>
      <c r="CU139">
        <f>2.843296917</f>
        <v>2.843296917</v>
      </c>
      <c r="CV139" t="str">
        <f>""</f>
        <v/>
      </c>
      <c r="CW139" t="str">
        <f>""</f>
        <v/>
      </c>
      <c r="CX139">
        <f>2.955046969</f>
        <v>2.9550469690000001</v>
      </c>
      <c r="CY139" t="str">
        <f>""</f>
        <v/>
      </c>
      <c r="CZ139" t="str">
        <f>""</f>
        <v/>
      </c>
      <c r="DA139">
        <f>2.967542569</f>
        <v>2.9675425689999999</v>
      </c>
      <c r="DB139" t="str">
        <f>""</f>
        <v/>
      </c>
      <c r="DC139" t="str">
        <f>""</f>
        <v/>
      </c>
      <c r="DD139">
        <f>3.091690331</f>
        <v>3.0916903310000001</v>
      </c>
      <c r="DE139" t="str">
        <f>""</f>
        <v/>
      </c>
      <c r="DF139" t="str">
        <f>""</f>
        <v/>
      </c>
      <c r="DG139">
        <f>3.19523085</f>
        <v>3.1952308500000002</v>
      </c>
      <c r="DH139" t="str">
        <f>""</f>
        <v/>
      </c>
      <c r="DI139" t="str">
        <f>""</f>
        <v/>
      </c>
      <c r="DJ139">
        <f>3.156740987</f>
        <v>3.1567409870000001</v>
      </c>
      <c r="DK139" t="str">
        <f>""</f>
        <v/>
      </c>
      <c r="DL139" t="str">
        <f>""</f>
        <v/>
      </c>
      <c r="DM139">
        <f>3.173426507</f>
        <v>3.1734265069999998</v>
      </c>
      <c r="DN139" t="str">
        <f>""</f>
        <v/>
      </c>
      <c r="DO139" t="str">
        <f>""</f>
        <v/>
      </c>
      <c r="DP139">
        <f>3.10536029</f>
        <v>3.1053602900000001</v>
      </c>
      <c r="DQ139" t="str">
        <f>""</f>
        <v/>
      </c>
      <c r="DR139" t="str">
        <f>""</f>
        <v/>
      </c>
      <c r="DS139">
        <f>3.038136899</f>
        <v>3.0381368989999999</v>
      </c>
      <c r="DT139" t="str">
        <f>""</f>
        <v/>
      </c>
      <c r="DU139" t="str">
        <f>""</f>
        <v/>
      </c>
      <c r="DV139">
        <f>2.967224021</f>
        <v>2.9672240209999998</v>
      </c>
      <c r="DW139" t="str">
        <f>""</f>
        <v/>
      </c>
      <c r="DX139" t="str">
        <f>""</f>
        <v/>
      </c>
      <c r="DY139">
        <f>2.888235947</f>
        <v>2.8882359470000001</v>
      </c>
      <c r="DZ139" t="str">
        <f>""</f>
        <v/>
      </c>
      <c r="EA139" t="str">
        <f>""</f>
        <v/>
      </c>
      <c r="EB139">
        <f>2.794886119</f>
        <v>2.7948861190000001</v>
      </c>
      <c r="EC139" t="str">
        <f>""</f>
        <v/>
      </c>
      <c r="ED139" t="str">
        <f>""</f>
        <v/>
      </c>
      <c r="EE139">
        <f>2.698737898</f>
        <v>2.6987378980000001</v>
      </c>
      <c r="EF139" t="str">
        <f>""</f>
        <v/>
      </c>
      <c r="EG139" t="str">
        <f>""</f>
        <v/>
      </c>
      <c r="EH139">
        <f>2.622261731</f>
        <v>2.622261731</v>
      </c>
      <c r="EI139" t="str">
        <f>""</f>
        <v/>
      </c>
      <c r="EJ139" t="str">
        <f>""</f>
        <v/>
      </c>
      <c r="EK139">
        <f>2.552109435</f>
        <v>2.5521094350000002</v>
      </c>
      <c r="EL139" t="str">
        <f>""</f>
        <v/>
      </c>
      <c r="EM139" t="str">
        <f>""</f>
        <v/>
      </c>
      <c r="EN139">
        <f>2.521804402</f>
        <v>2.5218044019999999</v>
      </c>
      <c r="EO139" t="str">
        <f>""</f>
        <v/>
      </c>
      <c r="EP139" t="str">
        <f>""</f>
        <v/>
      </c>
      <c r="EQ139">
        <f>2.507735779</f>
        <v>2.5077357789999999</v>
      </c>
      <c r="ER139" t="str">
        <f>""</f>
        <v/>
      </c>
      <c r="ES139" t="str">
        <f>""</f>
        <v/>
      </c>
      <c r="ET139">
        <f>2.632601287</f>
        <v>2.632601287</v>
      </c>
      <c r="EU139" t="str">
        <f>""</f>
        <v/>
      </c>
      <c r="EV139" t="str">
        <f>""</f>
        <v/>
      </c>
      <c r="EW139">
        <f>2.593595903</f>
        <v>2.5935959030000002</v>
      </c>
      <c r="EX139" t="str">
        <f>""</f>
        <v/>
      </c>
      <c r="EY139" t="str">
        <f>""</f>
        <v/>
      </c>
      <c r="EZ139">
        <f>2.497090513</f>
        <v>2.4970905129999998</v>
      </c>
      <c r="FA139" t="str">
        <f>""</f>
        <v/>
      </c>
      <c r="FB139" t="str">
        <f>""</f>
        <v/>
      </c>
      <c r="FC139">
        <f>2.387685123</f>
        <v>2.3876851229999998</v>
      </c>
      <c r="FD139" t="str">
        <f>""</f>
        <v/>
      </c>
      <c r="FE139" t="str">
        <f>""</f>
        <v/>
      </c>
      <c r="FF139">
        <f>2.311128836</f>
        <v>2.311128836</v>
      </c>
      <c r="FG139" t="str">
        <f>""</f>
        <v/>
      </c>
      <c r="FH139" t="str">
        <f>""</f>
        <v/>
      </c>
      <c r="FI139">
        <f>2.265587375</f>
        <v>2.265587375</v>
      </c>
      <c r="FJ139" t="str">
        <f>""</f>
        <v/>
      </c>
      <c r="FK139" t="str">
        <f>""</f>
        <v/>
      </c>
      <c r="FL139">
        <f>2.2146853</f>
        <v>2.2146853000000002</v>
      </c>
      <c r="FM139" t="str">
        <f>""</f>
        <v/>
      </c>
      <c r="FN139" t="str">
        <f>""</f>
        <v/>
      </c>
      <c r="FO139">
        <f>2.160325122</f>
        <v>2.1603251220000002</v>
      </c>
      <c r="FP139" t="str">
        <f>""</f>
        <v/>
      </c>
      <c r="FQ139" t="str">
        <f>""</f>
        <v/>
      </c>
    </row>
    <row r="140" spans="1:173">
      <c r="A140" t="str">
        <f>"    埃塞克斯房地产信托公司"</f>
        <v xml:space="preserve">    埃塞克斯房地产信托公司</v>
      </c>
      <c r="B140" t="str">
        <f>"ESS US Equity"</f>
        <v>ESS US Equity</v>
      </c>
      <c r="C140" t="str">
        <f t="shared" si="42"/>
        <v>F0892</v>
      </c>
      <c r="D140" t="str">
        <f t="shared" si="43"/>
        <v>TRAILING_12_MONTHS_FAD_PS</v>
      </c>
      <c r="E140" t="str">
        <f t="shared" si="44"/>
        <v>动态</v>
      </c>
      <c r="F140" t="str">
        <f ca="1">IF(AND(ISNUMBER($F$351),$B$252=1),$F$351,HLOOKUP(INDIRECT(ADDRESS(2,COLUMN())),OFFSET($CL$2,0,0,ROW()-1,84),ROW()-1,FALSE))</f>
        <v/>
      </c>
      <c r="G140" t="str">
        <f ca="1">IF(AND(ISNUMBER($G$351),$B$252=1),$G$351,HLOOKUP(INDIRECT(ADDRESS(2,COLUMN())),OFFSET($CL$2,0,0,ROW()-1,84),ROW()-1,FALSE))</f>
        <v/>
      </c>
      <c r="H140" t="str">
        <f ca="1">IF(AND(ISNUMBER($H$351),$B$252=1),$H$351,HLOOKUP(INDIRECT(ADDRESS(2,COLUMN())),OFFSET($CL$2,0,0,ROW()-1,84),ROW()-1,FALSE))</f>
        <v/>
      </c>
      <c r="I140">
        <f ca="1">IF(AND(ISNUMBER($I$351),$B$252=1),$I$351,HLOOKUP(INDIRECT(ADDRESS(2,COLUMN())),OFFSET($CL$2,0,0,ROW()-1,84),ROW()-1,FALSE))</f>
        <v>11.462767120000001</v>
      </c>
      <c r="J140" t="str">
        <f ca="1">IF(AND(ISNUMBER($J$351),$B$252=1),$J$351,HLOOKUP(INDIRECT(ADDRESS(2,COLUMN())),OFFSET($CL$2,0,0,ROW()-1,84),ROW()-1,FALSE))</f>
        <v/>
      </c>
      <c r="K140" t="str">
        <f ca="1">IF(AND(ISNUMBER($K$351),$B$252=1),$K$351,HLOOKUP(INDIRECT(ADDRESS(2,COLUMN())),OFFSET($CL$2,0,0,ROW()-1,84),ROW()-1,FALSE))</f>
        <v/>
      </c>
      <c r="L140">
        <f ca="1">IF(AND(ISNUMBER($L$351),$B$252=1),$L$351,HLOOKUP(INDIRECT(ADDRESS(2,COLUMN())),OFFSET($CL$2,0,0,ROW()-1,84),ROW()-1,FALSE))</f>
        <v>11.261297470000001</v>
      </c>
      <c r="M140" t="str">
        <f ca="1">IF(AND(ISNUMBER($M$351),$B$252=1),$M$351,HLOOKUP(INDIRECT(ADDRESS(2,COLUMN())),OFFSET($CL$2,0,0,ROW()-1,84),ROW()-1,FALSE))</f>
        <v/>
      </c>
      <c r="N140" t="str">
        <f ca="1">IF(AND(ISNUMBER($N$351),$B$252=1),$N$351,HLOOKUP(INDIRECT(ADDRESS(2,COLUMN())),OFFSET($CL$2,0,0,ROW()-1,84),ROW()-1,FALSE))</f>
        <v/>
      </c>
      <c r="O140">
        <f ca="1">IF(AND(ISNUMBER($O$351),$B$252=1),$O$351,HLOOKUP(INDIRECT(ADDRESS(2,COLUMN())),OFFSET($CL$2,0,0,ROW()-1,84),ROW()-1,FALSE))</f>
        <v>11.38746765</v>
      </c>
      <c r="P140" t="str">
        <f ca="1">IF(AND(ISNUMBER($P$351),$B$252=1),$P$351,HLOOKUP(INDIRECT(ADDRESS(2,COLUMN())),OFFSET($CL$2,0,0,ROW()-1,84),ROW()-1,FALSE))</f>
        <v/>
      </c>
      <c r="Q140" t="str">
        <f ca="1">IF(AND(ISNUMBER($Q$351),$B$252=1),$Q$351,HLOOKUP(INDIRECT(ADDRESS(2,COLUMN())),OFFSET($CL$2,0,0,ROW()-1,84),ROW()-1,FALSE))</f>
        <v/>
      </c>
      <c r="R140">
        <f ca="1">IF(AND(ISNUMBER($R$351),$B$252=1),$R$351,HLOOKUP(INDIRECT(ADDRESS(2,COLUMN())),OFFSET($CL$2,0,0,ROW()-1,84),ROW()-1,FALSE))</f>
        <v>11.157194860000001</v>
      </c>
      <c r="S140" t="str">
        <f ca="1">IF(AND(ISNUMBER($S$351),$B$252=1),$S$351,HLOOKUP(INDIRECT(ADDRESS(2,COLUMN())),OFFSET($CL$2,0,0,ROW()-1,84),ROW()-1,FALSE))</f>
        <v/>
      </c>
      <c r="T140" t="str">
        <f ca="1">IF(AND(ISNUMBER($T$351),$B$252=1),$T$351,HLOOKUP(INDIRECT(ADDRESS(2,COLUMN())),OFFSET($CL$2,0,0,ROW()-1,84),ROW()-1,FALSE))</f>
        <v/>
      </c>
      <c r="U140">
        <f ca="1">IF(AND(ISNUMBER($U$351),$B$252=1),$U$351,HLOOKUP(INDIRECT(ADDRESS(2,COLUMN())),OFFSET($CL$2,0,0,ROW()-1,84),ROW()-1,FALSE))</f>
        <v>11.034769989999999</v>
      </c>
      <c r="V140" t="str">
        <f ca="1">IF(AND(ISNUMBER($V$351),$B$252=1),$V$351,HLOOKUP(INDIRECT(ADDRESS(2,COLUMN())),OFFSET($CL$2,0,0,ROW()-1,84),ROW()-1,FALSE))</f>
        <v/>
      </c>
      <c r="W140" t="str">
        <f ca="1">IF(AND(ISNUMBER($W$351),$B$252=1),$W$351,HLOOKUP(INDIRECT(ADDRESS(2,COLUMN())),OFFSET($CL$2,0,0,ROW()-1,84),ROW()-1,FALSE))</f>
        <v/>
      </c>
      <c r="X140">
        <f ca="1">IF(AND(ISNUMBER($X$351),$B$252=1),$X$351,HLOOKUP(INDIRECT(ADDRESS(2,COLUMN())),OFFSET($CL$2,0,0,ROW()-1,84),ROW()-1,FALSE))</f>
        <v>10.855447290000001</v>
      </c>
      <c r="Y140" t="str">
        <f ca="1">IF(AND(ISNUMBER($Y$351),$B$252=1),$Y$351,HLOOKUP(INDIRECT(ADDRESS(2,COLUMN())),OFFSET($CL$2,0,0,ROW()-1,84),ROW()-1,FALSE))</f>
        <v/>
      </c>
      <c r="Z140" t="str">
        <f ca="1">IF(AND(ISNUMBER($Z$351),$B$252=1),$Z$351,HLOOKUP(INDIRECT(ADDRESS(2,COLUMN())),OFFSET($CL$2,0,0,ROW()-1,84),ROW()-1,FALSE))</f>
        <v/>
      </c>
      <c r="AA140">
        <f ca="1">IF(AND(ISNUMBER($AA$351),$B$252=1),$AA$351,HLOOKUP(INDIRECT(ADDRESS(2,COLUMN())),OFFSET($CL$2,0,0,ROW()-1,84),ROW()-1,FALSE))</f>
        <v>10.54397923</v>
      </c>
      <c r="AB140" t="str">
        <f ca="1">IF(AND(ISNUMBER($AB$351),$B$252=1),$AB$351,HLOOKUP(INDIRECT(ADDRESS(2,COLUMN())),OFFSET($CL$2,0,0,ROW()-1,84),ROW()-1,FALSE))</f>
        <v/>
      </c>
      <c r="AC140" t="str">
        <f ca="1">IF(AND(ISNUMBER($AC$351),$B$252=1),$AC$351,HLOOKUP(INDIRECT(ADDRESS(2,COLUMN())),OFFSET($CL$2,0,0,ROW()-1,84),ROW()-1,FALSE))</f>
        <v/>
      </c>
      <c r="AD140">
        <f ca="1">IF(AND(ISNUMBER($AD$351),$B$252=1),$AD$351,HLOOKUP(INDIRECT(ADDRESS(2,COLUMN())),OFFSET($CL$2,0,0,ROW()-1,84),ROW()-1,FALSE))</f>
        <v>10.20237399</v>
      </c>
      <c r="AE140" t="str">
        <f ca="1">IF(AND(ISNUMBER($AE$351),$B$252=1),$AE$351,HLOOKUP(INDIRECT(ADDRESS(2,COLUMN())),OFFSET($CL$2,0,0,ROW()-1,84),ROW()-1,FALSE))</f>
        <v/>
      </c>
      <c r="AF140" t="str">
        <f ca="1">IF(AND(ISNUMBER($AF$351),$B$252=1),$AF$351,HLOOKUP(INDIRECT(ADDRESS(2,COLUMN())),OFFSET($CL$2,0,0,ROW()-1,84),ROW()-1,FALSE))</f>
        <v/>
      </c>
      <c r="AG140">
        <f ca="1">IF(AND(ISNUMBER($AG$351),$B$252=1),$AG$351,HLOOKUP(INDIRECT(ADDRESS(2,COLUMN())),OFFSET($CL$2,0,0,ROW()-1,84),ROW()-1,FALSE))</f>
        <v>9.8149751930000004</v>
      </c>
      <c r="AH140" t="str">
        <f ca="1">IF(AND(ISNUMBER($AH$351),$B$252=1),$AH$351,HLOOKUP(INDIRECT(ADDRESS(2,COLUMN())),OFFSET($CL$2,0,0,ROW()-1,84),ROW()-1,FALSE))</f>
        <v/>
      </c>
      <c r="AI140" t="str">
        <f ca="1">IF(AND(ISNUMBER($AI$351),$B$252=1),$AI$351,HLOOKUP(INDIRECT(ADDRESS(2,COLUMN())),OFFSET($CL$2,0,0,ROW()-1,84),ROW()-1,FALSE))</f>
        <v/>
      </c>
      <c r="AJ140">
        <f ca="1">IF(AND(ISNUMBER($AJ$351),$B$252=1),$AJ$351,HLOOKUP(INDIRECT(ADDRESS(2,COLUMN())),OFFSET($CL$2,0,0,ROW()-1,84),ROW()-1,FALSE))</f>
        <v>9.2552848030000003</v>
      </c>
      <c r="AK140" t="str">
        <f ca="1">IF(AND(ISNUMBER($AK$351),$B$252=1),$AK$351,HLOOKUP(INDIRECT(ADDRESS(2,COLUMN())),OFFSET($CL$2,0,0,ROW()-1,84),ROW()-1,FALSE))</f>
        <v/>
      </c>
      <c r="AL140" t="str">
        <f ca="1">IF(AND(ISNUMBER($AL$351),$B$252=1),$AL$351,HLOOKUP(INDIRECT(ADDRESS(2,COLUMN())),OFFSET($CL$2,0,0,ROW()-1,84),ROW()-1,FALSE))</f>
        <v/>
      </c>
      <c r="AM140">
        <f ca="1">IF(AND(ISNUMBER($AM$351),$B$252=1),$AM$351,HLOOKUP(INDIRECT(ADDRESS(2,COLUMN())),OFFSET($CL$2,0,0,ROW()-1,84),ROW()-1,FALSE))</f>
        <v>8.7093844679999997</v>
      </c>
      <c r="AN140" t="str">
        <f ca="1">IF(AND(ISNUMBER($AN$351),$B$252=1),$AN$351,HLOOKUP(INDIRECT(ADDRESS(2,COLUMN())),OFFSET($CL$2,0,0,ROW()-1,84),ROW()-1,FALSE))</f>
        <v/>
      </c>
      <c r="AO140" t="str">
        <f ca="1">IF(AND(ISNUMBER($AO$351),$B$252=1),$AO$351,HLOOKUP(INDIRECT(ADDRESS(2,COLUMN())),OFFSET($CL$2,0,0,ROW()-1,84),ROW()-1,FALSE))</f>
        <v/>
      </c>
      <c r="AP140">
        <f ca="1">IF(AND(ISNUMBER($AP$351),$B$252=1),$AP$351,HLOOKUP(INDIRECT(ADDRESS(2,COLUMN())),OFFSET($CL$2,0,0,ROW()-1,84),ROW()-1,FALSE))</f>
        <v>8.3245480349999994</v>
      </c>
      <c r="AQ140" t="str">
        <f ca="1">IF(AND(ISNUMBER($AQ$351),$B$252=1),$AQ$351,HLOOKUP(INDIRECT(ADDRESS(2,COLUMN())),OFFSET($CL$2,0,0,ROW()-1,84),ROW()-1,FALSE))</f>
        <v/>
      </c>
      <c r="AR140" t="str">
        <f ca="1">IF(AND(ISNUMBER($AR$351),$B$252=1),$AR$351,HLOOKUP(INDIRECT(ADDRESS(2,COLUMN())),OFFSET($CL$2,0,0,ROW()-1,84),ROW()-1,FALSE))</f>
        <v/>
      </c>
      <c r="AS140">
        <f ca="1">IF(AND(ISNUMBER($AS$351),$B$252=1),$AS$351,HLOOKUP(INDIRECT(ADDRESS(2,COLUMN())),OFFSET($CL$2,0,0,ROW()-1,84),ROW()-1,FALSE))</f>
        <v>8.0504056229999996</v>
      </c>
      <c r="AT140" t="str">
        <f ca="1">IF(AND(ISNUMBER($AT$351),$B$252=1),$AT$351,HLOOKUP(INDIRECT(ADDRESS(2,COLUMN())),OFFSET($CL$2,0,0,ROW()-1,84),ROW()-1,FALSE))</f>
        <v/>
      </c>
      <c r="AU140" t="str">
        <f ca="1">IF(AND(ISNUMBER($AU$351),$B$252=1),$AU$351,HLOOKUP(INDIRECT(ADDRESS(2,COLUMN())),OFFSET($CL$2,0,0,ROW()-1,84),ROW()-1,FALSE))</f>
        <v/>
      </c>
      <c r="AV140">
        <f ca="1">IF(AND(ISNUMBER($AV$351),$B$252=1),$AV$351,HLOOKUP(INDIRECT(ADDRESS(2,COLUMN())),OFFSET($CL$2,0,0,ROW()-1,84),ROW()-1,FALSE))</f>
        <v>7.793462602</v>
      </c>
      <c r="AW140" t="str">
        <f ca="1">IF(AND(ISNUMBER($AW$351),$B$252=1),$AW$351,HLOOKUP(INDIRECT(ADDRESS(2,COLUMN())),OFFSET($CL$2,0,0,ROW()-1,84),ROW()-1,FALSE))</f>
        <v/>
      </c>
      <c r="AX140" t="str">
        <f ca="1">IF(AND(ISNUMBER($AX$351),$B$252=1),$AX$351,HLOOKUP(INDIRECT(ADDRESS(2,COLUMN())),OFFSET($CL$2,0,0,ROW()-1,84),ROW()-1,FALSE))</f>
        <v/>
      </c>
      <c r="AY140">
        <f ca="1">IF(AND(ISNUMBER($AY$351),$B$252=1),$AY$351,HLOOKUP(INDIRECT(ADDRESS(2,COLUMN())),OFFSET($CL$2,0,0,ROW()-1,84),ROW()-1,FALSE))</f>
        <v>7.5147131759999999</v>
      </c>
      <c r="AZ140" t="str">
        <f ca="1">IF(AND(ISNUMBER($AZ$351),$B$252=1),$AZ$351,HLOOKUP(INDIRECT(ADDRESS(2,COLUMN())),OFFSET($CL$2,0,0,ROW()-1,84),ROW()-1,FALSE))</f>
        <v/>
      </c>
      <c r="BA140" t="str">
        <f ca="1">IF(AND(ISNUMBER($BA$351),$B$252=1),$BA$351,HLOOKUP(INDIRECT(ADDRESS(2,COLUMN())),OFFSET($CL$2,0,0,ROW()-1,84),ROW()-1,FALSE))</f>
        <v/>
      </c>
      <c r="BB140">
        <f ca="1">IF(AND(ISNUMBER($BB$351),$B$252=1),$BB$351,HLOOKUP(INDIRECT(ADDRESS(2,COLUMN())),OFFSET($CL$2,0,0,ROW()-1,84),ROW()-1,FALSE))</f>
        <v>7.164007539</v>
      </c>
      <c r="BC140" t="str">
        <f ca="1">IF(AND(ISNUMBER($BC$351),$B$252=1),$BC$351,HLOOKUP(INDIRECT(ADDRESS(2,COLUMN())),OFFSET($CL$2,0,0,ROW()-1,84),ROW()-1,FALSE))</f>
        <v/>
      </c>
      <c r="BD140" t="str">
        <f ca="1">IF(AND(ISNUMBER($BD$351),$B$252=1),$BD$351,HLOOKUP(INDIRECT(ADDRESS(2,COLUMN())),OFFSET($CL$2,0,0,ROW()-1,84),ROW()-1,FALSE))</f>
        <v/>
      </c>
      <c r="BE140">
        <f ca="1">IF(AND(ISNUMBER($BE$351),$B$252=1),$BE$351,HLOOKUP(INDIRECT(ADDRESS(2,COLUMN())),OFFSET($CL$2,0,0,ROW()-1,84),ROW()-1,FALSE))</f>
        <v>6.9129064109999998</v>
      </c>
      <c r="BF140" t="str">
        <f ca="1">IF(AND(ISNUMBER($BF$351),$B$252=1),$BF$351,HLOOKUP(INDIRECT(ADDRESS(2,COLUMN())),OFFSET($CL$2,0,0,ROW()-1,84),ROW()-1,FALSE))</f>
        <v/>
      </c>
      <c r="BG140" t="str">
        <f ca="1">IF(AND(ISNUMBER($BG$351),$B$252=1),$BG$351,HLOOKUP(INDIRECT(ADDRESS(2,COLUMN())),OFFSET($CL$2,0,0,ROW()-1,84),ROW()-1,FALSE))</f>
        <v/>
      </c>
      <c r="BH140">
        <f ca="1">IF(AND(ISNUMBER($BH$351),$B$252=1),$BH$351,HLOOKUP(INDIRECT(ADDRESS(2,COLUMN())),OFFSET($CL$2,0,0,ROW()-1,84),ROW()-1,FALSE))</f>
        <v>6.5222699970000004</v>
      </c>
      <c r="BI140" t="str">
        <f ca="1">IF(AND(ISNUMBER($BI$351),$B$252=1),$BI$351,HLOOKUP(INDIRECT(ADDRESS(2,COLUMN())),OFFSET($CL$2,0,0,ROW()-1,84),ROW()-1,FALSE))</f>
        <v/>
      </c>
      <c r="BJ140" t="str">
        <f ca="1">IF(AND(ISNUMBER($BJ$351),$B$252=1),$BJ$351,HLOOKUP(INDIRECT(ADDRESS(2,COLUMN())),OFFSET($CL$2,0,0,ROW()-1,84),ROW()-1,FALSE))</f>
        <v/>
      </c>
      <c r="BK140">
        <f ca="1">IF(AND(ISNUMBER($BK$351),$B$252=1),$BK$351,HLOOKUP(INDIRECT(ADDRESS(2,COLUMN())),OFFSET($CL$2,0,0,ROW()-1,84),ROW()-1,FALSE))</f>
        <v>6.7908597769999997</v>
      </c>
      <c r="BL140" t="str">
        <f ca="1">IF(AND(ISNUMBER($BL$351),$B$252=1),$BL$351,HLOOKUP(INDIRECT(ADDRESS(2,COLUMN())),OFFSET($CL$2,0,0,ROW()-1,84),ROW()-1,FALSE))</f>
        <v/>
      </c>
      <c r="BM140" t="str">
        <f ca="1">IF(AND(ISNUMBER($BM$351),$B$252=1),$BM$351,HLOOKUP(INDIRECT(ADDRESS(2,COLUMN())),OFFSET($CL$2,0,0,ROW()-1,84),ROW()-1,FALSE))</f>
        <v/>
      </c>
      <c r="BN140">
        <f ca="1">IF(AND(ISNUMBER($BN$351),$B$252=1),$BN$351,HLOOKUP(INDIRECT(ADDRESS(2,COLUMN())),OFFSET($CL$2,0,0,ROW()-1,84),ROW()-1,FALSE))</f>
        <v>6.6863878699999999</v>
      </c>
      <c r="BO140" t="str">
        <f ca="1">IF(AND(ISNUMBER($BO$351),$B$252=1),$BO$351,HLOOKUP(INDIRECT(ADDRESS(2,COLUMN())),OFFSET($CL$2,0,0,ROW()-1,84),ROW()-1,FALSE))</f>
        <v/>
      </c>
      <c r="BP140" t="str">
        <f ca="1">IF(AND(ISNUMBER($BP$351),$B$252=1),$BP$351,HLOOKUP(INDIRECT(ADDRESS(2,COLUMN())),OFFSET($CL$2,0,0,ROW()-1,84),ROW()-1,FALSE))</f>
        <v/>
      </c>
      <c r="BQ140">
        <f ca="1">IF(AND(ISNUMBER($BQ$351),$B$252=1),$BQ$351,HLOOKUP(INDIRECT(ADDRESS(2,COLUMN())),OFFSET($CL$2,0,0,ROW()-1,84),ROW()-1,FALSE))</f>
        <v>6.5217999449999997</v>
      </c>
      <c r="BR140" t="str">
        <f ca="1">IF(AND(ISNUMBER($BR$351),$B$252=1),$BR$351,HLOOKUP(INDIRECT(ADDRESS(2,COLUMN())),OFFSET($CL$2,0,0,ROW()-1,84),ROW()-1,FALSE))</f>
        <v/>
      </c>
      <c r="BS140" t="str">
        <f ca="1">IF(AND(ISNUMBER($BS$351),$B$252=1),$BS$351,HLOOKUP(INDIRECT(ADDRESS(2,COLUMN())),OFFSET($CL$2,0,0,ROW()-1,84),ROW()-1,FALSE))</f>
        <v/>
      </c>
      <c r="BT140">
        <f ca="1">IF(AND(ISNUMBER($BT$351),$B$252=1),$BT$351,HLOOKUP(INDIRECT(ADDRESS(2,COLUMN())),OFFSET($CL$2,0,0,ROW()-1,84),ROW()-1,FALSE))</f>
        <v>6.266054091</v>
      </c>
      <c r="BU140" t="str">
        <f ca="1">IF(AND(ISNUMBER($BU$351),$B$252=1),$BU$351,HLOOKUP(INDIRECT(ADDRESS(2,COLUMN())),OFFSET($CL$2,0,0,ROW()-1,84),ROW()-1,FALSE))</f>
        <v/>
      </c>
      <c r="BV140" t="str">
        <f ca="1">IF(AND(ISNUMBER($BV$351),$B$252=1),$BV$351,HLOOKUP(INDIRECT(ADDRESS(2,COLUMN())),OFFSET($CL$2,0,0,ROW()-1,84),ROW()-1,FALSE))</f>
        <v/>
      </c>
      <c r="BW140">
        <f ca="1">IF(AND(ISNUMBER($BW$351),$B$252=1),$BW$351,HLOOKUP(INDIRECT(ADDRESS(2,COLUMN())),OFFSET($CL$2,0,0,ROW()-1,84),ROW()-1,FALSE))</f>
        <v>5.5681716950000002</v>
      </c>
      <c r="BX140" t="str">
        <f ca="1">IF(AND(ISNUMBER($BX$351),$B$252=1),$BX$351,HLOOKUP(INDIRECT(ADDRESS(2,COLUMN())),OFFSET($CL$2,0,0,ROW()-1,84),ROW()-1,FALSE))</f>
        <v/>
      </c>
      <c r="BY140" t="str">
        <f ca="1">IF(AND(ISNUMBER($BY$351),$B$252=1),$BY$351,HLOOKUP(INDIRECT(ADDRESS(2,COLUMN())),OFFSET($CL$2,0,0,ROW()-1,84),ROW()-1,FALSE))</f>
        <v/>
      </c>
      <c r="BZ140">
        <f ca="1">IF(AND(ISNUMBER($BZ$351),$B$252=1),$BZ$351,HLOOKUP(INDIRECT(ADDRESS(2,COLUMN())),OFFSET($CL$2,0,0,ROW()-1,84),ROW()-1,FALSE))</f>
        <v>5.2641057340000001</v>
      </c>
      <c r="CA140" t="str">
        <f ca="1">IF(AND(ISNUMBER($CA$351),$B$252=1),$CA$351,HLOOKUP(INDIRECT(ADDRESS(2,COLUMN())),OFFSET($CL$2,0,0,ROW()-1,84),ROW()-1,FALSE))</f>
        <v/>
      </c>
      <c r="CB140" t="str">
        <f ca="1">IF(AND(ISNUMBER($CB$351),$B$252=1),$CB$351,HLOOKUP(INDIRECT(ADDRESS(2,COLUMN())),OFFSET($CL$2,0,0,ROW()-1,84),ROW()-1,FALSE))</f>
        <v/>
      </c>
      <c r="CC140">
        <f ca="1">IF(AND(ISNUMBER($CC$351),$B$252=1),$CC$351,HLOOKUP(INDIRECT(ADDRESS(2,COLUMN())),OFFSET($CL$2,0,0,ROW()-1,84),ROW()-1,FALSE))</f>
        <v>4.8874471039999996</v>
      </c>
      <c r="CD140" t="str">
        <f ca="1">IF(AND(ISNUMBER($CD$351),$B$252=1),$CD$351,HLOOKUP(INDIRECT(ADDRESS(2,COLUMN())),OFFSET($CL$2,0,0,ROW()-1,84),ROW()-1,FALSE))</f>
        <v/>
      </c>
      <c r="CE140" t="str">
        <f ca="1">IF(AND(ISNUMBER($CE$351),$B$252=1),$CE$351,HLOOKUP(INDIRECT(ADDRESS(2,COLUMN())),OFFSET($CL$2,0,0,ROW()-1,84),ROW()-1,FALSE))</f>
        <v/>
      </c>
      <c r="CF140">
        <f ca="1">IF(AND(ISNUMBER($CF$351),$B$252=1),$CF$351,HLOOKUP(INDIRECT(ADDRESS(2,COLUMN())),OFFSET($CL$2,0,0,ROW()-1,84),ROW()-1,FALSE))</f>
        <v>4.995033576</v>
      </c>
      <c r="CG140" t="str">
        <f ca="1">IF(AND(ISNUMBER($CG$351),$B$252=1),$CG$351,HLOOKUP(INDIRECT(ADDRESS(2,COLUMN())),OFFSET($CL$2,0,0,ROW()-1,84),ROW()-1,FALSE))</f>
        <v/>
      </c>
      <c r="CH140" t="str">
        <f ca="1">IF(AND(ISNUMBER($CH$351),$B$252=1),$CH$351,HLOOKUP(INDIRECT(ADDRESS(2,COLUMN())),OFFSET($CL$2,0,0,ROW()-1,84),ROW()-1,FALSE))</f>
        <v/>
      </c>
      <c r="CI140">
        <f ca="1">IF(AND(ISNUMBER($CI$351),$B$252=1),$CI$351,HLOOKUP(INDIRECT(ADDRESS(2,COLUMN())),OFFSET($CL$2,0,0,ROW()-1,84),ROW()-1,FALSE))</f>
        <v>5.0134254519999999</v>
      </c>
      <c r="CJ140" t="str">
        <f ca="1">IF(AND(ISNUMBER($CJ$351),$B$252=1),$CJ$351,HLOOKUP(INDIRECT(ADDRESS(2,COLUMN())),OFFSET($CL$2,0,0,ROW()-1,84),ROW()-1,FALSE))</f>
        <v/>
      </c>
      <c r="CK140" t="str">
        <f ca="1">IF(AND(ISNUMBER($CK$351),$B$252=1),$CK$351,HLOOKUP(INDIRECT(ADDRESS(2,COLUMN())),OFFSET($CL$2,0,0,ROW()-1,84),ROW()-1,FALSE))</f>
        <v/>
      </c>
      <c r="CL140" t="str">
        <f>""</f>
        <v/>
      </c>
      <c r="CM140" t="str">
        <f>""</f>
        <v/>
      </c>
      <c r="CN140" t="str">
        <f>""</f>
        <v/>
      </c>
      <c r="CO140">
        <f>11.46276712</f>
        <v>11.462767120000001</v>
      </c>
      <c r="CP140" t="str">
        <f>""</f>
        <v/>
      </c>
      <c r="CQ140" t="str">
        <f>""</f>
        <v/>
      </c>
      <c r="CR140">
        <f>11.26129747</f>
        <v>11.261297470000001</v>
      </c>
      <c r="CS140" t="str">
        <f>""</f>
        <v/>
      </c>
      <c r="CT140" t="str">
        <f>""</f>
        <v/>
      </c>
      <c r="CU140">
        <f>11.38746765</f>
        <v>11.38746765</v>
      </c>
      <c r="CV140" t="str">
        <f>""</f>
        <v/>
      </c>
      <c r="CW140" t="str">
        <f>""</f>
        <v/>
      </c>
      <c r="CX140">
        <f>11.15719486</f>
        <v>11.157194860000001</v>
      </c>
      <c r="CY140" t="str">
        <f>""</f>
        <v/>
      </c>
      <c r="CZ140" t="str">
        <f>""</f>
        <v/>
      </c>
      <c r="DA140">
        <f>11.03476999</f>
        <v>11.034769989999999</v>
      </c>
      <c r="DB140" t="str">
        <f>""</f>
        <v/>
      </c>
      <c r="DC140" t="str">
        <f>""</f>
        <v/>
      </c>
      <c r="DD140">
        <f>10.85544729</f>
        <v>10.855447290000001</v>
      </c>
      <c r="DE140" t="str">
        <f>""</f>
        <v/>
      </c>
      <c r="DF140" t="str">
        <f>""</f>
        <v/>
      </c>
      <c r="DG140">
        <f>10.54397923</f>
        <v>10.54397923</v>
      </c>
      <c r="DH140" t="str">
        <f>""</f>
        <v/>
      </c>
      <c r="DI140" t="str">
        <f>""</f>
        <v/>
      </c>
      <c r="DJ140">
        <f>10.20237399</f>
        <v>10.20237399</v>
      </c>
      <c r="DK140" t="str">
        <f>""</f>
        <v/>
      </c>
      <c r="DL140" t="str">
        <f>""</f>
        <v/>
      </c>
      <c r="DM140">
        <f>9.814975193</f>
        <v>9.8149751930000004</v>
      </c>
      <c r="DN140" t="str">
        <f>""</f>
        <v/>
      </c>
      <c r="DO140" t="str">
        <f>""</f>
        <v/>
      </c>
      <c r="DP140">
        <f>9.255284803</f>
        <v>9.2552848030000003</v>
      </c>
      <c r="DQ140" t="str">
        <f>""</f>
        <v/>
      </c>
      <c r="DR140" t="str">
        <f>""</f>
        <v/>
      </c>
      <c r="DS140">
        <f>8.709384468</f>
        <v>8.7093844679999997</v>
      </c>
      <c r="DT140" t="str">
        <f>""</f>
        <v/>
      </c>
      <c r="DU140" t="str">
        <f>""</f>
        <v/>
      </c>
      <c r="DV140">
        <f>8.324548035</f>
        <v>8.3245480349999994</v>
      </c>
      <c r="DW140" t="str">
        <f>""</f>
        <v/>
      </c>
      <c r="DX140" t="str">
        <f>""</f>
        <v/>
      </c>
      <c r="DY140">
        <f>8.050405623</f>
        <v>8.0504056229999996</v>
      </c>
      <c r="DZ140" t="str">
        <f>""</f>
        <v/>
      </c>
      <c r="EA140" t="str">
        <f>""</f>
        <v/>
      </c>
      <c r="EB140">
        <f>7.793462602</f>
        <v>7.793462602</v>
      </c>
      <c r="EC140" t="str">
        <f>""</f>
        <v/>
      </c>
      <c r="ED140" t="str">
        <f>""</f>
        <v/>
      </c>
      <c r="EE140">
        <f>7.514713176</f>
        <v>7.5147131759999999</v>
      </c>
      <c r="EF140" t="str">
        <f>""</f>
        <v/>
      </c>
      <c r="EG140" t="str">
        <f>""</f>
        <v/>
      </c>
      <c r="EH140">
        <f>7.164007539</f>
        <v>7.164007539</v>
      </c>
      <c r="EI140" t="str">
        <f>""</f>
        <v/>
      </c>
      <c r="EJ140" t="str">
        <f>""</f>
        <v/>
      </c>
      <c r="EK140">
        <f>6.912906411</f>
        <v>6.9129064109999998</v>
      </c>
      <c r="EL140" t="str">
        <f>""</f>
        <v/>
      </c>
      <c r="EM140" t="str">
        <f>""</f>
        <v/>
      </c>
      <c r="EN140">
        <f>6.522269997</f>
        <v>6.5222699970000004</v>
      </c>
      <c r="EO140" t="str">
        <f>""</f>
        <v/>
      </c>
      <c r="EP140" t="str">
        <f>""</f>
        <v/>
      </c>
      <c r="EQ140">
        <f>6.790859777</f>
        <v>6.7908597769999997</v>
      </c>
      <c r="ER140" t="str">
        <f>""</f>
        <v/>
      </c>
      <c r="ES140" t="str">
        <f>""</f>
        <v/>
      </c>
      <c r="ET140">
        <f>6.68638787</f>
        <v>6.6863878699999999</v>
      </c>
      <c r="EU140" t="str">
        <f>""</f>
        <v/>
      </c>
      <c r="EV140" t="str">
        <f>""</f>
        <v/>
      </c>
      <c r="EW140">
        <f>6.521799945</f>
        <v>6.5217999449999997</v>
      </c>
      <c r="EX140" t="str">
        <f>""</f>
        <v/>
      </c>
      <c r="EY140" t="str">
        <f>""</f>
        <v/>
      </c>
      <c r="EZ140">
        <f>6.266054091</f>
        <v>6.266054091</v>
      </c>
      <c r="FA140" t="str">
        <f>""</f>
        <v/>
      </c>
      <c r="FB140" t="str">
        <f>""</f>
        <v/>
      </c>
      <c r="FC140">
        <f>5.568171695</f>
        <v>5.5681716950000002</v>
      </c>
      <c r="FD140" t="str">
        <f>""</f>
        <v/>
      </c>
      <c r="FE140" t="str">
        <f>""</f>
        <v/>
      </c>
      <c r="FF140">
        <f>5.264105734</f>
        <v>5.2641057340000001</v>
      </c>
      <c r="FG140" t="str">
        <f>""</f>
        <v/>
      </c>
      <c r="FH140" t="str">
        <f>""</f>
        <v/>
      </c>
      <c r="FI140">
        <f>4.887447104</f>
        <v>4.8874471039999996</v>
      </c>
      <c r="FJ140" t="str">
        <f>""</f>
        <v/>
      </c>
      <c r="FK140" t="str">
        <f>""</f>
        <v/>
      </c>
      <c r="FL140">
        <f>4.995033576</f>
        <v>4.995033576</v>
      </c>
      <c r="FM140" t="str">
        <f>""</f>
        <v/>
      </c>
      <c r="FN140" t="str">
        <f>""</f>
        <v/>
      </c>
      <c r="FO140">
        <f>5.013425452</f>
        <v>5.0134254519999999</v>
      </c>
      <c r="FP140" t="str">
        <f>""</f>
        <v/>
      </c>
      <c r="FQ140" t="str">
        <f>""</f>
        <v/>
      </c>
    </row>
    <row r="141" spans="1:173">
      <c r="A141" t="str">
        <f>"    Mid-America Apartment Communities股份有限公司"</f>
        <v xml:space="preserve">    Mid-America Apartment Communities股份有限公司</v>
      </c>
      <c r="B141" t="str">
        <f>"MAA US Equity"</f>
        <v>MAA US Equity</v>
      </c>
      <c r="C141" t="str">
        <f t="shared" si="42"/>
        <v>F0892</v>
      </c>
      <c r="D141" t="str">
        <f t="shared" si="43"/>
        <v>TRAILING_12_MONTHS_FAD_PS</v>
      </c>
      <c r="E141" t="str">
        <f t="shared" si="44"/>
        <v>动态</v>
      </c>
      <c r="F141" t="str">
        <f ca="1">IF(AND(ISNUMBER($F$352),$B$252=1),$F$352,HLOOKUP(INDIRECT(ADDRESS(2,COLUMN())),OFFSET($CL$2,0,0,ROW()-1,84),ROW()-1,FALSE))</f>
        <v/>
      </c>
      <c r="G141" t="str">
        <f ca="1">IF(AND(ISNUMBER($G$352),$B$252=1),$G$352,HLOOKUP(INDIRECT(ADDRESS(2,COLUMN())),OFFSET($CL$2,0,0,ROW()-1,84),ROW()-1,FALSE))</f>
        <v/>
      </c>
      <c r="H141" t="str">
        <f ca="1">IF(AND(ISNUMBER($H$352),$B$252=1),$H$352,HLOOKUP(INDIRECT(ADDRESS(2,COLUMN())),OFFSET($CL$2,0,0,ROW()-1,84),ROW()-1,FALSE))</f>
        <v/>
      </c>
      <c r="I141">
        <f ca="1">IF(AND(ISNUMBER($I$352),$B$252=1),$I$352,HLOOKUP(INDIRECT(ADDRESS(2,COLUMN())),OFFSET($CL$2,0,0,ROW()-1,84),ROW()-1,FALSE))</f>
        <v>4.4407500090000003</v>
      </c>
      <c r="J141" t="str">
        <f ca="1">IF(AND(ISNUMBER($J$352),$B$252=1),$J$352,HLOOKUP(INDIRECT(ADDRESS(2,COLUMN())),OFFSET($CL$2,0,0,ROW()-1,84),ROW()-1,FALSE))</f>
        <v/>
      </c>
      <c r="K141" t="str">
        <f ca="1">IF(AND(ISNUMBER($K$352),$B$252=1),$K$352,HLOOKUP(INDIRECT(ADDRESS(2,COLUMN())),OFFSET($CL$2,0,0,ROW()-1,84),ROW()-1,FALSE))</f>
        <v/>
      </c>
      <c r="L141">
        <f ca="1">IF(AND(ISNUMBER($L$352),$B$252=1),$L$352,HLOOKUP(INDIRECT(ADDRESS(2,COLUMN())),OFFSET($CL$2,0,0,ROW()-1,84),ROW()-1,FALSE))</f>
        <v>4.2249587599999998</v>
      </c>
      <c r="M141" t="str">
        <f ca="1">IF(AND(ISNUMBER($M$352),$B$252=1),$M$352,HLOOKUP(INDIRECT(ADDRESS(2,COLUMN())),OFFSET($CL$2,0,0,ROW()-1,84),ROW()-1,FALSE))</f>
        <v/>
      </c>
      <c r="N141" t="str">
        <f ca="1">IF(AND(ISNUMBER($N$352),$B$252=1),$N$352,HLOOKUP(INDIRECT(ADDRESS(2,COLUMN())),OFFSET($CL$2,0,0,ROW()-1,84),ROW()-1,FALSE))</f>
        <v/>
      </c>
      <c r="O141">
        <f ca="1">IF(AND(ISNUMBER($O$352),$B$252=1),$O$352,HLOOKUP(INDIRECT(ADDRESS(2,COLUMN())),OFFSET($CL$2,0,0,ROW()-1,84),ROW()-1,FALSE))</f>
        <v>4.1958127779999996</v>
      </c>
      <c r="P141" t="str">
        <f ca="1">IF(AND(ISNUMBER($P$352),$B$252=1),$P$352,HLOOKUP(INDIRECT(ADDRESS(2,COLUMN())),OFFSET($CL$2,0,0,ROW()-1,84),ROW()-1,FALSE))</f>
        <v/>
      </c>
      <c r="Q141" t="str">
        <f ca="1">IF(AND(ISNUMBER($Q$352),$B$252=1),$Q$352,HLOOKUP(INDIRECT(ADDRESS(2,COLUMN())),OFFSET($CL$2,0,0,ROW()-1,84),ROW()-1,FALSE))</f>
        <v/>
      </c>
      <c r="R141">
        <f ca="1">IF(AND(ISNUMBER($R$352),$B$252=1),$R$352,HLOOKUP(INDIRECT(ADDRESS(2,COLUMN())),OFFSET($CL$2,0,0,ROW()-1,84),ROW()-1,FALSE))</f>
        <v>4.1686980890000003</v>
      </c>
      <c r="S141" t="str">
        <f ca="1">IF(AND(ISNUMBER($S$352),$B$252=1),$S$352,HLOOKUP(INDIRECT(ADDRESS(2,COLUMN())),OFFSET($CL$2,0,0,ROW()-1,84),ROW()-1,FALSE))</f>
        <v/>
      </c>
      <c r="T141" t="str">
        <f ca="1">IF(AND(ISNUMBER($T$352),$B$252=1),$T$352,HLOOKUP(INDIRECT(ADDRESS(2,COLUMN())),OFFSET($CL$2,0,0,ROW()-1,84),ROW()-1,FALSE))</f>
        <v/>
      </c>
      <c r="U141">
        <f ca="1">IF(AND(ISNUMBER($U$352),$B$252=1),$U$352,HLOOKUP(INDIRECT(ADDRESS(2,COLUMN())),OFFSET($CL$2,0,0,ROW()-1,84),ROW()-1,FALSE))</f>
        <v>4.0619729270000002</v>
      </c>
      <c r="V141" t="str">
        <f ca="1">IF(AND(ISNUMBER($V$352),$B$252=1),$V$352,HLOOKUP(INDIRECT(ADDRESS(2,COLUMN())),OFFSET($CL$2,0,0,ROW()-1,84),ROW()-1,FALSE))</f>
        <v/>
      </c>
      <c r="W141" t="str">
        <f ca="1">IF(AND(ISNUMBER($W$352),$B$252=1),$W$352,HLOOKUP(INDIRECT(ADDRESS(2,COLUMN())),OFFSET($CL$2,0,0,ROW()-1,84),ROW()-1,FALSE))</f>
        <v/>
      </c>
      <c r="X141">
        <f ca="1">IF(AND(ISNUMBER($X$352),$B$252=1),$X$352,HLOOKUP(INDIRECT(ADDRESS(2,COLUMN())),OFFSET($CL$2,0,0,ROW()-1,84),ROW()-1,FALSE))</f>
        <v>4.3191758760000001</v>
      </c>
      <c r="Y141" t="str">
        <f ca="1">IF(AND(ISNUMBER($Y$352),$B$252=1),$Y$352,HLOOKUP(INDIRECT(ADDRESS(2,COLUMN())),OFFSET($CL$2,0,0,ROW()-1,84),ROW()-1,FALSE))</f>
        <v/>
      </c>
      <c r="Z141" t="str">
        <f ca="1">IF(AND(ISNUMBER($Z$352),$B$252=1),$Z$352,HLOOKUP(INDIRECT(ADDRESS(2,COLUMN())),OFFSET($CL$2,0,0,ROW()-1,84),ROW()-1,FALSE))</f>
        <v/>
      </c>
      <c r="AA141">
        <f ca="1">IF(AND(ISNUMBER($AA$352),$B$252=1),$AA$352,HLOOKUP(INDIRECT(ADDRESS(2,COLUMN())),OFFSET($CL$2,0,0,ROW()-1,84),ROW()-1,FALSE))</f>
        <v>4.1789959339999996</v>
      </c>
      <c r="AB141" t="str">
        <f ca="1">IF(AND(ISNUMBER($AB$352),$B$252=1),$AB$352,HLOOKUP(INDIRECT(ADDRESS(2,COLUMN())),OFFSET($CL$2,0,0,ROW()-1,84),ROW()-1,FALSE))</f>
        <v/>
      </c>
      <c r="AC141" t="str">
        <f ca="1">IF(AND(ISNUMBER($AC$352),$B$252=1),$AC$352,HLOOKUP(INDIRECT(ADDRESS(2,COLUMN())),OFFSET($CL$2,0,0,ROW()-1,84),ROW()-1,FALSE))</f>
        <v/>
      </c>
      <c r="AD141">
        <f ca="1">IF(AND(ISNUMBER($AD$352),$B$252=1),$AD$352,HLOOKUP(INDIRECT(ADDRESS(2,COLUMN())),OFFSET($CL$2,0,0,ROW()-1,84),ROW()-1,FALSE))</f>
        <v>4.232528479</v>
      </c>
      <c r="AE141" t="str">
        <f ca="1">IF(AND(ISNUMBER($AE$352),$B$252=1),$AE$352,HLOOKUP(INDIRECT(ADDRESS(2,COLUMN())),OFFSET($CL$2,0,0,ROW()-1,84),ROW()-1,FALSE))</f>
        <v/>
      </c>
      <c r="AF141" t="str">
        <f ca="1">IF(AND(ISNUMBER($AF$352),$B$252=1),$AF$352,HLOOKUP(INDIRECT(ADDRESS(2,COLUMN())),OFFSET($CL$2,0,0,ROW()-1,84),ROW()-1,FALSE))</f>
        <v/>
      </c>
      <c r="AG141">
        <f ca="1">IF(AND(ISNUMBER($AG$352),$B$252=1),$AG$352,HLOOKUP(INDIRECT(ADDRESS(2,COLUMN())),OFFSET($CL$2,0,0,ROW()-1,84),ROW()-1,FALSE))</f>
        <v>4.1183052870000001</v>
      </c>
      <c r="AH141" t="str">
        <f ca="1">IF(AND(ISNUMBER($AH$352),$B$252=1),$AH$352,HLOOKUP(INDIRECT(ADDRESS(2,COLUMN())),OFFSET($CL$2,0,0,ROW()-1,84),ROW()-1,FALSE))</f>
        <v/>
      </c>
      <c r="AI141" t="str">
        <f ca="1">IF(AND(ISNUMBER($AI$352),$B$252=1),$AI$352,HLOOKUP(INDIRECT(ADDRESS(2,COLUMN())),OFFSET($CL$2,0,0,ROW()-1,84),ROW()-1,FALSE))</f>
        <v/>
      </c>
      <c r="AJ141">
        <f ca="1">IF(AND(ISNUMBER($AJ$352),$B$252=1),$AJ$352,HLOOKUP(INDIRECT(ADDRESS(2,COLUMN())),OFFSET($CL$2,0,0,ROW()-1,84),ROW()-1,FALSE))</f>
        <v>4.1767776430000003</v>
      </c>
      <c r="AK141" t="str">
        <f ca="1">IF(AND(ISNUMBER($AK$352),$B$252=1),$AK$352,HLOOKUP(INDIRECT(ADDRESS(2,COLUMN())),OFFSET($CL$2,0,0,ROW()-1,84),ROW()-1,FALSE))</f>
        <v/>
      </c>
      <c r="AL141" t="str">
        <f ca="1">IF(AND(ISNUMBER($AL$352),$B$252=1),$AL$352,HLOOKUP(INDIRECT(ADDRESS(2,COLUMN())),OFFSET($CL$2,0,0,ROW()-1,84),ROW()-1,FALSE))</f>
        <v/>
      </c>
      <c r="AM141">
        <f ca="1">IF(AND(ISNUMBER($AM$352),$B$252=1),$AM$352,HLOOKUP(INDIRECT(ADDRESS(2,COLUMN())),OFFSET($CL$2,0,0,ROW()-1,84),ROW()-1,FALSE))</f>
        <v>4.3062166929999997</v>
      </c>
      <c r="AN141" t="str">
        <f ca="1">IF(AND(ISNUMBER($AN$352),$B$252=1),$AN$352,HLOOKUP(INDIRECT(ADDRESS(2,COLUMN())),OFFSET($CL$2,0,0,ROW()-1,84),ROW()-1,FALSE))</f>
        <v/>
      </c>
      <c r="AO141" t="str">
        <f ca="1">IF(AND(ISNUMBER($AO$352),$B$252=1),$AO$352,HLOOKUP(INDIRECT(ADDRESS(2,COLUMN())),OFFSET($CL$2,0,0,ROW()-1,84),ROW()-1,FALSE))</f>
        <v/>
      </c>
      <c r="AP141">
        <f ca="1">IF(AND(ISNUMBER($AP$352),$B$252=1),$AP$352,HLOOKUP(INDIRECT(ADDRESS(2,COLUMN())),OFFSET($CL$2,0,0,ROW()-1,84),ROW()-1,FALSE))</f>
        <v>4.1603525399999999</v>
      </c>
      <c r="AQ141" t="str">
        <f ca="1">IF(AND(ISNUMBER($AQ$352),$B$252=1),$AQ$352,HLOOKUP(INDIRECT(ADDRESS(2,COLUMN())),OFFSET($CL$2,0,0,ROW()-1,84),ROW()-1,FALSE))</f>
        <v/>
      </c>
      <c r="AR141" t="str">
        <f ca="1">IF(AND(ISNUMBER($AR$352),$B$252=1),$AR$352,HLOOKUP(INDIRECT(ADDRESS(2,COLUMN())),OFFSET($CL$2,0,0,ROW()-1,84),ROW()-1,FALSE))</f>
        <v/>
      </c>
      <c r="AS141">
        <f ca="1">IF(AND(ISNUMBER($AS$352),$B$252=1),$AS$352,HLOOKUP(INDIRECT(ADDRESS(2,COLUMN())),OFFSET($CL$2,0,0,ROW()-1,84),ROW()-1,FALSE))</f>
        <v>4.2789788849999999</v>
      </c>
      <c r="AT141" t="str">
        <f ca="1">IF(AND(ISNUMBER($AT$352),$B$252=1),$AT$352,HLOOKUP(INDIRECT(ADDRESS(2,COLUMN())),OFFSET($CL$2,0,0,ROW()-1,84),ROW()-1,FALSE))</f>
        <v/>
      </c>
      <c r="AU141" t="str">
        <f ca="1">IF(AND(ISNUMBER($AU$352),$B$252=1),$AU$352,HLOOKUP(INDIRECT(ADDRESS(2,COLUMN())),OFFSET($CL$2,0,0,ROW()-1,84),ROW()-1,FALSE))</f>
        <v/>
      </c>
      <c r="AV141">
        <f ca="1">IF(AND(ISNUMBER($AV$352),$B$252=1),$AV$352,HLOOKUP(INDIRECT(ADDRESS(2,COLUMN())),OFFSET($CL$2,0,0,ROW()-1,84),ROW()-1,FALSE))</f>
        <v>4.0752035229999999</v>
      </c>
      <c r="AW141" t="str">
        <f ca="1">IF(AND(ISNUMBER($AW$352),$B$252=1),$AW$352,HLOOKUP(INDIRECT(ADDRESS(2,COLUMN())),OFFSET($CL$2,0,0,ROW()-1,84),ROW()-1,FALSE))</f>
        <v/>
      </c>
      <c r="AX141" t="str">
        <f ca="1">IF(AND(ISNUMBER($AX$352),$B$252=1),$AX$352,HLOOKUP(INDIRECT(ADDRESS(2,COLUMN())),OFFSET($CL$2,0,0,ROW()-1,84),ROW()-1,FALSE))</f>
        <v/>
      </c>
      <c r="AY141">
        <f ca="1">IF(AND(ISNUMBER($AY$352),$B$252=1),$AY$352,HLOOKUP(INDIRECT(ADDRESS(2,COLUMN())),OFFSET($CL$2,0,0,ROW()-1,84),ROW()-1,FALSE))</f>
        <v>4.1146487430000001</v>
      </c>
      <c r="AZ141" t="str">
        <f ca="1">IF(AND(ISNUMBER($AZ$352),$B$252=1),$AZ$352,HLOOKUP(INDIRECT(ADDRESS(2,COLUMN())),OFFSET($CL$2,0,0,ROW()-1,84),ROW()-1,FALSE))</f>
        <v/>
      </c>
      <c r="BA141" t="str">
        <f ca="1">IF(AND(ISNUMBER($BA$352),$B$252=1),$BA$352,HLOOKUP(INDIRECT(ADDRESS(2,COLUMN())),OFFSET($CL$2,0,0,ROW()-1,84),ROW()-1,FALSE))</f>
        <v/>
      </c>
      <c r="BB141">
        <f ca="1">IF(AND(ISNUMBER($BB$352),$B$252=1),$BB$352,HLOOKUP(INDIRECT(ADDRESS(2,COLUMN())),OFFSET($CL$2,0,0,ROW()-1,84),ROW()-1,FALSE))</f>
        <v>4.2281703049999999</v>
      </c>
      <c r="BC141" t="str">
        <f ca="1">IF(AND(ISNUMBER($BC$352),$B$252=1),$BC$352,HLOOKUP(INDIRECT(ADDRESS(2,COLUMN())),OFFSET($CL$2,0,0,ROW()-1,84),ROW()-1,FALSE))</f>
        <v/>
      </c>
      <c r="BD141" t="str">
        <f ca="1">IF(AND(ISNUMBER($BD$352),$B$252=1),$BD$352,HLOOKUP(INDIRECT(ADDRESS(2,COLUMN())),OFFSET($CL$2,0,0,ROW()-1,84),ROW()-1,FALSE))</f>
        <v/>
      </c>
      <c r="BE141">
        <f ca="1">IF(AND(ISNUMBER($BE$352),$B$252=1),$BE$352,HLOOKUP(INDIRECT(ADDRESS(2,COLUMN())),OFFSET($CL$2,0,0,ROW()-1,84),ROW()-1,FALSE))</f>
        <v>4.2208316459999997</v>
      </c>
      <c r="BF141" t="str">
        <f ca="1">IF(AND(ISNUMBER($BF$352),$B$252=1),$BF$352,HLOOKUP(INDIRECT(ADDRESS(2,COLUMN())),OFFSET($CL$2,0,0,ROW()-1,84),ROW()-1,FALSE))</f>
        <v/>
      </c>
      <c r="BG141" t="str">
        <f ca="1">IF(AND(ISNUMBER($BG$352),$B$252=1),$BG$352,HLOOKUP(INDIRECT(ADDRESS(2,COLUMN())),OFFSET($CL$2,0,0,ROW()-1,84),ROW()-1,FALSE))</f>
        <v/>
      </c>
      <c r="BH141">
        <f ca="1">IF(AND(ISNUMBER($BH$352),$B$252=1),$BH$352,HLOOKUP(INDIRECT(ADDRESS(2,COLUMN())),OFFSET($CL$2,0,0,ROW()-1,84),ROW()-1,FALSE))</f>
        <v>3.3398059359999999</v>
      </c>
      <c r="BI141" t="str">
        <f ca="1">IF(AND(ISNUMBER($BI$352),$B$252=1),$BI$352,HLOOKUP(INDIRECT(ADDRESS(2,COLUMN())),OFFSET($CL$2,0,0,ROW()-1,84),ROW()-1,FALSE))</f>
        <v/>
      </c>
      <c r="BJ141" t="str">
        <f ca="1">IF(AND(ISNUMBER($BJ$352),$B$252=1),$BJ$352,HLOOKUP(INDIRECT(ADDRESS(2,COLUMN())),OFFSET($CL$2,0,0,ROW()-1,84),ROW()-1,FALSE))</f>
        <v/>
      </c>
      <c r="BK141">
        <f ca="1">IF(AND(ISNUMBER($BK$352),$B$252=1),$BK$352,HLOOKUP(INDIRECT(ADDRESS(2,COLUMN())),OFFSET($CL$2,0,0,ROW()-1,84),ROW()-1,FALSE))</f>
        <v>3.2647182429999999</v>
      </c>
      <c r="BL141" t="str">
        <f ca="1">IF(AND(ISNUMBER($BL$352),$B$252=1),$BL$352,HLOOKUP(INDIRECT(ADDRESS(2,COLUMN())),OFFSET($CL$2,0,0,ROW()-1,84),ROW()-1,FALSE))</f>
        <v/>
      </c>
      <c r="BM141" t="str">
        <f ca="1">IF(AND(ISNUMBER($BM$352),$B$252=1),$BM$352,HLOOKUP(INDIRECT(ADDRESS(2,COLUMN())),OFFSET($CL$2,0,0,ROW()-1,84),ROW()-1,FALSE))</f>
        <v/>
      </c>
      <c r="BN141">
        <f ca="1">IF(AND(ISNUMBER($BN$352),$B$252=1),$BN$352,HLOOKUP(INDIRECT(ADDRESS(2,COLUMN())),OFFSET($CL$2,0,0,ROW()-1,84),ROW()-1,FALSE))</f>
        <v>3.1224751469999998</v>
      </c>
      <c r="BO141" t="str">
        <f ca="1">IF(AND(ISNUMBER($BO$352),$B$252=1),$BO$352,HLOOKUP(INDIRECT(ADDRESS(2,COLUMN())),OFFSET($CL$2,0,0,ROW()-1,84),ROW()-1,FALSE))</f>
        <v/>
      </c>
      <c r="BP141" t="str">
        <f ca="1">IF(AND(ISNUMBER($BP$352),$B$252=1),$BP$352,HLOOKUP(INDIRECT(ADDRESS(2,COLUMN())),OFFSET($CL$2,0,0,ROW()-1,84),ROW()-1,FALSE))</f>
        <v/>
      </c>
      <c r="BQ141">
        <f ca="1">IF(AND(ISNUMBER($BQ$352),$B$252=1),$BQ$352,HLOOKUP(INDIRECT(ADDRESS(2,COLUMN())),OFFSET($CL$2,0,0,ROW()-1,84),ROW()-1,FALSE))</f>
        <v>2.936013177</v>
      </c>
      <c r="BR141" t="str">
        <f ca="1">IF(AND(ISNUMBER($BR$352),$B$252=1),$BR$352,HLOOKUP(INDIRECT(ADDRESS(2,COLUMN())),OFFSET($CL$2,0,0,ROW()-1,84),ROW()-1,FALSE))</f>
        <v/>
      </c>
      <c r="BS141" t="str">
        <f ca="1">IF(AND(ISNUMBER($BS$352),$B$252=1),$BS$352,HLOOKUP(INDIRECT(ADDRESS(2,COLUMN())),OFFSET($CL$2,0,0,ROW()-1,84),ROW()-1,FALSE))</f>
        <v/>
      </c>
      <c r="BT141">
        <f ca="1">IF(AND(ISNUMBER($BT$352),$B$252=1),$BT$352,HLOOKUP(INDIRECT(ADDRESS(2,COLUMN())),OFFSET($CL$2,0,0,ROW()-1,84),ROW()-1,FALSE))</f>
        <v>3.8195264419999999</v>
      </c>
      <c r="BU141" t="str">
        <f ca="1">IF(AND(ISNUMBER($BU$352),$B$252=1),$BU$352,HLOOKUP(INDIRECT(ADDRESS(2,COLUMN())),OFFSET($CL$2,0,0,ROW()-1,84),ROW()-1,FALSE))</f>
        <v/>
      </c>
      <c r="BV141" t="str">
        <f ca="1">IF(AND(ISNUMBER($BV$352),$B$252=1),$BV$352,HLOOKUP(INDIRECT(ADDRESS(2,COLUMN())),OFFSET($CL$2,0,0,ROW()-1,84),ROW()-1,FALSE))</f>
        <v/>
      </c>
      <c r="BW141">
        <f ca="1">IF(AND(ISNUMBER($BW$352),$B$252=1),$BW$352,HLOOKUP(INDIRECT(ADDRESS(2,COLUMN())),OFFSET($CL$2,0,0,ROW()-1,84),ROW()-1,FALSE))</f>
        <v>3.6340692899999998</v>
      </c>
      <c r="BX141" t="str">
        <f ca="1">IF(AND(ISNUMBER($BX$352),$B$252=1),$BX$352,HLOOKUP(INDIRECT(ADDRESS(2,COLUMN())),OFFSET($CL$2,0,0,ROW()-1,84),ROW()-1,FALSE))</f>
        <v/>
      </c>
      <c r="BY141" t="str">
        <f ca="1">IF(AND(ISNUMBER($BY$352),$B$252=1),$BY$352,HLOOKUP(INDIRECT(ADDRESS(2,COLUMN())),OFFSET($CL$2,0,0,ROW()-1,84),ROW()-1,FALSE))</f>
        <v/>
      </c>
      <c r="BZ141">
        <f ca="1">IF(AND(ISNUMBER($BZ$352),$B$252=1),$BZ$352,HLOOKUP(INDIRECT(ADDRESS(2,COLUMN())),OFFSET($CL$2,0,0,ROW()-1,84),ROW()-1,FALSE))</f>
        <v>3.4120726619999999</v>
      </c>
      <c r="CA141" t="str">
        <f ca="1">IF(AND(ISNUMBER($CA$352),$B$252=1),$CA$352,HLOOKUP(INDIRECT(ADDRESS(2,COLUMN())),OFFSET($CL$2,0,0,ROW()-1,84),ROW()-1,FALSE))</f>
        <v/>
      </c>
      <c r="CB141" t="str">
        <f ca="1">IF(AND(ISNUMBER($CB$352),$B$252=1),$CB$352,HLOOKUP(INDIRECT(ADDRESS(2,COLUMN())),OFFSET($CL$2,0,0,ROW()-1,84),ROW()-1,FALSE))</f>
        <v/>
      </c>
      <c r="CC141">
        <f ca="1">IF(AND(ISNUMBER($CC$352),$B$252=1),$CC$352,HLOOKUP(INDIRECT(ADDRESS(2,COLUMN())),OFFSET($CL$2,0,0,ROW()-1,84),ROW()-1,FALSE))</f>
        <v>3.3015578300000001</v>
      </c>
      <c r="CD141" t="str">
        <f ca="1">IF(AND(ISNUMBER($CD$352),$B$252=1),$CD$352,HLOOKUP(INDIRECT(ADDRESS(2,COLUMN())),OFFSET($CL$2,0,0,ROW()-1,84),ROW()-1,FALSE))</f>
        <v/>
      </c>
      <c r="CE141" t="str">
        <f ca="1">IF(AND(ISNUMBER($CE$352),$B$252=1),$CE$352,HLOOKUP(INDIRECT(ADDRESS(2,COLUMN())),OFFSET($CL$2,0,0,ROW()-1,84),ROW()-1,FALSE))</f>
        <v/>
      </c>
      <c r="CF141">
        <f ca="1">IF(AND(ISNUMBER($CF$352),$B$252=1),$CF$352,HLOOKUP(INDIRECT(ADDRESS(2,COLUMN())),OFFSET($CL$2,0,0,ROW()-1,84),ROW()-1,FALSE))</f>
        <v>3.1911477019999999</v>
      </c>
      <c r="CG141" t="str">
        <f ca="1">IF(AND(ISNUMBER($CG$352),$B$252=1),$CG$352,HLOOKUP(INDIRECT(ADDRESS(2,COLUMN())),OFFSET($CL$2,0,0,ROW()-1,84),ROW()-1,FALSE))</f>
        <v/>
      </c>
      <c r="CH141" t="str">
        <f ca="1">IF(AND(ISNUMBER($CH$352),$B$252=1),$CH$352,HLOOKUP(INDIRECT(ADDRESS(2,COLUMN())),OFFSET($CL$2,0,0,ROW()-1,84),ROW()-1,FALSE))</f>
        <v/>
      </c>
      <c r="CI141">
        <f ca="1">IF(AND(ISNUMBER($CI$352),$B$252=1),$CI$352,HLOOKUP(INDIRECT(ADDRESS(2,COLUMN())),OFFSET($CL$2,0,0,ROW()-1,84),ROW()-1,FALSE))</f>
        <v>3.1387865530000001</v>
      </c>
      <c r="CJ141" t="str">
        <f ca="1">IF(AND(ISNUMBER($CJ$352),$B$252=1),$CJ$352,HLOOKUP(INDIRECT(ADDRESS(2,COLUMN())),OFFSET($CL$2,0,0,ROW()-1,84),ROW()-1,FALSE))</f>
        <v/>
      </c>
      <c r="CK141" t="str">
        <f ca="1">IF(AND(ISNUMBER($CK$352),$B$252=1),$CK$352,HLOOKUP(INDIRECT(ADDRESS(2,COLUMN())),OFFSET($CL$2,0,0,ROW()-1,84),ROW()-1,FALSE))</f>
        <v/>
      </c>
      <c r="CL141" t="str">
        <f>""</f>
        <v/>
      </c>
      <c r="CM141" t="str">
        <f>""</f>
        <v/>
      </c>
      <c r="CN141" t="str">
        <f>""</f>
        <v/>
      </c>
      <c r="CO141">
        <f>4.440750009</f>
        <v>4.4407500090000003</v>
      </c>
      <c r="CP141" t="str">
        <f>""</f>
        <v/>
      </c>
      <c r="CQ141" t="str">
        <f>""</f>
        <v/>
      </c>
      <c r="CR141">
        <f>4.22495876</f>
        <v>4.2249587599999998</v>
      </c>
      <c r="CS141" t="str">
        <f>""</f>
        <v/>
      </c>
      <c r="CT141" t="str">
        <f>""</f>
        <v/>
      </c>
      <c r="CU141">
        <f>4.195812778</f>
        <v>4.1958127779999996</v>
      </c>
      <c r="CV141" t="str">
        <f>""</f>
        <v/>
      </c>
      <c r="CW141" t="str">
        <f>""</f>
        <v/>
      </c>
      <c r="CX141">
        <f>4.168698089</f>
        <v>4.1686980890000003</v>
      </c>
      <c r="CY141" t="str">
        <f>""</f>
        <v/>
      </c>
      <c r="CZ141" t="str">
        <f>""</f>
        <v/>
      </c>
      <c r="DA141">
        <f>4.061972927</f>
        <v>4.0619729270000002</v>
      </c>
      <c r="DB141" t="str">
        <f>""</f>
        <v/>
      </c>
      <c r="DC141" t="str">
        <f>""</f>
        <v/>
      </c>
      <c r="DD141">
        <f>4.319175876</f>
        <v>4.3191758760000001</v>
      </c>
      <c r="DE141" t="str">
        <f>""</f>
        <v/>
      </c>
      <c r="DF141" t="str">
        <f>""</f>
        <v/>
      </c>
      <c r="DG141">
        <f>4.178995934</f>
        <v>4.1789959339999996</v>
      </c>
      <c r="DH141" t="str">
        <f>""</f>
        <v/>
      </c>
      <c r="DI141" t="str">
        <f>""</f>
        <v/>
      </c>
      <c r="DJ141">
        <f>4.232528479</f>
        <v>4.232528479</v>
      </c>
      <c r="DK141" t="str">
        <f>""</f>
        <v/>
      </c>
      <c r="DL141" t="str">
        <f>""</f>
        <v/>
      </c>
      <c r="DM141">
        <f>4.118305287</f>
        <v>4.1183052870000001</v>
      </c>
      <c r="DN141" t="str">
        <f>""</f>
        <v/>
      </c>
      <c r="DO141" t="str">
        <f>""</f>
        <v/>
      </c>
      <c r="DP141">
        <f>4.176777643</f>
        <v>4.1767776430000003</v>
      </c>
      <c r="DQ141" t="str">
        <f>""</f>
        <v/>
      </c>
      <c r="DR141" t="str">
        <f>""</f>
        <v/>
      </c>
      <c r="DS141">
        <f>4.306216693</f>
        <v>4.3062166929999997</v>
      </c>
      <c r="DT141" t="str">
        <f>""</f>
        <v/>
      </c>
      <c r="DU141" t="str">
        <f>""</f>
        <v/>
      </c>
      <c r="DV141">
        <f>4.16035254</f>
        <v>4.1603525399999999</v>
      </c>
      <c r="DW141" t="str">
        <f>""</f>
        <v/>
      </c>
      <c r="DX141" t="str">
        <f>""</f>
        <v/>
      </c>
      <c r="DY141">
        <f>4.278978885</f>
        <v>4.2789788849999999</v>
      </c>
      <c r="DZ141" t="str">
        <f>""</f>
        <v/>
      </c>
      <c r="EA141" t="str">
        <f>""</f>
        <v/>
      </c>
      <c r="EB141">
        <f>4.075203523</f>
        <v>4.0752035229999999</v>
      </c>
      <c r="EC141" t="str">
        <f>""</f>
        <v/>
      </c>
      <c r="ED141" t="str">
        <f>""</f>
        <v/>
      </c>
      <c r="EE141">
        <f>4.114648743</f>
        <v>4.1146487430000001</v>
      </c>
      <c r="EF141" t="str">
        <f>""</f>
        <v/>
      </c>
      <c r="EG141" t="str">
        <f>""</f>
        <v/>
      </c>
      <c r="EH141">
        <f>4.228170305</f>
        <v>4.2281703049999999</v>
      </c>
      <c r="EI141" t="str">
        <f>""</f>
        <v/>
      </c>
      <c r="EJ141" t="str">
        <f>""</f>
        <v/>
      </c>
      <c r="EK141">
        <f>4.220831646</f>
        <v>4.2208316459999997</v>
      </c>
      <c r="EL141" t="str">
        <f>""</f>
        <v/>
      </c>
      <c r="EM141" t="str">
        <f>""</f>
        <v/>
      </c>
      <c r="EN141">
        <f>3.339805936</f>
        <v>3.3398059359999999</v>
      </c>
      <c r="EO141" t="str">
        <f>""</f>
        <v/>
      </c>
      <c r="EP141" t="str">
        <f>""</f>
        <v/>
      </c>
      <c r="EQ141">
        <f>3.264718243</f>
        <v>3.2647182429999999</v>
      </c>
      <c r="ER141" t="str">
        <f>""</f>
        <v/>
      </c>
      <c r="ES141" t="str">
        <f>""</f>
        <v/>
      </c>
      <c r="ET141">
        <f>3.122475147</f>
        <v>3.1224751469999998</v>
      </c>
      <c r="EU141" t="str">
        <f>""</f>
        <v/>
      </c>
      <c r="EV141" t="str">
        <f>""</f>
        <v/>
      </c>
      <c r="EW141">
        <f>2.936013177</f>
        <v>2.936013177</v>
      </c>
      <c r="EX141" t="str">
        <f>""</f>
        <v/>
      </c>
      <c r="EY141" t="str">
        <f>""</f>
        <v/>
      </c>
      <c r="EZ141">
        <f>3.819526442</f>
        <v>3.8195264419999999</v>
      </c>
      <c r="FA141" t="str">
        <f>""</f>
        <v/>
      </c>
      <c r="FB141" t="str">
        <f>""</f>
        <v/>
      </c>
      <c r="FC141">
        <f>3.63406929</f>
        <v>3.6340692899999998</v>
      </c>
      <c r="FD141" t="str">
        <f>""</f>
        <v/>
      </c>
      <c r="FE141" t="str">
        <f>""</f>
        <v/>
      </c>
      <c r="FF141">
        <f>3.412072662</f>
        <v>3.4120726619999999</v>
      </c>
      <c r="FG141" t="str">
        <f>""</f>
        <v/>
      </c>
      <c r="FH141" t="str">
        <f>""</f>
        <v/>
      </c>
      <c r="FI141">
        <f>3.30155783</f>
        <v>3.3015578300000001</v>
      </c>
      <c r="FJ141" t="str">
        <f>""</f>
        <v/>
      </c>
      <c r="FK141" t="str">
        <f>""</f>
        <v/>
      </c>
      <c r="FL141">
        <f>3.191147702</f>
        <v>3.1911477019999999</v>
      </c>
      <c r="FM141" t="str">
        <f>""</f>
        <v/>
      </c>
      <c r="FN141" t="str">
        <f>""</f>
        <v/>
      </c>
      <c r="FO141">
        <f>3.138786553</f>
        <v>3.1387865530000001</v>
      </c>
      <c r="FP141" t="str">
        <f>""</f>
        <v/>
      </c>
      <c r="FQ141" t="str">
        <f>""</f>
        <v/>
      </c>
    </row>
    <row r="142" spans="1:173">
      <c r="A142" t="str">
        <f>"    UDR 公司"</f>
        <v xml:space="preserve">    UDR 公司</v>
      </c>
      <c r="B142" t="str">
        <f>"UDR US Equity"</f>
        <v>UDR US Equity</v>
      </c>
      <c r="C142" t="str">
        <f t="shared" si="42"/>
        <v>F0892</v>
      </c>
      <c r="D142" t="str">
        <f t="shared" si="43"/>
        <v>TRAILING_12_MONTHS_FAD_PS</v>
      </c>
      <c r="E142" t="str">
        <f t="shared" si="44"/>
        <v>动态</v>
      </c>
      <c r="F142" t="str">
        <f ca="1">IF(AND(ISNUMBER($F$353),$B$252=1),$F$353,HLOOKUP(INDIRECT(ADDRESS(2,COLUMN())),OFFSET($CL$2,0,0,ROW()-1,84),ROW()-1,FALSE))</f>
        <v/>
      </c>
      <c r="G142" t="str">
        <f ca="1">IF(AND(ISNUMBER($G$353),$B$252=1),$G$353,HLOOKUP(INDIRECT(ADDRESS(2,COLUMN())),OFFSET($CL$2,0,0,ROW()-1,84),ROW()-1,FALSE))</f>
        <v/>
      </c>
      <c r="H142" t="str">
        <f ca="1">IF(AND(ISNUMBER($H$353),$B$252=1),$H$353,HLOOKUP(INDIRECT(ADDRESS(2,COLUMN())),OFFSET($CL$2,0,0,ROW()-1,84),ROW()-1,FALSE))</f>
        <v/>
      </c>
      <c r="I142">
        <f ca="1">IF(AND(ISNUMBER($I$353),$B$252=1),$I$353,HLOOKUP(INDIRECT(ADDRESS(2,COLUMN())),OFFSET($CL$2,0,0,ROW()-1,84),ROW()-1,FALSE))</f>
        <v>1.714420176</v>
      </c>
      <c r="J142" t="str">
        <f ca="1">IF(AND(ISNUMBER($J$353),$B$252=1),$J$353,HLOOKUP(INDIRECT(ADDRESS(2,COLUMN())),OFFSET($CL$2,0,0,ROW()-1,84),ROW()-1,FALSE))</f>
        <v/>
      </c>
      <c r="K142" t="str">
        <f ca="1">IF(AND(ISNUMBER($K$353),$B$252=1),$K$353,HLOOKUP(INDIRECT(ADDRESS(2,COLUMN())),OFFSET($CL$2,0,0,ROW()-1,84),ROW()-1,FALSE))</f>
        <v/>
      </c>
      <c r="L142">
        <f ca="1">IF(AND(ISNUMBER($L$353),$B$252=1),$L$353,HLOOKUP(INDIRECT(ADDRESS(2,COLUMN())),OFFSET($CL$2,0,0,ROW()-1,84),ROW()-1,FALSE))</f>
        <v>1.6954365069999999</v>
      </c>
      <c r="M142" t="str">
        <f ca="1">IF(AND(ISNUMBER($M$353),$B$252=1),$M$353,HLOOKUP(INDIRECT(ADDRESS(2,COLUMN())),OFFSET($CL$2,0,0,ROW()-1,84),ROW()-1,FALSE))</f>
        <v/>
      </c>
      <c r="N142" t="str">
        <f ca="1">IF(AND(ISNUMBER($N$353),$B$252=1),$N$353,HLOOKUP(INDIRECT(ADDRESS(2,COLUMN())),OFFSET($CL$2,0,0,ROW()-1,84),ROW()-1,FALSE))</f>
        <v/>
      </c>
      <c r="O142">
        <f ca="1">IF(AND(ISNUMBER($O$353),$B$252=1),$O$353,HLOOKUP(INDIRECT(ADDRESS(2,COLUMN())),OFFSET($CL$2,0,0,ROW()-1,84),ROW()-1,FALSE))</f>
        <v>1.675370808</v>
      </c>
      <c r="P142" t="str">
        <f ca="1">IF(AND(ISNUMBER($P$353),$B$252=1),$P$353,HLOOKUP(INDIRECT(ADDRESS(2,COLUMN())),OFFSET($CL$2,0,0,ROW()-1,84),ROW()-1,FALSE))</f>
        <v/>
      </c>
      <c r="Q142" t="str">
        <f ca="1">IF(AND(ISNUMBER($Q$353),$B$252=1),$Q$353,HLOOKUP(INDIRECT(ADDRESS(2,COLUMN())),OFFSET($CL$2,0,0,ROW()-1,84),ROW()-1,FALSE))</f>
        <v/>
      </c>
      <c r="R142">
        <f ca="1">IF(AND(ISNUMBER($R$353),$B$252=1),$R$353,HLOOKUP(INDIRECT(ADDRESS(2,COLUMN())),OFFSET($CL$2,0,0,ROW()-1,84),ROW()-1,FALSE))</f>
        <v>1.6497678760000001</v>
      </c>
      <c r="S142" t="str">
        <f ca="1">IF(AND(ISNUMBER($S$353),$B$252=1),$S$353,HLOOKUP(INDIRECT(ADDRESS(2,COLUMN())),OFFSET($CL$2,0,0,ROW()-1,84),ROW()-1,FALSE))</f>
        <v/>
      </c>
      <c r="T142" t="str">
        <f ca="1">IF(AND(ISNUMBER($T$353),$B$252=1),$T$353,HLOOKUP(INDIRECT(ADDRESS(2,COLUMN())),OFFSET($CL$2,0,0,ROW()-1,84),ROW()-1,FALSE))</f>
        <v/>
      </c>
      <c r="U142">
        <f ca="1">IF(AND(ISNUMBER($U$353),$B$252=1),$U$353,HLOOKUP(INDIRECT(ADDRESS(2,COLUMN())),OFFSET($CL$2,0,0,ROW()-1,84),ROW()-1,FALSE))</f>
        <v>1.62669233</v>
      </c>
      <c r="V142" t="str">
        <f ca="1">IF(AND(ISNUMBER($V$353),$B$252=1),$V$353,HLOOKUP(INDIRECT(ADDRESS(2,COLUMN())),OFFSET($CL$2,0,0,ROW()-1,84),ROW()-1,FALSE))</f>
        <v/>
      </c>
      <c r="W142" t="str">
        <f ca="1">IF(AND(ISNUMBER($W$353),$B$252=1),$W$353,HLOOKUP(INDIRECT(ADDRESS(2,COLUMN())),OFFSET($CL$2,0,0,ROW()-1,84),ROW()-1,FALSE))</f>
        <v/>
      </c>
      <c r="X142">
        <f ca="1">IF(AND(ISNUMBER($X$353),$B$252=1),$X$353,HLOOKUP(INDIRECT(ADDRESS(2,COLUMN())),OFFSET($CL$2,0,0,ROW()-1,84),ROW()-1,FALSE))</f>
        <v>1.5967594890000001</v>
      </c>
      <c r="Y142" t="str">
        <f ca="1">IF(AND(ISNUMBER($Y$353),$B$252=1),$Y$353,HLOOKUP(INDIRECT(ADDRESS(2,COLUMN())),OFFSET($CL$2,0,0,ROW()-1,84),ROW()-1,FALSE))</f>
        <v/>
      </c>
      <c r="Z142" t="str">
        <f ca="1">IF(AND(ISNUMBER($Z$353),$B$252=1),$Z$353,HLOOKUP(INDIRECT(ADDRESS(2,COLUMN())),OFFSET($CL$2,0,0,ROW()-1,84),ROW()-1,FALSE))</f>
        <v/>
      </c>
      <c r="AA142">
        <f ca="1">IF(AND(ISNUMBER($AA$353),$B$252=1),$AA$353,HLOOKUP(INDIRECT(ADDRESS(2,COLUMN())),OFFSET($CL$2,0,0,ROW()-1,84),ROW()-1,FALSE))</f>
        <v>1.56230826</v>
      </c>
      <c r="AB142" t="str">
        <f ca="1">IF(AND(ISNUMBER($AB$353),$B$252=1),$AB$353,HLOOKUP(INDIRECT(ADDRESS(2,COLUMN())),OFFSET($CL$2,0,0,ROW()-1,84),ROW()-1,FALSE))</f>
        <v/>
      </c>
      <c r="AC142" t="str">
        <f ca="1">IF(AND(ISNUMBER($AC$353),$B$252=1),$AC$353,HLOOKUP(INDIRECT(ADDRESS(2,COLUMN())),OFFSET($CL$2,0,0,ROW()-1,84),ROW()-1,FALSE))</f>
        <v/>
      </c>
      <c r="AD142">
        <f ca="1">IF(AND(ISNUMBER($AD$353),$B$252=1),$AD$353,HLOOKUP(INDIRECT(ADDRESS(2,COLUMN())),OFFSET($CL$2,0,0,ROW()-1,84),ROW()-1,FALSE))</f>
        <v>1.5364936229999999</v>
      </c>
      <c r="AE142" t="str">
        <f ca="1">IF(AND(ISNUMBER($AE$353),$B$252=1),$AE$353,HLOOKUP(INDIRECT(ADDRESS(2,COLUMN())),OFFSET($CL$2,0,0,ROW()-1,84),ROW()-1,FALSE))</f>
        <v/>
      </c>
      <c r="AF142" t="str">
        <f ca="1">IF(AND(ISNUMBER($AF$353),$B$252=1),$AF$353,HLOOKUP(INDIRECT(ADDRESS(2,COLUMN())),OFFSET($CL$2,0,0,ROW()-1,84),ROW()-1,FALSE))</f>
        <v/>
      </c>
      <c r="AG142">
        <f ca="1">IF(AND(ISNUMBER($AG$353),$B$252=1),$AG$353,HLOOKUP(INDIRECT(ADDRESS(2,COLUMN())),OFFSET($CL$2,0,0,ROW()-1,84),ROW()-1,FALSE))</f>
        <v>1.5040634669999999</v>
      </c>
      <c r="AH142" t="str">
        <f ca="1">IF(AND(ISNUMBER($AH$353),$B$252=1),$AH$353,HLOOKUP(INDIRECT(ADDRESS(2,COLUMN())),OFFSET($CL$2,0,0,ROW()-1,84),ROW()-1,FALSE))</f>
        <v/>
      </c>
      <c r="AI142" t="str">
        <f ca="1">IF(AND(ISNUMBER($AI$353),$B$252=1),$AI$353,HLOOKUP(INDIRECT(ADDRESS(2,COLUMN())),OFFSET($CL$2,0,0,ROW()-1,84),ROW()-1,FALSE))</f>
        <v/>
      </c>
      <c r="AJ142">
        <f ca="1">IF(AND(ISNUMBER($AJ$353),$B$252=1),$AJ$353,HLOOKUP(INDIRECT(ADDRESS(2,COLUMN())),OFFSET($CL$2,0,0,ROW()-1,84),ROW()-1,FALSE))</f>
        <v>1.467331817</v>
      </c>
      <c r="AK142" t="str">
        <f ca="1">IF(AND(ISNUMBER($AK$353),$B$252=1),$AK$353,HLOOKUP(INDIRECT(ADDRESS(2,COLUMN())),OFFSET($CL$2,0,0,ROW()-1,84),ROW()-1,FALSE))</f>
        <v/>
      </c>
      <c r="AL142" t="str">
        <f ca="1">IF(AND(ISNUMBER($AL$353),$B$252=1),$AL$353,HLOOKUP(INDIRECT(ADDRESS(2,COLUMN())),OFFSET($CL$2,0,0,ROW()-1,84),ROW()-1,FALSE))</f>
        <v/>
      </c>
      <c r="AM142" t="str">
        <f ca="1">IF(AND(ISNUMBER($AM$353),$B$252=1),$AM$353,HLOOKUP(INDIRECT(ADDRESS(2,COLUMN())),OFFSET($CL$2,0,0,ROW()-1,84),ROW()-1,FALSE))</f>
        <v/>
      </c>
      <c r="AN142" t="str">
        <f ca="1">IF(AND(ISNUMBER($AN$353),$B$252=1),$AN$353,HLOOKUP(INDIRECT(ADDRESS(2,COLUMN())),OFFSET($CL$2,0,0,ROW()-1,84),ROW()-1,FALSE))</f>
        <v/>
      </c>
      <c r="AO142" t="str">
        <f ca="1">IF(AND(ISNUMBER($AO$353),$B$252=1),$AO$353,HLOOKUP(INDIRECT(ADDRESS(2,COLUMN())),OFFSET($CL$2,0,0,ROW()-1,84),ROW()-1,FALSE))</f>
        <v/>
      </c>
      <c r="AP142" t="str">
        <f ca="1">IF(AND(ISNUMBER($AP$353),$B$252=1),$AP$353,HLOOKUP(INDIRECT(ADDRESS(2,COLUMN())),OFFSET($CL$2,0,0,ROW()-1,84),ROW()-1,FALSE))</f>
        <v/>
      </c>
      <c r="AQ142" t="str">
        <f ca="1">IF(AND(ISNUMBER($AQ$353),$B$252=1),$AQ$353,HLOOKUP(INDIRECT(ADDRESS(2,COLUMN())),OFFSET($CL$2,0,0,ROW()-1,84),ROW()-1,FALSE))</f>
        <v/>
      </c>
      <c r="AR142" t="str">
        <f ca="1">IF(AND(ISNUMBER($AR$353),$B$252=1),$AR$353,HLOOKUP(INDIRECT(ADDRESS(2,COLUMN())),OFFSET($CL$2,0,0,ROW()-1,84),ROW()-1,FALSE))</f>
        <v/>
      </c>
      <c r="AS142" t="str">
        <f ca="1">IF(AND(ISNUMBER($AS$353),$B$252=1),$AS$353,HLOOKUP(INDIRECT(ADDRESS(2,COLUMN())),OFFSET($CL$2,0,0,ROW()-1,84),ROW()-1,FALSE))</f>
        <v/>
      </c>
      <c r="AT142" t="str">
        <f ca="1">IF(AND(ISNUMBER($AT$353),$B$252=1),$AT$353,HLOOKUP(INDIRECT(ADDRESS(2,COLUMN())),OFFSET($CL$2,0,0,ROW()-1,84),ROW()-1,FALSE))</f>
        <v/>
      </c>
      <c r="AU142" t="str">
        <f ca="1">IF(AND(ISNUMBER($AU$353),$B$252=1),$AU$353,HLOOKUP(INDIRECT(ADDRESS(2,COLUMN())),OFFSET($CL$2,0,0,ROW()-1,84),ROW()-1,FALSE))</f>
        <v/>
      </c>
      <c r="AV142" t="str">
        <f ca="1">IF(AND(ISNUMBER($AV$353),$B$252=1),$AV$353,HLOOKUP(INDIRECT(ADDRESS(2,COLUMN())),OFFSET($CL$2,0,0,ROW()-1,84),ROW()-1,FALSE))</f>
        <v/>
      </c>
      <c r="AW142" t="str">
        <f ca="1">IF(AND(ISNUMBER($AW$353),$B$252=1),$AW$353,HLOOKUP(INDIRECT(ADDRESS(2,COLUMN())),OFFSET($CL$2,0,0,ROW()-1,84),ROW()-1,FALSE))</f>
        <v/>
      </c>
      <c r="AX142" t="str">
        <f ca="1">IF(AND(ISNUMBER($AX$353),$B$252=1),$AX$353,HLOOKUP(INDIRECT(ADDRESS(2,COLUMN())),OFFSET($CL$2,0,0,ROW()-1,84),ROW()-1,FALSE))</f>
        <v/>
      </c>
      <c r="AY142" t="str">
        <f ca="1">IF(AND(ISNUMBER($AY$353),$B$252=1),$AY$353,HLOOKUP(INDIRECT(ADDRESS(2,COLUMN())),OFFSET($CL$2,0,0,ROW()-1,84),ROW()-1,FALSE))</f>
        <v/>
      </c>
      <c r="AZ142" t="str">
        <f ca="1">IF(AND(ISNUMBER($AZ$353),$B$252=1),$AZ$353,HLOOKUP(INDIRECT(ADDRESS(2,COLUMN())),OFFSET($CL$2,0,0,ROW()-1,84),ROW()-1,FALSE))</f>
        <v/>
      </c>
      <c r="BA142" t="str">
        <f ca="1">IF(AND(ISNUMBER($BA$353),$B$252=1),$BA$353,HLOOKUP(INDIRECT(ADDRESS(2,COLUMN())),OFFSET($CL$2,0,0,ROW()-1,84),ROW()-1,FALSE))</f>
        <v/>
      </c>
      <c r="BB142">
        <f ca="1">IF(AND(ISNUMBER($BB$353),$B$252=1),$BB$353,HLOOKUP(INDIRECT(ADDRESS(2,COLUMN())),OFFSET($CL$2,0,0,ROW()-1,84),ROW()-1,FALSE))</f>
        <v>1.270113152</v>
      </c>
      <c r="BC142" t="str">
        <f ca="1">IF(AND(ISNUMBER($BC$353),$B$252=1),$BC$353,HLOOKUP(INDIRECT(ADDRESS(2,COLUMN())),OFFSET($CL$2,0,0,ROW()-1,84),ROW()-1,FALSE))</f>
        <v/>
      </c>
      <c r="BD142" t="str">
        <f ca="1">IF(AND(ISNUMBER($BD$353),$B$252=1),$BD$353,HLOOKUP(INDIRECT(ADDRESS(2,COLUMN())),OFFSET($CL$2,0,0,ROW()-1,84),ROW()-1,FALSE))</f>
        <v/>
      </c>
      <c r="BE142">
        <f ca="1">IF(AND(ISNUMBER($BE$353),$B$252=1),$BE$353,HLOOKUP(INDIRECT(ADDRESS(2,COLUMN())),OFFSET($CL$2,0,0,ROW()-1,84),ROW()-1,FALSE))</f>
        <v>1.2504124190000001</v>
      </c>
      <c r="BF142" t="str">
        <f ca="1">IF(AND(ISNUMBER($BF$353),$B$252=1),$BF$353,HLOOKUP(INDIRECT(ADDRESS(2,COLUMN())),OFFSET($CL$2,0,0,ROW()-1,84),ROW()-1,FALSE))</f>
        <v/>
      </c>
      <c r="BG142" t="str">
        <f ca="1">IF(AND(ISNUMBER($BG$353),$B$252=1),$BG$353,HLOOKUP(INDIRECT(ADDRESS(2,COLUMN())),OFFSET($CL$2,0,0,ROW()-1,84),ROW()-1,FALSE))</f>
        <v/>
      </c>
      <c r="BH142">
        <f ca="1">IF(AND(ISNUMBER($BH$353),$B$252=1),$BH$353,HLOOKUP(INDIRECT(ADDRESS(2,COLUMN())),OFFSET($CL$2,0,0,ROW()-1,84),ROW()-1,FALSE))</f>
        <v>1.267864289</v>
      </c>
      <c r="BI142" t="str">
        <f ca="1">IF(AND(ISNUMBER($BI$353),$B$252=1),$BI$353,HLOOKUP(INDIRECT(ADDRESS(2,COLUMN())),OFFSET($CL$2,0,0,ROW()-1,84),ROW()-1,FALSE))</f>
        <v/>
      </c>
      <c r="BJ142" t="str">
        <f ca="1">IF(AND(ISNUMBER($BJ$353),$B$252=1),$BJ$353,HLOOKUP(INDIRECT(ADDRESS(2,COLUMN())),OFFSET($CL$2,0,0,ROW()-1,84),ROW()-1,FALSE))</f>
        <v/>
      </c>
      <c r="BK142">
        <f ca="1">IF(AND(ISNUMBER($BK$353),$B$252=1),$BK$353,HLOOKUP(INDIRECT(ADDRESS(2,COLUMN())),OFFSET($CL$2,0,0,ROW()-1,84),ROW()-1,FALSE))</f>
        <v>1.2580501340000001</v>
      </c>
      <c r="BL142" t="str">
        <f ca="1">IF(AND(ISNUMBER($BL$353),$B$252=1),$BL$353,HLOOKUP(INDIRECT(ADDRESS(2,COLUMN())),OFFSET($CL$2,0,0,ROW()-1,84),ROW()-1,FALSE))</f>
        <v/>
      </c>
      <c r="BM142" t="str">
        <f ca="1">IF(AND(ISNUMBER($BM$353),$B$252=1),$BM$353,HLOOKUP(INDIRECT(ADDRESS(2,COLUMN())),OFFSET($CL$2,0,0,ROW()-1,84),ROW()-1,FALSE))</f>
        <v/>
      </c>
      <c r="BN142">
        <f ca="1">IF(AND(ISNUMBER($BN$353),$B$252=1),$BN$353,HLOOKUP(INDIRECT(ADDRESS(2,COLUMN())),OFFSET($CL$2,0,0,ROW()-1,84),ROW()-1,FALSE))</f>
        <v>1.2424134170000001</v>
      </c>
      <c r="BO142" t="str">
        <f ca="1">IF(AND(ISNUMBER($BO$353),$B$252=1),$BO$353,HLOOKUP(INDIRECT(ADDRESS(2,COLUMN())),OFFSET($CL$2,0,0,ROW()-1,84),ROW()-1,FALSE))</f>
        <v/>
      </c>
      <c r="BP142" t="str">
        <f ca="1">IF(AND(ISNUMBER($BP$353),$B$252=1),$BP$353,HLOOKUP(INDIRECT(ADDRESS(2,COLUMN())),OFFSET($CL$2,0,0,ROW()-1,84),ROW()-1,FALSE))</f>
        <v/>
      </c>
      <c r="BQ142">
        <f ca="1">IF(AND(ISNUMBER($BQ$353),$B$252=1),$BQ$353,HLOOKUP(INDIRECT(ADDRESS(2,COLUMN())),OFFSET($CL$2,0,0,ROW()-1,84),ROW()-1,FALSE))</f>
        <v>1.2542046689999999</v>
      </c>
      <c r="BR142" t="str">
        <f ca="1">IF(AND(ISNUMBER($BR$353),$B$252=1),$BR$353,HLOOKUP(INDIRECT(ADDRESS(2,COLUMN())),OFFSET($CL$2,0,0,ROW()-1,84),ROW()-1,FALSE))</f>
        <v/>
      </c>
      <c r="BS142" t="str">
        <f ca="1">IF(AND(ISNUMBER($BS$353),$B$252=1),$BS$353,HLOOKUP(INDIRECT(ADDRESS(2,COLUMN())),OFFSET($CL$2,0,0,ROW()-1,84),ROW()-1,FALSE))</f>
        <v/>
      </c>
      <c r="BT142">
        <f ca="1">IF(AND(ISNUMBER($BT$353),$B$252=1),$BT$353,HLOOKUP(INDIRECT(ADDRESS(2,COLUMN())),OFFSET($CL$2,0,0,ROW()-1,84),ROW()-1,FALSE))</f>
        <v>1.2146640989999999</v>
      </c>
      <c r="BU142" t="str">
        <f ca="1">IF(AND(ISNUMBER($BU$353),$B$252=1),$BU$353,HLOOKUP(INDIRECT(ADDRESS(2,COLUMN())),OFFSET($CL$2,0,0,ROW()-1,84),ROW()-1,FALSE))</f>
        <v/>
      </c>
      <c r="BV142" t="str">
        <f ca="1">IF(AND(ISNUMBER($BV$353),$B$252=1),$BV$353,HLOOKUP(INDIRECT(ADDRESS(2,COLUMN())),OFFSET($CL$2,0,0,ROW()-1,84),ROW()-1,FALSE))</f>
        <v/>
      </c>
      <c r="BW142">
        <f ca="1">IF(AND(ISNUMBER($BW$353),$B$252=1),$BW$353,HLOOKUP(INDIRECT(ADDRESS(2,COLUMN())),OFFSET($CL$2,0,0,ROW()-1,84),ROW()-1,FALSE))</f>
        <v>1.255249115</v>
      </c>
      <c r="BX142" t="str">
        <f ca="1">IF(AND(ISNUMBER($BX$353),$B$252=1),$BX$353,HLOOKUP(INDIRECT(ADDRESS(2,COLUMN())),OFFSET($CL$2,0,0,ROW()-1,84),ROW()-1,FALSE))</f>
        <v/>
      </c>
      <c r="BY142" t="str">
        <f ca="1">IF(AND(ISNUMBER($BY$353),$B$252=1),$BY$353,HLOOKUP(INDIRECT(ADDRESS(2,COLUMN())),OFFSET($CL$2,0,0,ROW()-1,84),ROW()-1,FALSE))</f>
        <v/>
      </c>
      <c r="BZ142">
        <f ca="1">IF(AND(ISNUMBER($BZ$353),$B$252=1),$BZ$353,HLOOKUP(INDIRECT(ADDRESS(2,COLUMN())),OFFSET($CL$2,0,0,ROW()-1,84),ROW()-1,FALSE))</f>
        <v>1.2960783680000001</v>
      </c>
      <c r="CA142" t="str">
        <f ca="1">IF(AND(ISNUMBER($CA$353),$B$252=1),$CA$353,HLOOKUP(INDIRECT(ADDRESS(2,COLUMN())),OFFSET($CL$2,0,0,ROW()-1,84),ROW()-1,FALSE))</f>
        <v/>
      </c>
      <c r="CB142" t="str">
        <f ca="1">IF(AND(ISNUMBER($CB$353),$B$252=1),$CB$353,HLOOKUP(INDIRECT(ADDRESS(2,COLUMN())),OFFSET($CL$2,0,0,ROW()-1,84),ROW()-1,FALSE))</f>
        <v/>
      </c>
      <c r="CC142">
        <f ca="1">IF(AND(ISNUMBER($CC$353),$B$252=1),$CC$353,HLOOKUP(INDIRECT(ADDRESS(2,COLUMN())),OFFSET($CL$2,0,0,ROW()-1,84),ROW()-1,FALSE))</f>
        <v>1.2825233579999999</v>
      </c>
      <c r="CD142" t="str">
        <f ca="1">IF(AND(ISNUMBER($CD$353),$B$252=1),$CD$353,HLOOKUP(INDIRECT(ADDRESS(2,COLUMN())),OFFSET($CL$2,0,0,ROW()-1,84),ROW()-1,FALSE))</f>
        <v/>
      </c>
      <c r="CE142" t="str">
        <f ca="1">IF(AND(ISNUMBER($CE$353),$B$252=1),$CE$353,HLOOKUP(INDIRECT(ADDRESS(2,COLUMN())),OFFSET($CL$2,0,0,ROW()-1,84),ROW()-1,FALSE))</f>
        <v/>
      </c>
      <c r="CF142">
        <f ca="1">IF(AND(ISNUMBER($CF$353),$B$252=1),$CF$353,HLOOKUP(INDIRECT(ADDRESS(2,COLUMN())),OFFSET($CL$2,0,0,ROW()-1,84),ROW()-1,FALSE))</f>
        <v>1.2821230139999999</v>
      </c>
      <c r="CG142" t="str">
        <f ca="1">IF(AND(ISNUMBER($CG$353),$B$252=1),$CG$353,HLOOKUP(INDIRECT(ADDRESS(2,COLUMN())),OFFSET($CL$2,0,0,ROW()-1,84),ROW()-1,FALSE))</f>
        <v/>
      </c>
      <c r="CH142" t="str">
        <f ca="1">IF(AND(ISNUMBER($CH$353),$B$252=1),$CH$353,HLOOKUP(INDIRECT(ADDRESS(2,COLUMN())),OFFSET($CL$2,0,0,ROW()-1,84),ROW()-1,FALSE))</f>
        <v/>
      </c>
      <c r="CI142">
        <f ca="1">IF(AND(ISNUMBER($CI$353),$B$252=1),$CI$353,HLOOKUP(INDIRECT(ADDRESS(2,COLUMN())),OFFSET($CL$2,0,0,ROW()-1,84),ROW()-1,FALSE))</f>
        <v>1.224258753</v>
      </c>
      <c r="CJ142" t="str">
        <f ca="1">IF(AND(ISNUMBER($CJ$353),$B$252=1),$CJ$353,HLOOKUP(INDIRECT(ADDRESS(2,COLUMN())),OFFSET($CL$2,0,0,ROW()-1,84),ROW()-1,FALSE))</f>
        <v/>
      </c>
      <c r="CK142" t="str">
        <f ca="1">IF(AND(ISNUMBER($CK$353),$B$252=1),$CK$353,HLOOKUP(INDIRECT(ADDRESS(2,COLUMN())),OFFSET($CL$2,0,0,ROW()-1,84),ROW()-1,FALSE))</f>
        <v/>
      </c>
      <c r="CL142" t="str">
        <f>""</f>
        <v/>
      </c>
      <c r="CM142" t="str">
        <f>""</f>
        <v/>
      </c>
      <c r="CN142" t="str">
        <f>""</f>
        <v/>
      </c>
      <c r="CO142">
        <f>1.714420176</f>
        <v>1.714420176</v>
      </c>
      <c r="CP142" t="str">
        <f>""</f>
        <v/>
      </c>
      <c r="CQ142" t="str">
        <f>""</f>
        <v/>
      </c>
      <c r="CR142">
        <f>1.695436507</f>
        <v>1.6954365069999999</v>
      </c>
      <c r="CS142" t="str">
        <f>""</f>
        <v/>
      </c>
      <c r="CT142" t="str">
        <f>""</f>
        <v/>
      </c>
      <c r="CU142">
        <f>1.675370808</f>
        <v>1.675370808</v>
      </c>
      <c r="CV142" t="str">
        <f>""</f>
        <v/>
      </c>
      <c r="CW142" t="str">
        <f>""</f>
        <v/>
      </c>
      <c r="CX142">
        <f>1.649767876</f>
        <v>1.6497678760000001</v>
      </c>
      <c r="CY142" t="str">
        <f>""</f>
        <v/>
      </c>
      <c r="CZ142" t="str">
        <f>""</f>
        <v/>
      </c>
      <c r="DA142">
        <f>1.62669233</f>
        <v>1.62669233</v>
      </c>
      <c r="DB142" t="str">
        <f>""</f>
        <v/>
      </c>
      <c r="DC142" t="str">
        <f>""</f>
        <v/>
      </c>
      <c r="DD142">
        <f>1.596759489</f>
        <v>1.5967594890000001</v>
      </c>
      <c r="DE142" t="str">
        <f>""</f>
        <v/>
      </c>
      <c r="DF142" t="str">
        <f>""</f>
        <v/>
      </c>
      <c r="DG142">
        <f>1.56230826</f>
        <v>1.56230826</v>
      </c>
      <c r="DH142" t="str">
        <f>""</f>
        <v/>
      </c>
      <c r="DI142" t="str">
        <f>""</f>
        <v/>
      </c>
      <c r="DJ142">
        <f>1.536493623</f>
        <v>1.5364936229999999</v>
      </c>
      <c r="DK142" t="str">
        <f>""</f>
        <v/>
      </c>
      <c r="DL142" t="str">
        <f>""</f>
        <v/>
      </c>
      <c r="DM142">
        <f>1.504063467</f>
        <v>1.5040634669999999</v>
      </c>
      <c r="DN142" t="str">
        <f>""</f>
        <v/>
      </c>
      <c r="DO142" t="str">
        <f>""</f>
        <v/>
      </c>
      <c r="DP142">
        <f>1.467331817</f>
        <v>1.467331817</v>
      </c>
      <c r="DQ142" t="str">
        <f>""</f>
        <v/>
      </c>
      <c r="DR142" t="str">
        <f>""</f>
        <v/>
      </c>
      <c r="DS142" t="str">
        <f>""</f>
        <v/>
      </c>
      <c r="DT142" t="str">
        <f>""</f>
        <v/>
      </c>
      <c r="DU142" t="str">
        <f>""</f>
        <v/>
      </c>
      <c r="DV142" t="str">
        <f>""</f>
        <v/>
      </c>
      <c r="DW142" t="str">
        <f>""</f>
        <v/>
      </c>
      <c r="DX142" t="str">
        <f>""</f>
        <v/>
      </c>
      <c r="DY142" t="str">
        <f>""</f>
        <v/>
      </c>
      <c r="DZ142" t="str">
        <f>""</f>
        <v/>
      </c>
      <c r="EA142" t="str">
        <f>""</f>
        <v/>
      </c>
      <c r="EB142" t="str">
        <f>""</f>
        <v/>
      </c>
      <c r="EC142" t="str">
        <f>""</f>
        <v/>
      </c>
      <c r="ED142" t="str">
        <f>""</f>
        <v/>
      </c>
      <c r="EE142" t="str">
        <f>""</f>
        <v/>
      </c>
      <c r="EF142" t="str">
        <f>""</f>
        <v/>
      </c>
      <c r="EG142" t="str">
        <f>""</f>
        <v/>
      </c>
      <c r="EH142">
        <f>1.270113152</f>
        <v>1.270113152</v>
      </c>
      <c r="EI142" t="str">
        <f>""</f>
        <v/>
      </c>
      <c r="EJ142" t="str">
        <f>""</f>
        <v/>
      </c>
      <c r="EK142">
        <f>1.250412419</f>
        <v>1.2504124190000001</v>
      </c>
      <c r="EL142" t="str">
        <f>""</f>
        <v/>
      </c>
      <c r="EM142" t="str">
        <f>""</f>
        <v/>
      </c>
      <c r="EN142">
        <f>1.267864289</f>
        <v>1.267864289</v>
      </c>
      <c r="EO142" t="str">
        <f>""</f>
        <v/>
      </c>
      <c r="EP142" t="str">
        <f>""</f>
        <v/>
      </c>
      <c r="EQ142">
        <f>1.258050134</f>
        <v>1.2580501340000001</v>
      </c>
      <c r="ER142" t="str">
        <f>""</f>
        <v/>
      </c>
      <c r="ES142" t="str">
        <f>""</f>
        <v/>
      </c>
      <c r="ET142">
        <f>1.242413417</f>
        <v>1.2424134170000001</v>
      </c>
      <c r="EU142" t="str">
        <f>""</f>
        <v/>
      </c>
      <c r="EV142" t="str">
        <f>""</f>
        <v/>
      </c>
      <c r="EW142">
        <f>1.254204669</f>
        <v>1.2542046689999999</v>
      </c>
      <c r="EX142" t="str">
        <f>""</f>
        <v/>
      </c>
      <c r="EY142" t="str">
        <f>""</f>
        <v/>
      </c>
      <c r="EZ142">
        <f>1.214664099</f>
        <v>1.2146640989999999</v>
      </c>
      <c r="FA142" t="str">
        <f>""</f>
        <v/>
      </c>
      <c r="FB142" t="str">
        <f>""</f>
        <v/>
      </c>
      <c r="FC142">
        <f>1.255249115</f>
        <v>1.255249115</v>
      </c>
      <c r="FD142" t="str">
        <f>""</f>
        <v/>
      </c>
      <c r="FE142" t="str">
        <f>""</f>
        <v/>
      </c>
      <c r="FF142">
        <f>1.296078368</f>
        <v>1.2960783680000001</v>
      </c>
      <c r="FG142" t="str">
        <f>""</f>
        <v/>
      </c>
      <c r="FH142" t="str">
        <f>""</f>
        <v/>
      </c>
      <c r="FI142">
        <f>1.282523358</f>
        <v>1.2825233579999999</v>
      </c>
      <c r="FJ142" t="str">
        <f>""</f>
        <v/>
      </c>
      <c r="FK142" t="str">
        <f>""</f>
        <v/>
      </c>
      <c r="FL142">
        <f>1.282123014</f>
        <v>1.2821230139999999</v>
      </c>
      <c r="FM142" t="str">
        <f>""</f>
        <v/>
      </c>
      <c r="FN142" t="str">
        <f>""</f>
        <v/>
      </c>
      <c r="FO142">
        <f>1.224258753</f>
        <v>1.224258753</v>
      </c>
      <c r="FP142" t="str">
        <f>""</f>
        <v/>
      </c>
      <c r="FQ142" t="str">
        <f>""</f>
        <v/>
      </c>
    </row>
    <row r="143" spans="1:173">
      <c r="A143" t="str">
        <f>"每股FAD NTM"</f>
        <v>每股FAD NTM</v>
      </c>
      <c r="B143" t="str">
        <f>""</f>
        <v/>
      </c>
      <c r="E143" t="str">
        <f>"Sum"</f>
        <v>Sum</v>
      </c>
      <c r="F143">
        <f ca="1">IF(ISERROR(IF(SUM($F$144:$F$151) = 0, "", SUM($F$144:$F$151))), "", (IF(SUM($F$144:$F$151) = 0, "", SUM($F$144:$F$151))))</f>
        <v>36.51478461</v>
      </c>
      <c r="G143">
        <f ca="1">IF(ISERROR(IF(SUM($G$144:$G$151) = 0, "", SUM($G$144:$G$151))), "", (IF(SUM($G$144:$G$151) = 0, "", SUM($G$144:$G$151))))</f>
        <v>36.425885054999995</v>
      </c>
      <c r="H143">
        <f ca="1">IF(ISERROR(IF(SUM($H$144:$H$151) = 0, "", SUM($H$144:$H$151))), "", (IF(SUM($H$144:$H$151) = 0, "", SUM($H$144:$H$151))))</f>
        <v>36.635467427999998</v>
      </c>
      <c r="I143">
        <f ca="1">IF(ISERROR(IF(SUM($I$144:$I$151) = 0, "", SUM($I$144:$I$151))), "", (IF(SUM($I$144:$I$151) = 0, "", SUM($I$144:$I$151))))</f>
        <v>36.879999999999995</v>
      </c>
      <c r="J143">
        <f ca="1">IF(ISERROR(IF(SUM($J$144:$J$151) = 0, "", SUM($J$144:$J$151))), "", (IF(SUM($J$144:$J$151) = 0, "", SUM($J$144:$J$151))))</f>
        <v>36.838103447000002</v>
      </c>
      <c r="K143">
        <f ca="1">IF(ISERROR(IF(SUM($K$144:$K$151) = 0, "", SUM($K$144:$K$151))), "", (IF(SUM($K$144:$K$151) = 0, "", SUM($K$144:$K$151))))</f>
        <v>36.755137925999989</v>
      </c>
      <c r="L143">
        <f ca="1">IF(ISERROR(IF(SUM($L$144:$L$151) = 0, "", SUM($L$144:$L$151))), "", (IF(SUM($L$144:$L$151) = 0, "", SUM($L$144:$L$151))))</f>
        <v>36.667000000000002</v>
      </c>
      <c r="M143">
        <f ca="1">IF(ISERROR(IF(SUM($M$144:$M$151) = 0, "", SUM($M$144:$M$151))), "", (IF(SUM($M$144:$M$151) = 0, "", SUM($M$144:$M$151))))</f>
        <v>36.481827588000002</v>
      </c>
      <c r="N143">
        <f ca="1">IF(ISERROR(IF(SUM($N$144:$N$151) = 0, "", SUM($N$144:$N$151))), "", (IF(SUM($N$144:$N$151) = 0, "", SUM($N$144:$N$151))))</f>
        <v>36.323762449999997</v>
      </c>
      <c r="O143">
        <f ca="1">IF(ISERROR(IF(SUM($O$144:$O$151) = 0, "", SUM($O$144:$O$151))), "", (IF(SUM($O$144:$O$151) = 0, "", SUM($O$144:$O$151))))</f>
        <v>36.037000000000006</v>
      </c>
      <c r="P143">
        <f ca="1">IF(ISERROR(IF(SUM($P$144:$P$151) = 0, "", SUM($P$144:$P$151))), "", (IF(SUM($P$144:$P$151) = 0, "", SUM($P$144:$P$151))))</f>
        <v>35.844356325999996</v>
      </c>
      <c r="Q143">
        <f ca="1">IF(ISERROR(IF(SUM($Q$144:$Q$151) = 0, "", SUM($Q$144:$Q$151))), "", (IF(SUM($Q$144:$Q$151) = 0, "", SUM($Q$144:$Q$151))))</f>
        <v>35.627788463999998</v>
      </c>
      <c r="R143">
        <f ca="1">IF(ISERROR(IF(SUM($R$144:$R$151) = 0, "", SUM($R$144:$R$151))), "", (IF(SUM($R$144:$R$151) = 0, "", SUM($R$144:$R$151))))</f>
        <v>35.296749999999996</v>
      </c>
      <c r="S143">
        <f ca="1">IF(ISERROR(IF(SUM($S$144:$S$151) = 0, "", SUM($S$144:$S$151))), "", (IF(SUM($S$144:$S$151) = 0, "", SUM($S$144:$S$151))))</f>
        <v>35.126685827999999</v>
      </c>
      <c r="T143">
        <f ca="1">IF(ISERROR(IF(SUM($T$144:$T$151) = 0, "", SUM($T$144:$T$151))), "", (IF(SUM($T$144:$T$151) = 0, "", SUM($T$144:$T$151))))</f>
        <v>35.435605364999994</v>
      </c>
      <c r="U143">
        <f ca="1">IF(ISERROR(IF(SUM($U$144:$U$151) = 0, "", SUM($U$144:$U$151))), "", (IF(SUM($U$144:$U$151) = 0, "", SUM($U$144:$U$151))))</f>
        <v>35.315000000000005</v>
      </c>
      <c r="V143">
        <f ca="1">IF(ISERROR(IF(SUM($V$144:$V$151) = 0, "", SUM($V$144:$V$151))), "", (IF(SUM($V$144:$V$151) = 0, "", SUM($V$144:$V$151))))</f>
        <v>35.298605363000007</v>
      </c>
      <c r="W143">
        <f ca="1">IF(ISERROR(IF(SUM($W$144:$W$151) = 0, "", SUM($W$144:$W$151))), "", (IF(SUM($W$144:$W$151) = 0, "", SUM($W$144:$W$151))))</f>
        <v>35.099187743000002</v>
      </c>
      <c r="X143">
        <f ca="1">IF(ISERROR(IF(SUM($X$144:$X$151) = 0, "", SUM($X$144:$X$151))), "", (IF(SUM($X$144:$X$151) = 0, "", SUM($X$144:$X$151))))</f>
        <v>35.013999999999996</v>
      </c>
      <c r="Y143">
        <f ca="1">IF(ISERROR(IF(SUM($Y$144:$Y$151) = 0, "", SUM($Y$144:$Y$151))), "", (IF(SUM($Y$144:$Y$151) = 0, "", SUM($Y$144:$Y$151))))</f>
        <v>34.844999995999999</v>
      </c>
      <c r="Z143">
        <f ca="1">IF(ISERROR(IF(SUM($Z$144:$Z$151) = 0, "", SUM($Z$144:$Z$151))), "", (IF(SUM($Z$144:$Z$151) = 0, "", SUM($Z$144:$Z$151))))</f>
        <v>34.903076929000001</v>
      </c>
      <c r="AA143">
        <f ca="1">IF(ISERROR(IF(SUM($AA$144:$AA$151) = 0, "", SUM($AA$144:$AA$151))), "", (IF(SUM($AA$144:$AA$151) = 0, "", SUM($AA$144:$AA$151))))</f>
        <v>34.817563216000003</v>
      </c>
      <c r="AB143">
        <f ca="1">IF(ISERROR(IF(SUM($AB$144:$AB$151) = 0, "", SUM($AB$144:$AB$151))), "", (IF(SUM($AB$144:$AB$151) = 0, "", SUM($AB$144:$AB$151))))</f>
        <v>34.662827583000009</v>
      </c>
      <c r="AC143">
        <f ca="1">IF(ISERROR(IF(SUM($AC$144:$AC$151) = 0, "", SUM($AC$144:$AC$151))), "", (IF(SUM($AC$144:$AC$151) = 0, "", SUM($AC$144:$AC$151))))</f>
        <v>34.743942307000005</v>
      </c>
      <c r="AD143">
        <f ca="1">IF(ISERROR(IF(SUM($AD$144:$AD$151) = 0, "", SUM($AD$144:$AD$151))), "", (IF(SUM($AD$144:$AD$151) = 0, "", SUM($AD$144:$AD$151))))</f>
        <v>34.725203062999995</v>
      </c>
      <c r="AE143">
        <f ca="1">IF(ISERROR(IF(SUM($AE$144:$AE$151) = 0, "", SUM($AE$144:$AE$151))), "", (IF(SUM($AE$144:$AE$151) = 0, "", SUM($AE$144:$AE$151))))</f>
        <v>34.550666661999998</v>
      </c>
      <c r="AF143">
        <f ca="1">IF(ISERROR(IF(SUM($AF$144:$AF$151) = 0, "", SUM($AF$144:$AF$151))), "", (IF(SUM($AF$144:$AF$151) = 0, "", SUM($AF$144:$AF$151))))</f>
        <v>34.432153846000006</v>
      </c>
      <c r="AG143">
        <f ca="1">IF(ISERROR(IF(SUM($AG$144:$AG$151) = 0, "", SUM($AG$144:$AG$151))), "", (IF(SUM($AG$144:$AG$151) = 0, "", SUM($AG$144:$AG$151))))</f>
        <v>34.189</v>
      </c>
      <c r="AH143">
        <f ca="1">IF(ISERROR(IF(SUM($AH$144:$AH$151) = 0, "", SUM($AH$144:$AH$151))), "", (IF(SUM($AH$144:$AH$151) = 0, "", SUM($AH$144:$AH$151))))</f>
        <v>33.522309161000003</v>
      </c>
      <c r="AI143">
        <f ca="1">IF(ISERROR(IF(SUM($AI$144:$AI$151) = 0, "", SUM($AI$144:$AI$151))), "", (IF(SUM($AI$144:$AI$151) = 0, "", SUM($AI$144:$AI$151))))</f>
        <v>33.270646154000005</v>
      </c>
      <c r="AJ143">
        <f ca="1">IF(ISERROR(IF(SUM($AJ$144:$AJ$151) = 0, "", SUM($AJ$144:$AJ$151))), "", (IF(SUM($AJ$144:$AJ$151) = 0, "", SUM($AJ$144:$AJ$151))))</f>
        <v>32.896908397999994</v>
      </c>
      <c r="AK143">
        <f ca="1">IF(ISERROR(IF(SUM($AK$144:$AK$151) = 0, "", SUM($AK$144:$AK$151))), "", (IF(SUM($AK$144:$AK$151) = 0, "", SUM($AK$144:$AK$151))))</f>
        <v>32.413335877999998</v>
      </c>
      <c r="AL143">
        <f ca="1">IF(ISERROR(IF(SUM($AL$144:$AL$151) = 0, "", SUM($AL$144:$AL$151))), "", (IF(SUM($AL$144:$AL$151) = 0, "", SUM($AL$144:$AL$151))))</f>
        <v>31.919234613999997</v>
      </c>
      <c r="AM143">
        <f ca="1">IF(ISERROR(IF(SUM($AM$144:$AM$151) = 0, "", SUM($AM$144:$AM$151))), "", (IF(SUM($AM$144:$AM$151) = 0, "", SUM($AM$144:$AM$151))))</f>
        <v>31.600274809999998</v>
      </c>
      <c r="AN143">
        <f ca="1">IF(ISERROR(IF(SUM($AN$144:$AN$151) = 0, "", SUM($AN$144:$AN$151))), "", (IF(SUM($AN$144:$AN$151) = 0, "", SUM($AN$144:$AN$151))))</f>
        <v>31.357661536999998</v>
      </c>
      <c r="AO143">
        <f ca="1">IF(ISERROR(IF(SUM($AO$144:$AO$151) = 0, "", SUM($AO$144:$AO$151))), "", (IF(SUM($AO$144:$AO$151) = 0, "", SUM($AO$144:$AO$151))))</f>
        <v>30.98308046</v>
      </c>
      <c r="AP143">
        <f ca="1">IF(ISERROR(IF(SUM($AP$144:$AP$151) = 0, "", SUM($AP$144:$AP$151))), "", (IF(SUM($AP$144:$AP$151) = 0, "", SUM($AP$144:$AP$151))))</f>
        <v>30.468156489000002</v>
      </c>
      <c r="AQ143">
        <f ca="1">IF(ISERROR(IF(SUM($AQ$144:$AQ$151) = 0, "", SUM($AQ$144:$AQ$151))), "", (IF(SUM($AQ$144:$AQ$151) = 0, "", SUM($AQ$144:$AQ$151))))</f>
        <v>30.179907692</v>
      </c>
      <c r="AR143">
        <f ca="1">IF(ISERROR(IF(SUM($AR$144:$AR$151) = 0, "", SUM($AR$144:$AR$151))), "", (IF(SUM($AR$144:$AR$151) = 0, "", SUM($AR$144:$AR$151))))</f>
        <v>29.945153845999997</v>
      </c>
      <c r="AS143">
        <f ca="1">IF(ISERROR(IF(SUM($AS$144:$AS$151) = 0, "", SUM($AS$144:$AS$151))), "", (IF(SUM($AS$144:$AS$151) = 0, "", SUM($AS$144:$AS$151))))</f>
        <v>29.962000000000003</v>
      </c>
      <c r="AT143">
        <f ca="1">IF(ISERROR(IF(SUM($AT$144:$AT$151) = 0, "", SUM($AT$144:$AT$151))), "", (IF(SUM($AT$144:$AT$151) = 0, "", SUM($AT$144:$AT$151))))</f>
        <v>29.655938461999998</v>
      </c>
      <c r="AU143">
        <f ca="1">IF(ISERROR(IF(SUM($AU$144:$AU$151) = 0, "", SUM($AU$144:$AU$151))), "", (IF(SUM($AU$144:$AU$151) = 0, "", SUM($AU$144:$AU$151))))</f>
        <v>29.328461537999999</v>
      </c>
      <c r="AV143">
        <f ca="1">IF(ISERROR(IF(SUM($AV$144:$AV$151) = 0, "", SUM($AV$144:$AV$151))), "", (IF(SUM($AV$144:$AV$151) = 0, "", SUM($AV$144:$AV$151))))</f>
        <v>29.136160918999998</v>
      </c>
      <c r="AW143">
        <f ca="1">IF(ISERROR(IF(SUM($AW$144:$AW$151) = 0, "", SUM($AW$144:$AW$151))), "", (IF(SUM($AW$144:$AW$151) = 0, "", SUM($AW$144:$AW$151))))</f>
        <v>29.132630770000002</v>
      </c>
      <c r="AX143">
        <f ca="1">IF(ISERROR(IF(SUM($AX$144:$AX$151) = 0, "", SUM($AX$144:$AX$151))), "", (IF(SUM($AX$144:$AX$151) = 0, "", SUM($AX$144:$AX$151))))</f>
        <v>28.625402300000001</v>
      </c>
      <c r="AY143">
        <f ca="1">IF(ISERROR(IF(SUM($AY$144:$AY$151) = 0, "", SUM($AY$144:$AY$151))), "", (IF(SUM($AY$144:$AY$151) = 0, "", SUM($AY$144:$AY$151))))</f>
        <v>28.331080460999999</v>
      </c>
      <c r="AZ143">
        <f ca="1">IF(ISERROR(IF(SUM($AZ$144:$AZ$151) = 0, "", SUM($AZ$144:$AZ$151))), "", (IF(SUM($AZ$144:$AZ$151) = 0, "", SUM($AZ$144:$AZ$151))))</f>
        <v>27.957488461999997</v>
      </c>
      <c r="BA143">
        <f ca="1">IF(ISERROR(IF(SUM($BA$144:$BA$151) = 0, "", SUM($BA$144:$BA$151))), "", (IF(SUM($BA$144:$BA$151) = 0, "", SUM($BA$144:$BA$151))))</f>
        <v>27.950321839000001</v>
      </c>
      <c r="BB143">
        <f ca="1">IF(ISERROR(IF(SUM($BB$144:$BB$151) = 0, "", SUM($BB$144:$BB$151))), "", (IF(SUM($BB$144:$BB$151) = 0, "", SUM($BB$144:$BB$151))))</f>
        <v>28.024559387999997</v>
      </c>
      <c r="BC143">
        <f ca="1">IF(ISERROR(IF(SUM($BC$144:$BC$151) = 0, "", SUM($BC$144:$BC$151))), "", (IF(SUM($BC$144:$BC$151) = 0, "", SUM($BC$144:$BC$151))))</f>
        <v>27.9</v>
      </c>
      <c r="BD143">
        <f ca="1">IF(ISERROR(IF(SUM($BD$144:$BD$151) = 0, "", SUM($BD$144:$BD$151))), "", (IF(SUM($BD$144:$BD$151) = 0, "", SUM($BD$144:$BD$151))))</f>
        <v>27.947546154000001</v>
      </c>
      <c r="BE143">
        <f ca="1">IF(ISERROR(IF(SUM($BE$144:$BE$151) = 0, "", SUM($BE$144:$BE$151))), "", (IF(SUM($BE$144:$BE$151) = 0, "", SUM($BE$144:$BE$151))))</f>
        <v>27.811999999999998</v>
      </c>
      <c r="BF143">
        <f ca="1">IF(ISERROR(IF(SUM($BF$144:$BF$151) = 0, "", SUM($BF$144:$BF$151))), "", (IF(SUM($BF$144:$BF$151) = 0, "", SUM($BF$144:$BF$151))))</f>
        <v>27.761092308000002</v>
      </c>
      <c r="BG143">
        <f ca="1">IF(ISERROR(IF(SUM($BG$144:$BG$151) = 0, "", SUM($BG$144:$BG$151))), "", (IF(SUM($BG$144:$BG$151) = 0, "", SUM($BG$144:$BG$151))))</f>
        <v>27.673160921000001</v>
      </c>
      <c r="BH143">
        <f ca="1">IF(ISERROR(IF(SUM($BH$144:$BH$151) = 0, "", SUM($BH$144:$BH$151))), "", (IF(SUM($BH$144:$BH$151) = 0, "", SUM($BH$144:$BH$151))))</f>
        <v>27.467678162000002</v>
      </c>
      <c r="BI143">
        <f ca="1">IF(ISERROR(IF(SUM($BI$144:$BI$151) = 0, "", SUM($BI$144:$BI$151))), "", (IF(SUM($BI$144:$BI$151) = 0, "", SUM($BI$144:$BI$151))))</f>
        <v>27.275973077</v>
      </c>
      <c r="BJ143">
        <f ca="1">IF(ISERROR(IF(SUM($BJ$144:$BJ$151) = 0, "", SUM($BJ$144:$BJ$151))), "", (IF(SUM($BJ$144:$BJ$151) = 0, "", SUM($BJ$144:$BJ$151))))</f>
        <v>26.974559386999999</v>
      </c>
      <c r="BK143">
        <f ca="1">IF(ISERROR(IF(SUM($BK$144:$BK$151) = 0, "", SUM($BK$144:$BK$151))), "", (IF(SUM($BK$144:$BK$151) = 0, "", SUM($BK$144:$BK$151))))</f>
        <v>26.636815384999998</v>
      </c>
      <c r="BL143">
        <f ca="1">IF(ISERROR(IF(SUM($BL$144:$BL$151) = 0, "", SUM($BL$144:$BL$151))), "", (IF(SUM($BL$144:$BL$151) = 0, "", SUM($BL$144:$BL$151))))</f>
        <v>26.428646153999999</v>
      </c>
      <c r="BM143">
        <f ca="1">IF(ISERROR(IF(SUM($BM$144:$BM$151) = 0, "", SUM($BM$144:$BM$151))), "", (IF(SUM($BM$144:$BM$151) = 0, "", SUM($BM$144:$BM$151))))</f>
        <v>26.031762453000002</v>
      </c>
      <c r="BN143">
        <f ca="1">IF(ISERROR(IF(SUM($BN$144:$BN$151) = 0, "", SUM($BN$144:$BN$151))), "", (IF(SUM($BN$144:$BN$151) = 0, "", SUM($BN$144:$BN$151))))</f>
        <v>25.788138462000003</v>
      </c>
      <c r="BO143">
        <f ca="1">IF(ISERROR(IF(SUM($BO$144:$BO$151) = 0, "", SUM($BO$144:$BO$151))), "", (IF(SUM($BO$144:$BO$151) = 0, "", SUM($BO$144:$BO$151))))</f>
        <v>25.563873563000005</v>
      </c>
      <c r="BP143">
        <f ca="1">IF(ISERROR(IF(SUM($BP$144:$BP$151) = 0, "", SUM($BP$144:$BP$151))), "", (IF(SUM($BP$144:$BP$151) = 0, "", SUM($BP$144:$BP$151))))</f>
        <v>25.875517241000001</v>
      </c>
      <c r="BQ143">
        <f ca="1">IF(ISERROR(IF(SUM($BQ$144:$BQ$151) = 0, "", SUM($BQ$144:$BQ$151))), "", (IF(SUM($BQ$144:$BQ$151) = 0, "", SUM($BQ$144:$BQ$151))))</f>
        <v>25.87</v>
      </c>
      <c r="BR143">
        <f ca="1">IF(ISERROR(IF(SUM($BR$144:$BR$151) = 0, "", SUM($BR$144:$BR$151))), "", (IF(SUM($BR$144:$BR$151) = 0, "", SUM($BR$144:$BR$151))))</f>
        <v>25.771973076999998</v>
      </c>
      <c r="BS143">
        <f ca="1">IF(ISERROR(IF(SUM($BS$144:$BS$151) = 0, "", SUM($BS$144:$BS$151))), "", (IF(SUM($BS$144:$BS$151) = 0, "", SUM($BS$144:$BS$151))))</f>
        <v>25.165716475999997</v>
      </c>
      <c r="BT143">
        <f ca="1">IF(ISERROR(IF(SUM($BT$144:$BT$151) = 0, "", SUM($BT$144:$BT$151))), "", (IF(SUM($BT$144:$BT$151) = 0, "", SUM($BT$144:$BT$151))))</f>
        <v>24.876007691999998</v>
      </c>
      <c r="BU143">
        <f ca="1">IF(ISERROR(IF(SUM($BU$144:$BU$151) = 0, "", SUM($BU$144:$BU$151))), "", (IF(SUM($BU$144:$BU$151) = 0, "", SUM($BU$144:$BU$151))))</f>
        <v>24.266361538000002</v>
      </c>
      <c r="BV143">
        <f ca="1">IF(ISERROR(IF(SUM($BV$144:$BV$151) = 0, "", SUM($BV$144:$BV$151))), "", (IF(SUM($BV$144:$BV$151) = 0, "", SUM($BV$144:$BV$151))))</f>
        <v>24.305965516000004</v>
      </c>
      <c r="BW143">
        <f ca="1">IF(ISERROR(IF(SUM($BW$144:$BW$151) = 0, "", SUM($BW$144:$BW$151))), "", (IF(SUM($BW$144:$BW$151) = 0, "", SUM($BW$144:$BW$151))))</f>
        <v>24.082930769000001</v>
      </c>
      <c r="BX143">
        <f ca="1">IF(ISERROR(IF(SUM($BX$144:$BX$151) = 0, "", SUM($BX$144:$BX$151))), "", (IF(SUM($BX$144:$BX$151) = 0, "", SUM($BX$144:$BX$151))))</f>
        <v>23.911329502000005</v>
      </c>
      <c r="BY143">
        <f ca="1">IF(ISERROR(IF(SUM($BY$144:$BY$151) = 0, "", SUM($BY$144:$BY$151))), "", (IF(SUM($BY$144:$BY$151) = 0, "", SUM($BY$144:$BY$151))))</f>
        <v>23.301160921000001</v>
      </c>
      <c r="BZ143">
        <f ca="1">IF(ISERROR(IF(SUM($BZ$144:$BZ$151) = 0, "", SUM($BZ$144:$BZ$151))), "", (IF(SUM($BZ$144:$BZ$151) = 0, "", SUM($BZ$144:$BZ$151))))</f>
        <v>22.829584616000002</v>
      </c>
      <c r="CA143">
        <f ca="1">IF(ISERROR(IF(SUM($CA$144:$CA$151) = 0, "", SUM($CA$144:$CA$151))), "", (IF(SUM($CA$144:$CA$151) = 0, "", SUM($CA$144:$CA$151))))</f>
        <v>23.001532568000002</v>
      </c>
      <c r="CB143">
        <f ca="1">IF(ISERROR(IF(SUM($CB$144:$CB$151) = 0, "", SUM($CB$144:$CB$151))), "", (IF(SUM($CB$144:$CB$151) = 0, "", SUM($CB$144:$CB$151))))</f>
        <v>22.848828244</v>
      </c>
      <c r="CC143">
        <f ca="1">IF(ISERROR(IF(SUM($CC$144:$CC$151) = 0, "", SUM($CC$144:$CC$151))), "", (IF(SUM($CC$144:$CC$151) = 0, "", SUM($CC$144:$CC$151))))</f>
        <v>22.65</v>
      </c>
      <c r="CD143">
        <f ca="1">IF(ISERROR(IF(SUM($CD$144:$CD$151) = 0, "", SUM($CD$144:$CD$151))), "", (IF(SUM($CD$144:$CD$151) = 0, "", SUM($CD$144:$CD$151))))</f>
        <v>22.440587787000002</v>
      </c>
      <c r="CE143">
        <f ca="1">IF(ISERROR(IF(SUM($CE$144:$CE$151) = 0, "", SUM($CE$144:$CE$151))), "", (IF(SUM($CE$144:$CE$151) = 0, "", SUM($CE$144:$CE$151))))</f>
        <v>22.346679390000002</v>
      </c>
      <c r="CF143">
        <f ca="1">IF(ISERROR(IF(SUM($CF$144:$CF$151) = 0, "", SUM($CF$144:$CF$151))), "", (IF(SUM($CF$144:$CF$151) = 0, "", SUM($CF$144:$CF$151))))</f>
        <v>21.943500000000004</v>
      </c>
      <c r="CG143">
        <f ca="1">IF(ISERROR(IF(SUM($CG$144:$CG$151) = 0, "", SUM($CG$144:$CG$151))), "", (IF(SUM($CG$144:$CG$151) = 0, "", SUM($CG$144:$CG$151))))</f>
        <v>21.712694658</v>
      </c>
      <c r="CH143">
        <f ca="1">IF(ISERROR(IF(SUM($CH$144:$CH$151) = 0, "", SUM($CH$144:$CH$151))), "", (IF(SUM($CH$144:$CH$151) = 0, "", SUM($CH$144:$CH$151))))</f>
        <v>21.030499999</v>
      </c>
      <c r="CI143">
        <f ca="1">IF(ISERROR(IF(SUM($CI$144:$CI$151) = 0, "", SUM($CI$144:$CI$151))), "", (IF(SUM($CI$144:$CI$151) = 0, "", SUM($CI$144:$CI$151))))</f>
        <v>20.916823754999999</v>
      </c>
      <c r="CJ143">
        <f ca="1">IF(ISERROR(IF(SUM($CJ$144:$CJ$151) = 0, "", SUM($CJ$144:$CJ$151))), "", (IF(SUM($CJ$144:$CJ$151) = 0, "", SUM($CJ$144:$CJ$151))))</f>
        <v>20.505908397000002</v>
      </c>
      <c r="CK143">
        <f ca="1">IF(ISERROR(IF(SUM($CK$144:$CK$151) = 0, "", SUM($CK$144:$CK$151))), "", (IF(SUM($CK$144:$CK$151) = 0, "", SUM($CK$144:$CK$151))))</f>
        <v>19.981769232000001</v>
      </c>
      <c r="CL143">
        <f>36.51478462</f>
        <v>36.51478462</v>
      </c>
      <c r="CM143">
        <f>36.42588506</f>
        <v>36.425885059999999</v>
      </c>
      <c r="CN143">
        <f>36.63546743</f>
        <v>36.635467429999999</v>
      </c>
      <c r="CO143">
        <f>36.88</f>
        <v>36.880000000000003</v>
      </c>
      <c r="CP143">
        <f>36.83810345</f>
        <v>36.838103449999998</v>
      </c>
      <c r="CQ143">
        <f>36.75513793</f>
        <v>36.755137929999997</v>
      </c>
      <c r="CR143">
        <f>36.667</f>
        <v>36.667000000000002</v>
      </c>
      <c r="CS143">
        <f>36.48182759</f>
        <v>36.481827590000002</v>
      </c>
      <c r="CT143">
        <f>36.32376245</f>
        <v>36.323762449999997</v>
      </c>
      <c r="CU143">
        <f>36.037</f>
        <v>36.036999999999999</v>
      </c>
      <c r="CV143">
        <f>35.84435632</f>
        <v>35.844356320000003</v>
      </c>
      <c r="CW143">
        <f>35.62778846</f>
        <v>35.627788459999998</v>
      </c>
      <c r="CX143">
        <f>35.29675</f>
        <v>35.296750000000003</v>
      </c>
      <c r="CY143">
        <f>35.12668582</f>
        <v>35.126685819999999</v>
      </c>
      <c r="CZ143">
        <f>35.43560536</f>
        <v>35.435605359999997</v>
      </c>
      <c r="DA143">
        <f>35.315</f>
        <v>35.314999999999998</v>
      </c>
      <c r="DB143">
        <f>35.29860536</f>
        <v>35.298605360000003</v>
      </c>
      <c r="DC143">
        <f>35.09918774</f>
        <v>35.099187739999998</v>
      </c>
      <c r="DD143">
        <f>35.014</f>
        <v>35.014000000000003</v>
      </c>
      <c r="DE143">
        <f>34.845</f>
        <v>34.844999999999999</v>
      </c>
      <c r="DF143">
        <f>34.90307692</f>
        <v>34.903076919999997</v>
      </c>
      <c r="DG143">
        <f>34.81756322</f>
        <v>34.817563219999997</v>
      </c>
      <c r="DH143">
        <f>34.66282759</f>
        <v>34.662827589999999</v>
      </c>
      <c r="DI143">
        <f>34.74394231</f>
        <v>34.743942310000001</v>
      </c>
      <c r="DJ143">
        <f>34.72520307</f>
        <v>34.725203069999999</v>
      </c>
      <c r="DK143">
        <f>34.55066667</f>
        <v>34.550666669999998</v>
      </c>
      <c r="DL143">
        <f>34.43215385</f>
        <v>34.432153849999999</v>
      </c>
      <c r="DM143">
        <f>34.189</f>
        <v>34.189</v>
      </c>
      <c r="DN143">
        <f>33.52230916</f>
        <v>33.522309159999999</v>
      </c>
      <c r="DO143">
        <f>33.27064615</f>
        <v>33.270646149999997</v>
      </c>
      <c r="DP143">
        <f>32.8969084</f>
        <v>32.896908400000001</v>
      </c>
      <c r="DQ143">
        <f>32.41333588</f>
        <v>32.413335879999998</v>
      </c>
      <c r="DR143">
        <f>31.91923462</f>
        <v>31.919234620000001</v>
      </c>
      <c r="DS143">
        <f>31.60027481</f>
        <v>31.600274809999998</v>
      </c>
      <c r="DT143">
        <f>31.35766154</f>
        <v>31.357661539999999</v>
      </c>
      <c r="DU143">
        <f>30.98308046</f>
        <v>30.98308046</v>
      </c>
      <c r="DV143">
        <f>30.46815649</f>
        <v>30.468156489999998</v>
      </c>
      <c r="DW143">
        <f>30.17990769</f>
        <v>30.17990769</v>
      </c>
      <c r="DX143">
        <f>29.94515385</f>
        <v>29.945153850000001</v>
      </c>
      <c r="DY143">
        <f>29.962</f>
        <v>29.962</v>
      </c>
      <c r="DZ143">
        <f>29.65593846</f>
        <v>29.655938460000002</v>
      </c>
      <c r="EA143">
        <f>29.32846154</f>
        <v>29.328461539999999</v>
      </c>
      <c r="EB143">
        <f>29.13616092</f>
        <v>29.136160919999998</v>
      </c>
      <c r="EC143">
        <f>29.13263077</f>
        <v>29.132630769999999</v>
      </c>
      <c r="ED143">
        <f>28.6254023</f>
        <v>28.625402300000001</v>
      </c>
      <c r="EE143">
        <f>28.33108046</f>
        <v>28.331080459999999</v>
      </c>
      <c r="EF143">
        <f>27.95748846</f>
        <v>27.95748846</v>
      </c>
      <c r="EG143">
        <f>27.95032184</f>
        <v>27.950321840000001</v>
      </c>
      <c r="EH143">
        <f>28.02455939</f>
        <v>28.02455939</v>
      </c>
      <c r="EI143">
        <f>27.9</f>
        <v>27.9</v>
      </c>
      <c r="EJ143">
        <f>27.94754615</f>
        <v>27.947546150000001</v>
      </c>
      <c r="EK143">
        <f>27.812</f>
        <v>27.812000000000001</v>
      </c>
      <c r="EL143">
        <f>27.76109231</f>
        <v>27.761092309999999</v>
      </c>
      <c r="EM143">
        <f>27.67316092</f>
        <v>27.673160920000001</v>
      </c>
      <c r="EN143">
        <f>27.46767816</f>
        <v>27.467678159999998</v>
      </c>
      <c r="EO143">
        <f>27.27597308</f>
        <v>27.27597308</v>
      </c>
      <c r="EP143">
        <f>26.97455939</f>
        <v>26.97455939</v>
      </c>
      <c r="EQ143">
        <f>26.63681538</f>
        <v>26.636815380000002</v>
      </c>
      <c r="ER143">
        <f>26.42864615</f>
        <v>26.428646149999999</v>
      </c>
      <c r="ES143">
        <f>26.03176245</f>
        <v>26.031762449999999</v>
      </c>
      <c r="ET143">
        <f>25.78813846</f>
        <v>25.788138459999999</v>
      </c>
      <c r="EU143">
        <f>25.56387356</f>
        <v>25.563873560000001</v>
      </c>
      <c r="EV143">
        <f>25.87551724</f>
        <v>25.875517240000001</v>
      </c>
      <c r="EW143">
        <f>25.87</f>
        <v>25.87</v>
      </c>
      <c r="EX143">
        <f>25.77197308</f>
        <v>25.771973079999999</v>
      </c>
      <c r="EY143">
        <f>25.16571648</f>
        <v>25.16571648</v>
      </c>
      <c r="EZ143">
        <f>24.87600769</f>
        <v>24.876007690000002</v>
      </c>
      <c r="FA143">
        <f>24.26636154</f>
        <v>24.266361539999998</v>
      </c>
      <c r="FB143">
        <f>24.30596552</f>
        <v>24.305965520000001</v>
      </c>
      <c r="FC143">
        <f>24.08293077</f>
        <v>24.082930770000001</v>
      </c>
      <c r="FD143">
        <f>23.9113295</f>
        <v>23.911329500000001</v>
      </c>
      <c r="FE143">
        <f>23.30116092</f>
        <v>23.301160920000001</v>
      </c>
      <c r="FF143">
        <f>22.82958462</f>
        <v>22.829584619999999</v>
      </c>
      <c r="FG143">
        <f>23.00153257</f>
        <v>23.001532569999998</v>
      </c>
      <c r="FH143">
        <f>22.84882824</f>
        <v>22.84882824</v>
      </c>
      <c r="FI143">
        <f>22.65</f>
        <v>22.65</v>
      </c>
      <c r="FJ143">
        <f>22.44058779</f>
        <v>22.440587789999999</v>
      </c>
      <c r="FK143">
        <f>22.34667939</f>
        <v>22.346679389999998</v>
      </c>
      <c r="FL143">
        <f>21.9435</f>
        <v>21.9435</v>
      </c>
      <c r="FM143">
        <f>21.71269466</f>
        <v>21.71269466</v>
      </c>
      <c r="FN143">
        <f>21.0305</f>
        <v>21.0305</v>
      </c>
      <c r="FO143">
        <f>20.91682375</f>
        <v>20.916823749999999</v>
      </c>
      <c r="FP143">
        <f>20.5059084</f>
        <v>20.505908399999999</v>
      </c>
      <c r="FQ143">
        <f>19.98176923</f>
        <v>19.981769230000001</v>
      </c>
    </row>
    <row r="144" spans="1:173">
      <c r="A144" t="str">
        <f>"    Apartment Investment &amp; Managem"</f>
        <v xml:space="preserve">    Apartment Investment &amp; Managem</v>
      </c>
      <c r="B144" t="str">
        <f>"AIV US Equity"</f>
        <v>AIV US Equity</v>
      </c>
      <c r="C144" t="str">
        <f t="shared" ref="C144:C151" si="45">"BE895"</f>
        <v>BE895</v>
      </c>
      <c r="D144" t="str">
        <f t="shared" ref="D144:D151" si="46">"BEST_AFFOPS"</f>
        <v>BEST_AFFOPS</v>
      </c>
      <c r="E144" t="str">
        <f t="shared" ref="E144:E151" si="47">"动态"</f>
        <v>动态</v>
      </c>
      <c r="F144">
        <f ca="1">IF(AND(ISNUMBER($F$354),$B$252=1),$F$354,HLOOKUP(INDIRECT(ADDRESS(2,COLUMN())),OFFSET($CL$2,0,0,ROW()-1,84),ROW()-1,FALSE))</f>
        <v>2.1604615379999998</v>
      </c>
      <c r="G144">
        <f ca="1">IF(AND(ISNUMBER($G$354),$B$252=1),$G$354,HLOOKUP(INDIRECT(ADDRESS(2,COLUMN())),OFFSET($CL$2,0,0,ROW()-1,84),ROW()-1,FALSE))</f>
        <v>2.1580689660000001</v>
      </c>
      <c r="H144">
        <f ca="1">IF(AND(ISNUMBER($H$354),$B$252=1),$H$354,HLOOKUP(INDIRECT(ADDRESS(2,COLUMN())),OFFSET($CL$2,0,0,ROW()-1,84),ROW()-1,FALSE))</f>
        <v>2.241130268</v>
      </c>
      <c r="I144">
        <f ca="1">IF(AND(ISNUMBER($I$354),$B$252=1),$I$354,HLOOKUP(INDIRECT(ADDRESS(2,COLUMN())),OFFSET($CL$2,0,0,ROW()-1,84),ROW()-1,FALSE))</f>
        <v>2.238</v>
      </c>
      <c r="J144">
        <f ca="1">IF(AND(ISNUMBER($J$354),$B$252=1),$J$354,HLOOKUP(INDIRECT(ADDRESS(2,COLUMN())),OFFSET($CL$2,0,0,ROW()-1,84),ROW()-1,FALSE))</f>
        <v>2.232137931</v>
      </c>
      <c r="K144">
        <f ca="1">IF(AND(ISNUMBER($K$354),$B$252=1),$K$354,HLOOKUP(INDIRECT(ADDRESS(2,COLUMN())),OFFSET($CL$2,0,0,ROW()-1,84),ROW()-1,FALSE))</f>
        <v>2.2224406129999998</v>
      </c>
      <c r="L144">
        <f ca="1">IF(AND(ISNUMBER($L$354),$B$252=1),$L$354,HLOOKUP(INDIRECT(ADDRESS(2,COLUMN())),OFFSET($CL$2,0,0,ROW()-1,84),ROW()-1,FALSE))</f>
        <v>2.2109999999999999</v>
      </c>
      <c r="M144">
        <f ca="1">IF(AND(ISNUMBER($M$354),$B$252=1),$M$354,HLOOKUP(INDIRECT(ADDRESS(2,COLUMN())),OFFSET($CL$2,0,0,ROW()-1,84),ROW()-1,FALSE))</f>
        <v>2.2048582379999999</v>
      </c>
      <c r="N144">
        <f ca="1">IF(AND(ISNUMBER($N$354),$B$252=1),$N$354,HLOOKUP(INDIRECT(ADDRESS(2,COLUMN())),OFFSET($CL$2,0,0,ROW()-1,84),ROW()-1,FALSE))</f>
        <v>2.2411264370000001</v>
      </c>
      <c r="O144">
        <f ca="1">IF(AND(ISNUMBER($O$354),$B$252=1),$O$354,HLOOKUP(INDIRECT(ADDRESS(2,COLUMN())),OFFSET($CL$2,0,0,ROW()-1,84),ROW()-1,FALSE))</f>
        <v>2.177</v>
      </c>
      <c r="P144">
        <f ca="1">IF(AND(ISNUMBER($P$354),$B$252=1),$P$354,HLOOKUP(INDIRECT(ADDRESS(2,COLUMN())),OFFSET($CL$2,0,0,ROW()-1,84),ROW()-1,FALSE))</f>
        <v>2.1656321840000001</v>
      </c>
      <c r="Q144">
        <f ca="1">IF(AND(ISNUMBER($Q$354),$B$252=1),$Q$354,HLOOKUP(INDIRECT(ADDRESS(2,COLUMN())),OFFSET($CL$2,0,0,ROW()-1,84),ROW()-1,FALSE))</f>
        <v>2.172230769</v>
      </c>
      <c r="R144">
        <f ca="1">IF(AND(ISNUMBER($R$354),$B$252=1),$R$354,HLOOKUP(INDIRECT(ADDRESS(2,COLUMN())),OFFSET($CL$2,0,0,ROW()-1,84),ROW()-1,FALSE))</f>
        <v>2.0927500000000001</v>
      </c>
      <c r="S144">
        <f ca="1">IF(AND(ISNUMBER($S$354),$B$252=1),$S$354,HLOOKUP(INDIRECT(ADDRESS(2,COLUMN())),OFFSET($CL$2,0,0,ROW()-1,84),ROW()-1,FALSE))</f>
        <v>2.0717279689999999</v>
      </c>
      <c r="T144">
        <f ca="1">IF(AND(ISNUMBER($T$354),$B$252=1),$T$354,HLOOKUP(INDIRECT(ADDRESS(2,COLUMN())),OFFSET($CL$2,0,0,ROW()-1,84),ROW()-1,FALSE))</f>
        <v>2.130781609</v>
      </c>
      <c r="U144">
        <f ca="1">IF(AND(ISNUMBER($U$354),$B$252=1),$U$354,HLOOKUP(INDIRECT(ADDRESS(2,COLUMN())),OFFSET($CL$2,0,0,ROW()-1,84),ROW()-1,FALSE))</f>
        <v>2.129</v>
      </c>
      <c r="V144">
        <f ca="1">IF(AND(ISNUMBER($V$354),$B$252=1),$V$354,HLOOKUP(INDIRECT(ADDRESS(2,COLUMN())),OFFSET($CL$2,0,0,ROW()-1,84),ROW()-1,FALSE))</f>
        <v>2.1249118770000002</v>
      </c>
      <c r="W144">
        <f ca="1">IF(AND(ISNUMBER($W$354),$B$252=1),$W$354,HLOOKUP(INDIRECT(ADDRESS(2,COLUMN())),OFFSET($CL$2,0,0,ROW()-1,84),ROW()-1,FALSE))</f>
        <v>2.112183908</v>
      </c>
      <c r="X144">
        <f ca="1">IF(AND(ISNUMBER($X$354),$B$252=1),$X$354,HLOOKUP(INDIRECT(ADDRESS(2,COLUMN())),OFFSET($CL$2,0,0,ROW()-1,84),ROW()-1,FALSE))</f>
        <v>2.1105</v>
      </c>
      <c r="Y144">
        <f ca="1">IF(AND(ISNUMBER($Y$354),$B$252=1),$Y$354,HLOOKUP(INDIRECT(ADDRESS(2,COLUMN())),OFFSET($CL$2,0,0,ROW()-1,84),ROW()-1,FALSE))</f>
        <v>2.0960000000000001</v>
      </c>
      <c r="Z144">
        <f ca="1">IF(AND(ISNUMBER($Z$354),$B$252=1),$Z$354,HLOOKUP(INDIRECT(ADDRESS(2,COLUMN())),OFFSET($CL$2,0,0,ROW()-1,84),ROW()-1,FALSE))</f>
        <v>2.0742692310000002</v>
      </c>
      <c r="AA144">
        <f ca="1">IF(AND(ISNUMBER($AA$354),$B$252=1),$AA$354,HLOOKUP(INDIRECT(ADDRESS(2,COLUMN())),OFFSET($CL$2,0,0,ROW()-1,84),ROW()-1,FALSE))</f>
        <v>2.0616475099999998</v>
      </c>
      <c r="AB144">
        <f ca="1">IF(AND(ISNUMBER($AB$354),$B$252=1),$AB$354,HLOOKUP(INDIRECT(ADDRESS(2,COLUMN())),OFFSET($CL$2,0,0,ROW()-1,84),ROW()-1,FALSE))</f>
        <v>2.0503793099999998</v>
      </c>
      <c r="AC144">
        <f ca="1">IF(AND(ISNUMBER($AC$354),$B$252=1),$AC$354,HLOOKUP(INDIRECT(ADDRESS(2,COLUMN())),OFFSET($CL$2,0,0,ROW()-1,84),ROW()-1,FALSE))</f>
        <v>2.0346923079999999</v>
      </c>
      <c r="AD144">
        <f ca="1">IF(AND(ISNUMBER($AD$354),$B$252=1),$AD$354,HLOOKUP(INDIRECT(ADDRESS(2,COLUMN())),OFFSET($CL$2,0,0,ROW()-1,84),ROW()-1,FALSE))</f>
        <v>2.0521455940000002</v>
      </c>
      <c r="AE144">
        <f ca="1">IF(AND(ISNUMBER($AE$354),$B$252=1),$AE$354,HLOOKUP(INDIRECT(ADDRESS(2,COLUMN())),OFFSET($CL$2,0,0,ROW()-1,84),ROW()-1,FALSE))</f>
        <v>2.0709195399999998</v>
      </c>
      <c r="AF144">
        <f ca="1">IF(AND(ISNUMBER($AF$354),$B$252=1),$AF$354,HLOOKUP(INDIRECT(ADDRESS(2,COLUMN())),OFFSET($CL$2,0,0,ROW()-1,84),ROW()-1,FALSE))</f>
        <v>2.0548461539999998</v>
      </c>
      <c r="AG144">
        <f ca="1">IF(AND(ISNUMBER($AG$354),$B$252=1),$AG$354,HLOOKUP(INDIRECT(ADDRESS(2,COLUMN())),OFFSET($CL$2,0,0,ROW()-1,84),ROW()-1,FALSE))</f>
        <v>2.0499999999999998</v>
      </c>
      <c r="AH144">
        <f ca="1">IF(AND(ISNUMBER($AH$354),$B$252=1),$AH$354,HLOOKUP(INDIRECT(ADDRESS(2,COLUMN())),OFFSET($CL$2,0,0,ROW()-1,84),ROW()-1,FALSE))</f>
        <v>2.034900763</v>
      </c>
      <c r="AI144">
        <f ca="1">IF(AND(ISNUMBER($AI$354),$B$252=1),$AI$354,HLOOKUP(INDIRECT(ADDRESS(2,COLUMN())),OFFSET($CL$2,0,0,ROW()-1,84),ROW()-1,FALSE))</f>
        <v>2.0692769229999999</v>
      </c>
      <c r="AJ144">
        <f ca="1">IF(AND(ISNUMBER($AJ$354),$B$252=1),$AJ$354,HLOOKUP(INDIRECT(ADDRESS(2,COLUMN())),OFFSET($CL$2,0,0,ROW()-1,84),ROW()-1,FALSE))</f>
        <v>2.0282213740000001</v>
      </c>
      <c r="AK144">
        <f ca="1">IF(AND(ISNUMBER($AK$354),$B$252=1),$AK$354,HLOOKUP(INDIRECT(ADDRESS(2,COLUMN())),OFFSET($CL$2,0,0,ROW()-1,84),ROW()-1,FALSE))</f>
        <v>1.979938931</v>
      </c>
      <c r="AL144">
        <f ca="1">IF(AND(ISNUMBER($AL$354),$B$252=1),$AL$354,HLOOKUP(INDIRECT(ADDRESS(2,COLUMN())),OFFSET($CL$2,0,0,ROW()-1,84),ROW()-1,FALSE))</f>
        <v>1.9489846150000001</v>
      </c>
      <c r="AM144">
        <f ca="1">IF(AND(ISNUMBER($AM$354),$B$252=1),$AM$354,HLOOKUP(INDIRECT(ADDRESS(2,COLUMN())),OFFSET($CL$2,0,0,ROW()-1,84),ROW()-1,FALSE))</f>
        <v>1.9419160310000001</v>
      </c>
      <c r="AN144">
        <f ca="1">IF(AND(ISNUMBER($AN$354),$B$252=1),$AN$354,HLOOKUP(INDIRECT(ADDRESS(2,COLUMN())),OFFSET($CL$2,0,0,ROW()-1,84),ROW()-1,FALSE))</f>
        <v>1.9270076920000001</v>
      </c>
      <c r="AO144">
        <f ca="1">IF(AND(ISNUMBER($AO$354),$B$252=1),$AO$354,HLOOKUP(INDIRECT(ADDRESS(2,COLUMN())),OFFSET($CL$2,0,0,ROW()-1,84),ROW()-1,FALSE))</f>
        <v>1.9021072800000001</v>
      </c>
      <c r="AP144">
        <f ca="1">IF(AND(ISNUMBER($AP$354),$B$252=1),$AP$354,HLOOKUP(INDIRECT(ADDRESS(2,COLUMN())),OFFSET($CL$2,0,0,ROW()-1,84),ROW()-1,FALSE))</f>
        <v>1.8961984730000001</v>
      </c>
      <c r="AQ144">
        <f ca="1">IF(AND(ISNUMBER($AQ$354),$B$252=1),$AQ$354,HLOOKUP(INDIRECT(ADDRESS(2,COLUMN())),OFFSET($CL$2,0,0,ROW()-1,84),ROW()-1,FALSE))</f>
        <v>1.873242308</v>
      </c>
      <c r="AR144">
        <f ca="1">IF(AND(ISNUMBER($AR$354),$B$252=1),$AR$354,HLOOKUP(INDIRECT(ADDRESS(2,COLUMN())),OFFSET($CL$2,0,0,ROW()-1,84),ROW()-1,FALSE))</f>
        <v>1.821711538</v>
      </c>
      <c r="AS144">
        <f ca="1">IF(AND(ISNUMBER($AS$354),$B$252=1),$AS$354,HLOOKUP(INDIRECT(ADDRESS(2,COLUMN())),OFFSET($CL$2,0,0,ROW()-1,84),ROW()-1,FALSE))</f>
        <v>1.8360000000000001</v>
      </c>
      <c r="AT144">
        <f ca="1">IF(AND(ISNUMBER($AT$354),$B$252=1),$AT$354,HLOOKUP(INDIRECT(ADDRESS(2,COLUMN())),OFFSET($CL$2,0,0,ROW()-1,84),ROW()-1,FALSE))</f>
        <v>1.8298269229999999</v>
      </c>
      <c r="AU144">
        <f ca="1">IF(AND(ISNUMBER($AU$354),$B$252=1),$AU$354,HLOOKUP(INDIRECT(ADDRESS(2,COLUMN())),OFFSET($CL$2,0,0,ROW()-1,84),ROW()-1,FALSE))</f>
        <v>1.8607269230000001</v>
      </c>
      <c r="AV144">
        <f ca="1">IF(AND(ISNUMBER($AV$354),$B$252=1),$AV$354,HLOOKUP(INDIRECT(ADDRESS(2,COLUMN())),OFFSET($CL$2,0,0,ROW()-1,84),ROW()-1,FALSE))</f>
        <v>1.837482759</v>
      </c>
      <c r="AW144">
        <f ca="1">IF(AND(ISNUMBER($AW$354),$B$252=1),$AW$354,HLOOKUP(INDIRECT(ADDRESS(2,COLUMN())),OFFSET($CL$2,0,0,ROW()-1,84),ROW()-1,FALSE))</f>
        <v>1.8456153850000001</v>
      </c>
      <c r="AX144">
        <f ca="1">IF(AND(ISNUMBER($AX$354),$B$252=1),$AX$354,HLOOKUP(INDIRECT(ADDRESS(2,COLUMN())),OFFSET($CL$2,0,0,ROW()-1,84),ROW()-1,FALSE))</f>
        <v>1.694942529</v>
      </c>
      <c r="AY144">
        <f ca="1">IF(AND(ISNUMBER($AY$354),$B$252=1),$AY$354,HLOOKUP(INDIRECT(ADDRESS(2,COLUMN())),OFFSET($CL$2,0,0,ROW()-1,84),ROW()-1,FALSE))</f>
        <v>1.6596551719999999</v>
      </c>
      <c r="AZ144">
        <f ca="1">IF(AND(ISNUMBER($AZ$354),$B$252=1),$AZ$354,HLOOKUP(INDIRECT(ADDRESS(2,COLUMN())),OFFSET($CL$2,0,0,ROW()-1,84),ROW()-1,FALSE))</f>
        <v>1.689384615</v>
      </c>
      <c r="BA144">
        <f ca="1">IF(AND(ISNUMBER($BA$354),$B$252=1),$BA$354,HLOOKUP(INDIRECT(ADDRESS(2,COLUMN())),OFFSET($CL$2,0,0,ROW()-1,84),ROW()-1,FALSE))</f>
        <v>1.6713793100000001</v>
      </c>
      <c r="BB144">
        <f ca="1">IF(AND(ISNUMBER($BB$354),$B$252=1),$BB$354,HLOOKUP(INDIRECT(ADDRESS(2,COLUMN())),OFFSET($CL$2,0,0,ROW()-1,84),ROW()-1,FALSE))</f>
        <v>1.7350613029999999</v>
      </c>
      <c r="BC144">
        <f ca="1">IF(AND(ISNUMBER($BC$354),$B$252=1),$BC$354,HLOOKUP(INDIRECT(ADDRESS(2,COLUMN())),OFFSET($CL$2,0,0,ROW()-1,84),ROW()-1,FALSE))</f>
        <v>1.7377307689999999</v>
      </c>
      <c r="BD144">
        <f ca="1">IF(AND(ISNUMBER($BD$354),$B$252=1),$BD$354,HLOOKUP(INDIRECT(ADDRESS(2,COLUMN())),OFFSET($CL$2,0,0,ROW()-1,84),ROW()-1,FALSE))</f>
        <v>1.7986923079999999</v>
      </c>
      <c r="BE144">
        <f ca="1">IF(AND(ISNUMBER($BE$354),$B$252=1),$BE$354,HLOOKUP(INDIRECT(ADDRESS(2,COLUMN())),OFFSET($CL$2,0,0,ROW()-1,84),ROW()-1,FALSE))</f>
        <v>1.69</v>
      </c>
      <c r="BF144">
        <f ca="1">IF(AND(ISNUMBER($BF$354),$B$252=1),$BF$354,HLOOKUP(INDIRECT(ADDRESS(2,COLUMN())),OFFSET($CL$2,0,0,ROW()-1,84),ROW()-1,FALSE))</f>
        <v>1.7751923080000001</v>
      </c>
      <c r="BG144">
        <f ca="1">IF(AND(ISNUMBER($BG$354),$B$252=1),$BG$354,HLOOKUP(INDIRECT(ADDRESS(2,COLUMN())),OFFSET($CL$2,0,0,ROW()-1,84),ROW()-1,FALSE))</f>
        <v>1.7244176250000001</v>
      </c>
      <c r="BH144">
        <f ca="1">IF(AND(ISNUMBER($BH$354),$B$252=1),$BH$354,HLOOKUP(INDIRECT(ADDRESS(2,COLUMN())),OFFSET($CL$2,0,0,ROW()-1,84),ROW()-1,FALSE))</f>
        <v>1.7278160920000001</v>
      </c>
      <c r="BI144">
        <f ca="1">IF(AND(ISNUMBER($BI$354),$B$252=1),$BI$354,HLOOKUP(INDIRECT(ADDRESS(2,COLUMN())),OFFSET($CL$2,0,0,ROW()-1,84),ROW()-1,FALSE))</f>
        <v>1.715473077</v>
      </c>
      <c r="BJ144">
        <f ca="1">IF(AND(ISNUMBER($BJ$354),$B$252=1),$BJ$354,HLOOKUP(INDIRECT(ADDRESS(2,COLUMN())),OFFSET($CL$2,0,0,ROW()-1,84),ROW()-1,FALSE))</f>
        <v>1.724827586</v>
      </c>
      <c r="BK144">
        <f ca="1">IF(AND(ISNUMBER($BK$354),$B$252=1),$BK$354,HLOOKUP(INDIRECT(ADDRESS(2,COLUMN())),OFFSET($CL$2,0,0,ROW()-1,84),ROW()-1,FALSE))</f>
        <v>1.7124769230000001</v>
      </c>
      <c r="BL144">
        <f ca="1">IF(AND(ISNUMBER($BL$354),$B$252=1),$BL$354,HLOOKUP(INDIRECT(ADDRESS(2,COLUMN())),OFFSET($CL$2,0,0,ROW()-1,84),ROW()-1,FALSE))</f>
        <v>1.6972461539999999</v>
      </c>
      <c r="BM144">
        <f ca="1">IF(AND(ISNUMBER($BM$354),$B$252=1),$BM$354,HLOOKUP(INDIRECT(ADDRESS(2,COLUMN())),OFFSET($CL$2,0,0,ROW()-1,84),ROW()-1,FALSE))</f>
        <v>1.7278007660000001</v>
      </c>
      <c r="BN144">
        <f ca="1">IF(AND(ISNUMBER($BN$354),$B$252=1),$BN$354,HLOOKUP(INDIRECT(ADDRESS(2,COLUMN())),OFFSET($CL$2,0,0,ROW()-1,84),ROW()-1,FALSE))</f>
        <v>1.715680769</v>
      </c>
      <c r="BO144">
        <f ca="1">IF(AND(ISNUMBER($BO$354),$B$252=1),$BO$354,HLOOKUP(INDIRECT(ADDRESS(2,COLUMN())),OFFSET($CL$2,0,0,ROW()-1,84),ROW()-1,FALSE))</f>
        <v>1.6442796930000001</v>
      </c>
      <c r="BP144">
        <f ca="1">IF(AND(ISNUMBER($BP$354),$B$252=1),$BP$354,HLOOKUP(INDIRECT(ADDRESS(2,COLUMN())),OFFSET($CL$2,0,0,ROW()-1,84),ROW()-1,FALSE))</f>
        <v>1.67591954</v>
      </c>
      <c r="BQ144">
        <f ca="1">IF(AND(ISNUMBER($BQ$354),$B$252=1),$BQ$354,HLOOKUP(INDIRECT(ADDRESS(2,COLUMN())),OFFSET($CL$2,0,0,ROW()-1,84),ROW()-1,FALSE))</f>
        <v>1.655</v>
      </c>
      <c r="BR144">
        <f ca="1">IF(AND(ISNUMBER($BR$354),$B$252=1),$BR$354,HLOOKUP(INDIRECT(ADDRESS(2,COLUMN())),OFFSET($CL$2,0,0,ROW()-1,84),ROW()-1,FALSE))</f>
        <v>1.6337384619999999</v>
      </c>
      <c r="BS144">
        <f ca="1">IF(AND(ISNUMBER($BS$354),$B$252=1),$BS$354,HLOOKUP(INDIRECT(ADDRESS(2,COLUMN())),OFFSET($CL$2,0,0,ROW()-1,84),ROW()-1,FALSE))</f>
        <v>1.5634099619999999</v>
      </c>
      <c r="BT144">
        <f ca="1">IF(AND(ISNUMBER($BT$354),$B$252=1),$BT$354,HLOOKUP(INDIRECT(ADDRESS(2,COLUMN())),OFFSET($CL$2,0,0,ROW()-1,84),ROW()-1,FALSE))</f>
        <v>1.5196076919999999</v>
      </c>
      <c r="BU144">
        <f ca="1">IF(AND(ISNUMBER($BU$354),$B$252=1),$BU$354,HLOOKUP(INDIRECT(ADDRESS(2,COLUMN())),OFFSET($CL$2,0,0,ROW()-1,84),ROW()-1,FALSE))</f>
        <v>1.4967615379999999</v>
      </c>
      <c r="BV144">
        <f ca="1">IF(AND(ISNUMBER($BV$354),$B$252=1),$BV$354,HLOOKUP(INDIRECT(ADDRESS(2,COLUMN())),OFFSET($CL$2,0,0,ROW()-1,84),ROW()-1,FALSE))</f>
        <v>1.4518888889999999</v>
      </c>
      <c r="BW144">
        <f ca="1">IF(AND(ISNUMBER($BW$354),$B$252=1),$BW$354,HLOOKUP(INDIRECT(ADDRESS(2,COLUMN())),OFFSET($CL$2,0,0,ROW()-1,84),ROW()-1,FALSE))</f>
        <v>1.394411538</v>
      </c>
      <c r="BX144">
        <f ca="1">IF(AND(ISNUMBER($BX$354),$B$252=1),$BX$354,HLOOKUP(INDIRECT(ADDRESS(2,COLUMN())),OFFSET($CL$2,0,0,ROW()-1,84),ROW()-1,FALSE))</f>
        <v>1.3774176250000001</v>
      </c>
      <c r="BY144">
        <f ca="1">IF(AND(ISNUMBER($BY$354),$B$252=1),$BY$354,HLOOKUP(INDIRECT(ADDRESS(2,COLUMN())),OFFSET($CL$2,0,0,ROW()-1,84),ROW()-1,FALSE))</f>
        <v>1.2787969349999999</v>
      </c>
      <c r="BZ144">
        <f ca="1">IF(AND(ISNUMBER($BZ$354),$B$252=1),$BZ$354,HLOOKUP(INDIRECT(ADDRESS(2,COLUMN())),OFFSET($CL$2,0,0,ROW()-1,84),ROW()-1,FALSE))</f>
        <v>1.259876923</v>
      </c>
      <c r="CA144">
        <f ca="1">IF(AND(ISNUMBER($CA$354),$B$252=1),$CA$354,HLOOKUP(INDIRECT(ADDRESS(2,COLUMN())),OFFSET($CL$2,0,0,ROW()-1,84),ROW()-1,FALSE))</f>
        <v>1.236586207</v>
      </c>
      <c r="CB144">
        <f ca="1">IF(AND(ISNUMBER($CB$354),$B$252=1),$CB$354,HLOOKUP(INDIRECT(ADDRESS(2,COLUMN())),OFFSET($CL$2,0,0,ROW()-1,84),ROW()-1,FALSE))</f>
        <v>1.2466068699999999</v>
      </c>
      <c r="CC144">
        <f ca="1">IF(AND(ISNUMBER($CC$354),$B$252=1),$CC$354,HLOOKUP(INDIRECT(ADDRESS(2,COLUMN())),OFFSET($CL$2,0,0,ROW()-1,84),ROW()-1,FALSE))</f>
        <v>1.238</v>
      </c>
      <c r="CD144">
        <f ca="1">IF(AND(ISNUMBER($CD$354),$B$252=1),$CD$354,HLOOKUP(INDIRECT(ADDRESS(2,COLUMN())),OFFSET($CL$2,0,0,ROW()-1,84),ROW()-1,FALSE))</f>
        <v>1.2199770990000001</v>
      </c>
      <c r="CE144">
        <f ca="1">IF(AND(ISNUMBER($CE$354),$B$252=1),$CE$354,HLOOKUP(INDIRECT(ADDRESS(2,COLUMN())),OFFSET($CL$2,0,0,ROW()-1,84),ROW()-1,FALSE))</f>
        <v>1.2619465649999999</v>
      </c>
      <c r="CF144">
        <f ca="1">IF(AND(ISNUMBER($CF$354),$B$252=1),$CF$354,HLOOKUP(INDIRECT(ADDRESS(2,COLUMN())),OFFSET($CL$2,0,0,ROW()-1,84),ROW()-1,FALSE))</f>
        <v>1.2515000000000001</v>
      </c>
      <c r="CG144">
        <f ca="1">IF(AND(ISNUMBER($CG$354),$B$252=1),$CG$354,HLOOKUP(INDIRECT(ADDRESS(2,COLUMN())),OFFSET($CL$2,0,0,ROW()-1,84),ROW()-1,FALSE))</f>
        <v>1.2707061070000001</v>
      </c>
      <c r="CH144">
        <f ca="1">IF(AND(ISNUMBER($CH$354),$B$252=1),$CH$354,HLOOKUP(INDIRECT(ADDRESS(2,COLUMN())),OFFSET($CL$2,0,0,ROW()-1,84),ROW()-1,FALSE))</f>
        <v>1.1965769230000001</v>
      </c>
      <c r="CI144">
        <f ca="1">IF(AND(ISNUMBER($CI$354),$B$252=1),$CI$354,HLOOKUP(INDIRECT(ADDRESS(2,COLUMN())),OFFSET($CL$2,0,0,ROW()-1,84),ROW()-1,FALSE))</f>
        <v>1.2255478930000001</v>
      </c>
      <c r="CJ144">
        <f ca="1">IF(AND(ISNUMBER($CJ$354),$B$252=1),$CJ$354,HLOOKUP(INDIRECT(ADDRESS(2,COLUMN())),OFFSET($CL$2,0,0,ROW()-1,84),ROW()-1,FALSE))</f>
        <v>1.065629771</v>
      </c>
      <c r="CK144">
        <f ca="1">IF(AND(ISNUMBER($CK$354),$B$252=1),$CK$354,HLOOKUP(INDIRECT(ADDRESS(2,COLUMN())),OFFSET($CL$2,0,0,ROW()-1,84),ROW()-1,FALSE))</f>
        <v>1.066576923</v>
      </c>
      <c r="CL144">
        <f>2.160461538</f>
        <v>2.1604615379999998</v>
      </c>
      <c r="CM144">
        <f>2.158068966</f>
        <v>2.1580689660000001</v>
      </c>
      <c r="CN144">
        <f>2.241130268</f>
        <v>2.241130268</v>
      </c>
      <c r="CO144">
        <f>2.238</f>
        <v>2.238</v>
      </c>
      <c r="CP144">
        <f>2.232137931</f>
        <v>2.232137931</v>
      </c>
      <c r="CQ144">
        <f>2.222440613</f>
        <v>2.2224406129999998</v>
      </c>
      <c r="CR144">
        <f>2.211</f>
        <v>2.2109999999999999</v>
      </c>
      <c r="CS144">
        <f>2.204858238</f>
        <v>2.2048582379999999</v>
      </c>
      <c r="CT144">
        <f>2.241126437</f>
        <v>2.2411264370000001</v>
      </c>
      <c r="CU144">
        <f>2.177</f>
        <v>2.177</v>
      </c>
      <c r="CV144">
        <f>2.165632184</f>
        <v>2.1656321840000001</v>
      </c>
      <c r="CW144">
        <f>2.172230769</f>
        <v>2.172230769</v>
      </c>
      <c r="CX144">
        <f>2.09275</f>
        <v>2.0927500000000001</v>
      </c>
      <c r="CY144">
        <f>2.071727969</f>
        <v>2.0717279689999999</v>
      </c>
      <c r="CZ144">
        <f>2.130781609</f>
        <v>2.130781609</v>
      </c>
      <c r="DA144">
        <f>2.129</f>
        <v>2.129</v>
      </c>
      <c r="DB144">
        <f>2.124911877</f>
        <v>2.1249118770000002</v>
      </c>
      <c r="DC144">
        <f>2.112183908</f>
        <v>2.112183908</v>
      </c>
      <c r="DD144">
        <f>2.1105</f>
        <v>2.1105</v>
      </c>
      <c r="DE144">
        <f>2.096</f>
        <v>2.0960000000000001</v>
      </c>
      <c r="DF144">
        <f>2.074269231</f>
        <v>2.0742692310000002</v>
      </c>
      <c r="DG144">
        <f>2.06164751</f>
        <v>2.0616475099999998</v>
      </c>
      <c r="DH144">
        <f>2.05037931</f>
        <v>2.0503793099999998</v>
      </c>
      <c r="DI144">
        <f>2.034692308</f>
        <v>2.0346923079999999</v>
      </c>
      <c r="DJ144">
        <f>2.052145594</f>
        <v>2.0521455940000002</v>
      </c>
      <c r="DK144">
        <f>2.07091954</f>
        <v>2.0709195399999998</v>
      </c>
      <c r="DL144">
        <f>2.054846154</f>
        <v>2.0548461539999998</v>
      </c>
      <c r="DM144">
        <f>2.05</f>
        <v>2.0499999999999998</v>
      </c>
      <c r="DN144">
        <f>2.034900763</f>
        <v>2.034900763</v>
      </c>
      <c r="DO144">
        <f>2.069276923</f>
        <v>2.0692769229999999</v>
      </c>
      <c r="DP144">
        <f>2.028221374</f>
        <v>2.0282213740000001</v>
      </c>
      <c r="DQ144">
        <f>1.979938931</f>
        <v>1.979938931</v>
      </c>
      <c r="DR144">
        <f>1.948984615</f>
        <v>1.9489846150000001</v>
      </c>
      <c r="DS144">
        <f>1.941916031</f>
        <v>1.9419160310000001</v>
      </c>
      <c r="DT144">
        <f>1.927007692</f>
        <v>1.9270076920000001</v>
      </c>
      <c r="DU144">
        <f>1.90210728</f>
        <v>1.9021072800000001</v>
      </c>
      <c r="DV144">
        <f>1.896198473</f>
        <v>1.8961984730000001</v>
      </c>
      <c r="DW144">
        <f>1.873242308</f>
        <v>1.873242308</v>
      </c>
      <c r="DX144">
        <f>1.821711538</f>
        <v>1.821711538</v>
      </c>
      <c r="DY144">
        <f>1.836</f>
        <v>1.8360000000000001</v>
      </c>
      <c r="DZ144">
        <f>1.829826923</f>
        <v>1.8298269229999999</v>
      </c>
      <c r="EA144">
        <f>1.860726923</f>
        <v>1.8607269230000001</v>
      </c>
      <c r="EB144">
        <f>1.837482759</f>
        <v>1.837482759</v>
      </c>
      <c r="EC144">
        <f>1.845615385</f>
        <v>1.8456153850000001</v>
      </c>
      <c r="ED144">
        <f>1.694942529</f>
        <v>1.694942529</v>
      </c>
      <c r="EE144">
        <f>1.659655172</f>
        <v>1.6596551719999999</v>
      </c>
      <c r="EF144">
        <f>1.689384615</f>
        <v>1.689384615</v>
      </c>
      <c r="EG144">
        <f>1.67137931</f>
        <v>1.6713793100000001</v>
      </c>
      <c r="EH144">
        <f>1.735061303</f>
        <v>1.7350613029999999</v>
      </c>
      <c r="EI144">
        <f>1.737730769</f>
        <v>1.7377307689999999</v>
      </c>
      <c r="EJ144">
        <f>1.798692308</f>
        <v>1.7986923079999999</v>
      </c>
      <c r="EK144">
        <f>1.69</f>
        <v>1.69</v>
      </c>
      <c r="EL144">
        <f>1.775192308</f>
        <v>1.7751923080000001</v>
      </c>
      <c r="EM144">
        <f>1.724417625</f>
        <v>1.7244176250000001</v>
      </c>
      <c r="EN144">
        <f>1.727816092</f>
        <v>1.7278160920000001</v>
      </c>
      <c r="EO144">
        <f>1.715473077</f>
        <v>1.715473077</v>
      </c>
      <c r="EP144">
        <f>1.724827586</f>
        <v>1.724827586</v>
      </c>
      <c r="EQ144">
        <f>1.712476923</f>
        <v>1.7124769230000001</v>
      </c>
      <c r="ER144">
        <f>1.697246154</f>
        <v>1.6972461539999999</v>
      </c>
      <c r="ES144">
        <f>1.727800766</f>
        <v>1.7278007660000001</v>
      </c>
      <c r="ET144">
        <f>1.715680769</f>
        <v>1.715680769</v>
      </c>
      <c r="EU144">
        <f>1.644279693</f>
        <v>1.6442796930000001</v>
      </c>
      <c r="EV144">
        <f>1.67591954</f>
        <v>1.67591954</v>
      </c>
      <c r="EW144">
        <f>1.655</f>
        <v>1.655</v>
      </c>
      <c r="EX144">
        <f>1.633738462</f>
        <v>1.6337384619999999</v>
      </c>
      <c r="EY144">
        <f>1.563409962</f>
        <v>1.5634099619999999</v>
      </c>
      <c r="EZ144">
        <f>1.519607692</f>
        <v>1.5196076919999999</v>
      </c>
      <c r="FA144">
        <f>1.496761538</f>
        <v>1.4967615379999999</v>
      </c>
      <c r="FB144">
        <f>1.451888889</f>
        <v>1.4518888889999999</v>
      </c>
      <c r="FC144">
        <f>1.394411538</f>
        <v>1.394411538</v>
      </c>
      <c r="FD144">
        <f>1.377417625</f>
        <v>1.3774176250000001</v>
      </c>
      <c r="FE144">
        <f>1.278796935</f>
        <v>1.2787969349999999</v>
      </c>
      <c r="FF144">
        <f>1.259876923</f>
        <v>1.259876923</v>
      </c>
      <c r="FG144">
        <f>1.236586207</f>
        <v>1.236586207</v>
      </c>
      <c r="FH144">
        <f>1.24660687</f>
        <v>1.2466068699999999</v>
      </c>
      <c r="FI144">
        <f>1.238</f>
        <v>1.238</v>
      </c>
      <c r="FJ144">
        <f>1.219977099</f>
        <v>1.2199770990000001</v>
      </c>
      <c r="FK144">
        <f>1.261946565</f>
        <v>1.2619465649999999</v>
      </c>
      <c r="FL144">
        <f>1.2515</f>
        <v>1.2515000000000001</v>
      </c>
      <c r="FM144">
        <f>1.270706107</f>
        <v>1.2707061070000001</v>
      </c>
      <c r="FN144">
        <f>1.196576923</f>
        <v>1.1965769230000001</v>
      </c>
      <c r="FO144">
        <f>1.225547893</f>
        <v>1.2255478930000001</v>
      </c>
      <c r="FP144">
        <f>1.065629771</f>
        <v>1.065629771</v>
      </c>
      <c r="FQ144">
        <f>1.066576923</f>
        <v>1.066576923</v>
      </c>
    </row>
    <row r="145" spans="1:173">
      <c r="A145" t="str">
        <f>"    AvalonBay Communities Inc"</f>
        <v xml:space="preserve">    AvalonBay Communities Inc</v>
      </c>
      <c r="B145" t="str">
        <f>"AVB US Equity"</f>
        <v>AVB US Equity</v>
      </c>
      <c r="C145" t="str">
        <f t="shared" si="45"/>
        <v>BE895</v>
      </c>
      <c r="D145" t="str">
        <f t="shared" si="46"/>
        <v>BEST_AFFOPS</v>
      </c>
      <c r="E145" t="str">
        <f t="shared" si="47"/>
        <v>动态</v>
      </c>
      <c r="F145">
        <f ca="1">IF(AND(ISNUMBER($F$355),$B$252=1),$F$355,HLOOKUP(INDIRECT(ADDRESS(2,COLUMN())),OFFSET($CL$2,0,0,ROW()-1,84),ROW()-1,FALSE))</f>
        <v>8.5434615380000007</v>
      </c>
      <c r="G145">
        <f ca="1">IF(AND(ISNUMBER($G$355),$B$252=1),$G$355,HLOOKUP(INDIRECT(ADDRESS(2,COLUMN())),OFFSET($CL$2,0,0,ROW()-1,84),ROW()-1,FALSE))</f>
        <v>8.5349463599999993</v>
      </c>
      <c r="H145">
        <f ca="1">IF(AND(ISNUMBER($H$355),$B$252=1),$H$355,HLOOKUP(INDIRECT(ADDRESS(2,COLUMN())),OFFSET($CL$2,0,0,ROW()-1,84),ROW()-1,FALSE))</f>
        <v>8.5858237549999998</v>
      </c>
      <c r="I145">
        <f ca="1">IF(AND(ISNUMBER($I$355),$B$252=1),$I$355,HLOOKUP(INDIRECT(ADDRESS(2,COLUMN())),OFFSET($CL$2,0,0,ROW()-1,84),ROW()-1,FALSE))</f>
        <v>8.5340000000000007</v>
      </c>
      <c r="J145">
        <f ca="1">IF(AND(ISNUMBER($J$355),$B$252=1),$J$355,HLOOKUP(INDIRECT(ADDRESS(2,COLUMN())),OFFSET($CL$2,0,0,ROW()-1,84),ROW()-1,FALSE))</f>
        <v>8.4939080459999996</v>
      </c>
      <c r="K145">
        <f ca="1">IF(AND(ISNUMBER($K$355),$B$252=1),$K$355,HLOOKUP(INDIRECT(ADDRESS(2,COLUMN())),OFFSET($CL$2,0,0,ROW()-1,84),ROW()-1,FALSE))</f>
        <v>8.4687777779999998</v>
      </c>
      <c r="L145">
        <f ca="1">IF(AND(ISNUMBER($L$355),$B$252=1),$L$355,HLOOKUP(INDIRECT(ADDRESS(2,COLUMN())),OFFSET($CL$2,0,0,ROW()-1,84),ROW()-1,FALSE))</f>
        <v>8.4295000000000009</v>
      </c>
      <c r="M145">
        <f ca="1">IF(AND(ISNUMBER($M$355),$B$252=1),$M$355,HLOOKUP(INDIRECT(ADDRESS(2,COLUMN())),OFFSET($CL$2,0,0,ROW()-1,84),ROW()-1,FALSE))</f>
        <v>8.4306666670000006</v>
      </c>
      <c r="N145">
        <f ca="1">IF(AND(ISNUMBER($N$355),$B$252=1),$N$355,HLOOKUP(INDIRECT(ADDRESS(2,COLUMN())),OFFSET($CL$2,0,0,ROW()-1,84),ROW()-1,FALSE))</f>
        <v>8.4189578540000003</v>
      </c>
      <c r="O145">
        <f ca="1">IF(AND(ISNUMBER($O$355),$B$252=1),$O$355,HLOOKUP(INDIRECT(ADDRESS(2,COLUMN())),OFFSET($CL$2,0,0,ROW()-1,84),ROW()-1,FALSE))</f>
        <v>8.3789999999999996</v>
      </c>
      <c r="P145">
        <f ca="1">IF(AND(ISNUMBER($P$355),$B$252=1),$P$355,HLOOKUP(INDIRECT(ADDRESS(2,COLUMN())),OFFSET($CL$2,0,0,ROW()-1,84),ROW()-1,FALSE))</f>
        <v>8.3393601529999994</v>
      </c>
      <c r="Q145">
        <f ca="1">IF(AND(ISNUMBER($Q$355),$B$252=1),$Q$355,HLOOKUP(INDIRECT(ADDRESS(2,COLUMN())),OFFSET($CL$2,0,0,ROW()-1,84),ROW()-1,FALSE))</f>
        <v>8.2469615380000008</v>
      </c>
      <c r="R145">
        <f ca="1">IF(AND(ISNUMBER($R$355),$B$252=1),$R$355,HLOOKUP(INDIRECT(ADDRESS(2,COLUMN())),OFFSET($CL$2,0,0,ROW()-1,84),ROW()-1,FALSE))</f>
        <v>8.2647499999999994</v>
      </c>
      <c r="S145">
        <f ca="1">IF(AND(ISNUMBER($S$355),$B$252=1),$S$355,HLOOKUP(INDIRECT(ADDRESS(2,COLUMN())),OFFSET($CL$2,0,0,ROW()-1,84),ROW()-1,FALSE))</f>
        <v>8.2114789269999999</v>
      </c>
      <c r="T145">
        <f ca="1">IF(AND(ISNUMBER($T$355),$B$252=1),$T$355,HLOOKUP(INDIRECT(ADDRESS(2,COLUMN())),OFFSET($CL$2,0,0,ROW()-1,84),ROW()-1,FALSE))</f>
        <v>8.1751264369999994</v>
      </c>
      <c r="U145">
        <f ca="1">IF(AND(ISNUMBER($U$355),$B$252=1),$U$355,HLOOKUP(INDIRECT(ADDRESS(2,COLUMN())),OFFSET($CL$2,0,0,ROW()-1,84),ROW()-1,FALSE))</f>
        <v>8.1530000000000005</v>
      </c>
      <c r="V145">
        <f ca="1">IF(AND(ISNUMBER($V$355),$B$252=1),$V$355,HLOOKUP(INDIRECT(ADDRESS(2,COLUMN())),OFFSET($CL$2,0,0,ROW()-1,84),ROW()-1,FALSE))</f>
        <v>8.1631302679999997</v>
      </c>
      <c r="W145">
        <f ca="1">IF(AND(ISNUMBER($W$355),$B$252=1),$W$355,HLOOKUP(INDIRECT(ADDRESS(2,COLUMN())),OFFSET($CL$2,0,0,ROW()-1,84),ROW()-1,FALSE))</f>
        <v>8.1089118770000006</v>
      </c>
      <c r="X145">
        <f ca="1">IF(AND(ISNUMBER($X$355),$B$252=1),$X$355,HLOOKUP(INDIRECT(ADDRESS(2,COLUMN())),OFFSET($CL$2,0,0,ROW()-1,84),ROW()-1,FALSE))</f>
        <v>8.1605000000000008</v>
      </c>
      <c r="Y145">
        <f ca="1">IF(AND(ISNUMBER($Y$355),$B$252=1),$Y$355,HLOOKUP(INDIRECT(ADDRESS(2,COLUMN())),OFFSET($CL$2,0,0,ROW()-1,84),ROW()-1,FALSE))</f>
        <v>8.0990000000000002</v>
      </c>
      <c r="Z145">
        <f ca="1">IF(AND(ISNUMBER($Z$355),$B$252=1),$Z$355,HLOOKUP(INDIRECT(ADDRESS(2,COLUMN())),OFFSET($CL$2,0,0,ROW()-1,84),ROW()-1,FALSE))</f>
        <v>8.1205384620000007</v>
      </c>
      <c r="AA145">
        <f ca="1">IF(AND(ISNUMBER($AA$355),$B$252=1),$AA$355,HLOOKUP(INDIRECT(ADDRESS(2,COLUMN())),OFFSET($CL$2,0,0,ROW()-1,84),ROW()-1,FALSE))</f>
        <v>8.1143026819999999</v>
      </c>
      <c r="AB145">
        <f ca="1">IF(AND(ISNUMBER($AB$355),$B$252=1),$AB$355,HLOOKUP(INDIRECT(ADDRESS(2,COLUMN())),OFFSET($CL$2,0,0,ROW()-1,84),ROW()-1,FALSE))</f>
        <v>8.0378965519999994</v>
      </c>
      <c r="AC145">
        <f ca="1">IF(AND(ISNUMBER($AC$355),$B$252=1),$AC$355,HLOOKUP(INDIRECT(ADDRESS(2,COLUMN())),OFFSET($CL$2,0,0,ROW()-1,84),ROW()-1,FALSE))</f>
        <v>7.9357692310000001</v>
      </c>
      <c r="AD145">
        <f ca="1">IF(AND(ISNUMBER($AD$355),$B$252=1),$AD$355,HLOOKUP(INDIRECT(ADDRESS(2,COLUMN())),OFFSET($CL$2,0,0,ROW()-1,84),ROW()-1,FALSE))</f>
        <v>7.990574713</v>
      </c>
      <c r="AE145">
        <f ca="1">IF(AND(ISNUMBER($AE$355),$B$252=1),$AE$355,HLOOKUP(INDIRECT(ADDRESS(2,COLUMN())),OFFSET($CL$2,0,0,ROW()-1,84),ROW()-1,FALSE))</f>
        <v>7.8798275860000002</v>
      </c>
      <c r="AF145">
        <f ca="1">IF(AND(ISNUMBER($AF$355),$B$252=1),$AF$355,HLOOKUP(INDIRECT(ADDRESS(2,COLUMN())),OFFSET($CL$2,0,0,ROW()-1,84),ROW()-1,FALSE))</f>
        <v>7.8244615380000004</v>
      </c>
      <c r="AG145">
        <f ca="1">IF(AND(ISNUMBER($AG$355),$B$252=1),$AG$355,HLOOKUP(INDIRECT(ADDRESS(2,COLUMN())),OFFSET($CL$2,0,0,ROW()-1,84),ROW()-1,FALSE))</f>
        <v>7.7039999999999997</v>
      </c>
      <c r="AH145">
        <f ca="1">IF(AND(ISNUMBER($AH$355),$B$252=1),$AH$355,HLOOKUP(INDIRECT(ADDRESS(2,COLUMN())),OFFSET($CL$2,0,0,ROW()-1,84),ROW()-1,FALSE))</f>
        <v>7.6131870230000001</v>
      </c>
      <c r="AI145">
        <f ca="1">IF(AND(ISNUMBER($AI$355),$B$252=1),$AI$355,HLOOKUP(INDIRECT(ADDRESS(2,COLUMN())),OFFSET($CL$2,0,0,ROW()-1,84),ROW()-1,FALSE))</f>
        <v>7.5629538460000001</v>
      </c>
      <c r="AJ145">
        <f ca="1">IF(AND(ISNUMBER($AJ$355),$B$252=1),$AJ$355,HLOOKUP(INDIRECT(ADDRESS(2,COLUMN())),OFFSET($CL$2,0,0,ROW()-1,84),ROW()-1,FALSE))</f>
        <v>7.4548015269999999</v>
      </c>
      <c r="AK145">
        <f ca="1">IF(AND(ISNUMBER($AK$355),$B$252=1),$AK$355,HLOOKUP(INDIRECT(ADDRESS(2,COLUMN())),OFFSET($CL$2,0,0,ROW()-1,84),ROW()-1,FALSE))</f>
        <v>7.4109770990000001</v>
      </c>
      <c r="AL145">
        <f ca="1">IF(AND(ISNUMBER($AL$355),$B$252=1),$AL$355,HLOOKUP(INDIRECT(ADDRESS(2,COLUMN())),OFFSET($CL$2,0,0,ROW()-1,84),ROW()-1,FALSE))</f>
        <v>7.3138615380000003</v>
      </c>
      <c r="AM145">
        <f ca="1">IF(AND(ISNUMBER($AM$355),$B$252=1),$AM$355,HLOOKUP(INDIRECT(ADDRESS(2,COLUMN())),OFFSET($CL$2,0,0,ROW()-1,84),ROW()-1,FALSE))</f>
        <v>7.2747709919999997</v>
      </c>
      <c r="AN145">
        <f ca="1">IF(AND(ISNUMBER($AN$355),$B$252=1),$AN$355,HLOOKUP(INDIRECT(ADDRESS(2,COLUMN())),OFFSET($CL$2,0,0,ROW()-1,84),ROW()-1,FALSE))</f>
        <v>7.2352384619999999</v>
      </c>
      <c r="AO145">
        <f ca="1">IF(AND(ISNUMBER($AO$355),$B$252=1),$AO$355,HLOOKUP(INDIRECT(ADDRESS(2,COLUMN())),OFFSET($CL$2,0,0,ROW()-1,84),ROW()-1,FALSE))</f>
        <v>7.1948199229999998</v>
      </c>
      <c r="AP145">
        <f ca="1">IF(AND(ISNUMBER($AP$355),$B$252=1),$AP$355,HLOOKUP(INDIRECT(ADDRESS(2,COLUMN())),OFFSET($CL$2,0,0,ROW()-1,84),ROW()-1,FALSE))</f>
        <v>7.0788282440000003</v>
      </c>
      <c r="AQ145">
        <f ca="1">IF(AND(ISNUMBER($AQ$355),$B$252=1),$AQ$355,HLOOKUP(INDIRECT(ADDRESS(2,COLUMN())),OFFSET($CL$2,0,0,ROW()-1,84),ROW()-1,FALSE))</f>
        <v>6.9844807690000001</v>
      </c>
      <c r="AR145">
        <f ca="1">IF(AND(ISNUMBER($AR$355),$B$252=1),$AR$355,HLOOKUP(INDIRECT(ADDRESS(2,COLUMN())),OFFSET($CL$2,0,0,ROW()-1,84),ROW()-1,FALSE))</f>
        <v>6.9510846150000001</v>
      </c>
      <c r="AS145">
        <f ca="1">IF(AND(ISNUMBER($AS$355),$B$252=1),$AS$355,HLOOKUP(INDIRECT(ADDRESS(2,COLUMN())),OFFSET($CL$2,0,0,ROW()-1,84),ROW()-1,FALSE))</f>
        <v>6.9359999999999999</v>
      </c>
      <c r="AT145">
        <f ca="1">IF(AND(ISNUMBER($AT$355),$B$252=1),$AT$355,HLOOKUP(INDIRECT(ADDRESS(2,COLUMN())),OFFSET($CL$2,0,0,ROW()-1,84),ROW()-1,FALSE))</f>
        <v>6.8753153850000004</v>
      </c>
      <c r="AU145">
        <f ca="1">IF(AND(ISNUMBER($AU$355),$B$252=1),$AU$355,HLOOKUP(INDIRECT(ADDRESS(2,COLUMN())),OFFSET($CL$2,0,0,ROW()-1,84),ROW()-1,FALSE))</f>
        <v>6.7903730769999999</v>
      </c>
      <c r="AV145">
        <f ca="1">IF(AND(ISNUMBER($AV$355),$B$252=1),$AV$355,HLOOKUP(INDIRECT(ADDRESS(2,COLUMN())),OFFSET($CL$2,0,0,ROW()-1,84),ROW()-1,FALSE))</f>
        <v>6.6734942530000003</v>
      </c>
      <c r="AW145">
        <f ca="1">IF(AND(ISNUMBER($AW$355),$B$252=1),$AW$355,HLOOKUP(INDIRECT(ADDRESS(2,COLUMN())),OFFSET($CL$2,0,0,ROW()-1,84),ROW()-1,FALSE))</f>
        <v>6.6790923080000004</v>
      </c>
      <c r="AX145">
        <f ca="1">IF(AND(ISNUMBER($AX$355),$B$252=1),$AX$355,HLOOKUP(INDIRECT(ADDRESS(2,COLUMN())),OFFSET($CL$2,0,0,ROW()-1,84),ROW()-1,FALSE))</f>
        <v>6.585609195</v>
      </c>
      <c r="AY145">
        <f ca="1">IF(AND(ISNUMBER($AY$355),$B$252=1),$AY$355,HLOOKUP(INDIRECT(ADDRESS(2,COLUMN())),OFFSET($CL$2,0,0,ROW()-1,84),ROW()-1,FALSE))</f>
        <v>6.5306666670000002</v>
      </c>
      <c r="AZ145">
        <f ca="1">IF(AND(ISNUMBER($AZ$355),$B$252=1),$AZ$355,HLOOKUP(INDIRECT(ADDRESS(2,COLUMN())),OFFSET($CL$2,0,0,ROW()-1,84),ROW()-1,FALSE))</f>
        <v>6.4589769229999998</v>
      </c>
      <c r="BA145">
        <f ca="1">IF(AND(ISNUMBER($BA$355),$B$252=1),$BA$355,HLOOKUP(INDIRECT(ADDRESS(2,COLUMN())),OFFSET($CL$2,0,0,ROW()-1,84),ROW()-1,FALSE))</f>
        <v>6.4119731800000004</v>
      </c>
      <c r="BB145">
        <f ca="1">IF(AND(ISNUMBER($BB$355),$B$252=1),$BB$355,HLOOKUP(INDIRECT(ADDRESS(2,COLUMN())),OFFSET($CL$2,0,0,ROW()-1,84),ROW()-1,FALSE))</f>
        <v>6.4216398469999998</v>
      </c>
      <c r="BC145">
        <f ca="1">IF(AND(ISNUMBER($BC$355),$B$252=1),$BC$355,HLOOKUP(INDIRECT(ADDRESS(2,COLUMN())),OFFSET($CL$2,0,0,ROW()-1,84),ROW()-1,FALSE))</f>
        <v>6.3736230770000004</v>
      </c>
      <c r="BD145">
        <f ca="1">IF(AND(ISNUMBER($BD$355),$B$252=1),$BD$355,HLOOKUP(INDIRECT(ADDRESS(2,COLUMN())),OFFSET($CL$2,0,0,ROW()-1,84),ROW()-1,FALSE))</f>
        <v>6.375607692</v>
      </c>
      <c r="BE145">
        <f ca="1">IF(AND(ISNUMBER($BE$355),$B$252=1),$BE$355,HLOOKUP(INDIRECT(ADDRESS(2,COLUMN())),OFFSET($CL$2,0,0,ROW()-1,84),ROW()-1,FALSE))</f>
        <v>6.3760000000000003</v>
      </c>
      <c r="BF145">
        <f ca="1">IF(AND(ISNUMBER($BF$355),$B$252=1),$BF$355,HLOOKUP(INDIRECT(ADDRESS(2,COLUMN())),OFFSET($CL$2,0,0,ROW()-1,84),ROW()-1,FALSE))</f>
        <v>6.2027923080000003</v>
      </c>
      <c r="BG145">
        <f ca="1">IF(AND(ISNUMBER($BG$355),$B$252=1),$BG$355,HLOOKUP(INDIRECT(ADDRESS(2,COLUMN())),OFFSET($CL$2,0,0,ROW()-1,84),ROW()-1,FALSE))</f>
        <v>6.1818429119999996</v>
      </c>
      <c r="BH145">
        <f ca="1">IF(AND(ISNUMBER($BH$355),$B$252=1),$BH$355,HLOOKUP(INDIRECT(ADDRESS(2,COLUMN())),OFFSET($CL$2,0,0,ROW()-1,84),ROW()-1,FALSE))</f>
        <v>6.1531034480000004</v>
      </c>
      <c r="BI145">
        <f ca="1">IF(AND(ISNUMBER($BI$355),$B$252=1),$BI$355,HLOOKUP(INDIRECT(ADDRESS(2,COLUMN())),OFFSET($CL$2,0,0,ROW()-1,84),ROW()-1,FALSE))</f>
        <v>6.1079884619999998</v>
      </c>
      <c r="BJ145">
        <f ca="1">IF(AND(ISNUMBER($BJ$355),$B$252=1),$BJ$355,HLOOKUP(INDIRECT(ADDRESS(2,COLUMN())),OFFSET($CL$2,0,0,ROW()-1,84),ROW()-1,FALSE))</f>
        <v>5.9770114940000001</v>
      </c>
      <c r="BK145">
        <f ca="1">IF(AND(ISNUMBER($BK$355),$B$252=1),$BK$355,HLOOKUP(INDIRECT(ADDRESS(2,COLUMN())),OFFSET($CL$2,0,0,ROW()-1,84),ROW()-1,FALSE))</f>
        <v>5.8217384619999999</v>
      </c>
      <c r="BL145">
        <f ca="1">IF(AND(ISNUMBER($BL$355),$B$252=1),$BL$355,HLOOKUP(INDIRECT(ADDRESS(2,COLUMN())),OFFSET($CL$2,0,0,ROW()-1,84),ROW()-1,FALSE))</f>
        <v>5.755569231</v>
      </c>
      <c r="BM145">
        <f ca="1">IF(AND(ISNUMBER($BM$355),$B$252=1),$BM$355,HLOOKUP(INDIRECT(ADDRESS(2,COLUMN())),OFFSET($CL$2,0,0,ROW()-1,84),ROW()-1,FALSE))</f>
        <v>5.5677203070000001</v>
      </c>
      <c r="BN145">
        <f ca="1">IF(AND(ISNUMBER($BN$355),$B$252=1),$BN$355,HLOOKUP(INDIRECT(ADDRESS(2,COLUMN())),OFFSET($CL$2,0,0,ROW()-1,84),ROW()-1,FALSE))</f>
        <v>5.5058653849999999</v>
      </c>
      <c r="BO145">
        <f ca="1">IF(AND(ISNUMBER($BO$355),$B$252=1),$BO$355,HLOOKUP(INDIRECT(ADDRESS(2,COLUMN())),OFFSET($CL$2,0,0,ROW()-1,84),ROW()-1,FALSE))</f>
        <v>5.4908160920000002</v>
      </c>
      <c r="BP145">
        <f ca="1">IF(AND(ISNUMBER($BP$355),$B$252=1),$BP$355,HLOOKUP(INDIRECT(ADDRESS(2,COLUMN())),OFFSET($CL$2,0,0,ROW()-1,84),ROW()-1,FALSE))</f>
        <v>5.6769042150000004</v>
      </c>
      <c r="BQ145">
        <f ca="1">IF(AND(ISNUMBER($BQ$355),$B$252=1),$BQ$355,HLOOKUP(INDIRECT(ADDRESS(2,COLUMN())),OFFSET($CL$2,0,0,ROW()-1,84),ROW()-1,FALSE))</f>
        <v>5.8140000000000001</v>
      </c>
      <c r="BR145">
        <f ca="1">IF(AND(ISNUMBER($BR$355),$B$252=1),$BR$355,HLOOKUP(INDIRECT(ADDRESS(2,COLUMN())),OFFSET($CL$2,0,0,ROW()-1,84),ROW()-1,FALSE))</f>
        <v>5.8259846150000003</v>
      </c>
      <c r="BS145">
        <f ca="1">IF(AND(ISNUMBER($BS$355),$B$252=1),$BS$355,HLOOKUP(INDIRECT(ADDRESS(2,COLUMN())),OFFSET($CL$2,0,0,ROW()-1,84),ROW()-1,FALSE))</f>
        <v>5.7784636020000004</v>
      </c>
      <c r="BT145">
        <f ca="1">IF(AND(ISNUMBER($BT$355),$B$252=1),$BT$355,HLOOKUP(INDIRECT(ADDRESS(2,COLUMN())),OFFSET($CL$2,0,0,ROW()-1,84),ROW()-1,FALSE))</f>
        <v>5.6877000000000004</v>
      </c>
      <c r="BU145">
        <f ca="1">IF(AND(ISNUMBER($BU$355),$B$252=1),$BU$355,HLOOKUP(INDIRECT(ADDRESS(2,COLUMN())),OFFSET($CL$2,0,0,ROW()-1,84),ROW()-1,FALSE))</f>
        <v>5.6406999999999998</v>
      </c>
      <c r="BV145">
        <f ca="1">IF(AND(ISNUMBER($BV$355),$B$252=1),$BV$355,HLOOKUP(INDIRECT(ADDRESS(2,COLUMN())),OFFSET($CL$2,0,0,ROW()-1,84),ROW()-1,FALSE))</f>
        <v>5.5207739460000003</v>
      </c>
      <c r="BW145">
        <f ca="1">IF(AND(ISNUMBER($BW$355),$B$252=1),$BW$355,HLOOKUP(INDIRECT(ADDRESS(2,COLUMN())),OFFSET($CL$2,0,0,ROW()-1,84),ROW()-1,FALSE))</f>
        <v>5.4578269229999998</v>
      </c>
      <c r="BX145">
        <f ca="1">IF(AND(ISNUMBER($BX$355),$B$252=1),$BX$355,HLOOKUP(INDIRECT(ADDRESS(2,COLUMN())),OFFSET($CL$2,0,0,ROW()-1,84),ROW()-1,FALSE))</f>
        <v>5.4040842910000002</v>
      </c>
      <c r="BY145">
        <f ca="1">IF(AND(ISNUMBER($BY$355),$B$252=1),$BY$355,HLOOKUP(INDIRECT(ADDRESS(2,COLUMN())),OFFSET($CL$2,0,0,ROW()-1,84),ROW()-1,FALSE))</f>
        <v>5.4137662840000003</v>
      </c>
      <c r="BZ145">
        <f ca="1">IF(AND(ISNUMBER($BZ$355),$B$252=1),$BZ$355,HLOOKUP(INDIRECT(ADDRESS(2,COLUMN())),OFFSET($CL$2,0,0,ROW()-1,84),ROW()-1,FALSE))</f>
        <v>5.2556461539999999</v>
      </c>
      <c r="CA145">
        <f ca="1">IF(AND(ISNUMBER($CA$355),$B$252=1),$CA$355,HLOOKUP(INDIRECT(ADDRESS(2,COLUMN())),OFFSET($CL$2,0,0,ROW()-1,84),ROW()-1,FALSE))</f>
        <v>5.1972183909999998</v>
      </c>
      <c r="CB145">
        <f ca="1">IF(AND(ISNUMBER($CB$355),$B$252=1),$CB$355,HLOOKUP(INDIRECT(ADDRESS(2,COLUMN())),OFFSET($CL$2,0,0,ROW()-1,84),ROW()-1,FALSE))</f>
        <v>5.1966755730000003</v>
      </c>
      <c r="CC145">
        <f ca="1">IF(AND(ISNUMBER($CC$355),$B$252=1),$CC$355,HLOOKUP(INDIRECT(ADDRESS(2,COLUMN())),OFFSET($CL$2,0,0,ROW()-1,84),ROW()-1,FALSE))</f>
        <v>5.2169999999999996</v>
      </c>
      <c r="CD145">
        <f ca="1">IF(AND(ISNUMBER($CD$355),$B$252=1),$CD$355,HLOOKUP(INDIRECT(ADDRESS(2,COLUMN())),OFFSET($CL$2,0,0,ROW()-1,84),ROW()-1,FALSE))</f>
        <v>5.1832671760000002</v>
      </c>
      <c r="CE145">
        <f ca="1">IF(AND(ISNUMBER($CE$355),$B$252=1),$CE$355,HLOOKUP(INDIRECT(ADDRESS(2,COLUMN())),OFFSET($CL$2,0,0,ROW()-1,84),ROW()-1,FALSE))</f>
        <v>5.1736793890000001</v>
      </c>
      <c r="CF145">
        <f ca="1">IF(AND(ISNUMBER($CF$355),$B$252=1),$CF$355,HLOOKUP(INDIRECT(ADDRESS(2,COLUMN())),OFFSET($CL$2,0,0,ROW()-1,84),ROW()-1,FALSE))</f>
        <v>5.0345000000000004</v>
      </c>
      <c r="CG145">
        <f ca="1">IF(AND(ISNUMBER($CG$355),$B$252=1),$CG$355,HLOOKUP(INDIRECT(ADDRESS(2,COLUMN())),OFFSET($CL$2,0,0,ROW()-1,84),ROW()-1,FALSE))</f>
        <v>4.961099237</v>
      </c>
      <c r="CH145">
        <f ca="1">IF(AND(ISNUMBER($CH$355),$B$252=1),$CH$355,HLOOKUP(INDIRECT(ADDRESS(2,COLUMN())),OFFSET($CL$2,0,0,ROW()-1,84),ROW()-1,FALSE))</f>
        <v>4.8326538460000004</v>
      </c>
      <c r="CI145">
        <f ca="1">IF(AND(ISNUMBER($CI$355),$B$252=1),$CI$355,HLOOKUP(INDIRECT(ADDRESS(2,COLUMN())),OFFSET($CL$2,0,0,ROW()-1,84),ROW()-1,FALSE))</f>
        <v>4.8105517239999998</v>
      </c>
      <c r="CJ145">
        <f ca="1">IF(AND(ISNUMBER($CJ$355),$B$252=1),$CJ$355,HLOOKUP(INDIRECT(ADDRESS(2,COLUMN())),OFFSET($CL$2,0,0,ROW()-1,84),ROW()-1,FALSE))</f>
        <v>4.6859809160000001</v>
      </c>
      <c r="CK145">
        <f ca="1">IF(AND(ISNUMBER($CK$355),$B$252=1),$CK$355,HLOOKUP(INDIRECT(ADDRESS(2,COLUMN())),OFFSET($CL$2,0,0,ROW()-1,84),ROW()-1,FALSE))</f>
        <v>4.5968653850000001</v>
      </c>
      <c r="CL145">
        <f>8.543461538</f>
        <v>8.5434615380000007</v>
      </c>
      <c r="CM145">
        <f>8.53494636</f>
        <v>8.5349463599999993</v>
      </c>
      <c r="CN145">
        <f>8.585823755</f>
        <v>8.5858237549999998</v>
      </c>
      <c r="CO145">
        <f>8.534</f>
        <v>8.5340000000000007</v>
      </c>
      <c r="CP145">
        <f>8.493908046</f>
        <v>8.4939080459999996</v>
      </c>
      <c r="CQ145">
        <f>8.468777778</f>
        <v>8.4687777779999998</v>
      </c>
      <c r="CR145">
        <f>8.4295</f>
        <v>8.4295000000000009</v>
      </c>
      <c r="CS145">
        <f>8.430666667</f>
        <v>8.4306666670000006</v>
      </c>
      <c r="CT145">
        <f>8.418957854</f>
        <v>8.4189578540000003</v>
      </c>
      <c r="CU145">
        <f>8.379</f>
        <v>8.3789999999999996</v>
      </c>
      <c r="CV145">
        <f>8.339360153</f>
        <v>8.3393601529999994</v>
      </c>
      <c r="CW145">
        <f>8.246961538</f>
        <v>8.2469615380000008</v>
      </c>
      <c r="CX145">
        <f>8.26475</f>
        <v>8.2647499999999994</v>
      </c>
      <c r="CY145">
        <f>8.211478927</f>
        <v>8.2114789269999999</v>
      </c>
      <c r="CZ145">
        <f>8.175126437</f>
        <v>8.1751264369999994</v>
      </c>
      <c r="DA145">
        <f>8.153</f>
        <v>8.1530000000000005</v>
      </c>
      <c r="DB145">
        <f>8.163130268</f>
        <v>8.1631302679999997</v>
      </c>
      <c r="DC145">
        <f>8.108911877</f>
        <v>8.1089118770000006</v>
      </c>
      <c r="DD145">
        <f>8.1605</f>
        <v>8.1605000000000008</v>
      </c>
      <c r="DE145">
        <f>8.099</f>
        <v>8.0990000000000002</v>
      </c>
      <c r="DF145">
        <f>8.120538462</f>
        <v>8.1205384620000007</v>
      </c>
      <c r="DG145">
        <f>8.114302682</f>
        <v>8.1143026819999999</v>
      </c>
      <c r="DH145">
        <f>8.037896552</f>
        <v>8.0378965519999994</v>
      </c>
      <c r="DI145">
        <f>7.935769231</f>
        <v>7.9357692310000001</v>
      </c>
      <c r="DJ145">
        <f>7.990574713</f>
        <v>7.990574713</v>
      </c>
      <c r="DK145">
        <f>7.879827586</f>
        <v>7.8798275860000002</v>
      </c>
      <c r="DL145">
        <f>7.824461538</f>
        <v>7.8244615380000004</v>
      </c>
      <c r="DM145">
        <f>7.704</f>
        <v>7.7039999999999997</v>
      </c>
      <c r="DN145">
        <f>7.613187023</f>
        <v>7.6131870230000001</v>
      </c>
      <c r="DO145">
        <f>7.562953846</f>
        <v>7.5629538460000001</v>
      </c>
      <c r="DP145">
        <f>7.454801527</f>
        <v>7.4548015269999999</v>
      </c>
      <c r="DQ145">
        <f>7.410977099</f>
        <v>7.4109770990000001</v>
      </c>
      <c r="DR145">
        <f>7.313861538</f>
        <v>7.3138615380000003</v>
      </c>
      <c r="DS145">
        <f>7.274770992</f>
        <v>7.2747709919999997</v>
      </c>
      <c r="DT145">
        <f>7.235238462</f>
        <v>7.2352384619999999</v>
      </c>
      <c r="DU145">
        <f>7.194819923</f>
        <v>7.1948199229999998</v>
      </c>
      <c r="DV145">
        <f>7.078828244</f>
        <v>7.0788282440000003</v>
      </c>
      <c r="DW145">
        <f>6.984480769</f>
        <v>6.9844807690000001</v>
      </c>
      <c r="DX145">
        <f>6.951084615</f>
        <v>6.9510846150000001</v>
      </c>
      <c r="DY145">
        <f>6.936</f>
        <v>6.9359999999999999</v>
      </c>
      <c r="DZ145">
        <f>6.875315385</f>
        <v>6.8753153850000004</v>
      </c>
      <c r="EA145">
        <f>6.790373077</f>
        <v>6.7903730769999999</v>
      </c>
      <c r="EB145">
        <f>6.673494253</f>
        <v>6.6734942530000003</v>
      </c>
      <c r="EC145">
        <f>6.679092308</f>
        <v>6.6790923080000004</v>
      </c>
      <c r="ED145">
        <f>6.585609195</f>
        <v>6.585609195</v>
      </c>
      <c r="EE145">
        <f>6.530666667</f>
        <v>6.5306666670000002</v>
      </c>
      <c r="EF145">
        <f>6.458976923</f>
        <v>6.4589769229999998</v>
      </c>
      <c r="EG145">
        <f>6.41197318</f>
        <v>6.4119731800000004</v>
      </c>
      <c r="EH145">
        <f>6.421639847</f>
        <v>6.4216398469999998</v>
      </c>
      <c r="EI145">
        <f>6.373623077</f>
        <v>6.3736230770000004</v>
      </c>
      <c r="EJ145">
        <f>6.375607692</f>
        <v>6.375607692</v>
      </c>
      <c r="EK145">
        <f>6.376</f>
        <v>6.3760000000000003</v>
      </c>
      <c r="EL145">
        <f>6.202792308</f>
        <v>6.2027923080000003</v>
      </c>
      <c r="EM145">
        <f>6.181842912</f>
        <v>6.1818429119999996</v>
      </c>
      <c r="EN145">
        <f>6.153103448</f>
        <v>6.1531034480000004</v>
      </c>
      <c r="EO145">
        <f>6.107988462</f>
        <v>6.1079884619999998</v>
      </c>
      <c r="EP145">
        <f>5.977011494</f>
        <v>5.9770114940000001</v>
      </c>
      <c r="EQ145">
        <f>5.821738462</f>
        <v>5.8217384619999999</v>
      </c>
      <c r="ER145">
        <f>5.755569231</f>
        <v>5.755569231</v>
      </c>
      <c r="ES145">
        <f>5.567720307</f>
        <v>5.5677203070000001</v>
      </c>
      <c r="ET145">
        <f>5.505865385</f>
        <v>5.5058653849999999</v>
      </c>
      <c r="EU145">
        <f>5.490816092</f>
        <v>5.4908160920000002</v>
      </c>
      <c r="EV145">
        <f>5.676904215</f>
        <v>5.6769042150000004</v>
      </c>
      <c r="EW145">
        <f>5.814</f>
        <v>5.8140000000000001</v>
      </c>
      <c r="EX145">
        <f>5.825984615</f>
        <v>5.8259846150000003</v>
      </c>
      <c r="EY145">
        <f>5.778463602</f>
        <v>5.7784636020000004</v>
      </c>
      <c r="EZ145">
        <f>5.6877</f>
        <v>5.6877000000000004</v>
      </c>
      <c r="FA145">
        <f>5.6407</f>
        <v>5.6406999999999998</v>
      </c>
      <c r="FB145">
        <f>5.520773946</f>
        <v>5.5207739460000003</v>
      </c>
      <c r="FC145">
        <f>5.457826923</f>
        <v>5.4578269229999998</v>
      </c>
      <c r="FD145">
        <f>5.404084291</f>
        <v>5.4040842910000002</v>
      </c>
      <c r="FE145">
        <f>5.413766284</f>
        <v>5.4137662840000003</v>
      </c>
      <c r="FF145">
        <f>5.255646154</f>
        <v>5.2556461539999999</v>
      </c>
      <c r="FG145">
        <f>5.197218391</f>
        <v>5.1972183909999998</v>
      </c>
      <c r="FH145">
        <f>5.196675573</f>
        <v>5.1966755730000003</v>
      </c>
      <c r="FI145">
        <f>5.217</f>
        <v>5.2169999999999996</v>
      </c>
      <c r="FJ145">
        <f>5.183267176</f>
        <v>5.1832671760000002</v>
      </c>
      <c r="FK145">
        <f>5.173679389</f>
        <v>5.1736793890000001</v>
      </c>
      <c r="FL145">
        <f>5.0345</f>
        <v>5.0345000000000004</v>
      </c>
      <c r="FM145">
        <f>4.961099237</f>
        <v>4.961099237</v>
      </c>
      <c r="FN145">
        <f>4.832653846</f>
        <v>4.8326538460000004</v>
      </c>
      <c r="FO145">
        <f>4.810551724</f>
        <v>4.8105517239999998</v>
      </c>
      <c r="FP145">
        <f>4.685980916</f>
        <v>4.6859809160000001</v>
      </c>
      <c r="FQ145">
        <f>4.596865385</f>
        <v>4.5968653850000001</v>
      </c>
    </row>
    <row r="146" spans="1:173">
      <c r="A146" t="str">
        <f>"    Camden Property Trust"</f>
        <v xml:space="preserve">    Camden Property Trust</v>
      </c>
      <c r="B146" t="str">
        <f>"CPT US Equity"</f>
        <v>CPT US Equity</v>
      </c>
      <c r="C146" t="str">
        <f t="shared" si="45"/>
        <v>BE895</v>
      </c>
      <c r="D146" t="str">
        <f t="shared" si="46"/>
        <v>BEST_AFFOPS</v>
      </c>
      <c r="E146" t="str">
        <f t="shared" si="47"/>
        <v>动态</v>
      </c>
      <c r="F146">
        <f ca="1">IF(AND(ISNUMBER($F$356),$B$252=1),$F$356,HLOOKUP(INDIRECT(ADDRESS(2,COLUMN())),OFFSET($CL$2,0,0,ROW()-1,84),ROW()-1,FALSE))</f>
        <v>4.1281076920000004</v>
      </c>
      <c r="G146">
        <f ca="1">IF(AND(ISNUMBER($G$356),$B$252=1),$G$356,HLOOKUP(INDIRECT(ADDRESS(2,COLUMN())),OFFSET($CL$2,0,0,ROW()-1,84),ROW()-1,FALSE))</f>
        <v>4.1150919540000004</v>
      </c>
      <c r="H146">
        <f ca="1">IF(AND(ISNUMBER($H$356),$B$252=1),$H$356,HLOOKUP(INDIRECT(ADDRESS(2,COLUMN())),OFFSET($CL$2,0,0,ROW()-1,84),ROW()-1,FALSE))</f>
        <v>4.160517241</v>
      </c>
      <c r="I146">
        <f ca="1">IF(AND(ISNUMBER($I$356),$B$252=1),$I$356,HLOOKUP(INDIRECT(ADDRESS(2,COLUMN())),OFFSET($CL$2,0,0,ROW()-1,84),ROW()-1,FALSE))</f>
        <v>4.1079999999999997</v>
      </c>
      <c r="J146">
        <f ca="1">IF(AND(ISNUMBER($J$356),$B$252=1),$J$356,HLOOKUP(INDIRECT(ADDRESS(2,COLUMN())),OFFSET($CL$2,0,0,ROW()-1,84),ROW()-1,FALSE))</f>
        <v>4.0973103450000004</v>
      </c>
      <c r="K146">
        <f ca="1">IF(AND(ISNUMBER($K$356),$B$252=1),$K$356,HLOOKUP(INDIRECT(ADDRESS(2,COLUMN())),OFFSET($CL$2,0,0,ROW()-1,84),ROW()-1,FALSE))</f>
        <v>4.0331417619999996</v>
      </c>
      <c r="L146">
        <f ca="1">IF(AND(ISNUMBER($L$356),$B$252=1),$L$356,HLOOKUP(INDIRECT(ADDRESS(2,COLUMN())),OFFSET($CL$2,0,0,ROW()-1,84),ROW()-1,FALSE))</f>
        <v>4.056</v>
      </c>
      <c r="M146">
        <f ca="1">IF(AND(ISNUMBER($M$356),$B$252=1),$M$356,HLOOKUP(INDIRECT(ADDRESS(2,COLUMN())),OFFSET($CL$2,0,0,ROW()-1,84),ROW()-1,FALSE))</f>
        <v>4.0201072800000004</v>
      </c>
      <c r="N146">
        <f ca="1">IF(AND(ISNUMBER($N$356),$B$252=1),$N$356,HLOOKUP(INDIRECT(ADDRESS(2,COLUMN())),OFFSET($CL$2,0,0,ROW()-1,84),ROW()-1,FALSE))</f>
        <v>4.0153141760000004</v>
      </c>
      <c r="O146">
        <f ca="1">IF(AND(ISNUMBER($O$356),$B$252=1),$O$356,HLOOKUP(INDIRECT(ADDRESS(2,COLUMN())),OFFSET($CL$2,0,0,ROW()-1,84),ROW()-1,FALSE))</f>
        <v>3.9805000000000001</v>
      </c>
      <c r="P146">
        <f ca="1">IF(AND(ISNUMBER($P$356),$B$252=1),$P$356,HLOOKUP(INDIRECT(ADDRESS(2,COLUMN())),OFFSET($CL$2,0,0,ROW()-1,84),ROW()-1,FALSE))</f>
        <v>3.9600153260000002</v>
      </c>
      <c r="Q146">
        <f ca="1">IF(AND(ISNUMBER($Q$356),$B$252=1),$Q$356,HLOOKUP(INDIRECT(ADDRESS(2,COLUMN())),OFFSET($CL$2,0,0,ROW()-1,84),ROW()-1,FALSE))</f>
        <v>4.0076730769999998</v>
      </c>
      <c r="R146">
        <f ca="1">IF(AND(ISNUMBER($R$356),$B$252=1),$R$356,HLOOKUP(INDIRECT(ADDRESS(2,COLUMN())),OFFSET($CL$2,0,0,ROW()-1,84),ROW()-1,FALSE))</f>
        <v>3.8762500000000002</v>
      </c>
      <c r="S146">
        <f ca="1">IF(AND(ISNUMBER($S$356),$B$252=1),$S$356,HLOOKUP(INDIRECT(ADDRESS(2,COLUMN())),OFFSET($CL$2,0,0,ROW()-1,84),ROW()-1,FALSE))</f>
        <v>3.8630076629999999</v>
      </c>
      <c r="T146">
        <f ca="1">IF(AND(ISNUMBER($T$356),$B$252=1),$T$356,HLOOKUP(INDIRECT(ADDRESS(2,COLUMN())),OFFSET($CL$2,0,0,ROW()-1,84),ROW()-1,FALSE))</f>
        <v>3.967103448</v>
      </c>
      <c r="U146">
        <f ca="1">IF(AND(ISNUMBER($U$356),$B$252=1),$U$356,HLOOKUP(INDIRECT(ADDRESS(2,COLUMN())),OFFSET($CL$2,0,0,ROW()-1,84),ROW()-1,FALSE))</f>
        <v>3.9590000000000001</v>
      </c>
      <c r="V146">
        <f ca="1">IF(AND(ISNUMBER($V$356),$B$252=1),$V$356,HLOOKUP(INDIRECT(ADDRESS(2,COLUMN())),OFFSET($CL$2,0,0,ROW()-1,84),ROW()-1,FALSE))</f>
        <v>3.9365287360000001</v>
      </c>
      <c r="W146">
        <f ca="1">IF(AND(ISNUMBER($W$356),$B$252=1),$W$356,HLOOKUP(INDIRECT(ADDRESS(2,COLUMN())),OFFSET($CL$2,0,0,ROW()-1,84),ROW()-1,FALSE))</f>
        <v>3.884934866</v>
      </c>
      <c r="X146">
        <f ca="1">IF(AND(ISNUMBER($X$356),$B$252=1),$X$356,HLOOKUP(INDIRECT(ADDRESS(2,COLUMN())),OFFSET($CL$2,0,0,ROW()-1,84),ROW()-1,FALSE))</f>
        <v>3.8897499999999998</v>
      </c>
      <c r="Y146">
        <f ca="1">IF(AND(ISNUMBER($Y$356),$B$252=1),$Y$356,HLOOKUP(INDIRECT(ADDRESS(2,COLUMN())),OFFSET($CL$2,0,0,ROW()-1,84),ROW()-1,FALSE))</f>
        <v>3.8873333329999999</v>
      </c>
      <c r="Z146">
        <f ca="1">IF(AND(ISNUMBER($Z$356),$B$252=1),$Z$356,HLOOKUP(INDIRECT(ADDRESS(2,COLUMN())),OFFSET($CL$2,0,0,ROW()-1,84),ROW()-1,FALSE))</f>
        <v>3.8747692310000001</v>
      </c>
      <c r="AA146">
        <f ca="1">IF(AND(ISNUMBER($AA$356),$B$252=1),$AA$356,HLOOKUP(INDIRECT(ADDRESS(2,COLUMN())),OFFSET($CL$2,0,0,ROW()-1,84),ROW()-1,FALSE))</f>
        <v>3.8870421460000002</v>
      </c>
      <c r="AB146">
        <f ca="1">IF(AND(ISNUMBER($AB$356),$B$252=1),$AB$356,HLOOKUP(INDIRECT(ADDRESS(2,COLUMN())),OFFSET($CL$2,0,0,ROW()-1,84),ROW()-1,FALSE))</f>
        <v>3.9197241379999999</v>
      </c>
      <c r="AC146">
        <f ca="1">IF(AND(ISNUMBER($AC$356),$B$252=1),$AC$356,HLOOKUP(INDIRECT(ADDRESS(2,COLUMN())),OFFSET($CL$2,0,0,ROW()-1,84),ROW()-1,FALSE))</f>
        <v>4.1480384619999997</v>
      </c>
      <c r="AD146">
        <f ca="1">IF(AND(ISNUMBER($AD$356),$B$252=1),$AD$356,HLOOKUP(INDIRECT(ADDRESS(2,COLUMN())),OFFSET($CL$2,0,0,ROW()-1,84),ROW()-1,FALSE))</f>
        <v>4.1652873560000003</v>
      </c>
      <c r="AE146">
        <f ca="1">IF(AND(ISNUMBER($AE$356),$B$252=1),$AE$356,HLOOKUP(INDIRECT(ADDRESS(2,COLUMN())),OFFSET($CL$2,0,0,ROW()-1,84),ROW()-1,FALSE))</f>
        <v>4.1498275859999998</v>
      </c>
      <c r="AF146">
        <f ca="1">IF(AND(ISNUMBER($AF$356),$B$252=1),$AF$356,HLOOKUP(INDIRECT(ADDRESS(2,COLUMN())),OFFSET($CL$2,0,0,ROW()-1,84),ROW()-1,FALSE))</f>
        <v>4.1037692310000002</v>
      </c>
      <c r="AG146">
        <f ca="1">IF(AND(ISNUMBER($AG$356),$B$252=1),$AG$356,HLOOKUP(INDIRECT(ADDRESS(2,COLUMN())),OFFSET($CL$2,0,0,ROW()-1,84),ROW()-1,FALSE))</f>
        <v>4.0410000000000004</v>
      </c>
      <c r="AH146">
        <f ca="1">IF(AND(ISNUMBER($AH$356),$B$252=1),$AH$356,HLOOKUP(INDIRECT(ADDRESS(2,COLUMN())),OFFSET($CL$2,0,0,ROW()-1,84),ROW()-1,FALSE))</f>
        <v>4.0372442749999999</v>
      </c>
      <c r="AI146">
        <f ca="1">IF(AND(ISNUMBER($AI$356),$B$252=1),$AI$356,HLOOKUP(INDIRECT(ADDRESS(2,COLUMN())),OFFSET($CL$2,0,0,ROW()-1,84),ROW()-1,FALSE))</f>
        <v>4.0892923080000001</v>
      </c>
      <c r="AJ146">
        <f ca="1">IF(AND(ISNUMBER($AJ$356),$B$252=1),$AJ$356,HLOOKUP(INDIRECT(ADDRESS(2,COLUMN())),OFFSET($CL$2,0,0,ROW()-1,84),ROW()-1,FALSE))</f>
        <v>4.0613740460000001</v>
      </c>
      <c r="AK146">
        <f ca="1">IF(AND(ISNUMBER($AK$356),$B$252=1),$AK$356,HLOOKUP(INDIRECT(ADDRESS(2,COLUMN())),OFFSET($CL$2,0,0,ROW()-1,84),ROW()-1,FALSE))</f>
        <v>4.0393969470000002</v>
      </c>
      <c r="AL146">
        <f ca="1">IF(AND(ISNUMBER($AL$356),$B$252=1),$AL$356,HLOOKUP(INDIRECT(ADDRESS(2,COLUMN())),OFFSET($CL$2,0,0,ROW()-1,84),ROW()-1,FALSE))</f>
        <v>4.0373307690000004</v>
      </c>
      <c r="AM146">
        <f ca="1">IF(AND(ISNUMBER($AM$356),$B$252=1),$AM$356,HLOOKUP(INDIRECT(ADDRESS(2,COLUMN())),OFFSET($CL$2,0,0,ROW()-1,84),ROW()-1,FALSE))</f>
        <v>4.0092595419999997</v>
      </c>
      <c r="AN146">
        <f ca="1">IF(AND(ISNUMBER($AN$356),$B$252=1),$AN$356,HLOOKUP(INDIRECT(ADDRESS(2,COLUMN())),OFFSET($CL$2,0,0,ROW()-1,84),ROW()-1,FALSE))</f>
        <v>3.9812769229999998</v>
      </c>
      <c r="AO146">
        <f ca="1">IF(AND(ISNUMBER($AO$356),$B$252=1),$AO$356,HLOOKUP(INDIRECT(ADDRESS(2,COLUMN())),OFFSET($CL$2,0,0,ROW()-1,84),ROW()-1,FALSE))</f>
        <v>3.904712644</v>
      </c>
      <c r="AP146">
        <f ca="1">IF(AND(ISNUMBER($AP$356),$B$252=1),$AP$356,HLOOKUP(INDIRECT(ADDRESS(2,COLUMN())),OFFSET($CL$2,0,0,ROW()-1,84),ROW()-1,FALSE))</f>
        <v>3.8583053440000001</v>
      </c>
      <c r="AQ146">
        <f ca="1">IF(AND(ISNUMBER($AQ$356),$B$252=1),$AQ$356,HLOOKUP(INDIRECT(ADDRESS(2,COLUMN())),OFFSET($CL$2,0,0,ROW()-1,84),ROW()-1,FALSE))</f>
        <v>3.8676730770000001</v>
      </c>
      <c r="AR146">
        <f ca="1">IF(AND(ISNUMBER($AR$356),$B$252=1),$AR$356,HLOOKUP(INDIRECT(ADDRESS(2,COLUMN())),OFFSET($CL$2,0,0,ROW()-1,84),ROW()-1,FALSE))</f>
        <v>3.8635346149999998</v>
      </c>
      <c r="AS146">
        <f ca="1">IF(AND(ISNUMBER($AS$356),$B$252=1),$AS$356,HLOOKUP(INDIRECT(ADDRESS(2,COLUMN())),OFFSET($CL$2,0,0,ROW()-1,84),ROW()-1,FALSE))</f>
        <v>3.9340000000000002</v>
      </c>
      <c r="AT146">
        <f ca="1">IF(AND(ISNUMBER($AT$356),$B$252=1),$AT$356,HLOOKUP(INDIRECT(ADDRESS(2,COLUMN())),OFFSET($CL$2,0,0,ROW()-1,84),ROW()-1,FALSE))</f>
        <v>3.9075923079999999</v>
      </c>
      <c r="AU146">
        <f ca="1">IF(AND(ISNUMBER($AU$356),$B$252=1),$AU$356,HLOOKUP(INDIRECT(ADDRESS(2,COLUMN())),OFFSET($CL$2,0,0,ROW()-1,84),ROW()-1,FALSE))</f>
        <v>3.8228115379999998</v>
      </c>
      <c r="AV146">
        <f ca="1">IF(AND(ISNUMBER($AV$356),$B$252=1),$AV$356,HLOOKUP(INDIRECT(ADDRESS(2,COLUMN())),OFFSET($CL$2,0,0,ROW()-1,84),ROW()-1,FALSE))</f>
        <v>3.8042528739999999</v>
      </c>
      <c r="AW146">
        <f ca="1">IF(AND(ISNUMBER($AW$356),$B$252=1),$AW$356,HLOOKUP(INDIRECT(ADDRESS(2,COLUMN())),OFFSET($CL$2,0,0,ROW()-1,84),ROW()-1,FALSE))</f>
        <v>3.7701692310000001</v>
      </c>
      <c r="AX146">
        <f ca="1">IF(AND(ISNUMBER($AX$356),$B$252=1),$AX$356,HLOOKUP(INDIRECT(ADDRESS(2,COLUMN())),OFFSET($CL$2,0,0,ROW()-1,84),ROW()-1,FALSE))</f>
        <v>3.746869732</v>
      </c>
      <c r="AY146">
        <f ca="1">IF(AND(ISNUMBER($AY$356),$B$252=1),$AY$356,HLOOKUP(INDIRECT(ADDRESS(2,COLUMN())),OFFSET($CL$2,0,0,ROW()-1,84),ROW()-1,FALSE))</f>
        <v>3.6703678160000002</v>
      </c>
      <c r="AZ146">
        <f ca="1">IF(AND(ISNUMBER($AZ$356),$B$252=1),$AZ$356,HLOOKUP(INDIRECT(ADDRESS(2,COLUMN())),OFFSET($CL$2,0,0,ROW()-1,84),ROW()-1,FALSE))</f>
        <v>3.6373653849999998</v>
      </c>
      <c r="BA146">
        <f ca="1">IF(AND(ISNUMBER($BA$356),$B$252=1),$BA$356,HLOOKUP(INDIRECT(ADDRESS(2,COLUMN())),OFFSET($CL$2,0,0,ROW()-1,84),ROW()-1,FALSE))</f>
        <v>3.652490421</v>
      </c>
      <c r="BB146">
        <f ca="1">IF(AND(ISNUMBER($BB$356),$B$252=1),$BB$356,HLOOKUP(INDIRECT(ADDRESS(2,COLUMN())),OFFSET($CL$2,0,0,ROW()-1,84),ROW()-1,FALSE))</f>
        <v>3.7000229889999998</v>
      </c>
      <c r="BC146">
        <f ca="1">IF(AND(ISNUMBER($BC$356),$B$252=1),$BC$356,HLOOKUP(INDIRECT(ADDRESS(2,COLUMN())),OFFSET($CL$2,0,0,ROW()-1,84),ROW()-1,FALSE))</f>
        <v>3.6471230769999998</v>
      </c>
      <c r="BD146">
        <f ca="1">IF(AND(ISNUMBER($BD$356),$B$252=1),$BD$356,HLOOKUP(INDIRECT(ADDRESS(2,COLUMN())),OFFSET($CL$2,0,0,ROW()-1,84),ROW()-1,FALSE))</f>
        <v>3.6587153849999998</v>
      </c>
      <c r="BE146">
        <f ca="1">IF(AND(ISNUMBER($BE$356),$B$252=1),$BE$356,HLOOKUP(INDIRECT(ADDRESS(2,COLUMN())),OFFSET($CL$2,0,0,ROW()-1,84),ROW()-1,FALSE))</f>
        <v>3.7229999999999999</v>
      </c>
      <c r="BF146">
        <f ca="1">IF(AND(ISNUMBER($BF$356),$B$252=1),$BF$356,HLOOKUP(INDIRECT(ADDRESS(2,COLUMN())),OFFSET($CL$2,0,0,ROW()-1,84),ROW()-1,FALSE))</f>
        <v>3.7243692309999998</v>
      </c>
      <c r="BG146">
        <f ca="1">IF(AND(ISNUMBER($BG$356),$B$252=1),$BG$356,HLOOKUP(INDIRECT(ADDRESS(2,COLUMN())),OFFSET($CL$2,0,0,ROW()-1,84),ROW()-1,FALSE))</f>
        <v>3.7186704979999998</v>
      </c>
      <c r="BH146">
        <f ca="1">IF(AND(ISNUMBER($BH$356),$B$252=1),$BH$356,HLOOKUP(INDIRECT(ADDRESS(2,COLUMN())),OFFSET($CL$2,0,0,ROW()-1,84),ROW()-1,FALSE))</f>
        <v>3.7044367820000002</v>
      </c>
      <c r="BI146">
        <f ca="1">IF(AND(ISNUMBER($BI$356),$B$252=1),$BI$356,HLOOKUP(INDIRECT(ADDRESS(2,COLUMN())),OFFSET($CL$2,0,0,ROW()-1,84),ROW()-1,FALSE))</f>
        <v>3.681303846</v>
      </c>
      <c r="BJ146">
        <f ca="1">IF(AND(ISNUMBER($BJ$356),$B$252=1),$BJ$356,HLOOKUP(INDIRECT(ADDRESS(2,COLUMN())),OFFSET($CL$2,0,0,ROW()-1,84),ROW()-1,FALSE))</f>
        <v>3.6542183910000001</v>
      </c>
      <c r="BK146">
        <f ca="1">IF(AND(ISNUMBER($BK$356),$B$252=1),$BK$356,HLOOKUP(INDIRECT(ADDRESS(2,COLUMN())),OFFSET($CL$2,0,0,ROW()-1,84),ROW()-1,FALSE))</f>
        <v>3.6047076919999999</v>
      </c>
      <c r="BL146">
        <f ca="1">IF(AND(ISNUMBER($BL$356),$B$252=1),$BL$356,HLOOKUP(INDIRECT(ADDRESS(2,COLUMN())),OFFSET($CL$2,0,0,ROW()-1,84),ROW()-1,FALSE))</f>
        <v>3.5823692309999999</v>
      </c>
      <c r="BM146">
        <f ca="1">IF(AND(ISNUMBER($BM$356),$B$252=1),$BM$356,HLOOKUP(INDIRECT(ADDRESS(2,COLUMN())),OFFSET($CL$2,0,0,ROW()-1,84),ROW()-1,FALSE))</f>
        <v>3.5184636020000002</v>
      </c>
      <c r="BN146">
        <f ca="1">IF(AND(ISNUMBER($BN$356),$B$252=1),$BN$356,HLOOKUP(INDIRECT(ADDRESS(2,COLUMN())),OFFSET($CL$2,0,0,ROW()-1,84),ROW()-1,FALSE))</f>
        <v>3.3981153850000001</v>
      </c>
      <c r="BO146">
        <f ca="1">IF(AND(ISNUMBER($BO$356),$B$252=1),$BO$356,HLOOKUP(INDIRECT(ADDRESS(2,COLUMN())),OFFSET($CL$2,0,0,ROW()-1,84),ROW()-1,FALSE))</f>
        <v>3.4007547890000001</v>
      </c>
      <c r="BP146">
        <f ca="1">IF(AND(ISNUMBER($BP$356),$B$252=1),$BP$356,HLOOKUP(INDIRECT(ADDRESS(2,COLUMN())),OFFSET($CL$2,0,0,ROW()-1,84),ROW()-1,FALSE))</f>
        <v>3.4669923370000002</v>
      </c>
      <c r="BQ146">
        <f ca="1">IF(AND(ISNUMBER($BQ$356),$B$252=1),$BQ$356,HLOOKUP(INDIRECT(ADDRESS(2,COLUMN())),OFFSET($CL$2,0,0,ROW()-1,84),ROW()-1,FALSE))</f>
        <v>3.4510000000000001</v>
      </c>
      <c r="BR146">
        <f ca="1">IF(AND(ISNUMBER($BR$356),$B$252=1),$BR$356,HLOOKUP(INDIRECT(ADDRESS(2,COLUMN())),OFFSET($CL$2,0,0,ROW()-1,84),ROW()-1,FALSE))</f>
        <v>3.4065884620000002</v>
      </c>
      <c r="BS146">
        <f ca="1">IF(AND(ISNUMBER($BS$356),$B$252=1),$BS$356,HLOOKUP(INDIRECT(ADDRESS(2,COLUMN())),OFFSET($CL$2,0,0,ROW()-1,84),ROW()-1,FALSE))</f>
        <v>3.2100459770000001</v>
      </c>
      <c r="BT146">
        <f ca="1">IF(AND(ISNUMBER($BT$356),$B$252=1),$BT$356,HLOOKUP(INDIRECT(ADDRESS(2,COLUMN())),OFFSET($CL$2,0,0,ROW()-1,84),ROW()-1,FALSE))</f>
        <v>3.1906230770000001</v>
      </c>
      <c r="BU146">
        <f ca="1">IF(AND(ISNUMBER($BU$356),$B$252=1),$BU$356,HLOOKUP(INDIRECT(ADDRESS(2,COLUMN())),OFFSET($CL$2,0,0,ROW()-1,84),ROW()-1,FALSE))</f>
        <v>3.1680846150000002</v>
      </c>
      <c r="BV146">
        <f ca="1">IF(AND(ISNUMBER($BV$356),$B$252=1),$BV$356,HLOOKUP(INDIRECT(ADDRESS(2,COLUMN())),OFFSET($CL$2,0,0,ROW()-1,84),ROW()-1,FALSE))</f>
        <v>3.1251839079999999</v>
      </c>
      <c r="BW146">
        <f ca="1">IF(AND(ISNUMBER($BW$356),$B$252=1),$BW$356,HLOOKUP(INDIRECT(ADDRESS(2,COLUMN())),OFFSET($CL$2,0,0,ROW()-1,84),ROW()-1,FALSE))</f>
        <v>3.0947307689999999</v>
      </c>
      <c r="BX146">
        <f ca="1">IF(AND(ISNUMBER($BX$356),$B$252=1),$BX$356,HLOOKUP(INDIRECT(ADDRESS(2,COLUMN())),OFFSET($CL$2,0,0,ROW()-1,84),ROW()-1,FALSE))</f>
        <v>3.0688160920000001</v>
      </c>
      <c r="BY146">
        <f ca="1">IF(AND(ISNUMBER($BY$356),$B$252=1),$BY$356,HLOOKUP(INDIRECT(ADDRESS(2,COLUMN())),OFFSET($CL$2,0,0,ROW()-1,84),ROW()-1,FALSE))</f>
        <v>3.0554750959999999</v>
      </c>
      <c r="BZ146">
        <f ca="1">IF(AND(ISNUMBER($BZ$356),$B$252=1),$BZ$356,HLOOKUP(INDIRECT(ADDRESS(2,COLUMN())),OFFSET($CL$2,0,0,ROW()-1,84),ROW()-1,FALSE))</f>
        <v>2.9620153849999999</v>
      </c>
      <c r="CA146">
        <f ca="1">IF(AND(ISNUMBER($CA$356),$B$252=1),$CA$356,HLOOKUP(INDIRECT(ADDRESS(2,COLUMN())),OFFSET($CL$2,0,0,ROW()-1,84),ROW()-1,FALSE))</f>
        <v>2.9492260539999999</v>
      </c>
      <c r="CB146">
        <f ca="1">IF(AND(ISNUMBER($CB$356),$B$252=1),$CB$356,HLOOKUP(INDIRECT(ADDRESS(2,COLUMN())),OFFSET($CL$2,0,0,ROW()-1,84),ROW()-1,FALSE))</f>
        <v>2.9172519079999999</v>
      </c>
      <c r="CC146">
        <f ca="1">IF(AND(ISNUMBER($CC$356),$B$252=1),$CC$356,HLOOKUP(INDIRECT(ADDRESS(2,COLUMN())),OFFSET($CL$2,0,0,ROW()-1,84),ROW()-1,FALSE))</f>
        <v>2.964</v>
      </c>
      <c r="CD146">
        <f ca="1">IF(AND(ISNUMBER($CD$356),$B$252=1),$CD$356,HLOOKUP(INDIRECT(ADDRESS(2,COLUMN())),OFFSET($CL$2,0,0,ROW()-1,84),ROW()-1,FALSE))</f>
        <v>2.8898549619999998</v>
      </c>
      <c r="CE146">
        <f ca="1">IF(AND(ISNUMBER($CE$356),$B$252=1),$CE$356,HLOOKUP(INDIRECT(ADDRESS(2,COLUMN())),OFFSET($CL$2,0,0,ROW()-1,84),ROW()-1,FALSE))</f>
        <v>2.850206107</v>
      </c>
      <c r="CF146">
        <f ca="1">IF(AND(ISNUMBER($CF$356),$B$252=1),$CF$356,HLOOKUP(INDIRECT(ADDRESS(2,COLUMN())),OFFSET($CL$2,0,0,ROW()-1,84),ROW()-1,FALSE))</f>
        <v>2.7959999999999998</v>
      </c>
      <c r="CG146">
        <f ca="1">IF(AND(ISNUMBER($CG$356),$B$252=1),$CG$356,HLOOKUP(INDIRECT(ADDRESS(2,COLUMN())),OFFSET($CL$2,0,0,ROW()-1,84),ROW()-1,FALSE))</f>
        <v>2.7650992369999998</v>
      </c>
      <c r="CH146">
        <f ca="1">IF(AND(ISNUMBER($CH$356),$B$252=1),$CH$356,HLOOKUP(INDIRECT(ADDRESS(2,COLUMN())),OFFSET($CL$2,0,0,ROW()-1,84),ROW()-1,FALSE))</f>
        <v>2.6388846149999998</v>
      </c>
      <c r="CI146">
        <f ca="1">IF(AND(ISNUMBER($CI$356),$B$252=1),$CI$356,HLOOKUP(INDIRECT(ADDRESS(2,COLUMN())),OFFSET($CL$2,0,0,ROW()-1,84),ROW()-1,FALSE))</f>
        <v>2.6093908049999999</v>
      </c>
      <c r="CJ146">
        <f ca="1">IF(AND(ISNUMBER($CJ$356),$B$252=1),$CJ$356,HLOOKUP(INDIRECT(ADDRESS(2,COLUMN())),OFFSET($CL$2,0,0,ROW()-1,84),ROW()-1,FALSE))</f>
        <v>2.5934236639999999</v>
      </c>
      <c r="CK146">
        <f ca="1">IF(AND(ISNUMBER($CK$356),$B$252=1),$CK$356,HLOOKUP(INDIRECT(ADDRESS(2,COLUMN())),OFFSET($CL$2,0,0,ROW()-1,84),ROW()-1,FALSE))</f>
        <v>2.4902884620000001</v>
      </c>
      <c r="CL146">
        <f>4.128107692</f>
        <v>4.1281076920000004</v>
      </c>
      <c r="CM146">
        <f>4.115091954</f>
        <v>4.1150919540000004</v>
      </c>
      <c r="CN146">
        <f>4.160517241</f>
        <v>4.160517241</v>
      </c>
      <c r="CO146">
        <f>4.108</f>
        <v>4.1079999999999997</v>
      </c>
      <c r="CP146">
        <f>4.097310345</f>
        <v>4.0973103450000004</v>
      </c>
      <c r="CQ146">
        <f>4.033141762</f>
        <v>4.0331417619999996</v>
      </c>
      <c r="CR146">
        <f>4.056</f>
        <v>4.056</v>
      </c>
      <c r="CS146">
        <f>4.02010728</f>
        <v>4.0201072800000004</v>
      </c>
      <c r="CT146">
        <f>4.015314176</f>
        <v>4.0153141760000004</v>
      </c>
      <c r="CU146">
        <f>3.9805</f>
        <v>3.9805000000000001</v>
      </c>
      <c r="CV146">
        <f>3.960015326</f>
        <v>3.9600153260000002</v>
      </c>
      <c r="CW146">
        <f>4.007673077</f>
        <v>4.0076730769999998</v>
      </c>
      <c r="CX146">
        <f>3.87625</f>
        <v>3.8762500000000002</v>
      </c>
      <c r="CY146">
        <f>3.863007663</f>
        <v>3.8630076629999999</v>
      </c>
      <c r="CZ146">
        <f>3.967103448</f>
        <v>3.967103448</v>
      </c>
      <c r="DA146">
        <f>3.959</f>
        <v>3.9590000000000001</v>
      </c>
      <c r="DB146">
        <f>3.936528736</f>
        <v>3.9365287360000001</v>
      </c>
      <c r="DC146">
        <f>3.884934866</f>
        <v>3.884934866</v>
      </c>
      <c r="DD146">
        <f>3.88975</f>
        <v>3.8897499999999998</v>
      </c>
      <c r="DE146">
        <f>3.887333333</f>
        <v>3.8873333329999999</v>
      </c>
      <c r="DF146">
        <f>3.874769231</f>
        <v>3.8747692310000001</v>
      </c>
      <c r="DG146">
        <f>3.887042146</f>
        <v>3.8870421460000002</v>
      </c>
      <c r="DH146">
        <f>3.919724138</f>
        <v>3.9197241379999999</v>
      </c>
      <c r="DI146">
        <f>4.148038462</f>
        <v>4.1480384619999997</v>
      </c>
      <c r="DJ146">
        <f>4.165287356</f>
        <v>4.1652873560000003</v>
      </c>
      <c r="DK146">
        <f>4.149827586</f>
        <v>4.1498275859999998</v>
      </c>
      <c r="DL146">
        <f>4.103769231</f>
        <v>4.1037692310000002</v>
      </c>
      <c r="DM146">
        <f>4.041</f>
        <v>4.0410000000000004</v>
      </c>
      <c r="DN146">
        <f>4.037244275</f>
        <v>4.0372442749999999</v>
      </c>
      <c r="DO146">
        <f>4.089292308</f>
        <v>4.0892923080000001</v>
      </c>
      <c r="DP146">
        <f>4.061374046</f>
        <v>4.0613740460000001</v>
      </c>
      <c r="DQ146">
        <f>4.039396947</f>
        <v>4.0393969470000002</v>
      </c>
      <c r="DR146">
        <f>4.037330769</f>
        <v>4.0373307690000004</v>
      </c>
      <c r="DS146">
        <f>4.009259542</f>
        <v>4.0092595419999997</v>
      </c>
      <c r="DT146">
        <f>3.981276923</f>
        <v>3.9812769229999998</v>
      </c>
      <c r="DU146">
        <f>3.904712644</f>
        <v>3.904712644</v>
      </c>
      <c r="DV146">
        <f>3.858305344</f>
        <v>3.8583053440000001</v>
      </c>
      <c r="DW146">
        <f>3.867673077</f>
        <v>3.8676730770000001</v>
      </c>
      <c r="DX146">
        <f>3.863534615</f>
        <v>3.8635346149999998</v>
      </c>
      <c r="DY146">
        <f>3.934</f>
        <v>3.9340000000000002</v>
      </c>
      <c r="DZ146">
        <f>3.907592308</f>
        <v>3.9075923079999999</v>
      </c>
      <c r="EA146">
        <f>3.822811538</f>
        <v>3.8228115379999998</v>
      </c>
      <c r="EB146">
        <f>3.804252874</f>
        <v>3.8042528739999999</v>
      </c>
      <c r="EC146">
        <f>3.770169231</f>
        <v>3.7701692310000001</v>
      </c>
      <c r="ED146">
        <f>3.746869732</f>
        <v>3.746869732</v>
      </c>
      <c r="EE146">
        <f>3.670367816</f>
        <v>3.6703678160000002</v>
      </c>
      <c r="EF146">
        <f>3.637365385</f>
        <v>3.6373653849999998</v>
      </c>
      <c r="EG146">
        <f>3.652490421</f>
        <v>3.652490421</v>
      </c>
      <c r="EH146">
        <f>3.700022989</f>
        <v>3.7000229889999998</v>
      </c>
      <c r="EI146">
        <f>3.647123077</f>
        <v>3.6471230769999998</v>
      </c>
      <c r="EJ146">
        <f>3.658715385</f>
        <v>3.6587153849999998</v>
      </c>
      <c r="EK146">
        <f>3.723</f>
        <v>3.7229999999999999</v>
      </c>
      <c r="EL146">
        <f>3.724369231</f>
        <v>3.7243692309999998</v>
      </c>
      <c r="EM146">
        <f>3.718670498</f>
        <v>3.7186704979999998</v>
      </c>
      <c r="EN146">
        <f>3.704436782</f>
        <v>3.7044367820000002</v>
      </c>
      <c r="EO146">
        <f>3.681303846</f>
        <v>3.681303846</v>
      </c>
      <c r="EP146">
        <f>3.654218391</f>
        <v>3.6542183910000001</v>
      </c>
      <c r="EQ146">
        <f>3.604707692</f>
        <v>3.6047076919999999</v>
      </c>
      <c r="ER146">
        <f>3.582369231</f>
        <v>3.5823692309999999</v>
      </c>
      <c r="ES146">
        <f>3.518463602</f>
        <v>3.5184636020000002</v>
      </c>
      <c r="ET146">
        <f>3.398115385</f>
        <v>3.3981153850000001</v>
      </c>
      <c r="EU146">
        <f>3.400754789</f>
        <v>3.4007547890000001</v>
      </c>
      <c r="EV146">
        <f>3.466992337</f>
        <v>3.4669923370000002</v>
      </c>
      <c r="EW146">
        <f>3.451</f>
        <v>3.4510000000000001</v>
      </c>
      <c r="EX146">
        <f>3.406588462</f>
        <v>3.4065884620000002</v>
      </c>
      <c r="EY146">
        <f>3.210045977</f>
        <v>3.2100459770000001</v>
      </c>
      <c r="EZ146">
        <f>3.190623077</f>
        <v>3.1906230770000001</v>
      </c>
      <c r="FA146">
        <f>3.168084615</f>
        <v>3.1680846150000002</v>
      </c>
      <c r="FB146">
        <f>3.125183908</f>
        <v>3.1251839079999999</v>
      </c>
      <c r="FC146">
        <f>3.094730769</f>
        <v>3.0947307689999999</v>
      </c>
      <c r="FD146">
        <f>3.068816092</f>
        <v>3.0688160920000001</v>
      </c>
      <c r="FE146">
        <f>3.055475096</f>
        <v>3.0554750959999999</v>
      </c>
      <c r="FF146">
        <f>2.962015385</f>
        <v>2.9620153849999999</v>
      </c>
      <c r="FG146">
        <f>2.949226054</f>
        <v>2.9492260539999999</v>
      </c>
      <c r="FH146">
        <f>2.917251908</f>
        <v>2.9172519079999999</v>
      </c>
      <c r="FI146">
        <f>2.964</f>
        <v>2.964</v>
      </c>
      <c r="FJ146">
        <f>2.889854962</f>
        <v>2.8898549619999998</v>
      </c>
      <c r="FK146">
        <f>2.850206107</f>
        <v>2.850206107</v>
      </c>
      <c r="FL146">
        <f>2.796</f>
        <v>2.7959999999999998</v>
      </c>
      <c r="FM146">
        <f>2.765099237</f>
        <v>2.7650992369999998</v>
      </c>
      <c r="FN146">
        <f>2.638884615</f>
        <v>2.6388846149999998</v>
      </c>
      <c r="FO146">
        <f>2.609390805</f>
        <v>2.6093908049999999</v>
      </c>
      <c r="FP146">
        <f>2.593423664</f>
        <v>2.5934236639999999</v>
      </c>
      <c r="FQ146">
        <f>2.490288462</f>
        <v>2.4902884620000001</v>
      </c>
    </row>
    <row r="147" spans="1:173">
      <c r="A147" t="str">
        <f>"    Equity Residential"</f>
        <v xml:space="preserve">    Equity Residential</v>
      </c>
      <c r="B147" t="str">
        <f>"EQR US Equity"</f>
        <v>EQR US Equity</v>
      </c>
      <c r="C147" t="str">
        <f t="shared" si="45"/>
        <v>BE895</v>
      </c>
      <c r="D147" t="str">
        <f t="shared" si="46"/>
        <v>BEST_AFFOPS</v>
      </c>
      <c r="E147" t="str">
        <f t="shared" si="47"/>
        <v>动态</v>
      </c>
      <c r="F147">
        <f ca="1">IF(AND(ISNUMBER($F$357),$B$252=1),$F$357,HLOOKUP(INDIRECT(ADDRESS(2,COLUMN())),OFFSET($CL$2,0,0,ROW()-1,84),ROW()-1,FALSE))</f>
        <v>2.8454461539999998</v>
      </c>
      <c r="G147">
        <f ca="1">IF(AND(ISNUMBER($G$357),$B$252=1),$G$357,HLOOKUP(INDIRECT(ADDRESS(2,COLUMN())),OFFSET($CL$2,0,0,ROW()-1,84),ROW()-1,FALSE))</f>
        <v>2.85540613</v>
      </c>
      <c r="H147">
        <f ca="1">IF(AND(ISNUMBER($H$357),$B$252=1),$H$357,HLOOKUP(INDIRECT(ADDRESS(2,COLUMN())),OFFSET($CL$2,0,0,ROW()-1,84),ROW()-1,FALSE))</f>
        <v>2.864628352</v>
      </c>
      <c r="I147">
        <f ca="1">IF(AND(ISNUMBER($I$357),$B$252=1),$I$357,HLOOKUP(INDIRECT(ADDRESS(2,COLUMN())),OFFSET($CL$2,0,0,ROW()-1,84),ROW()-1,FALSE))</f>
        <v>2.863</v>
      </c>
      <c r="J147">
        <f ca="1">IF(AND(ISNUMBER($J$357),$B$252=1),$J$357,HLOOKUP(INDIRECT(ADDRESS(2,COLUMN())),OFFSET($CL$2,0,0,ROW()-1,84),ROW()-1,FALSE))</f>
        <v>2.8347356320000001</v>
      </c>
      <c r="K147">
        <f ca="1">IF(AND(ISNUMBER($K$357),$B$252=1),$K$357,HLOOKUP(INDIRECT(ADDRESS(2,COLUMN())),OFFSET($CL$2,0,0,ROW()-1,84),ROW()-1,FALSE))</f>
        <v>2.846770115</v>
      </c>
      <c r="L147">
        <f ca="1">IF(AND(ISNUMBER($L$357),$B$252=1),$L$357,HLOOKUP(INDIRECT(ADDRESS(2,COLUMN())),OFFSET($CL$2,0,0,ROW()-1,84),ROW()-1,FALSE))</f>
        <v>2.85425</v>
      </c>
      <c r="M147">
        <f ca="1">IF(AND(ISNUMBER($M$357),$B$252=1),$M$357,HLOOKUP(INDIRECT(ADDRESS(2,COLUMN())),OFFSET($CL$2,0,0,ROW()-1,84),ROW()-1,FALSE))</f>
        <v>2.8479501919999999</v>
      </c>
      <c r="N147">
        <f ca="1">IF(AND(ISNUMBER($N$357),$B$252=1),$N$357,HLOOKUP(INDIRECT(ADDRESS(2,COLUMN())),OFFSET($CL$2,0,0,ROW()-1,84),ROW()-1,FALSE))</f>
        <v>2.8089808430000001</v>
      </c>
      <c r="O147">
        <f ca="1">IF(AND(ISNUMBER($O$357),$B$252=1),$O$357,HLOOKUP(INDIRECT(ADDRESS(2,COLUMN())),OFFSET($CL$2,0,0,ROW()-1,84),ROW()-1,FALSE))</f>
        <v>2.8134999999999999</v>
      </c>
      <c r="P147">
        <f ca="1">IF(AND(ISNUMBER($P$357),$B$252=1),$P$357,HLOOKUP(INDIRECT(ADDRESS(2,COLUMN())),OFFSET($CL$2,0,0,ROW()-1,84),ROW()-1,FALSE))</f>
        <v>2.7994674329999998</v>
      </c>
      <c r="Q147">
        <f ca="1">IF(AND(ISNUMBER($Q$357),$B$252=1),$Q$357,HLOOKUP(INDIRECT(ADDRESS(2,COLUMN())),OFFSET($CL$2,0,0,ROW()-1,84),ROW()-1,FALSE))</f>
        <v>2.8057692310000002</v>
      </c>
      <c r="R147">
        <f ca="1">IF(AND(ISNUMBER($R$357),$B$252=1),$R$357,HLOOKUP(INDIRECT(ADDRESS(2,COLUMN())),OFFSET($CL$2,0,0,ROW()-1,84),ROW()-1,FALSE))</f>
        <v>2.76925</v>
      </c>
      <c r="S147">
        <f ca="1">IF(AND(ISNUMBER($S$357),$B$252=1),$S$357,HLOOKUP(INDIRECT(ADDRESS(2,COLUMN())),OFFSET($CL$2,0,0,ROW()-1,84),ROW()-1,FALSE))</f>
        <v>2.778996169</v>
      </c>
      <c r="T147">
        <f ca="1">IF(AND(ISNUMBER($T$357),$B$252=1),$T$357,HLOOKUP(INDIRECT(ADDRESS(2,COLUMN())),OFFSET($CL$2,0,0,ROW()-1,84),ROW()-1,FALSE))</f>
        <v>2.8323065129999998</v>
      </c>
      <c r="U147">
        <f ca="1">IF(AND(ISNUMBER($U$357),$B$252=1),$U$357,HLOOKUP(INDIRECT(ADDRESS(2,COLUMN())),OFFSET($CL$2,0,0,ROW()-1,84),ROW()-1,FALSE))</f>
        <v>2.8260000000000001</v>
      </c>
      <c r="V147">
        <f ca="1">IF(AND(ISNUMBER($V$357),$B$252=1),$V$357,HLOOKUP(INDIRECT(ADDRESS(2,COLUMN())),OFFSET($CL$2,0,0,ROW()-1,84),ROW()-1,FALSE))</f>
        <v>2.8056551719999998</v>
      </c>
      <c r="W147">
        <f ca="1">IF(AND(ISNUMBER($W$357),$B$252=1),$W$357,HLOOKUP(INDIRECT(ADDRESS(2,COLUMN())),OFFSET($CL$2,0,0,ROW()-1,84),ROW()-1,FALSE))</f>
        <v>2.8024674329999999</v>
      </c>
      <c r="X147">
        <f ca="1">IF(AND(ISNUMBER($X$357),$B$252=1),$X$357,HLOOKUP(INDIRECT(ADDRESS(2,COLUMN())),OFFSET($CL$2,0,0,ROW()-1,84),ROW()-1,FALSE))</f>
        <v>2.7974999999999999</v>
      </c>
      <c r="Y147">
        <f ca="1">IF(AND(ISNUMBER($Y$357),$B$252=1),$Y$357,HLOOKUP(INDIRECT(ADDRESS(2,COLUMN())),OFFSET($CL$2,0,0,ROW()-1,84),ROW()-1,FALSE))</f>
        <v>2.8069999999999999</v>
      </c>
      <c r="Z147">
        <f ca="1">IF(AND(ISNUMBER($Z$357),$B$252=1),$Z$357,HLOOKUP(INDIRECT(ADDRESS(2,COLUMN())),OFFSET($CL$2,0,0,ROW()-1,84),ROW()-1,FALSE))</f>
        <v>2.8250384620000002</v>
      </c>
      <c r="AA147">
        <f ca="1">IF(AND(ISNUMBER($AA$357),$B$252=1),$AA$357,HLOOKUP(INDIRECT(ADDRESS(2,COLUMN())),OFFSET($CL$2,0,0,ROW()-1,84),ROW()-1,FALSE))</f>
        <v>2.8866551720000002</v>
      </c>
      <c r="AB147">
        <f ca="1">IF(AND(ISNUMBER($AB$357),$B$252=1),$AB$357,HLOOKUP(INDIRECT(ADDRESS(2,COLUMN())),OFFSET($CL$2,0,0,ROW()-1,84),ROW()-1,FALSE))</f>
        <v>2.898413793</v>
      </c>
      <c r="AC147">
        <f ca="1">IF(AND(ISNUMBER($AC$357),$B$252=1),$AC$357,HLOOKUP(INDIRECT(ADDRESS(2,COLUMN())),OFFSET($CL$2,0,0,ROW()-1,84),ROW()-1,FALSE))</f>
        <v>2.8820384620000001</v>
      </c>
      <c r="AD147">
        <f ca="1">IF(AND(ISNUMBER($AD$357),$B$252=1),$AD$357,HLOOKUP(INDIRECT(ADDRESS(2,COLUMN())),OFFSET($CL$2,0,0,ROW()-1,84),ROW()-1,FALSE))</f>
        <v>2.9096130269999998</v>
      </c>
      <c r="AE147">
        <f ca="1">IF(AND(ISNUMBER($AE$357),$B$252=1),$AE$357,HLOOKUP(INDIRECT(ADDRESS(2,COLUMN())),OFFSET($CL$2,0,0,ROW()-1,84),ROW()-1,FALSE))</f>
        <v>2.9154022990000001</v>
      </c>
      <c r="AF147">
        <f ca="1">IF(AND(ISNUMBER($AF$357),$B$252=1),$AF$357,HLOOKUP(INDIRECT(ADDRESS(2,COLUMN())),OFFSET($CL$2,0,0,ROW()-1,84),ROW()-1,FALSE))</f>
        <v>3.0467692309999999</v>
      </c>
      <c r="AG147">
        <f ca="1">IF(AND(ISNUMBER($AG$357),$B$252=1),$AG$357,HLOOKUP(INDIRECT(ADDRESS(2,COLUMN())),OFFSET($CL$2,0,0,ROW()-1,84),ROW()-1,FALSE))</f>
        <v>3.0249999999999999</v>
      </c>
      <c r="AH147">
        <f ca="1">IF(AND(ISNUMBER($AH$357),$B$252=1),$AH$357,HLOOKUP(INDIRECT(ADDRESS(2,COLUMN())),OFFSET($CL$2,0,0,ROW()-1,84),ROW()-1,FALSE))</f>
        <v>3.0761946560000002</v>
      </c>
      <c r="AI147">
        <f ca="1">IF(AND(ISNUMBER($AI$357),$B$252=1),$AI$357,HLOOKUP(INDIRECT(ADDRESS(2,COLUMN())),OFFSET($CL$2,0,0,ROW()-1,84),ROW()-1,FALSE))</f>
        <v>3.1127076919999999</v>
      </c>
      <c r="AJ147">
        <f ca="1">IF(AND(ISNUMBER($AJ$357),$B$252=1),$AJ$357,HLOOKUP(INDIRECT(ADDRESS(2,COLUMN())),OFFSET($CL$2,0,0,ROW()-1,84),ROW()-1,FALSE))</f>
        <v>3.2956946559999998</v>
      </c>
      <c r="AK147">
        <f ca="1">IF(AND(ISNUMBER($AK$357),$B$252=1),$AK$357,HLOOKUP(INDIRECT(ADDRESS(2,COLUMN())),OFFSET($CL$2,0,0,ROW()-1,84),ROW()-1,FALSE))</f>
        <v>3.2109236640000001</v>
      </c>
      <c r="AL147">
        <f ca="1">IF(AND(ISNUMBER($AL$357),$B$252=1),$AL$357,HLOOKUP(INDIRECT(ADDRESS(2,COLUMN())),OFFSET($CL$2,0,0,ROW()-1,84),ROW()-1,FALSE))</f>
        <v>3.1495846150000002</v>
      </c>
      <c r="AM147">
        <f ca="1">IF(AND(ISNUMBER($AM$357),$B$252=1),$AM$357,HLOOKUP(INDIRECT(ADDRESS(2,COLUMN())),OFFSET($CL$2,0,0,ROW()-1,84),ROW()-1,FALSE))</f>
        <v>3.0821526719999999</v>
      </c>
      <c r="AN147">
        <f ca="1">IF(AND(ISNUMBER($AN$357),$B$252=1),$AN$357,HLOOKUP(INDIRECT(ADDRESS(2,COLUMN())),OFFSET($CL$2,0,0,ROW()-1,84),ROW()-1,FALSE))</f>
        <v>3.079507692</v>
      </c>
      <c r="AO147">
        <f ca="1">IF(AND(ISNUMBER($AO$357),$B$252=1),$AO$357,HLOOKUP(INDIRECT(ADDRESS(2,COLUMN())),OFFSET($CL$2,0,0,ROW()-1,84),ROW()-1,FALSE))</f>
        <v>3.0143218389999999</v>
      </c>
      <c r="AP147">
        <f ca="1">IF(AND(ISNUMBER($AP$357),$B$252=1),$AP$357,HLOOKUP(INDIRECT(ADDRESS(2,COLUMN())),OFFSET($CL$2,0,0,ROW()-1,84),ROW()-1,FALSE))</f>
        <v>2.849805344</v>
      </c>
      <c r="AQ147">
        <f ca="1">IF(AND(ISNUMBER($AQ$357),$B$252=1),$AQ$357,HLOOKUP(INDIRECT(ADDRESS(2,COLUMN())),OFFSET($CL$2,0,0,ROW()-1,84),ROW()-1,FALSE))</f>
        <v>2.9054269229999998</v>
      </c>
      <c r="AR147">
        <f ca="1">IF(AND(ISNUMBER($AR$357),$B$252=1),$AR$357,HLOOKUP(INDIRECT(ADDRESS(2,COLUMN())),OFFSET($CL$2,0,0,ROW()-1,84),ROW()-1,FALSE))</f>
        <v>2.9032153850000002</v>
      </c>
      <c r="AS147">
        <f ca="1">IF(AND(ISNUMBER($AS$357),$B$252=1),$AS$357,HLOOKUP(INDIRECT(ADDRESS(2,COLUMN())),OFFSET($CL$2,0,0,ROW()-1,84),ROW()-1,FALSE))</f>
        <v>2.9220000000000002</v>
      </c>
      <c r="AT147">
        <f ca="1">IF(AND(ISNUMBER($AT$357),$B$252=1),$AT$357,HLOOKUP(INDIRECT(ADDRESS(2,COLUMN())),OFFSET($CL$2,0,0,ROW()-1,84),ROW()-1,FALSE))</f>
        <v>2.8747692310000001</v>
      </c>
      <c r="AU147">
        <f ca="1">IF(AND(ISNUMBER($AU$357),$B$252=1),$AU$357,HLOOKUP(INDIRECT(ADDRESS(2,COLUMN())),OFFSET($CL$2,0,0,ROW()-1,84),ROW()-1,FALSE))</f>
        <v>2.870165385</v>
      </c>
      <c r="AV147">
        <f ca="1">IF(AND(ISNUMBER($AV$357),$B$252=1),$AV$357,HLOOKUP(INDIRECT(ADDRESS(2,COLUMN())),OFFSET($CL$2,0,0,ROW()-1,84),ROW()-1,FALSE))</f>
        <v>2.870057471</v>
      </c>
      <c r="AW147">
        <f ca="1">IF(AND(ISNUMBER($AW$357),$B$252=1),$AW$357,HLOOKUP(INDIRECT(ADDRESS(2,COLUMN())),OFFSET($CL$2,0,0,ROW()-1,84),ROW()-1,FALSE))</f>
        <v>2.9413230769999998</v>
      </c>
      <c r="AX147">
        <f ca="1">IF(AND(ISNUMBER($AX$357),$B$252=1),$AX$357,HLOOKUP(INDIRECT(ADDRESS(2,COLUMN())),OFFSET($CL$2,0,0,ROW()-1,84),ROW()-1,FALSE))</f>
        <v>2.9298467430000001</v>
      </c>
      <c r="AY147">
        <f ca="1">IF(AND(ISNUMBER($AY$357),$B$252=1),$AY$357,HLOOKUP(INDIRECT(ADDRESS(2,COLUMN())),OFFSET($CL$2,0,0,ROW()-1,84),ROW()-1,FALSE))</f>
        <v>2.8991609199999999</v>
      </c>
      <c r="AZ147">
        <f ca="1">IF(AND(ISNUMBER($AZ$357),$B$252=1),$AZ$357,HLOOKUP(INDIRECT(ADDRESS(2,COLUMN())),OFFSET($CL$2,0,0,ROW()-1,84),ROW()-1,FALSE))</f>
        <v>2.85765</v>
      </c>
      <c r="BA147">
        <f ca="1">IF(AND(ISNUMBER($BA$357),$B$252=1),$BA$357,HLOOKUP(INDIRECT(ADDRESS(2,COLUMN())),OFFSET($CL$2,0,0,ROW()-1,84),ROW()-1,FALSE))</f>
        <v>2.8584099620000001</v>
      </c>
      <c r="BB147">
        <f ca="1">IF(AND(ISNUMBER($BB$357),$B$252=1),$BB$357,HLOOKUP(INDIRECT(ADDRESS(2,COLUMN())),OFFSET($CL$2,0,0,ROW()-1,84),ROW()-1,FALSE))</f>
        <v>2.859662835</v>
      </c>
      <c r="BC147">
        <f ca="1">IF(AND(ISNUMBER($BC$357),$B$252=1),$BC$357,HLOOKUP(INDIRECT(ADDRESS(2,COLUMN())),OFFSET($CL$2,0,0,ROW()-1,84),ROW()-1,FALSE))</f>
        <v>2.8397615379999999</v>
      </c>
      <c r="BD147">
        <f ca="1">IF(AND(ISNUMBER($BD$357),$B$252=1),$BD$357,HLOOKUP(INDIRECT(ADDRESS(2,COLUMN())),OFFSET($CL$2,0,0,ROW()-1,84),ROW()-1,FALSE))</f>
        <v>2.8451230769999998</v>
      </c>
      <c r="BE147">
        <f ca="1">IF(AND(ISNUMBER($BE$357),$B$252=1),$BE$357,HLOOKUP(INDIRECT(ADDRESS(2,COLUMN())),OFFSET($CL$2,0,0,ROW()-1,84),ROW()-1,FALSE))</f>
        <v>2.8650000000000002</v>
      </c>
      <c r="BF147">
        <f ca="1">IF(AND(ISNUMBER($BF$357),$B$252=1),$BF$357,HLOOKUP(INDIRECT(ADDRESS(2,COLUMN())),OFFSET($CL$2,0,0,ROW()-1,84),ROW()-1,FALSE))</f>
        <v>2.825223077</v>
      </c>
      <c r="BG147">
        <f ca="1">IF(AND(ISNUMBER($BG$357),$B$252=1),$BG$357,HLOOKUP(INDIRECT(ADDRESS(2,COLUMN())),OFFSET($CL$2,0,0,ROW()-1,84),ROW()-1,FALSE))</f>
        <v>2.7741340999999999</v>
      </c>
      <c r="BH147">
        <f ca="1">IF(AND(ISNUMBER($BH$357),$B$252=1),$BH$357,HLOOKUP(INDIRECT(ADDRESS(2,COLUMN())),OFFSET($CL$2,0,0,ROW()-1,84),ROW()-1,FALSE))</f>
        <v>2.7355747130000001</v>
      </c>
      <c r="BI147">
        <f ca="1">IF(AND(ISNUMBER($BI$357),$B$252=1),$BI$357,HLOOKUP(INDIRECT(ADDRESS(2,COLUMN())),OFFSET($CL$2,0,0,ROW()-1,84),ROW()-1,FALSE))</f>
        <v>2.7058038459999998</v>
      </c>
      <c r="BJ147">
        <f ca="1">IF(AND(ISNUMBER($BJ$357),$B$252=1),$BJ$357,HLOOKUP(INDIRECT(ADDRESS(2,COLUMN())),OFFSET($CL$2,0,0,ROW()-1,84),ROW()-1,FALSE))</f>
        <v>2.6771915709999998</v>
      </c>
      <c r="BK147">
        <f ca="1">IF(AND(ISNUMBER($BK$357),$B$252=1),$BK$357,HLOOKUP(INDIRECT(ADDRESS(2,COLUMN())),OFFSET($CL$2,0,0,ROW()-1,84),ROW()-1,FALSE))</f>
        <v>2.6408461540000001</v>
      </c>
      <c r="BL147">
        <f ca="1">IF(AND(ISNUMBER($BL$357),$B$252=1),$BL$357,HLOOKUP(INDIRECT(ADDRESS(2,COLUMN())),OFFSET($CL$2,0,0,ROW()-1,84),ROW()-1,FALSE))</f>
        <v>2.608476923</v>
      </c>
      <c r="BM147">
        <f ca="1">IF(AND(ISNUMBER($BM$357),$B$252=1),$BM$357,HLOOKUP(INDIRECT(ADDRESS(2,COLUMN())),OFFSET($CL$2,0,0,ROW()-1,84),ROW()-1,FALSE))</f>
        <v>2.5705172410000001</v>
      </c>
      <c r="BN147">
        <f ca="1">IF(AND(ISNUMBER($BN$357),$B$252=1),$BN$357,HLOOKUP(INDIRECT(ADDRESS(2,COLUMN())),OFFSET($CL$2,0,0,ROW()-1,84),ROW()-1,FALSE))</f>
        <v>2.6014807690000001</v>
      </c>
      <c r="BO147">
        <f ca="1">IF(AND(ISNUMBER($BO$357),$B$252=1),$BO$357,HLOOKUP(INDIRECT(ADDRESS(2,COLUMN())),OFFSET($CL$2,0,0,ROW()-1,84),ROW()-1,FALSE))</f>
        <v>2.5723409959999999</v>
      </c>
      <c r="BP147">
        <f ca="1">IF(AND(ISNUMBER($BP$357),$B$252=1),$BP$357,HLOOKUP(INDIRECT(ADDRESS(2,COLUMN())),OFFSET($CL$2,0,0,ROW()-1,84),ROW()-1,FALSE))</f>
        <v>2.7138850570000002</v>
      </c>
      <c r="BQ147">
        <f ca="1">IF(AND(ISNUMBER($BQ$357),$B$252=1),$BQ$357,HLOOKUP(INDIRECT(ADDRESS(2,COLUMN())),OFFSET($CL$2,0,0,ROW()-1,84),ROW()-1,FALSE))</f>
        <v>2.7210000000000001</v>
      </c>
      <c r="BR147">
        <f ca="1">IF(AND(ISNUMBER($BR$357),$B$252=1),$BR$357,HLOOKUP(INDIRECT(ADDRESS(2,COLUMN())),OFFSET($CL$2,0,0,ROW()-1,84),ROW()-1,FALSE))</f>
        <v>2.7215961540000002</v>
      </c>
      <c r="BS147">
        <f ca="1">IF(AND(ISNUMBER($BS$357),$B$252=1),$BS$357,HLOOKUP(INDIRECT(ADDRESS(2,COLUMN())),OFFSET($CL$2,0,0,ROW()-1,84),ROW()-1,FALSE))</f>
        <v>2.6433409960000001</v>
      </c>
      <c r="BT147">
        <f ca="1">IF(AND(ISNUMBER($BT$357),$B$252=1),$BT$357,HLOOKUP(INDIRECT(ADDRESS(2,COLUMN())),OFFSET($CL$2,0,0,ROW()-1,84),ROW()-1,FALSE))</f>
        <v>2.6213153849999999</v>
      </c>
      <c r="BU147">
        <f ca="1">IF(AND(ISNUMBER($BU$357),$B$252=1),$BU$357,HLOOKUP(INDIRECT(ADDRESS(2,COLUMN())),OFFSET($CL$2,0,0,ROW()-1,84),ROW()-1,FALSE))</f>
        <v>2.6302846149999999</v>
      </c>
      <c r="BV147">
        <f ca="1">IF(AND(ISNUMBER($BV$357),$B$252=1),$BV$357,HLOOKUP(INDIRECT(ADDRESS(2,COLUMN())),OFFSET($CL$2,0,0,ROW()-1,84),ROW()-1,FALSE))</f>
        <v>2.6059348660000001</v>
      </c>
      <c r="BW147">
        <f ca="1">IF(AND(ISNUMBER($BW$357),$B$252=1),$BW$357,HLOOKUP(INDIRECT(ADDRESS(2,COLUMN())),OFFSET($CL$2,0,0,ROW()-1,84),ROW()-1,FALSE))</f>
        <v>2.5755884619999998</v>
      </c>
      <c r="BX147">
        <f ca="1">IF(AND(ISNUMBER($BX$357),$B$252=1),$BX$357,HLOOKUP(INDIRECT(ADDRESS(2,COLUMN())),OFFSET($CL$2,0,0,ROW()-1,84),ROW()-1,FALSE))</f>
        <v>2.5636360150000002</v>
      </c>
      <c r="BY147">
        <f ca="1">IF(AND(ISNUMBER($BY$357),$B$252=1),$BY$357,HLOOKUP(INDIRECT(ADDRESS(2,COLUMN())),OFFSET($CL$2,0,0,ROW()-1,84),ROW()-1,FALSE))</f>
        <v>2.5613180080000002</v>
      </c>
      <c r="BZ147">
        <f ca="1">IF(AND(ISNUMBER($BZ$357),$B$252=1),$BZ$357,HLOOKUP(INDIRECT(ADDRESS(2,COLUMN())),OFFSET($CL$2,0,0,ROW()-1,84),ROW()-1,FALSE))</f>
        <v>2.505815385</v>
      </c>
      <c r="CA147">
        <f ca="1">IF(AND(ISNUMBER($CA$357),$B$252=1),$CA$357,HLOOKUP(INDIRECT(ADDRESS(2,COLUMN())),OFFSET($CL$2,0,0,ROW()-1,84),ROW()-1,FALSE))</f>
        <v>2.509375479</v>
      </c>
      <c r="CB147">
        <f ca="1">IF(AND(ISNUMBER($CB$357),$B$252=1),$CB$357,HLOOKUP(INDIRECT(ADDRESS(2,COLUMN())),OFFSET($CL$2,0,0,ROW()-1,84),ROW()-1,FALSE))</f>
        <v>2.527385496</v>
      </c>
      <c r="CC147">
        <f ca="1">IF(AND(ISNUMBER($CC$357),$B$252=1),$CC$357,HLOOKUP(INDIRECT(ADDRESS(2,COLUMN())),OFFSET($CL$2,0,0,ROW()-1,84),ROW()-1,FALSE))</f>
        <v>2.4910000000000001</v>
      </c>
      <c r="CD147">
        <f ca="1">IF(AND(ISNUMBER($CD$357),$B$252=1),$CD$357,HLOOKUP(INDIRECT(ADDRESS(2,COLUMN())),OFFSET($CL$2,0,0,ROW()-1,84),ROW()-1,FALSE))</f>
        <v>2.5224274809999998</v>
      </c>
      <c r="CE147">
        <f ca="1">IF(AND(ISNUMBER($CE$357),$B$252=1),$CE$357,HLOOKUP(INDIRECT(ADDRESS(2,COLUMN())),OFFSET($CL$2,0,0,ROW()-1,84),ROW()-1,FALSE))</f>
        <v>2.4917175569999999</v>
      </c>
      <c r="CF147">
        <f ca="1">IF(AND(ISNUMBER($CF$357),$B$252=1),$CF$357,HLOOKUP(INDIRECT(ADDRESS(2,COLUMN())),OFFSET($CL$2,0,0,ROW()-1,84),ROW()-1,FALSE))</f>
        <v>2.464</v>
      </c>
      <c r="CG147">
        <f ca="1">IF(AND(ISNUMBER($CG$357),$B$252=1),$CG$357,HLOOKUP(INDIRECT(ADDRESS(2,COLUMN())),OFFSET($CL$2,0,0,ROW()-1,84),ROW()-1,FALSE))</f>
        <v>2.4397824429999999</v>
      </c>
      <c r="CH147">
        <f ca="1">IF(AND(ISNUMBER($CH$357),$B$252=1),$CH$357,HLOOKUP(INDIRECT(ADDRESS(2,COLUMN())),OFFSET($CL$2,0,0,ROW()-1,84),ROW()-1,FALSE))</f>
        <v>2.3858076920000002</v>
      </c>
      <c r="CI147">
        <f ca="1">IF(AND(ISNUMBER($CI$357),$B$252=1),$CI$357,HLOOKUP(INDIRECT(ADDRESS(2,COLUMN())),OFFSET($CL$2,0,0,ROW()-1,84),ROW()-1,FALSE))</f>
        <v>2.3943793100000001</v>
      </c>
      <c r="CJ147">
        <f ca="1">IF(AND(ISNUMBER($CJ$357),$B$252=1),$CJ$357,HLOOKUP(INDIRECT(ADDRESS(2,COLUMN())),OFFSET($CL$2,0,0,ROW()-1,84),ROW()-1,FALSE))</f>
        <v>2.3811297709999999</v>
      </c>
      <c r="CK147">
        <f ca="1">IF(AND(ISNUMBER($CK$357),$B$252=1),$CK$357,HLOOKUP(INDIRECT(ADDRESS(2,COLUMN())),OFFSET($CL$2,0,0,ROW()-1,84),ROW()-1,FALSE))</f>
        <v>2.3271153849999999</v>
      </c>
      <c r="CL147">
        <f>2.845446154</f>
        <v>2.8454461539999998</v>
      </c>
      <c r="CM147">
        <f>2.85540613</f>
        <v>2.85540613</v>
      </c>
      <c r="CN147">
        <f>2.864628352</f>
        <v>2.864628352</v>
      </c>
      <c r="CO147">
        <f>2.863</f>
        <v>2.863</v>
      </c>
      <c r="CP147">
        <f>2.834735632</f>
        <v>2.8347356320000001</v>
      </c>
      <c r="CQ147">
        <f>2.846770115</f>
        <v>2.846770115</v>
      </c>
      <c r="CR147">
        <f>2.85425</f>
        <v>2.85425</v>
      </c>
      <c r="CS147">
        <f>2.847950192</f>
        <v>2.8479501919999999</v>
      </c>
      <c r="CT147">
        <f>2.808980843</f>
        <v>2.8089808430000001</v>
      </c>
      <c r="CU147">
        <f>2.8135</f>
        <v>2.8134999999999999</v>
      </c>
      <c r="CV147">
        <f>2.799467433</f>
        <v>2.7994674329999998</v>
      </c>
      <c r="CW147">
        <f>2.805769231</f>
        <v>2.8057692310000002</v>
      </c>
      <c r="CX147">
        <f>2.76925</f>
        <v>2.76925</v>
      </c>
      <c r="CY147">
        <f>2.778996169</f>
        <v>2.778996169</v>
      </c>
      <c r="CZ147">
        <f>2.832306513</f>
        <v>2.8323065129999998</v>
      </c>
      <c r="DA147">
        <f>2.826</f>
        <v>2.8260000000000001</v>
      </c>
      <c r="DB147">
        <f>2.805655172</f>
        <v>2.8056551719999998</v>
      </c>
      <c r="DC147">
        <f>2.802467433</f>
        <v>2.8024674329999999</v>
      </c>
      <c r="DD147">
        <f>2.7975</f>
        <v>2.7974999999999999</v>
      </c>
      <c r="DE147">
        <f>2.807</f>
        <v>2.8069999999999999</v>
      </c>
      <c r="DF147">
        <f>2.825038462</f>
        <v>2.8250384620000002</v>
      </c>
      <c r="DG147">
        <f>2.886655172</f>
        <v>2.8866551720000002</v>
      </c>
      <c r="DH147">
        <f>2.898413793</f>
        <v>2.898413793</v>
      </c>
      <c r="DI147">
        <f>2.882038462</f>
        <v>2.8820384620000001</v>
      </c>
      <c r="DJ147">
        <f>2.909613027</f>
        <v>2.9096130269999998</v>
      </c>
      <c r="DK147">
        <f>2.915402299</f>
        <v>2.9154022990000001</v>
      </c>
      <c r="DL147">
        <f>3.046769231</f>
        <v>3.0467692309999999</v>
      </c>
      <c r="DM147">
        <f>3.025</f>
        <v>3.0249999999999999</v>
      </c>
      <c r="DN147">
        <f>3.076194656</f>
        <v>3.0761946560000002</v>
      </c>
      <c r="DO147">
        <f>3.112707692</f>
        <v>3.1127076919999999</v>
      </c>
      <c r="DP147">
        <f>3.295694656</f>
        <v>3.2956946559999998</v>
      </c>
      <c r="DQ147">
        <f>3.210923664</f>
        <v>3.2109236640000001</v>
      </c>
      <c r="DR147">
        <f>3.149584615</f>
        <v>3.1495846150000002</v>
      </c>
      <c r="DS147">
        <f>3.082152672</f>
        <v>3.0821526719999999</v>
      </c>
      <c r="DT147">
        <f>3.079507692</f>
        <v>3.079507692</v>
      </c>
      <c r="DU147">
        <f>3.014321839</f>
        <v>3.0143218389999999</v>
      </c>
      <c r="DV147">
        <f>2.849805344</f>
        <v>2.849805344</v>
      </c>
      <c r="DW147">
        <f>2.905426923</f>
        <v>2.9054269229999998</v>
      </c>
      <c r="DX147">
        <f>2.903215385</f>
        <v>2.9032153850000002</v>
      </c>
      <c r="DY147">
        <f>2.922</f>
        <v>2.9220000000000002</v>
      </c>
      <c r="DZ147">
        <f>2.874769231</f>
        <v>2.8747692310000001</v>
      </c>
      <c r="EA147">
        <f>2.870165385</f>
        <v>2.870165385</v>
      </c>
      <c r="EB147">
        <f>2.870057471</f>
        <v>2.870057471</v>
      </c>
      <c r="EC147">
        <f>2.941323077</f>
        <v>2.9413230769999998</v>
      </c>
      <c r="ED147">
        <f>2.929846743</f>
        <v>2.9298467430000001</v>
      </c>
      <c r="EE147">
        <f>2.89916092</f>
        <v>2.8991609199999999</v>
      </c>
      <c r="EF147">
        <f>2.85765</f>
        <v>2.85765</v>
      </c>
      <c r="EG147">
        <f>2.858409962</f>
        <v>2.8584099620000001</v>
      </c>
      <c r="EH147">
        <f>2.859662835</f>
        <v>2.859662835</v>
      </c>
      <c r="EI147">
        <f>2.839761538</f>
        <v>2.8397615379999999</v>
      </c>
      <c r="EJ147">
        <f>2.845123077</f>
        <v>2.8451230769999998</v>
      </c>
      <c r="EK147">
        <f>2.865</f>
        <v>2.8650000000000002</v>
      </c>
      <c r="EL147">
        <f>2.825223077</f>
        <v>2.825223077</v>
      </c>
      <c r="EM147">
        <f>2.7741341</f>
        <v>2.7741340999999999</v>
      </c>
      <c r="EN147">
        <f>2.735574713</f>
        <v>2.7355747130000001</v>
      </c>
      <c r="EO147">
        <f>2.705803846</f>
        <v>2.7058038459999998</v>
      </c>
      <c r="EP147">
        <f>2.677191571</f>
        <v>2.6771915709999998</v>
      </c>
      <c r="EQ147">
        <f>2.640846154</f>
        <v>2.6408461540000001</v>
      </c>
      <c r="ER147">
        <f>2.608476923</f>
        <v>2.608476923</v>
      </c>
      <c r="ES147">
        <f>2.570517241</f>
        <v>2.5705172410000001</v>
      </c>
      <c r="ET147">
        <f>2.601480769</f>
        <v>2.6014807690000001</v>
      </c>
      <c r="EU147">
        <f>2.572340996</f>
        <v>2.5723409959999999</v>
      </c>
      <c r="EV147">
        <f>2.713885057</f>
        <v>2.7138850570000002</v>
      </c>
      <c r="EW147">
        <f>2.721</f>
        <v>2.7210000000000001</v>
      </c>
      <c r="EX147">
        <f>2.721596154</f>
        <v>2.7215961540000002</v>
      </c>
      <c r="EY147">
        <f>2.643340996</f>
        <v>2.6433409960000001</v>
      </c>
      <c r="EZ147">
        <f>2.621315385</f>
        <v>2.6213153849999999</v>
      </c>
      <c r="FA147">
        <f>2.630284615</f>
        <v>2.6302846149999999</v>
      </c>
      <c r="FB147">
        <f>2.605934866</f>
        <v>2.6059348660000001</v>
      </c>
      <c r="FC147">
        <f>2.575588462</f>
        <v>2.5755884619999998</v>
      </c>
      <c r="FD147">
        <f>2.563636015</f>
        <v>2.5636360150000002</v>
      </c>
      <c r="FE147">
        <f>2.561318008</f>
        <v>2.5613180080000002</v>
      </c>
      <c r="FF147">
        <f>2.505815385</f>
        <v>2.505815385</v>
      </c>
      <c r="FG147">
        <f>2.509375479</f>
        <v>2.509375479</v>
      </c>
      <c r="FH147">
        <f>2.527385496</f>
        <v>2.527385496</v>
      </c>
      <c r="FI147">
        <f>2.491</f>
        <v>2.4910000000000001</v>
      </c>
      <c r="FJ147">
        <f>2.522427481</f>
        <v>2.5224274809999998</v>
      </c>
      <c r="FK147">
        <f>2.491717557</f>
        <v>2.4917175569999999</v>
      </c>
      <c r="FL147">
        <f>2.464</f>
        <v>2.464</v>
      </c>
      <c r="FM147">
        <f>2.439782443</f>
        <v>2.4397824429999999</v>
      </c>
      <c r="FN147">
        <f>2.385807692</f>
        <v>2.3858076920000002</v>
      </c>
      <c r="FO147">
        <f>2.39437931</f>
        <v>2.3943793100000001</v>
      </c>
      <c r="FP147">
        <f>2.381129771</f>
        <v>2.3811297709999999</v>
      </c>
      <c r="FQ147">
        <f>2.327115385</f>
        <v>2.3271153849999999</v>
      </c>
    </row>
    <row r="148" spans="1:173">
      <c r="A148" t="str">
        <f>"    Essex Property Trust Inc"</f>
        <v xml:space="preserve">    Essex Property Trust Inc</v>
      </c>
      <c r="B148" t="str">
        <f>"ESS US Equity"</f>
        <v>ESS US Equity</v>
      </c>
      <c r="C148" t="str">
        <f t="shared" si="45"/>
        <v>BE895</v>
      </c>
      <c r="D148" t="str">
        <f t="shared" si="46"/>
        <v>BEST_AFFOPS</v>
      </c>
      <c r="E148" t="str">
        <f t="shared" si="47"/>
        <v>动态</v>
      </c>
      <c r="F148">
        <f ca="1">IF(AND(ISNUMBER($F$358),$B$252=1),$F$358,HLOOKUP(INDIRECT(ADDRESS(2,COLUMN())),OFFSET($CL$2,0,0,ROW()-1,84),ROW()-1,FALSE))</f>
        <v>11.487015380000001</v>
      </c>
      <c r="G148">
        <f ca="1">IF(AND(ISNUMBER($G$358),$B$252=1),$G$358,HLOOKUP(INDIRECT(ADDRESS(2,COLUMN())),OFFSET($CL$2,0,0,ROW()-1,84),ROW()-1,FALSE))</f>
        <v>11.39484674</v>
      </c>
      <c r="H148">
        <f ca="1">IF(AND(ISNUMBER($H$358),$B$252=1),$H$358,HLOOKUP(INDIRECT(ADDRESS(2,COLUMN())),OFFSET($CL$2,0,0,ROW()-1,84),ROW()-1,FALSE))</f>
        <v>11.37157854</v>
      </c>
      <c r="I148">
        <f ca="1">IF(AND(ISNUMBER($I$358),$B$252=1),$I$358,HLOOKUP(INDIRECT(ADDRESS(2,COLUMN())),OFFSET($CL$2,0,0,ROW()-1,84),ROW()-1,FALSE))</f>
        <v>11.250999999999999</v>
      </c>
      <c r="J148">
        <f ca="1">IF(AND(ISNUMBER($J$358),$B$252=1),$J$358,HLOOKUP(INDIRECT(ADDRESS(2,COLUMN())),OFFSET($CL$2,0,0,ROW()-1,84),ROW()-1,FALSE))</f>
        <v>11.230517239999999</v>
      </c>
      <c r="K148">
        <f ca="1">IF(AND(ISNUMBER($K$358),$B$252=1),$K$358,HLOOKUP(INDIRECT(ADDRESS(2,COLUMN())),OFFSET($CL$2,0,0,ROW()-1,84),ROW()-1,FALSE))</f>
        <v>11.270904209999999</v>
      </c>
      <c r="L148">
        <f ca="1">IF(AND(ISNUMBER($L$358),$B$252=1),$L$358,HLOOKUP(INDIRECT(ADDRESS(2,COLUMN())),OFFSET($CL$2,0,0,ROW()-1,84),ROW()-1,FALSE))</f>
        <v>11.22325</v>
      </c>
      <c r="M148">
        <f ca="1">IF(AND(ISNUMBER($M$358),$B$252=1),$M$358,HLOOKUP(INDIRECT(ADDRESS(2,COLUMN())),OFFSET($CL$2,0,0,ROW()-1,84),ROW()-1,FALSE))</f>
        <v>11.15945977</v>
      </c>
      <c r="N148">
        <f ca="1">IF(AND(ISNUMBER($N$358),$B$252=1),$N$358,HLOOKUP(INDIRECT(ADDRESS(2,COLUMN())),OFFSET($CL$2,0,0,ROW()-1,84),ROW()-1,FALSE))</f>
        <v>11.08681226</v>
      </c>
      <c r="O148">
        <f ca="1">IF(AND(ISNUMBER($O$358),$B$252=1),$O$358,HLOOKUP(INDIRECT(ADDRESS(2,COLUMN())),OFFSET($CL$2,0,0,ROW()-1,84),ROW()-1,FALSE))</f>
        <v>10.974500000000001</v>
      </c>
      <c r="P148">
        <f ca="1">IF(AND(ISNUMBER($P$358),$B$252=1),$P$358,HLOOKUP(INDIRECT(ADDRESS(2,COLUMN())),OFFSET($CL$2,0,0,ROW()-1,84),ROW()-1,FALSE))</f>
        <v>10.914287359999999</v>
      </c>
      <c r="Q148">
        <f ca="1">IF(AND(ISNUMBER($Q$358),$B$252=1),$Q$358,HLOOKUP(INDIRECT(ADDRESS(2,COLUMN())),OFFSET($CL$2,0,0,ROW()-1,84),ROW()-1,FALSE))</f>
        <v>10.86992308</v>
      </c>
      <c r="R148">
        <f ca="1">IF(AND(ISNUMBER($R$358),$B$252=1),$R$358,HLOOKUP(INDIRECT(ADDRESS(2,COLUMN())),OFFSET($CL$2,0,0,ROW()-1,84),ROW()-1,FALSE))</f>
        <v>10.840999999999999</v>
      </c>
      <c r="S148">
        <f ca="1">IF(AND(ISNUMBER($S$358),$B$252=1),$S$358,HLOOKUP(INDIRECT(ADDRESS(2,COLUMN())),OFFSET($CL$2,0,0,ROW()-1,84),ROW()-1,FALSE))</f>
        <v>10.78901533</v>
      </c>
      <c r="T148">
        <f ca="1">IF(AND(ISNUMBER($T$358),$B$252=1),$T$358,HLOOKUP(INDIRECT(ADDRESS(2,COLUMN())),OFFSET($CL$2,0,0,ROW()-1,84),ROW()-1,FALSE))</f>
        <v>10.845697319999999</v>
      </c>
      <c r="U148">
        <f ca="1">IF(AND(ISNUMBER($U$358),$B$252=1),$U$358,HLOOKUP(INDIRECT(ADDRESS(2,COLUMN())),OFFSET($CL$2,0,0,ROW()-1,84),ROW()-1,FALSE))</f>
        <v>10.804</v>
      </c>
      <c r="V148">
        <f ca="1">IF(AND(ISNUMBER($V$358),$B$252=1),$V$358,HLOOKUP(INDIRECT(ADDRESS(2,COLUMN())),OFFSET($CL$2,0,0,ROW()-1,84),ROW()-1,FALSE))</f>
        <v>10.75918774</v>
      </c>
      <c r="W148">
        <f ca="1">IF(AND(ISNUMBER($W$358),$B$252=1),$W$358,HLOOKUP(INDIRECT(ADDRESS(2,COLUMN())),OFFSET($CL$2,0,0,ROW()-1,84),ROW()-1,FALSE))</f>
        <v>10.70593487</v>
      </c>
      <c r="X148">
        <f ca="1">IF(AND(ISNUMBER($X$358),$B$252=1),$X$358,HLOOKUP(INDIRECT(ADDRESS(2,COLUMN())),OFFSET($CL$2,0,0,ROW()-1,84),ROW()-1,FALSE))</f>
        <v>10.62725</v>
      </c>
      <c r="Y148">
        <f ca="1">IF(AND(ISNUMBER($Y$358),$B$252=1),$Y$358,HLOOKUP(INDIRECT(ADDRESS(2,COLUMN())),OFFSET($CL$2,0,0,ROW()-1,84),ROW()-1,FALSE))</f>
        <v>10.566333330000001</v>
      </c>
      <c r="Z148">
        <f ca="1">IF(AND(ISNUMBER($Z$358),$B$252=1),$Z$358,HLOOKUP(INDIRECT(ADDRESS(2,COLUMN())),OFFSET($CL$2,0,0,ROW()-1,84),ROW()-1,FALSE))</f>
        <v>10.47588462</v>
      </c>
      <c r="AA148">
        <f ca="1">IF(AND(ISNUMBER($AA$358),$B$252=1),$AA$358,HLOOKUP(INDIRECT(ADDRESS(2,COLUMN())),OFFSET($CL$2,0,0,ROW()-1,84),ROW()-1,FALSE))</f>
        <v>10.39741379</v>
      </c>
      <c r="AB148">
        <f ca="1">IF(AND(ISNUMBER($AB$358),$B$252=1),$AB$358,HLOOKUP(INDIRECT(ADDRESS(2,COLUMN())),OFFSET($CL$2,0,0,ROW()-1,84),ROW()-1,FALSE))</f>
        <v>10.366793100000001</v>
      </c>
      <c r="AC148">
        <f ca="1">IF(AND(ISNUMBER($AC$358),$B$252=1),$AC$358,HLOOKUP(INDIRECT(ADDRESS(2,COLUMN())),OFFSET($CL$2,0,0,ROW()-1,84),ROW()-1,FALSE))</f>
        <v>10.322307690000001</v>
      </c>
      <c r="AD148">
        <f ca="1">IF(AND(ISNUMBER($AD$358),$B$252=1),$AD$358,HLOOKUP(INDIRECT(ADDRESS(2,COLUMN())),OFFSET($CL$2,0,0,ROW()-1,84),ROW()-1,FALSE))</f>
        <v>10.232356319999999</v>
      </c>
      <c r="AE148">
        <f ca="1">IF(AND(ISNUMBER($AE$358),$B$252=1),$AE$358,HLOOKUP(INDIRECT(ADDRESS(2,COLUMN())),OFFSET($CL$2,0,0,ROW()-1,84),ROW()-1,FALSE))</f>
        <v>10.22131034</v>
      </c>
      <c r="AF148">
        <f ca="1">IF(AND(ISNUMBER($AF$358),$B$252=1),$AF$358,HLOOKUP(INDIRECT(ADDRESS(2,COLUMN())),OFFSET($CL$2,0,0,ROW()-1,84),ROW()-1,FALSE))</f>
        <v>10.093999999999999</v>
      </c>
      <c r="AG148">
        <f ca="1">IF(AND(ISNUMBER($AG$358),$B$252=1),$AG$358,HLOOKUP(INDIRECT(ADDRESS(2,COLUMN())),OFFSET($CL$2,0,0,ROW()-1,84),ROW()-1,FALSE))</f>
        <v>10.089</v>
      </c>
      <c r="AH148">
        <f ca="1">IF(AND(ISNUMBER($AH$358),$B$252=1),$AH$358,HLOOKUP(INDIRECT(ADDRESS(2,COLUMN())),OFFSET($CL$2,0,0,ROW()-1,84),ROW()-1,FALSE))</f>
        <v>10.00435878</v>
      </c>
      <c r="AI148">
        <f ca="1">IF(AND(ISNUMBER($AI$358),$B$252=1),$AI$358,HLOOKUP(INDIRECT(ADDRESS(2,COLUMN())),OFFSET($CL$2,0,0,ROW()-1,84),ROW()-1,FALSE))</f>
        <v>9.7799692310000008</v>
      </c>
      <c r="AJ148">
        <f ca="1">IF(AND(ISNUMBER($AJ$358),$B$252=1),$AJ$358,HLOOKUP(INDIRECT(ADDRESS(2,COLUMN())),OFFSET($CL$2,0,0,ROW()-1,84),ROW()-1,FALSE))</f>
        <v>9.5770076339999992</v>
      </c>
      <c r="AK148">
        <f ca="1">IF(AND(ISNUMBER($AK$358),$B$252=1),$AK$358,HLOOKUP(INDIRECT(ADDRESS(2,COLUMN())),OFFSET($CL$2,0,0,ROW()-1,84),ROW()-1,FALSE))</f>
        <v>9.3480152669999992</v>
      </c>
      <c r="AL148">
        <f ca="1">IF(AND(ISNUMBER($AL$358),$B$252=1),$AL$358,HLOOKUP(INDIRECT(ADDRESS(2,COLUMN())),OFFSET($CL$2,0,0,ROW()-1,84),ROW()-1,FALSE))</f>
        <v>9.0876730769999998</v>
      </c>
      <c r="AM148">
        <f ca="1">IF(AND(ISNUMBER($AM$358),$B$252=1),$AM$358,HLOOKUP(INDIRECT(ADDRESS(2,COLUMN())),OFFSET($CL$2,0,0,ROW()-1,84),ROW()-1,FALSE))</f>
        <v>9.0013816789999996</v>
      </c>
      <c r="AN148">
        <f ca="1">IF(AND(ISNUMBER($AN$358),$B$252=1),$AN$358,HLOOKUP(INDIRECT(ADDRESS(2,COLUMN())),OFFSET($CL$2,0,0,ROW()-1,84),ROW()-1,FALSE))</f>
        <v>8.8869076919999994</v>
      </c>
      <c r="AO148">
        <f ca="1">IF(AND(ISNUMBER($AO$358),$B$252=1),$AO$358,HLOOKUP(INDIRECT(ADDRESS(2,COLUMN())),OFFSET($CL$2,0,0,ROW()-1,84),ROW()-1,FALSE))</f>
        <v>8.7765938699999992</v>
      </c>
      <c r="AP148">
        <f ca="1">IF(AND(ISNUMBER($AP$358),$B$252=1),$AP$358,HLOOKUP(INDIRECT(ADDRESS(2,COLUMN())),OFFSET($CL$2,0,0,ROW()-1,84),ROW()-1,FALSE))</f>
        <v>8.6291832060000004</v>
      </c>
      <c r="AQ148">
        <f ca="1">IF(AND(ISNUMBER($AQ$358),$B$252=1),$AQ$358,HLOOKUP(INDIRECT(ADDRESS(2,COLUMN())),OFFSET($CL$2,0,0,ROW()-1,84),ROW()-1,FALSE))</f>
        <v>8.4890730770000005</v>
      </c>
      <c r="AR148">
        <f ca="1">IF(AND(ISNUMBER($AR$358),$B$252=1),$AR$358,HLOOKUP(INDIRECT(ADDRESS(2,COLUMN())),OFFSET($CL$2,0,0,ROW()-1,84),ROW()-1,FALSE))</f>
        <v>8.3796653849999991</v>
      </c>
      <c r="AS148">
        <f ca="1">IF(AND(ISNUMBER($AS$358),$B$252=1),$AS$358,HLOOKUP(INDIRECT(ADDRESS(2,COLUMN())),OFFSET($CL$2,0,0,ROW()-1,84),ROW()-1,FALSE))</f>
        <v>8.3529999999999998</v>
      </c>
      <c r="AT148">
        <f ca="1">IF(AND(ISNUMBER($AT$358),$B$252=1),$AT$358,HLOOKUP(INDIRECT(ADDRESS(2,COLUMN())),OFFSET($CL$2,0,0,ROW()-1,84),ROW()-1,FALSE))</f>
        <v>8.1989153849999994</v>
      </c>
      <c r="AU148">
        <f ca="1">IF(AND(ISNUMBER($AU$358),$B$252=1),$AU$358,HLOOKUP(INDIRECT(ADDRESS(2,COLUMN())),OFFSET($CL$2,0,0,ROW()-1,84),ROW()-1,FALSE))</f>
        <v>8.0737076919999993</v>
      </c>
      <c r="AV148">
        <f ca="1">IF(AND(ISNUMBER($AV$358),$B$252=1),$AV$358,HLOOKUP(INDIRECT(ADDRESS(2,COLUMN())),OFFSET($CL$2,0,0,ROW()-1,84),ROW()-1,FALSE))</f>
        <v>8.0257011489999996</v>
      </c>
      <c r="AW148">
        <f ca="1">IF(AND(ISNUMBER($AW$358),$B$252=1),$AW$358,HLOOKUP(INDIRECT(ADDRESS(2,COLUMN())),OFFSET($CL$2,0,0,ROW()-1,84),ROW()-1,FALSE))</f>
        <v>8.0105538460000005</v>
      </c>
      <c r="AX148">
        <f ca="1">IF(AND(ISNUMBER($AX$358),$B$252=1),$AX$358,HLOOKUP(INDIRECT(ADDRESS(2,COLUMN())),OFFSET($CL$2,0,0,ROW()-1,84),ROW()-1,FALSE))</f>
        <v>7.7933716479999999</v>
      </c>
      <c r="AY148">
        <f ca="1">IF(AND(ISNUMBER($AY$358),$B$252=1),$AY$358,HLOOKUP(INDIRECT(ADDRESS(2,COLUMN())),OFFSET($CL$2,0,0,ROW()-1,84),ROW()-1,FALSE))</f>
        <v>7.747758621</v>
      </c>
      <c r="AZ148">
        <f ca="1">IF(AND(ISNUMBER($AZ$358),$B$252=1),$AZ$358,HLOOKUP(INDIRECT(ADDRESS(2,COLUMN())),OFFSET($CL$2,0,0,ROW()-1,84),ROW()-1,FALSE))</f>
        <v>7.5888807690000002</v>
      </c>
      <c r="BA148">
        <f ca="1">IF(AND(ISNUMBER($BA$358),$B$252=1),$BA$358,HLOOKUP(INDIRECT(ADDRESS(2,COLUMN())),OFFSET($CL$2,0,0,ROW()-1,84),ROW()-1,FALSE))</f>
        <v>7.6743639850000003</v>
      </c>
      <c r="BB148">
        <f ca="1">IF(AND(ISNUMBER($BB$358),$B$252=1),$BB$358,HLOOKUP(INDIRECT(ADDRESS(2,COLUMN())),OFFSET($CL$2,0,0,ROW()-1,84),ROW()-1,FALSE))</f>
        <v>7.6856053639999997</v>
      </c>
      <c r="BC148">
        <f ca="1">IF(AND(ISNUMBER($BC$358),$B$252=1),$BC$358,HLOOKUP(INDIRECT(ADDRESS(2,COLUMN())),OFFSET($CL$2,0,0,ROW()-1,84),ROW()-1,FALSE))</f>
        <v>7.6045461540000003</v>
      </c>
      <c r="BD148">
        <f ca="1">IF(AND(ISNUMBER($BD$358),$B$252=1),$BD$358,HLOOKUP(INDIRECT(ADDRESS(2,COLUMN())),OFFSET($CL$2,0,0,ROW()-1,84),ROW()-1,FALSE))</f>
        <v>7.5087769230000001</v>
      </c>
      <c r="BE148">
        <f ca="1">IF(AND(ISNUMBER($BE$358),$B$252=1),$BE$358,HLOOKUP(INDIRECT(ADDRESS(2,COLUMN())),OFFSET($CL$2,0,0,ROW()-1,84),ROW()-1,FALSE))</f>
        <v>7.407</v>
      </c>
      <c r="BF148">
        <f ca="1">IF(AND(ISNUMBER($BF$358),$B$252=1),$BF$358,HLOOKUP(INDIRECT(ADDRESS(2,COLUMN())),OFFSET($CL$2,0,0,ROW()-1,84),ROW()-1,FALSE))</f>
        <v>7.4706076919999997</v>
      </c>
      <c r="BG148">
        <f ca="1">IF(AND(ISNUMBER($BG$358),$B$252=1),$BG$358,HLOOKUP(INDIRECT(ADDRESS(2,COLUMN())),OFFSET($CL$2,0,0,ROW()-1,84),ROW()-1,FALSE))</f>
        <v>7.4185593870000002</v>
      </c>
      <c r="BH148">
        <f ca="1">IF(AND(ISNUMBER($BH$358),$B$252=1),$BH$358,HLOOKUP(INDIRECT(ADDRESS(2,COLUMN())),OFFSET($CL$2,0,0,ROW()-1,84),ROW()-1,FALSE))</f>
        <v>7.3514482760000002</v>
      </c>
      <c r="BI148">
        <f ca="1">IF(AND(ISNUMBER($BI$358),$B$252=1),$BI$358,HLOOKUP(INDIRECT(ADDRESS(2,COLUMN())),OFFSET($CL$2,0,0,ROW()-1,84),ROW()-1,FALSE))</f>
        <v>7.2998307689999997</v>
      </c>
      <c r="BJ148">
        <f ca="1">IF(AND(ISNUMBER($BJ$358),$B$252=1),$BJ$358,HLOOKUP(INDIRECT(ADDRESS(2,COLUMN())),OFFSET($CL$2,0,0,ROW()-1,84),ROW()-1,FALSE))</f>
        <v>7.2489846739999999</v>
      </c>
      <c r="BK148">
        <f ca="1">IF(AND(ISNUMBER($BK$358),$B$252=1),$BK$358,HLOOKUP(INDIRECT(ADDRESS(2,COLUMN())),OFFSET($CL$2,0,0,ROW()-1,84),ROW()-1,FALSE))</f>
        <v>7.2082615380000004</v>
      </c>
      <c r="BL148">
        <f ca="1">IF(AND(ISNUMBER($BL$358),$B$252=1),$BL$358,HLOOKUP(INDIRECT(ADDRESS(2,COLUMN())),OFFSET($CL$2,0,0,ROW()-1,84),ROW()-1,FALSE))</f>
        <v>7.1600461539999998</v>
      </c>
      <c r="BM148">
        <f ca="1">IF(AND(ISNUMBER($BM$358),$B$252=1),$BM$358,HLOOKUP(INDIRECT(ADDRESS(2,COLUMN())),OFFSET($CL$2,0,0,ROW()-1,84),ROW()-1,FALSE))</f>
        <v>7.0693716479999997</v>
      </c>
      <c r="BN148">
        <f ca="1">IF(AND(ISNUMBER($BN$358),$B$252=1),$BN$358,HLOOKUP(INDIRECT(ADDRESS(2,COLUMN())),OFFSET($CL$2,0,0,ROW()-1,84),ROW()-1,FALSE))</f>
        <v>7.0113846149999999</v>
      </c>
      <c r="BO148">
        <f ca="1">IF(AND(ISNUMBER($BO$358),$B$252=1),$BO$358,HLOOKUP(INDIRECT(ADDRESS(2,COLUMN())),OFFSET($CL$2,0,0,ROW()-1,84),ROW()-1,FALSE))</f>
        <v>6.9439693489999996</v>
      </c>
      <c r="BP148">
        <f ca="1">IF(AND(ISNUMBER($BP$358),$B$252=1),$BP$358,HLOOKUP(INDIRECT(ADDRESS(2,COLUMN())),OFFSET($CL$2,0,0,ROW()-1,84),ROW()-1,FALSE))</f>
        <v>6.8495977010000004</v>
      </c>
      <c r="BQ148">
        <f ca="1">IF(AND(ISNUMBER($BQ$358),$B$252=1),$BQ$358,HLOOKUP(INDIRECT(ADDRESS(2,COLUMN())),OFFSET($CL$2,0,0,ROW()-1,84),ROW()-1,FALSE))</f>
        <v>6.7729999999999997</v>
      </c>
      <c r="BR148">
        <f ca="1">IF(AND(ISNUMBER($BR$358),$B$252=1),$BR$358,HLOOKUP(INDIRECT(ADDRESS(2,COLUMN())),OFFSET($CL$2,0,0,ROW()-1,84),ROW()-1,FALSE))</f>
        <v>6.7336807690000002</v>
      </c>
      <c r="BS148">
        <f ca="1">IF(AND(ISNUMBER($BS$358),$B$252=1),$BS$358,HLOOKUP(INDIRECT(ADDRESS(2,COLUMN())),OFFSET($CL$2,0,0,ROW()-1,84),ROW()-1,FALSE))</f>
        <v>6.6320421459999999</v>
      </c>
      <c r="BT148">
        <f ca="1">IF(AND(ISNUMBER($BT$358),$B$252=1),$BT$358,HLOOKUP(INDIRECT(ADDRESS(2,COLUMN())),OFFSET($CL$2,0,0,ROW()-1,84),ROW()-1,FALSE))</f>
        <v>6.5686230769999998</v>
      </c>
      <c r="BU148">
        <f ca="1">IF(AND(ISNUMBER($BU$358),$B$252=1),$BU$358,HLOOKUP(INDIRECT(ADDRESS(2,COLUMN())),OFFSET($CL$2,0,0,ROW()-1,84),ROW()-1,FALSE))</f>
        <v>6.0796230769999999</v>
      </c>
      <c r="BV148">
        <f ca="1">IF(AND(ISNUMBER($BV$358),$B$252=1),$BV$358,HLOOKUP(INDIRECT(ADDRESS(2,COLUMN())),OFFSET($CL$2,0,0,ROW()-1,84),ROW()-1,FALSE))</f>
        <v>6.46437931</v>
      </c>
      <c r="BW148">
        <f ca="1">IF(AND(ISNUMBER($BW$358),$B$252=1),$BW$358,HLOOKUP(INDIRECT(ADDRESS(2,COLUMN())),OFFSET($CL$2,0,0,ROW()-1,84),ROW()-1,FALSE))</f>
        <v>6.4635076920000003</v>
      </c>
      <c r="BX148">
        <f ca="1">IF(AND(ISNUMBER($BX$358),$B$252=1),$BX$358,HLOOKUP(INDIRECT(ADDRESS(2,COLUMN())),OFFSET($CL$2,0,0,ROW()-1,84),ROW()-1,FALSE))</f>
        <v>6.4118735630000003</v>
      </c>
      <c r="BY148">
        <f ca="1">IF(AND(ISNUMBER($BY$358),$B$252=1),$BY$358,HLOOKUP(INDIRECT(ADDRESS(2,COLUMN())),OFFSET($CL$2,0,0,ROW()-1,84),ROW()-1,FALSE))</f>
        <v>5.9499272029999997</v>
      </c>
      <c r="BZ148">
        <f ca="1">IF(AND(ISNUMBER($BZ$358),$B$252=1),$BZ$358,HLOOKUP(INDIRECT(ADDRESS(2,COLUMN())),OFFSET($CL$2,0,0,ROW()-1,84),ROW()-1,FALSE))</f>
        <v>5.8431846150000002</v>
      </c>
      <c r="CA148">
        <f ca="1">IF(AND(ISNUMBER($CA$358),$B$252=1),$CA$358,HLOOKUP(INDIRECT(ADDRESS(2,COLUMN())),OFFSET($CL$2,0,0,ROW()-1,84),ROW()-1,FALSE))</f>
        <v>6.1396360149999998</v>
      </c>
      <c r="CB148">
        <f ca="1">IF(AND(ISNUMBER($CB$358),$B$252=1),$CB$358,HLOOKUP(INDIRECT(ADDRESS(2,COLUMN())),OFFSET($CL$2,0,0,ROW()-1,84),ROW()-1,FALSE))</f>
        <v>6.0188625949999999</v>
      </c>
      <c r="CC148">
        <f ca="1">IF(AND(ISNUMBER($CC$358),$B$252=1),$CC$358,HLOOKUP(INDIRECT(ADDRESS(2,COLUMN())),OFFSET($CL$2,0,0,ROW()-1,84),ROW()-1,FALSE))</f>
        <v>5.843</v>
      </c>
      <c r="CD148">
        <f ca="1">IF(AND(ISNUMBER($CD$358),$B$252=1),$CD$358,HLOOKUP(INDIRECT(ADDRESS(2,COLUMN())),OFFSET($CL$2,0,0,ROW()-1,84),ROW()-1,FALSE))</f>
        <v>5.77540458</v>
      </c>
      <c r="CE148">
        <f ca="1">IF(AND(ISNUMBER($CE$358),$B$252=1),$CE$358,HLOOKUP(INDIRECT(ADDRESS(2,COLUMN())),OFFSET($CL$2,0,0,ROW()-1,84),ROW()-1,FALSE))</f>
        <v>5.796099237</v>
      </c>
      <c r="CF148">
        <f ca="1">IF(AND(ISNUMBER($CF$358),$B$252=1),$CF$358,HLOOKUP(INDIRECT(ADDRESS(2,COLUMN())),OFFSET($CL$2,0,0,ROW()-1,84),ROW()-1,FALSE))</f>
        <v>5.6687500000000002</v>
      </c>
      <c r="CG148">
        <f ca="1">IF(AND(ISNUMBER($CG$358),$B$252=1),$CG$358,HLOOKUP(INDIRECT(ADDRESS(2,COLUMN())),OFFSET($CL$2,0,0,ROW()-1,84),ROW()-1,FALSE))</f>
        <v>5.588698473</v>
      </c>
      <c r="CH148">
        <f ca="1">IF(AND(ISNUMBER($CH$358),$B$252=1),$CH$358,HLOOKUP(INDIRECT(ADDRESS(2,COLUMN())),OFFSET($CL$2,0,0,ROW()-1,84),ROW()-1,FALSE))</f>
        <v>5.3388461539999996</v>
      </c>
      <c r="CI148">
        <f ca="1">IF(AND(ISNUMBER($CI$358),$B$252=1),$CI$358,HLOOKUP(INDIRECT(ADDRESS(2,COLUMN())),OFFSET($CL$2,0,0,ROW()-1,84),ROW()-1,FALSE))</f>
        <v>5.2572068969999997</v>
      </c>
      <c r="CJ148">
        <f ca="1">IF(AND(ISNUMBER($CJ$358),$B$252=1),$CJ$358,HLOOKUP(INDIRECT(ADDRESS(2,COLUMN())),OFFSET($CL$2,0,0,ROW()-1,84),ROW()-1,FALSE))</f>
        <v>5.1743320610000003</v>
      </c>
      <c r="CK148">
        <f ca="1">IF(AND(ISNUMBER($CK$358),$B$252=1),$CK$358,HLOOKUP(INDIRECT(ADDRESS(2,COLUMN())),OFFSET($CL$2,0,0,ROW()-1,84),ROW()-1,FALSE))</f>
        <v>5.0031730769999996</v>
      </c>
      <c r="CL148">
        <f>11.48701538</f>
        <v>11.487015380000001</v>
      </c>
      <c r="CM148">
        <f>11.39484674</f>
        <v>11.39484674</v>
      </c>
      <c r="CN148">
        <f>11.37157854</f>
        <v>11.37157854</v>
      </c>
      <c r="CO148">
        <f>11.251</f>
        <v>11.250999999999999</v>
      </c>
      <c r="CP148">
        <f>11.23051724</f>
        <v>11.230517239999999</v>
      </c>
      <c r="CQ148">
        <f>11.27090421</f>
        <v>11.270904209999999</v>
      </c>
      <c r="CR148">
        <f>11.22325</f>
        <v>11.22325</v>
      </c>
      <c r="CS148">
        <f>11.15945977</f>
        <v>11.15945977</v>
      </c>
      <c r="CT148">
        <f>11.08681226</f>
        <v>11.08681226</v>
      </c>
      <c r="CU148">
        <f>10.9745</f>
        <v>10.974500000000001</v>
      </c>
      <c r="CV148">
        <f>10.91428736</f>
        <v>10.914287359999999</v>
      </c>
      <c r="CW148">
        <f>10.86992308</f>
        <v>10.86992308</v>
      </c>
      <c r="CX148">
        <f>10.841</f>
        <v>10.840999999999999</v>
      </c>
      <c r="CY148">
        <f>10.78901533</f>
        <v>10.78901533</v>
      </c>
      <c r="CZ148">
        <f>10.84569732</f>
        <v>10.845697319999999</v>
      </c>
      <c r="DA148">
        <f>10.804</f>
        <v>10.804</v>
      </c>
      <c r="DB148">
        <f>10.75918774</f>
        <v>10.75918774</v>
      </c>
      <c r="DC148">
        <f>10.70593487</f>
        <v>10.70593487</v>
      </c>
      <c r="DD148">
        <f>10.62725</f>
        <v>10.62725</v>
      </c>
      <c r="DE148">
        <f>10.56633333</f>
        <v>10.566333330000001</v>
      </c>
      <c r="DF148">
        <f>10.47588462</f>
        <v>10.47588462</v>
      </c>
      <c r="DG148">
        <f>10.39741379</f>
        <v>10.39741379</v>
      </c>
      <c r="DH148">
        <f>10.3667931</f>
        <v>10.366793100000001</v>
      </c>
      <c r="DI148">
        <f>10.32230769</f>
        <v>10.322307690000001</v>
      </c>
      <c r="DJ148">
        <f>10.23235632</f>
        <v>10.232356319999999</v>
      </c>
      <c r="DK148">
        <f>10.22131034</f>
        <v>10.22131034</v>
      </c>
      <c r="DL148">
        <f>10.094</f>
        <v>10.093999999999999</v>
      </c>
      <c r="DM148">
        <f>10.089</f>
        <v>10.089</v>
      </c>
      <c r="DN148">
        <f>10.00435878</f>
        <v>10.00435878</v>
      </c>
      <c r="DO148">
        <f>9.779969231</f>
        <v>9.7799692310000008</v>
      </c>
      <c r="DP148">
        <f>9.577007634</f>
        <v>9.5770076339999992</v>
      </c>
      <c r="DQ148">
        <f>9.348015267</f>
        <v>9.3480152669999992</v>
      </c>
      <c r="DR148">
        <f>9.087673077</f>
        <v>9.0876730769999998</v>
      </c>
      <c r="DS148">
        <f>9.001381679</f>
        <v>9.0013816789999996</v>
      </c>
      <c r="DT148">
        <f>8.886907692</f>
        <v>8.8869076919999994</v>
      </c>
      <c r="DU148">
        <f>8.77659387</f>
        <v>8.7765938699999992</v>
      </c>
      <c r="DV148">
        <f>8.629183206</f>
        <v>8.6291832060000004</v>
      </c>
      <c r="DW148">
        <f>8.489073077</f>
        <v>8.4890730770000005</v>
      </c>
      <c r="DX148">
        <f>8.379665385</f>
        <v>8.3796653849999991</v>
      </c>
      <c r="DY148">
        <f>8.353</f>
        <v>8.3529999999999998</v>
      </c>
      <c r="DZ148">
        <f>8.198915385</f>
        <v>8.1989153849999994</v>
      </c>
      <c r="EA148">
        <f>8.073707692</f>
        <v>8.0737076919999993</v>
      </c>
      <c r="EB148">
        <f>8.025701149</f>
        <v>8.0257011489999996</v>
      </c>
      <c r="EC148">
        <f>8.010553846</f>
        <v>8.0105538460000005</v>
      </c>
      <c r="ED148">
        <f>7.793371648</f>
        <v>7.7933716479999999</v>
      </c>
      <c r="EE148">
        <f>7.747758621</f>
        <v>7.747758621</v>
      </c>
      <c r="EF148">
        <f>7.588880769</f>
        <v>7.5888807690000002</v>
      </c>
      <c r="EG148">
        <f>7.674363985</f>
        <v>7.6743639850000003</v>
      </c>
      <c r="EH148">
        <f>7.685605364</f>
        <v>7.6856053639999997</v>
      </c>
      <c r="EI148">
        <f>7.604546154</f>
        <v>7.6045461540000003</v>
      </c>
      <c r="EJ148">
        <f>7.508776923</f>
        <v>7.5087769230000001</v>
      </c>
      <c r="EK148">
        <f>7.407</f>
        <v>7.407</v>
      </c>
      <c r="EL148">
        <f>7.470607692</f>
        <v>7.4706076919999997</v>
      </c>
      <c r="EM148">
        <f>7.418559387</f>
        <v>7.4185593870000002</v>
      </c>
      <c r="EN148">
        <f>7.351448276</f>
        <v>7.3514482760000002</v>
      </c>
      <c r="EO148">
        <f>7.299830769</f>
        <v>7.2998307689999997</v>
      </c>
      <c r="EP148">
        <f>7.248984674</f>
        <v>7.2489846739999999</v>
      </c>
      <c r="EQ148">
        <f>7.208261538</f>
        <v>7.2082615380000004</v>
      </c>
      <c r="ER148">
        <f>7.160046154</f>
        <v>7.1600461539999998</v>
      </c>
      <c r="ES148">
        <f>7.069371648</f>
        <v>7.0693716479999997</v>
      </c>
      <c r="ET148">
        <f>7.011384615</f>
        <v>7.0113846149999999</v>
      </c>
      <c r="EU148">
        <f>6.943969349</f>
        <v>6.9439693489999996</v>
      </c>
      <c r="EV148">
        <f>6.849597701</f>
        <v>6.8495977010000004</v>
      </c>
      <c r="EW148">
        <f>6.773</f>
        <v>6.7729999999999997</v>
      </c>
      <c r="EX148">
        <f>6.733680769</f>
        <v>6.7336807690000002</v>
      </c>
      <c r="EY148">
        <f>6.632042146</f>
        <v>6.6320421459999999</v>
      </c>
      <c r="EZ148">
        <f>6.568623077</f>
        <v>6.5686230769999998</v>
      </c>
      <c r="FA148">
        <f>6.079623077</f>
        <v>6.0796230769999999</v>
      </c>
      <c r="FB148">
        <f>6.46437931</f>
        <v>6.46437931</v>
      </c>
      <c r="FC148">
        <f>6.463507692</f>
        <v>6.4635076920000003</v>
      </c>
      <c r="FD148">
        <f>6.411873563</f>
        <v>6.4118735630000003</v>
      </c>
      <c r="FE148">
        <f>5.949927203</f>
        <v>5.9499272029999997</v>
      </c>
      <c r="FF148">
        <f>5.843184615</f>
        <v>5.8431846150000002</v>
      </c>
      <c r="FG148">
        <f>6.139636015</f>
        <v>6.1396360149999998</v>
      </c>
      <c r="FH148">
        <f>6.018862595</f>
        <v>6.0188625949999999</v>
      </c>
      <c r="FI148">
        <f>5.843</f>
        <v>5.843</v>
      </c>
      <c r="FJ148">
        <f>5.77540458</f>
        <v>5.77540458</v>
      </c>
      <c r="FK148">
        <f>5.796099237</f>
        <v>5.796099237</v>
      </c>
      <c r="FL148">
        <f>5.66875</f>
        <v>5.6687500000000002</v>
      </c>
      <c r="FM148">
        <f>5.588698473</f>
        <v>5.588698473</v>
      </c>
      <c r="FN148">
        <f>5.338846154</f>
        <v>5.3388461539999996</v>
      </c>
      <c r="FO148">
        <f>5.257206897</f>
        <v>5.2572068969999997</v>
      </c>
      <c r="FP148">
        <f>5.174332061</f>
        <v>5.1743320610000003</v>
      </c>
      <c r="FQ148">
        <f>5.003173077</f>
        <v>5.0031730769999996</v>
      </c>
    </row>
    <row r="149" spans="1:173">
      <c r="A149" t="str">
        <f>"    Mid-America Apartment Communit"</f>
        <v xml:space="preserve">    Mid-America Apartment Communit</v>
      </c>
      <c r="B149" t="str">
        <f>"MAA US Equity"</f>
        <v>MAA US Equity</v>
      </c>
      <c r="C149" t="str">
        <f t="shared" si="45"/>
        <v>BE895</v>
      </c>
      <c r="D149" t="str">
        <f t="shared" si="46"/>
        <v>BEST_AFFOPS</v>
      </c>
      <c r="E149" t="str">
        <f t="shared" si="47"/>
        <v>动态</v>
      </c>
      <c r="F149">
        <f ca="1">IF(AND(ISNUMBER($F$359),$B$252=1),$F$359,HLOOKUP(INDIRECT(ADDRESS(2,COLUMN())),OFFSET($CL$2,0,0,ROW()-1,84),ROW()-1,FALSE))</f>
        <v>5.5401692310000001</v>
      </c>
      <c r="G149">
        <f ca="1">IF(AND(ISNUMBER($G$359),$B$252=1),$G$359,HLOOKUP(INDIRECT(ADDRESS(2,COLUMN())),OFFSET($CL$2,0,0,ROW()-1,84),ROW()-1,FALSE))</f>
        <v>5.5635555559999998</v>
      </c>
      <c r="H149">
        <f ca="1">IF(AND(ISNUMBER($H$359),$B$252=1),$H$359,HLOOKUP(INDIRECT(ADDRESS(2,COLUMN())),OFFSET($CL$2,0,0,ROW()-1,84),ROW()-1,FALSE))</f>
        <v>5.5979770110000002</v>
      </c>
      <c r="I149">
        <f ca="1">IF(AND(ISNUMBER($I$359),$B$252=1),$I$359,HLOOKUP(INDIRECT(ADDRESS(2,COLUMN())),OFFSET($CL$2,0,0,ROW()-1,84),ROW()-1,FALSE))</f>
        <v>5.6159999999999997</v>
      </c>
      <c r="J149">
        <f ca="1">IF(AND(ISNUMBER($J$359),$B$252=1),$J$359,HLOOKUP(INDIRECT(ADDRESS(2,COLUMN())),OFFSET($CL$2,0,0,ROW()-1,84),ROW()-1,FALSE))</f>
        <v>5.692367816</v>
      </c>
      <c r="K149">
        <f ca="1">IF(AND(ISNUMBER($K$359),$B$252=1),$K$359,HLOOKUP(INDIRECT(ADDRESS(2,COLUMN())),OFFSET($CL$2,0,0,ROW()-1,84),ROW()-1,FALSE))</f>
        <v>5.6669578539999996</v>
      </c>
      <c r="L149">
        <f ca="1">IF(AND(ISNUMBER($L$359),$B$252=1),$L$359,HLOOKUP(INDIRECT(ADDRESS(2,COLUMN())),OFFSET($CL$2,0,0,ROW()-1,84),ROW()-1,FALSE))</f>
        <v>5.6607500000000002</v>
      </c>
      <c r="M149">
        <f ca="1">IF(AND(ISNUMBER($M$359),$B$252=1),$M$359,HLOOKUP(INDIRECT(ADDRESS(2,COLUMN())),OFFSET($CL$2,0,0,ROW()-1,84),ROW()-1,FALSE))</f>
        <v>5.584436782</v>
      </c>
      <c r="N149">
        <f ca="1">IF(AND(ISNUMBER($N$359),$B$252=1),$N$359,HLOOKUP(INDIRECT(ADDRESS(2,COLUMN())),OFFSET($CL$2,0,0,ROW()-1,84),ROW()-1,FALSE))</f>
        <v>5.5618850569999996</v>
      </c>
      <c r="O149">
        <f ca="1">IF(AND(ISNUMBER($O$359),$B$252=1),$O$359,HLOOKUP(INDIRECT(ADDRESS(2,COLUMN())),OFFSET($CL$2,0,0,ROW()-1,84),ROW()-1,FALSE))</f>
        <v>5.5285000000000002</v>
      </c>
      <c r="P149">
        <f ca="1">IF(AND(ISNUMBER($P$359),$B$252=1),$P$359,HLOOKUP(INDIRECT(ADDRESS(2,COLUMN())),OFFSET($CL$2,0,0,ROW()-1,84),ROW()-1,FALSE))</f>
        <v>5.4946091949999998</v>
      </c>
      <c r="Q149">
        <f ca="1">IF(AND(ISNUMBER($Q$359),$B$252=1),$Q$359,HLOOKUP(INDIRECT(ADDRESS(2,COLUMN())),OFFSET($CL$2,0,0,ROW()-1,84),ROW()-1,FALSE))</f>
        <v>5.4059038460000002</v>
      </c>
      <c r="R149">
        <f ca="1">IF(AND(ISNUMBER($R$359),$B$252=1),$R$359,HLOOKUP(INDIRECT(ADDRESS(2,COLUMN())),OFFSET($CL$2,0,0,ROW()-1,84),ROW()-1,FALSE))</f>
        <v>5.3567499999999999</v>
      </c>
      <c r="S149">
        <f ca="1">IF(AND(ISNUMBER($S$359),$B$252=1),$S$359,HLOOKUP(INDIRECT(ADDRESS(2,COLUMN())),OFFSET($CL$2,0,0,ROW()-1,84),ROW()-1,FALSE))</f>
        <v>5.3258544060000004</v>
      </c>
      <c r="T149">
        <f ca="1">IF(AND(ISNUMBER($T$359),$B$252=1),$T$359,HLOOKUP(INDIRECT(ADDRESS(2,COLUMN())),OFFSET($CL$2,0,0,ROW()-1,84),ROW()-1,FALSE))</f>
        <v>5.3479846740000001</v>
      </c>
      <c r="U149">
        <f ca="1">IF(AND(ISNUMBER($U$359),$B$252=1),$U$359,HLOOKUP(INDIRECT(ADDRESS(2,COLUMN())),OFFSET($CL$2,0,0,ROW()-1,84),ROW()-1,FALSE))</f>
        <v>5.3010000000000002</v>
      </c>
      <c r="V149">
        <f ca="1">IF(AND(ISNUMBER($V$359),$B$252=1),$V$359,HLOOKUP(INDIRECT(ADDRESS(2,COLUMN())),OFFSET($CL$2,0,0,ROW()-1,84),ROW()-1,FALSE))</f>
        <v>5.386616858</v>
      </c>
      <c r="W149">
        <f ca="1">IF(AND(ISNUMBER($W$359),$B$252=1),$W$359,HLOOKUP(INDIRECT(ADDRESS(2,COLUMN())),OFFSET($CL$2,0,0,ROW()-1,84),ROW()-1,FALSE))</f>
        <v>5.3788965519999996</v>
      </c>
      <c r="X149">
        <f ca="1">IF(AND(ISNUMBER($X$359),$B$252=1),$X$359,HLOOKUP(INDIRECT(ADDRESS(2,COLUMN())),OFFSET($CL$2,0,0,ROW()-1,84),ROW()-1,FALSE))</f>
        <v>5.3150000000000004</v>
      </c>
      <c r="Y149">
        <f ca="1">IF(AND(ISNUMBER($Y$359),$B$252=1),$Y$359,HLOOKUP(INDIRECT(ADDRESS(2,COLUMN())),OFFSET($CL$2,0,0,ROW()-1,84),ROW()-1,FALSE))</f>
        <v>5.2883333329999997</v>
      </c>
      <c r="Z149">
        <f ca="1">IF(AND(ISNUMBER($Z$359),$B$252=1),$Z$359,HLOOKUP(INDIRECT(ADDRESS(2,COLUMN())),OFFSET($CL$2,0,0,ROW()-1,84),ROW()-1,FALSE))</f>
        <v>5.4168846149999998</v>
      </c>
      <c r="AA149">
        <f ca="1">IF(AND(ISNUMBER($AA$359),$B$252=1),$AA$359,HLOOKUP(INDIRECT(ADDRESS(2,COLUMN())),OFFSET($CL$2,0,0,ROW()-1,84),ROW()-1,FALSE))</f>
        <v>5.3659080460000004</v>
      </c>
      <c r="AB149">
        <f ca="1">IF(AND(ISNUMBER($AB$359),$B$252=1),$AB$359,HLOOKUP(INDIRECT(ADDRESS(2,COLUMN())),OFFSET($CL$2,0,0,ROW()-1,84),ROW()-1,FALSE))</f>
        <v>5.3400344830000002</v>
      </c>
      <c r="AC149">
        <f ca="1">IF(AND(ISNUMBER($AC$359),$B$252=1),$AC$359,HLOOKUP(INDIRECT(ADDRESS(2,COLUMN())),OFFSET($CL$2,0,0,ROW()-1,84),ROW()-1,FALSE))</f>
        <v>5.2708269230000004</v>
      </c>
      <c r="AD149">
        <f ca="1">IF(AND(ISNUMBER($AD$359),$B$252=1),$AD$359,HLOOKUP(INDIRECT(ADDRESS(2,COLUMN())),OFFSET($CL$2,0,0,ROW()-1,84),ROW()-1,FALSE))</f>
        <v>5.2326819919999998</v>
      </c>
      <c r="AE149">
        <f ca="1">IF(AND(ISNUMBER($AE$359),$B$252=1),$AE$359,HLOOKUP(INDIRECT(ADDRESS(2,COLUMN())),OFFSET($CL$2,0,0,ROW()-1,84),ROW()-1,FALSE))</f>
        <v>5.1882643679999996</v>
      </c>
      <c r="AF149">
        <f ca="1">IF(AND(ISNUMBER($AF$359),$B$252=1),$AF$359,HLOOKUP(INDIRECT(ADDRESS(2,COLUMN())),OFFSET($CL$2,0,0,ROW()-1,84),ROW()-1,FALSE))</f>
        <v>5.1887692310000002</v>
      </c>
      <c r="AG149">
        <f ca="1">IF(AND(ISNUMBER($AG$359),$B$252=1),$AG$359,HLOOKUP(INDIRECT(ADDRESS(2,COLUMN())),OFFSET($CL$2,0,0,ROW()-1,84),ROW()-1,FALSE))</f>
        <v>5.1760000000000002</v>
      </c>
      <c r="AH149">
        <f ca="1">IF(AND(ISNUMBER($AH$359),$B$252=1),$AH$359,HLOOKUP(INDIRECT(ADDRESS(2,COLUMN())),OFFSET($CL$2,0,0,ROW()-1,84),ROW()-1,FALSE))</f>
        <v>5.1345725189999998</v>
      </c>
      <c r="AI149">
        <f ca="1">IF(AND(ISNUMBER($AI$359),$B$252=1),$AI$359,HLOOKUP(INDIRECT(ADDRESS(2,COLUMN())),OFFSET($CL$2,0,0,ROW()-1,84),ROW()-1,FALSE))</f>
        <v>5.0562461540000001</v>
      </c>
      <c r="AJ149">
        <f ca="1">IF(AND(ISNUMBER($AJ$359),$B$252=1),$AJ$359,HLOOKUP(INDIRECT(ADDRESS(2,COLUMN())),OFFSET($CL$2,0,0,ROW()-1,84),ROW()-1,FALSE))</f>
        <v>4.8965419849999998</v>
      </c>
      <c r="AK149">
        <f ca="1">IF(AND(ISNUMBER($AK$359),$B$252=1),$AK$359,HLOOKUP(INDIRECT(ADDRESS(2,COLUMN())),OFFSET($CL$2,0,0,ROW()-1,84),ROW()-1,FALSE))</f>
        <v>4.849412214</v>
      </c>
      <c r="AL149">
        <f ca="1">IF(AND(ISNUMBER($AL$359),$B$252=1),$AL$359,HLOOKUP(INDIRECT(ADDRESS(2,COLUMN())),OFFSET($CL$2,0,0,ROW()-1,84),ROW()-1,FALSE))</f>
        <v>4.8292038460000004</v>
      </c>
      <c r="AM149">
        <f ca="1">IF(AND(ISNUMBER($AM$359),$B$252=1),$AM$359,HLOOKUP(INDIRECT(ADDRESS(2,COLUMN())),OFFSET($CL$2,0,0,ROW()-1,84),ROW()-1,FALSE))</f>
        <v>4.760748092</v>
      </c>
      <c r="AN149">
        <f ca="1">IF(AND(ISNUMBER($AN$359),$B$252=1),$AN$359,HLOOKUP(INDIRECT(ADDRESS(2,COLUMN())),OFFSET($CL$2,0,0,ROW()-1,84),ROW()-1,FALSE))</f>
        <v>4.7360615380000004</v>
      </c>
      <c r="AO149">
        <f ca="1">IF(AND(ISNUMBER($AO$359),$B$252=1),$AO$359,HLOOKUP(INDIRECT(ADDRESS(2,COLUMN())),OFFSET($CL$2,0,0,ROW()-1,84),ROW()-1,FALSE))</f>
        <v>4.6979272029999999</v>
      </c>
      <c r="AP149">
        <f ca="1">IF(AND(ISNUMBER($AP$359),$B$252=1),$AP$359,HLOOKUP(INDIRECT(ADDRESS(2,COLUMN())),OFFSET($CL$2,0,0,ROW()-1,84),ROW()-1,FALSE))</f>
        <v>4.6878015270000004</v>
      </c>
      <c r="AQ149">
        <f ca="1">IF(AND(ISNUMBER($AQ$359),$B$252=1),$AQ$359,HLOOKUP(INDIRECT(ADDRESS(2,COLUMN())),OFFSET($CL$2,0,0,ROW()-1,84),ROW()-1,FALSE))</f>
        <v>4.6009807690000004</v>
      </c>
      <c r="AR149">
        <f ca="1">IF(AND(ISNUMBER($AR$359),$B$252=1),$AR$359,HLOOKUP(INDIRECT(ADDRESS(2,COLUMN())),OFFSET($CL$2,0,0,ROW()-1,84),ROW()-1,FALSE))</f>
        <v>4.5466538459999999</v>
      </c>
      <c r="AS149">
        <f ca="1">IF(AND(ISNUMBER($AS$359),$B$252=1),$AS$359,HLOOKUP(INDIRECT(ADDRESS(2,COLUMN())),OFFSET($CL$2,0,0,ROW()-1,84),ROW()-1,FALSE))</f>
        <v>4.4930000000000003</v>
      </c>
      <c r="AT149">
        <f ca="1">IF(AND(ISNUMBER($AT$359),$B$252=1),$AT$359,HLOOKUP(INDIRECT(ADDRESS(2,COLUMN())),OFFSET($CL$2,0,0,ROW()-1,84),ROW()-1,FALSE))</f>
        <v>4.5053115379999999</v>
      </c>
      <c r="AU149">
        <f ca="1">IF(AND(ISNUMBER($AU$359),$B$252=1),$AU$359,HLOOKUP(INDIRECT(ADDRESS(2,COLUMN())),OFFSET($CL$2,0,0,ROW()-1,84),ROW()-1,FALSE))</f>
        <v>4.4780576920000001</v>
      </c>
      <c r="AV149">
        <f ca="1">IF(AND(ISNUMBER($AV$359),$B$252=1),$AV$359,HLOOKUP(INDIRECT(ADDRESS(2,COLUMN())),OFFSET($CL$2,0,0,ROW()-1,84),ROW()-1,FALSE))</f>
        <v>4.5074712640000003</v>
      </c>
      <c r="AW149">
        <f ca="1">IF(AND(ISNUMBER($AW$359),$B$252=1),$AW$359,HLOOKUP(INDIRECT(ADDRESS(2,COLUMN())),OFFSET($CL$2,0,0,ROW()-1,84),ROW()-1,FALSE))</f>
        <v>4.4919846149999998</v>
      </c>
      <c r="AX149">
        <f ca="1">IF(AND(ISNUMBER($AX$359),$B$252=1),$AX$359,HLOOKUP(INDIRECT(ADDRESS(2,COLUMN())),OFFSET($CL$2,0,0,ROW()-1,84),ROW()-1,FALSE))</f>
        <v>4.4911609199999996</v>
      </c>
      <c r="AY149">
        <f ca="1">IF(AND(ISNUMBER($AY$359),$B$252=1),$AY$359,HLOOKUP(INDIRECT(ADDRESS(2,COLUMN())),OFFSET($CL$2,0,0,ROW()-1,84),ROW()-1,FALSE))</f>
        <v>4.4638965519999996</v>
      </c>
      <c r="AZ149">
        <f ca="1">IF(AND(ISNUMBER($AZ$359),$B$252=1),$AZ$359,HLOOKUP(INDIRECT(ADDRESS(2,COLUMN())),OFFSET($CL$2,0,0,ROW()-1,84),ROW()-1,FALSE))</f>
        <v>4.3713653849999998</v>
      </c>
      <c r="BA149">
        <f ca="1">IF(AND(ISNUMBER($BA$359),$B$252=1),$BA$359,HLOOKUP(INDIRECT(ADDRESS(2,COLUMN())),OFFSET($CL$2,0,0,ROW()-1,84),ROW()-1,FALSE))</f>
        <v>4.3304022990000002</v>
      </c>
      <c r="BB149">
        <f ca="1">IF(AND(ISNUMBER($BB$359),$B$252=1),$BB$359,HLOOKUP(INDIRECT(ADDRESS(2,COLUMN())),OFFSET($CL$2,0,0,ROW()-1,84),ROW()-1,FALSE))</f>
        <v>4.2700459769999997</v>
      </c>
      <c r="BC149">
        <f ca="1">IF(AND(ISNUMBER($BC$359),$B$252=1),$BC$359,HLOOKUP(INDIRECT(ADDRESS(2,COLUMN())),OFFSET($CL$2,0,0,ROW()-1,84),ROW()-1,FALSE))</f>
        <v>4.3594461539999996</v>
      </c>
      <c r="BD149">
        <f ca="1">IF(AND(ISNUMBER($BD$359),$B$252=1),$BD$359,HLOOKUP(INDIRECT(ADDRESS(2,COLUMN())),OFFSET($CL$2,0,0,ROW()-1,84),ROW()-1,FALSE))</f>
        <v>4.4320000000000004</v>
      </c>
      <c r="BE149">
        <f ca="1">IF(AND(ISNUMBER($BE$359),$B$252=1),$BE$359,HLOOKUP(INDIRECT(ADDRESS(2,COLUMN())),OFFSET($CL$2,0,0,ROW()-1,84),ROW()-1,FALSE))</f>
        <v>4.4349999999999996</v>
      </c>
      <c r="BF149">
        <f ca="1">IF(AND(ISNUMBER($BF$359),$B$252=1),$BF$359,HLOOKUP(INDIRECT(ADDRESS(2,COLUMN())),OFFSET($CL$2,0,0,ROW()-1,84),ROW()-1,FALSE))</f>
        <v>4.4569846149999996</v>
      </c>
      <c r="BG149">
        <f ca="1">IF(AND(ISNUMBER($BG$359),$B$252=1),$BG$359,HLOOKUP(INDIRECT(ADDRESS(2,COLUMN())),OFFSET($CL$2,0,0,ROW()-1,84),ROW()-1,FALSE))</f>
        <v>4.5485747129999998</v>
      </c>
      <c r="BH149">
        <f ca="1">IF(AND(ISNUMBER($BH$359),$B$252=1),$BH$359,HLOOKUP(INDIRECT(ADDRESS(2,COLUMN())),OFFSET($CL$2,0,0,ROW()-1,84),ROW()-1,FALSE))</f>
        <v>4.5022758620000003</v>
      </c>
      <c r="BI149">
        <f ca="1">IF(AND(ISNUMBER($BI$359),$B$252=1),$BI$359,HLOOKUP(INDIRECT(ADDRESS(2,COLUMN())),OFFSET($CL$2,0,0,ROW()-1,84),ROW()-1,FALSE))</f>
        <v>4.4816769230000002</v>
      </c>
      <c r="BJ149">
        <f ca="1">IF(AND(ISNUMBER($BJ$359),$B$252=1),$BJ$359,HLOOKUP(INDIRECT(ADDRESS(2,COLUMN())),OFFSET($CL$2,0,0,ROW()-1,84),ROW()-1,FALSE))</f>
        <v>4.4196590039999997</v>
      </c>
      <c r="BK149">
        <f ca="1">IF(AND(ISNUMBER($BK$359),$B$252=1),$BK$359,HLOOKUP(INDIRECT(ADDRESS(2,COLUMN())),OFFSET($CL$2,0,0,ROW()-1,84),ROW()-1,FALSE))</f>
        <v>4.4004153849999996</v>
      </c>
      <c r="BL149">
        <f ca="1">IF(AND(ISNUMBER($BL$359),$B$252=1),$BL$359,HLOOKUP(INDIRECT(ADDRESS(2,COLUMN())),OFFSET($CL$2,0,0,ROW()-1,84),ROW()-1,FALSE))</f>
        <v>4.389630769</v>
      </c>
      <c r="BM149">
        <f ca="1">IF(AND(ISNUMBER($BM$359),$B$252=1),$BM$359,HLOOKUP(INDIRECT(ADDRESS(2,COLUMN())),OFFSET($CL$2,0,0,ROW()-1,84),ROW()-1,FALSE))</f>
        <v>4.3549157090000001</v>
      </c>
      <c r="BN149">
        <f ca="1">IF(AND(ISNUMBER($BN$359),$B$252=1),$BN$359,HLOOKUP(INDIRECT(ADDRESS(2,COLUMN())),OFFSET($CL$2,0,0,ROW()-1,84),ROW()-1,FALSE))</f>
        <v>4.3288653850000003</v>
      </c>
      <c r="BO149">
        <f ca="1">IF(AND(ISNUMBER($BO$359),$B$252=1),$BO$359,HLOOKUP(INDIRECT(ADDRESS(2,COLUMN())),OFFSET($CL$2,0,0,ROW()-1,84),ROW()-1,FALSE))</f>
        <v>4.2835670500000003</v>
      </c>
      <c r="BP149">
        <f ca="1">IF(AND(ISNUMBER($BP$359),$B$252=1),$BP$359,HLOOKUP(INDIRECT(ADDRESS(2,COLUMN())),OFFSET($CL$2,0,0,ROW()-1,84),ROW()-1,FALSE))</f>
        <v>4.2352298849999999</v>
      </c>
      <c r="BQ149">
        <f ca="1">IF(AND(ISNUMBER($BQ$359),$B$252=1),$BQ$359,HLOOKUP(INDIRECT(ADDRESS(2,COLUMN())),OFFSET($CL$2,0,0,ROW()-1,84),ROW()-1,FALSE))</f>
        <v>4.2050000000000001</v>
      </c>
      <c r="BR149">
        <f ca="1">IF(AND(ISNUMBER($BR$359),$B$252=1),$BR$359,HLOOKUP(INDIRECT(ADDRESS(2,COLUMN())),OFFSET($CL$2,0,0,ROW()-1,84),ROW()-1,FALSE))</f>
        <v>4.1792999999999996</v>
      </c>
      <c r="BS149">
        <f ca="1">IF(AND(ISNUMBER($BS$359),$B$252=1),$BS$359,HLOOKUP(INDIRECT(ADDRESS(2,COLUMN())),OFFSET($CL$2,0,0,ROW()-1,84),ROW()-1,FALSE))</f>
        <v>4.0720651339999998</v>
      </c>
      <c r="BT149">
        <f ca="1">IF(AND(ISNUMBER($BT$359),$B$252=1),$BT$359,HLOOKUP(INDIRECT(ADDRESS(2,COLUMN())),OFFSET($CL$2,0,0,ROW()-1,84),ROW()-1,FALSE))</f>
        <v>4.045776923</v>
      </c>
      <c r="BU149">
        <f ca="1">IF(AND(ISNUMBER($BU$359),$B$252=1),$BU$359,HLOOKUP(INDIRECT(ADDRESS(2,COLUMN())),OFFSET($CL$2,0,0,ROW()-1,84),ROW()-1,FALSE))</f>
        <v>4.0163153850000004</v>
      </c>
      <c r="BV149">
        <f ca="1">IF(AND(ISNUMBER($BV$359),$B$252=1),$BV$359,HLOOKUP(INDIRECT(ADDRESS(2,COLUMN())),OFFSET($CL$2,0,0,ROW()-1,84),ROW()-1,FALSE))</f>
        <v>3.914314176</v>
      </c>
      <c r="BW149">
        <f ca="1">IF(AND(ISNUMBER($BW$359),$B$252=1),$BW$359,HLOOKUP(INDIRECT(ADDRESS(2,COLUMN())),OFFSET($CL$2,0,0,ROW()-1,84),ROW()-1,FALSE))</f>
        <v>3.8787230770000001</v>
      </c>
      <c r="BX149">
        <f ca="1">IF(AND(ISNUMBER($BX$359),$B$252=1),$BX$359,HLOOKUP(INDIRECT(ADDRESS(2,COLUMN())),OFFSET($CL$2,0,0,ROW()-1,84),ROW()-1,FALSE))</f>
        <v>3.8631570879999999</v>
      </c>
      <c r="BY149">
        <f ca="1">IF(AND(ISNUMBER($BY$359),$B$252=1),$BY$359,HLOOKUP(INDIRECT(ADDRESS(2,COLUMN())),OFFSET($CL$2,0,0,ROW()-1,84),ROW()-1,FALSE))</f>
        <v>3.818950192</v>
      </c>
      <c r="BZ149">
        <f ca="1">IF(AND(ISNUMBER($BZ$359),$B$252=1),$BZ$359,HLOOKUP(INDIRECT(ADDRESS(2,COLUMN())),OFFSET($CL$2,0,0,ROW()-1,84),ROW()-1,FALSE))</f>
        <v>3.7602307690000001</v>
      </c>
      <c r="CA149">
        <f ca="1">IF(AND(ISNUMBER($CA$359),$B$252=1),$CA$359,HLOOKUP(INDIRECT(ADDRESS(2,COLUMN())),OFFSET($CL$2,0,0,ROW()-1,84),ROW()-1,FALSE))</f>
        <v>3.7317203069999998</v>
      </c>
      <c r="CB149">
        <f ca="1">IF(AND(ISNUMBER($CB$359),$B$252=1),$CB$359,HLOOKUP(INDIRECT(ADDRESS(2,COLUMN())),OFFSET($CL$2,0,0,ROW()-1,84),ROW()-1,FALSE))</f>
        <v>3.6840038169999998</v>
      </c>
      <c r="CC149">
        <f ca="1">IF(AND(ISNUMBER($CC$359),$B$252=1),$CC$359,HLOOKUP(INDIRECT(ADDRESS(2,COLUMN())),OFFSET($CL$2,0,0,ROW()-1,84),ROW()-1,FALSE))</f>
        <v>3.6440000000000001</v>
      </c>
      <c r="CD149">
        <f ca="1">IF(AND(ISNUMBER($CD$359),$B$252=1),$CD$359,HLOOKUP(INDIRECT(ADDRESS(2,COLUMN())),OFFSET($CL$2,0,0,ROW()-1,84),ROW()-1,FALSE))</f>
        <v>3.611839695</v>
      </c>
      <c r="CE149">
        <f ca="1">IF(AND(ISNUMBER($CE$359),$B$252=1),$CE$359,HLOOKUP(INDIRECT(ADDRESS(2,COLUMN())),OFFSET($CL$2,0,0,ROW()-1,84),ROW()-1,FALSE))</f>
        <v>3.5617251909999998</v>
      </c>
      <c r="CF149">
        <f ca="1">IF(AND(ISNUMBER($CF$359),$B$252=1),$CF$359,HLOOKUP(INDIRECT(ADDRESS(2,COLUMN())),OFFSET($CL$2,0,0,ROW()-1,84),ROW()-1,FALSE))</f>
        <v>3.5409999999999999</v>
      </c>
      <c r="CG149">
        <f ca="1">IF(AND(ISNUMBER($CG$359),$B$252=1),$CG$359,HLOOKUP(INDIRECT(ADDRESS(2,COLUMN())),OFFSET($CL$2,0,0,ROW()-1,84),ROW()-1,FALSE))</f>
        <v>3.51178626</v>
      </c>
      <c r="CH149">
        <f ca="1">IF(AND(ISNUMBER($CH$359),$B$252=1),$CH$359,HLOOKUP(INDIRECT(ADDRESS(2,COLUMN())),OFFSET($CL$2,0,0,ROW()-1,84),ROW()-1,FALSE))</f>
        <v>3.5043846150000002</v>
      </c>
      <c r="CI149">
        <f ca="1">IF(AND(ISNUMBER($CI$359),$B$252=1),$CI$359,HLOOKUP(INDIRECT(ADDRESS(2,COLUMN())),OFFSET($CL$2,0,0,ROW()-1,84),ROW()-1,FALSE))</f>
        <v>3.4894444440000001</v>
      </c>
      <c r="CJ149">
        <f ca="1">IF(AND(ISNUMBER($CJ$359),$B$252=1),$CJ$359,HLOOKUP(INDIRECT(ADDRESS(2,COLUMN())),OFFSET($CL$2,0,0,ROW()-1,84),ROW()-1,FALSE))</f>
        <v>3.4826488549999999</v>
      </c>
      <c r="CK149">
        <f ca="1">IF(AND(ISNUMBER($CK$359),$B$252=1),$CK$359,HLOOKUP(INDIRECT(ADDRESS(2,COLUMN())),OFFSET($CL$2,0,0,ROW()-1,84),ROW()-1,FALSE))</f>
        <v>3.4011346150000001</v>
      </c>
      <c r="CL149">
        <f>5.540169231</f>
        <v>5.5401692310000001</v>
      </c>
      <c r="CM149">
        <f>5.563555556</f>
        <v>5.5635555559999998</v>
      </c>
      <c r="CN149">
        <f>5.597977011</f>
        <v>5.5979770110000002</v>
      </c>
      <c r="CO149">
        <f>5.616</f>
        <v>5.6159999999999997</v>
      </c>
      <c r="CP149">
        <f>5.692367816</f>
        <v>5.692367816</v>
      </c>
      <c r="CQ149">
        <f>5.666957854</f>
        <v>5.6669578539999996</v>
      </c>
      <c r="CR149">
        <f>5.66075</f>
        <v>5.6607500000000002</v>
      </c>
      <c r="CS149">
        <f>5.584436782</f>
        <v>5.584436782</v>
      </c>
      <c r="CT149">
        <f>5.561885057</f>
        <v>5.5618850569999996</v>
      </c>
      <c r="CU149">
        <f>5.5285</f>
        <v>5.5285000000000002</v>
      </c>
      <c r="CV149">
        <f>5.494609195</f>
        <v>5.4946091949999998</v>
      </c>
      <c r="CW149">
        <f>5.405903846</f>
        <v>5.4059038460000002</v>
      </c>
      <c r="CX149">
        <f>5.35675</f>
        <v>5.3567499999999999</v>
      </c>
      <c r="CY149">
        <f>5.325854406</f>
        <v>5.3258544060000004</v>
      </c>
      <c r="CZ149">
        <f>5.347984674</f>
        <v>5.3479846740000001</v>
      </c>
      <c r="DA149">
        <f>5.301</f>
        <v>5.3010000000000002</v>
      </c>
      <c r="DB149">
        <f>5.386616858</f>
        <v>5.386616858</v>
      </c>
      <c r="DC149">
        <f>5.378896552</f>
        <v>5.3788965519999996</v>
      </c>
      <c r="DD149">
        <f>5.315</f>
        <v>5.3150000000000004</v>
      </c>
      <c r="DE149">
        <f>5.288333333</f>
        <v>5.2883333329999997</v>
      </c>
      <c r="DF149">
        <f>5.416884615</f>
        <v>5.4168846149999998</v>
      </c>
      <c r="DG149">
        <f>5.365908046</f>
        <v>5.3659080460000004</v>
      </c>
      <c r="DH149">
        <f>5.340034483</f>
        <v>5.3400344830000002</v>
      </c>
      <c r="DI149">
        <f>5.270826923</f>
        <v>5.2708269230000004</v>
      </c>
      <c r="DJ149">
        <f>5.232681992</f>
        <v>5.2326819919999998</v>
      </c>
      <c r="DK149">
        <f>5.188264368</f>
        <v>5.1882643679999996</v>
      </c>
      <c r="DL149">
        <f>5.188769231</f>
        <v>5.1887692310000002</v>
      </c>
      <c r="DM149">
        <f>5.176</f>
        <v>5.1760000000000002</v>
      </c>
      <c r="DN149">
        <f>5.134572519</f>
        <v>5.1345725189999998</v>
      </c>
      <c r="DO149">
        <f>5.056246154</f>
        <v>5.0562461540000001</v>
      </c>
      <c r="DP149">
        <f>4.896541985</f>
        <v>4.8965419849999998</v>
      </c>
      <c r="DQ149">
        <f>4.849412214</f>
        <v>4.849412214</v>
      </c>
      <c r="DR149">
        <f>4.829203846</f>
        <v>4.8292038460000004</v>
      </c>
      <c r="DS149">
        <f>4.760748092</f>
        <v>4.760748092</v>
      </c>
      <c r="DT149">
        <f>4.736061538</f>
        <v>4.7360615380000004</v>
      </c>
      <c r="DU149">
        <f>4.697927203</f>
        <v>4.6979272029999999</v>
      </c>
      <c r="DV149">
        <f>4.687801527</f>
        <v>4.6878015270000004</v>
      </c>
      <c r="DW149">
        <f>4.600980769</f>
        <v>4.6009807690000004</v>
      </c>
      <c r="DX149">
        <f>4.546653846</f>
        <v>4.5466538459999999</v>
      </c>
      <c r="DY149">
        <f>4.493</f>
        <v>4.4930000000000003</v>
      </c>
      <c r="DZ149">
        <f>4.505311538</f>
        <v>4.5053115379999999</v>
      </c>
      <c r="EA149">
        <f>4.478057692</f>
        <v>4.4780576920000001</v>
      </c>
      <c r="EB149">
        <f>4.507471264</f>
        <v>4.5074712640000003</v>
      </c>
      <c r="EC149">
        <f>4.491984615</f>
        <v>4.4919846149999998</v>
      </c>
      <c r="ED149">
        <f>4.49116092</f>
        <v>4.4911609199999996</v>
      </c>
      <c r="EE149">
        <f>4.463896552</f>
        <v>4.4638965519999996</v>
      </c>
      <c r="EF149">
        <f>4.371365385</f>
        <v>4.3713653849999998</v>
      </c>
      <c r="EG149">
        <f>4.330402299</f>
        <v>4.3304022990000002</v>
      </c>
      <c r="EH149">
        <f>4.270045977</f>
        <v>4.2700459769999997</v>
      </c>
      <c r="EI149">
        <f>4.359446154</f>
        <v>4.3594461539999996</v>
      </c>
      <c r="EJ149">
        <f>4.432</f>
        <v>4.4320000000000004</v>
      </c>
      <c r="EK149">
        <f>4.435</f>
        <v>4.4349999999999996</v>
      </c>
      <c r="EL149">
        <f>4.456984615</f>
        <v>4.4569846149999996</v>
      </c>
      <c r="EM149">
        <f>4.548574713</f>
        <v>4.5485747129999998</v>
      </c>
      <c r="EN149">
        <f>4.502275862</f>
        <v>4.5022758620000003</v>
      </c>
      <c r="EO149">
        <f>4.481676923</f>
        <v>4.4816769230000002</v>
      </c>
      <c r="EP149">
        <f>4.419659004</f>
        <v>4.4196590039999997</v>
      </c>
      <c r="EQ149">
        <f>4.400415385</f>
        <v>4.4004153849999996</v>
      </c>
      <c r="ER149">
        <f>4.389630769</f>
        <v>4.389630769</v>
      </c>
      <c r="ES149">
        <f>4.354915709</f>
        <v>4.3549157090000001</v>
      </c>
      <c r="ET149">
        <f>4.328865385</f>
        <v>4.3288653850000003</v>
      </c>
      <c r="EU149">
        <f>4.28356705</f>
        <v>4.2835670500000003</v>
      </c>
      <c r="EV149">
        <f>4.235229885</f>
        <v>4.2352298849999999</v>
      </c>
      <c r="EW149">
        <f>4.205</f>
        <v>4.2050000000000001</v>
      </c>
      <c r="EX149">
        <f>4.1793</f>
        <v>4.1792999999999996</v>
      </c>
      <c r="EY149">
        <f>4.072065134</f>
        <v>4.0720651339999998</v>
      </c>
      <c r="EZ149">
        <f>4.045776923</f>
        <v>4.045776923</v>
      </c>
      <c r="FA149">
        <f>4.016315385</f>
        <v>4.0163153850000004</v>
      </c>
      <c r="FB149">
        <f>3.914314176</f>
        <v>3.914314176</v>
      </c>
      <c r="FC149">
        <f>3.878723077</f>
        <v>3.8787230770000001</v>
      </c>
      <c r="FD149">
        <f>3.863157088</f>
        <v>3.8631570879999999</v>
      </c>
      <c r="FE149">
        <f>3.818950192</f>
        <v>3.818950192</v>
      </c>
      <c r="FF149">
        <f>3.760230769</f>
        <v>3.7602307690000001</v>
      </c>
      <c r="FG149">
        <f>3.731720307</f>
        <v>3.7317203069999998</v>
      </c>
      <c r="FH149">
        <f>3.684003817</f>
        <v>3.6840038169999998</v>
      </c>
      <c r="FI149">
        <f>3.644</f>
        <v>3.6440000000000001</v>
      </c>
      <c r="FJ149">
        <f>3.611839695</f>
        <v>3.611839695</v>
      </c>
      <c r="FK149">
        <f>3.561725191</f>
        <v>3.5617251909999998</v>
      </c>
      <c r="FL149">
        <f>3.541</f>
        <v>3.5409999999999999</v>
      </c>
      <c r="FM149">
        <f>3.51178626</f>
        <v>3.51178626</v>
      </c>
      <c r="FN149">
        <f>3.504384615</f>
        <v>3.5043846150000002</v>
      </c>
      <c r="FO149">
        <f>3.489444444</f>
        <v>3.4894444440000001</v>
      </c>
      <c r="FP149">
        <f>3.482648855</f>
        <v>3.4826488549999999</v>
      </c>
      <c r="FQ149">
        <f>3.401134615</f>
        <v>3.4011346150000001</v>
      </c>
    </row>
    <row r="150" spans="1:173">
      <c r="A150" t="str">
        <f>"    Monogram Residential Trust Inc"</f>
        <v xml:space="preserve">    Monogram Residential Trust Inc</v>
      </c>
      <c r="B150" t="str">
        <f>"MORE US Equity"</f>
        <v>MORE US Equity</v>
      </c>
      <c r="C150" t="str">
        <f t="shared" si="45"/>
        <v>BE895</v>
      </c>
      <c r="D150" t="str">
        <f t="shared" si="46"/>
        <v>BEST_AFFOPS</v>
      </c>
      <c r="E150" t="str">
        <f t="shared" si="47"/>
        <v>动态</v>
      </c>
      <c r="F150" t="str">
        <f ca="1">IF(AND(ISNUMBER($F$360),$B$252=1),$F$360,HLOOKUP(INDIRECT(ADDRESS(2,COLUMN())),OFFSET($CL$2,0,0,ROW()-1,84),ROW()-1,FALSE))</f>
        <v/>
      </c>
      <c r="G150" t="str">
        <f ca="1">IF(AND(ISNUMBER($G$360),$B$252=1),$G$360,HLOOKUP(INDIRECT(ADDRESS(2,COLUMN())),OFFSET($CL$2,0,0,ROW()-1,84),ROW()-1,FALSE))</f>
        <v/>
      </c>
      <c r="H150" t="str">
        <f ca="1">IF(AND(ISNUMBER($H$360),$B$252=1),$H$360,HLOOKUP(INDIRECT(ADDRESS(2,COLUMN())),OFFSET($CL$2,0,0,ROW()-1,84),ROW()-1,FALSE))</f>
        <v/>
      </c>
      <c r="I150">
        <f ca="1">IF(AND(ISNUMBER($I$360),$B$252=1),$I$360,HLOOKUP(INDIRECT(ADDRESS(2,COLUMN())),OFFSET($CL$2,0,0,ROW()-1,84),ROW()-1,FALSE))</f>
        <v>0.47</v>
      </c>
      <c r="J150">
        <f ca="1">IF(AND(ISNUMBER($J$360),$B$252=1),$J$360,HLOOKUP(INDIRECT(ADDRESS(2,COLUMN())),OFFSET($CL$2,0,0,ROW()-1,84),ROW()-1,FALSE))</f>
        <v>0.46517241399999998</v>
      </c>
      <c r="K150">
        <f ca="1">IF(AND(ISNUMBER($K$360),$B$252=1),$K$360,HLOOKUP(INDIRECT(ADDRESS(2,COLUMN())),OFFSET($CL$2,0,0,ROW()-1,84),ROW()-1,FALSE))</f>
        <v>0.460114943</v>
      </c>
      <c r="L150">
        <f ca="1">IF(AND(ISNUMBER($L$360),$B$252=1),$L$360,HLOOKUP(INDIRECT(ADDRESS(2,COLUMN())),OFFSET($CL$2,0,0,ROW()-1,84),ROW()-1,FALSE))</f>
        <v>0.45500000000000002</v>
      </c>
      <c r="M150">
        <f ca="1">IF(AND(ISNUMBER($M$360),$B$252=1),$M$360,HLOOKUP(INDIRECT(ADDRESS(2,COLUMN())),OFFSET($CL$2,0,0,ROW()-1,84),ROW()-1,FALSE))</f>
        <v>0.457241379</v>
      </c>
      <c r="N150">
        <f ca="1">IF(AND(ISNUMBER($N$360),$B$252=1),$N$360,HLOOKUP(INDIRECT(ADDRESS(2,COLUMN())),OFFSET($CL$2,0,0,ROW()-1,84),ROW()-1,FALSE))</f>
        <v>0.44119540200000001</v>
      </c>
      <c r="O150">
        <f ca="1">IF(AND(ISNUMBER($O$360),$B$252=1),$O$360,HLOOKUP(INDIRECT(ADDRESS(2,COLUMN())),OFFSET($CL$2,0,0,ROW()-1,84),ROW()-1,FALSE))</f>
        <v>0.4365</v>
      </c>
      <c r="P150">
        <f ca="1">IF(AND(ISNUMBER($P$360),$B$252=1),$P$360,HLOOKUP(INDIRECT(ADDRESS(2,COLUMN())),OFFSET($CL$2,0,0,ROW()-1,84),ROW()-1,FALSE))</f>
        <v>0.43213410000000002</v>
      </c>
      <c r="Q150">
        <f ca="1">IF(AND(ISNUMBER($Q$360),$B$252=1),$Q$360,HLOOKUP(INDIRECT(ADDRESS(2,COLUMN())),OFFSET($CL$2,0,0,ROW()-1,84),ROW()-1,FALSE))</f>
        <v>0.41680769200000001</v>
      </c>
      <c r="R150">
        <f ca="1">IF(AND(ISNUMBER($R$360),$B$252=1),$R$360,HLOOKUP(INDIRECT(ADDRESS(2,COLUMN())),OFFSET($CL$2,0,0,ROW()-1,84),ROW()-1,FALSE))</f>
        <v>0.41449999999999998</v>
      </c>
      <c r="S150">
        <f ca="1">IF(AND(ISNUMBER($S$360),$B$252=1),$S$360,HLOOKUP(INDIRECT(ADDRESS(2,COLUMN())),OFFSET($CL$2,0,0,ROW()-1,84),ROW()-1,FALSE))</f>
        <v>0.40609578499999999</v>
      </c>
      <c r="T150">
        <f ca="1">IF(AND(ISNUMBER($T$360),$B$252=1),$T$360,HLOOKUP(INDIRECT(ADDRESS(2,COLUMN())),OFFSET($CL$2,0,0,ROW()-1,84),ROW()-1,FALSE))</f>
        <v>0.41902682000000002</v>
      </c>
      <c r="U150">
        <f ca="1">IF(AND(ISNUMBER($U$360),$B$252=1),$U$360,HLOOKUP(INDIRECT(ADDRESS(2,COLUMN())),OFFSET($CL$2,0,0,ROW()-1,84),ROW()-1,FALSE))</f>
        <v>0.433</v>
      </c>
      <c r="V150">
        <f ca="1">IF(AND(ISNUMBER($V$360),$B$252=1),$V$360,HLOOKUP(INDIRECT(ADDRESS(2,COLUMN())),OFFSET($CL$2,0,0,ROW()-1,84),ROW()-1,FALSE))</f>
        <v>0.42157088100000001</v>
      </c>
      <c r="W150">
        <f ca="1">IF(AND(ISNUMBER($W$360),$B$252=1),$W$360,HLOOKUP(INDIRECT(ADDRESS(2,COLUMN())),OFFSET($CL$2,0,0,ROW()-1,84),ROW()-1,FALSE))</f>
        <v>0.42482758599999998</v>
      </c>
      <c r="X150">
        <f ca="1">IF(AND(ISNUMBER($X$360),$B$252=1),$X$360,HLOOKUP(INDIRECT(ADDRESS(2,COLUMN())),OFFSET($CL$2,0,0,ROW()-1,84),ROW()-1,FALSE))</f>
        <v>0.42499999999999999</v>
      </c>
      <c r="Y150">
        <f ca="1">IF(AND(ISNUMBER($Y$360),$B$252=1),$Y$360,HLOOKUP(INDIRECT(ADDRESS(2,COLUMN())),OFFSET($CL$2,0,0,ROW()-1,84),ROW()-1,FALSE))</f>
        <v>0.41666666699999999</v>
      </c>
      <c r="Z150">
        <f ca="1">IF(AND(ISNUMBER($Z$360),$B$252=1),$Z$360,HLOOKUP(INDIRECT(ADDRESS(2,COLUMN())),OFFSET($CL$2,0,0,ROW()-1,84),ROW()-1,FALSE))</f>
        <v>0.43769230799999997</v>
      </c>
      <c r="AA150">
        <f ca="1">IF(AND(ISNUMBER($AA$360),$B$252=1),$AA$360,HLOOKUP(INDIRECT(ADDRESS(2,COLUMN())),OFFSET($CL$2,0,0,ROW()-1,84),ROW()-1,FALSE))</f>
        <v>0.438302682</v>
      </c>
      <c r="AB150">
        <f ca="1">IF(AND(ISNUMBER($AB$360),$B$252=1),$AB$360,HLOOKUP(INDIRECT(ADDRESS(2,COLUMN())),OFFSET($CL$2,0,0,ROW()-1,84),ROW()-1,FALSE))</f>
        <v>0.387241379</v>
      </c>
      <c r="AC150">
        <f ca="1">IF(AND(ISNUMBER($AC$360),$B$252=1),$AC$360,HLOOKUP(INDIRECT(ADDRESS(2,COLUMN())),OFFSET($CL$2,0,0,ROW()-1,84),ROW()-1,FALSE))</f>
        <v>0.49942307699999999</v>
      </c>
      <c r="AD150">
        <f ca="1">IF(AND(ISNUMBER($AD$360),$B$252=1),$AD$360,HLOOKUP(INDIRECT(ADDRESS(2,COLUMN())),OFFSET($CL$2,0,0,ROW()-1,84),ROW()-1,FALSE))</f>
        <v>0.49241379299999999</v>
      </c>
      <c r="AE150">
        <f ca="1">IF(AND(ISNUMBER($AE$360),$B$252=1),$AE$360,HLOOKUP(INDIRECT(ADDRESS(2,COLUMN())),OFFSET($CL$2,0,0,ROW()-1,84),ROW()-1,FALSE))</f>
        <v>0.48448275899999999</v>
      </c>
      <c r="AF150">
        <f ca="1">IF(AND(ISNUMBER($AF$360),$B$252=1),$AF$360,HLOOKUP(INDIRECT(ADDRESS(2,COLUMN())),OFFSET($CL$2,0,0,ROW()-1,84),ROW()-1,FALSE))</f>
        <v>0.47538461500000001</v>
      </c>
      <c r="AG150">
        <f ca="1">IF(AND(ISNUMBER($AG$360),$B$252=1),$AG$360,HLOOKUP(INDIRECT(ADDRESS(2,COLUMN())),OFFSET($CL$2,0,0,ROW()-1,84),ROW()-1,FALSE))</f>
        <v>0.47</v>
      </c>
      <c r="AH150" t="str">
        <f ca="1">IF(AND(ISNUMBER($AH$360),$B$252=1),$AH$360,HLOOKUP(INDIRECT(ADDRESS(2,COLUMN())),OFFSET($CL$2,0,0,ROW()-1,84),ROW()-1,FALSE))</f>
        <v/>
      </c>
      <c r="AI150" t="str">
        <f ca="1">IF(AND(ISNUMBER($AI$360),$B$252=1),$AI$360,HLOOKUP(INDIRECT(ADDRESS(2,COLUMN())),OFFSET($CL$2,0,0,ROW()-1,84),ROW()-1,FALSE))</f>
        <v/>
      </c>
      <c r="AJ150" t="str">
        <f ca="1">IF(AND(ISNUMBER($AJ$360),$B$252=1),$AJ$360,HLOOKUP(INDIRECT(ADDRESS(2,COLUMN())),OFFSET($CL$2,0,0,ROW()-1,84),ROW()-1,FALSE))</f>
        <v/>
      </c>
      <c r="AK150" t="str">
        <f ca="1">IF(AND(ISNUMBER($AK$360),$B$252=1),$AK$360,HLOOKUP(INDIRECT(ADDRESS(2,COLUMN())),OFFSET($CL$2,0,0,ROW()-1,84),ROW()-1,FALSE))</f>
        <v/>
      </c>
      <c r="AL150" t="str">
        <f ca="1">IF(AND(ISNUMBER($AL$360),$B$252=1),$AL$360,HLOOKUP(INDIRECT(ADDRESS(2,COLUMN())),OFFSET($CL$2,0,0,ROW()-1,84),ROW()-1,FALSE))</f>
        <v/>
      </c>
      <c r="AM150" t="str">
        <f ca="1">IF(AND(ISNUMBER($AM$360),$B$252=1),$AM$360,HLOOKUP(INDIRECT(ADDRESS(2,COLUMN())),OFFSET($CL$2,0,0,ROW()-1,84),ROW()-1,FALSE))</f>
        <v/>
      </c>
      <c r="AN150" t="str">
        <f ca="1">IF(AND(ISNUMBER($AN$360),$B$252=1),$AN$360,HLOOKUP(INDIRECT(ADDRESS(2,COLUMN())),OFFSET($CL$2,0,0,ROW()-1,84),ROW()-1,FALSE))</f>
        <v/>
      </c>
      <c r="AO150" t="str">
        <f ca="1">IF(AND(ISNUMBER($AO$360),$B$252=1),$AO$360,HLOOKUP(INDIRECT(ADDRESS(2,COLUMN())),OFFSET($CL$2,0,0,ROW()-1,84),ROW()-1,FALSE))</f>
        <v/>
      </c>
      <c r="AP150" t="str">
        <f ca="1">IF(AND(ISNUMBER($AP$360),$B$252=1),$AP$360,HLOOKUP(INDIRECT(ADDRESS(2,COLUMN())),OFFSET($CL$2,0,0,ROW()-1,84),ROW()-1,FALSE))</f>
        <v/>
      </c>
      <c r="AQ150" t="str">
        <f ca="1">IF(AND(ISNUMBER($AQ$360),$B$252=1),$AQ$360,HLOOKUP(INDIRECT(ADDRESS(2,COLUMN())),OFFSET($CL$2,0,0,ROW()-1,84),ROW()-1,FALSE))</f>
        <v/>
      </c>
      <c r="AR150" t="str">
        <f ca="1">IF(AND(ISNUMBER($AR$360),$B$252=1),$AR$360,HLOOKUP(INDIRECT(ADDRESS(2,COLUMN())),OFFSET($CL$2,0,0,ROW()-1,84),ROW()-1,FALSE))</f>
        <v/>
      </c>
      <c r="AS150" t="str">
        <f ca="1">IF(AND(ISNUMBER($AS$360),$B$252=1),$AS$360,HLOOKUP(INDIRECT(ADDRESS(2,COLUMN())),OFFSET($CL$2,0,0,ROW()-1,84),ROW()-1,FALSE))</f>
        <v/>
      </c>
      <c r="AT150" t="str">
        <f ca="1">IF(AND(ISNUMBER($AT$360),$B$252=1),$AT$360,HLOOKUP(INDIRECT(ADDRESS(2,COLUMN())),OFFSET($CL$2,0,0,ROW()-1,84),ROW()-1,FALSE))</f>
        <v/>
      </c>
      <c r="AU150" t="str">
        <f ca="1">IF(AND(ISNUMBER($AU$360),$B$252=1),$AU$360,HLOOKUP(INDIRECT(ADDRESS(2,COLUMN())),OFFSET($CL$2,0,0,ROW()-1,84),ROW()-1,FALSE))</f>
        <v/>
      </c>
      <c r="AV150" t="str">
        <f ca="1">IF(AND(ISNUMBER($AV$360),$B$252=1),$AV$360,HLOOKUP(INDIRECT(ADDRESS(2,COLUMN())),OFFSET($CL$2,0,0,ROW()-1,84),ROW()-1,FALSE))</f>
        <v/>
      </c>
      <c r="AW150" t="str">
        <f ca="1">IF(AND(ISNUMBER($AW$360),$B$252=1),$AW$360,HLOOKUP(INDIRECT(ADDRESS(2,COLUMN())),OFFSET($CL$2,0,0,ROW()-1,84),ROW()-1,FALSE))</f>
        <v/>
      </c>
      <c r="AX150" t="str">
        <f ca="1">IF(AND(ISNUMBER($AX$360),$B$252=1),$AX$360,HLOOKUP(INDIRECT(ADDRESS(2,COLUMN())),OFFSET($CL$2,0,0,ROW()-1,84),ROW()-1,FALSE))</f>
        <v/>
      </c>
      <c r="AY150" t="str">
        <f ca="1">IF(AND(ISNUMBER($AY$360),$B$252=1),$AY$360,HLOOKUP(INDIRECT(ADDRESS(2,COLUMN())),OFFSET($CL$2,0,0,ROW()-1,84),ROW()-1,FALSE))</f>
        <v/>
      </c>
      <c r="AZ150" t="str">
        <f ca="1">IF(AND(ISNUMBER($AZ$360),$B$252=1),$AZ$360,HLOOKUP(INDIRECT(ADDRESS(2,COLUMN())),OFFSET($CL$2,0,0,ROW()-1,84),ROW()-1,FALSE))</f>
        <v/>
      </c>
      <c r="BA150" t="str">
        <f ca="1">IF(AND(ISNUMBER($BA$360),$B$252=1),$BA$360,HLOOKUP(INDIRECT(ADDRESS(2,COLUMN())),OFFSET($CL$2,0,0,ROW()-1,84),ROW()-1,FALSE))</f>
        <v/>
      </c>
      <c r="BB150" t="str">
        <f ca="1">IF(AND(ISNUMBER($BB$360),$B$252=1),$BB$360,HLOOKUP(INDIRECT(ADDRESS(2,COLUMN())),OFFSET($CL$2,0,0,ROW()-1,84),ROW()-1,FALSE))</f>
        <v/>
      </c>
      <c r="BC150" t="str">
        <f ca="1">IF(AND(ISNUMBER($BC$360),$B$252=1),$BC$360,HLOOKUP(INDIRECT(ADDRESS(2,COLUMN())),OFFSET($CL$2,0,0,ROW()-1,84),ROW()-1,FALSE))</f>
        <v/>
      </c>
      <c r="BD150" t="str">
        <f ca="1">IF(AND(ISNUMBER($BD$360),$B$252=1),$BD$360,HLOOKUP(INDIRECT(ADDRESS(2,COLUMN())),OFFSET($CL$2,0,0,ROW()-1,84),ROW()-1,FALSE))</f>
        <v/>
      </c>
      <c r="BE150" t="str">
        <f ca="1">IF(AND(ISNUMBER($BE$360),$B$252=1),$BE$360,HLOOKUP(INDIRECT(ADDRESS(2,COLUMN())),OFFSET($CL$2,0,0,ROW()-1,84),ROW()-1,FALSE))</f>
        <v/>
      </c>
      <c r="BF150" t="str">
        <f ca="1">IF(AND(ISNUMBER($BF$360),$B$252=1),$BF$360,HLOOKUP(INDIRECT(ADDRESS(2,COLUMN())),OFFSET($CL$2,0,0,ROW()-1,84),ROW()-1,FALSE))</f>
        <v/>
      </c>
      <c r="BG150" t="str">
        <f ca="1">IF(AND(ISNUMBER($BG$360),$B$252=1),$BG$360,HLOOKUP(INDIRECT(ADDRESS(2,COLUMN())),OFFSET($CL$2,0,0,ROW()-1,84),ROW()-1,FALSE))</f>
        <v/>
      </c>
      <c r="BH150" t="str">
        <f ca="1">IF(AND(ISNUMBER($BH$360),$B$252=1),$BH$360,HLOOKUP(INDIRECT(ADDRESS(2,COLUMN())),OFFSET($CL$2,0,0,ROW()-1,84),ROW()-1,FALSE))</f>
        <v/>
      </c>
      <c r="BI150" t="str">
        <f ca="1">IF(AND(ISNUMBER($BI$360),$B$252=1),$BI$360,HLOOKUP(INDIRECT(ADDRESS(2,COLUMN())),OFFSET($CL$2,0,0,ROW()-1,84),ROW()-1,FALSE))</f>
        <v/>
      </c>
      <c r="BJ150" t="str">
        <f ca="1">IF(AND(ISNUMBER($BJ$360),$B$252=1),$BJ$360,HLOOKUP(INDIRECT(ADDRESS(2,COLUMN())),OFFSET($CL$2,0,0,ROW()-1,84),ROW()-1,FALSE))</f>
        <v/>
      </c>
      <c r="BK150" t="str">
        <f ca="1">IF(AND(ISNUMBER($BK$360),$B$252=1),$BK$360,HLOOKUP(INDIRECT(ADDRESS(2,COLUMN())),OFFSET($CL$2,0,0,ROW()-1,84),ROW()-1,FALSE))</f>
        <v/>
      </c>
      <c r="BL150" t="str">
        <f ca="1">IF(AND(ISNUMBER($BL$360),$B$252=1),$BL$360,HLOOKUP(INDIRECT(ADDRESS(2,COLUMN())),OFFSET($CL$2,0,0,ROW()-1,84),ROW()-1,FALSE))</f>
        <v/>
      </c>
      <c r="BM150" t="str">
        <f ca="1">IF(AND(ISNUMBER($BM$360),$B$252=1),$BM$360,HLOOKUP(INDIRECT(ADDRESS(2,COLUMN())),OFFSET($CL$2,0,0,ROW()-1,84),ROW()-1,FALSE))</f>
        <v/>
      </c>
      <c r="BN150" t="str">
        <f ca="1">IF(AND(ISNUMBER($BN$360),$B$252=1),$BN$360,HLOOKUP(INDIRECT(ADDRESS(2,COLUMN())),OFFSET($CL$2,0,0,ROW()-1,84),ROW()-1,FALSE))</f>
        <v/>
      </c>
      <c r="BO150" t="str">
        <f ca="1">IF(AND(ISNUMBER($BO$360),$B$252=1),$BO$360,HLOOKUP(INDIRECT(ADDRESS(2,COLUMN())),OFFSET($CL$2,0,0,ROW()-1,84),ROW()-1,FALSE))</f>
        <v/>
      </c>
      <c r="BP150" t="str">
        <f ca="1">IF(AND(ISNUMBER($BP$360),$B$252=1),$BP$360,HLOOKUP(INDIRECT(ADDRESS(2,COLUMN())),OFFSET($CL$2,0,0,ROW()-1,84),ROW()-1,FALSE))</f>
        <v/>
      </c>
      <c r="BQ150" t="str">
        <f ca="1">IF(AND(ISNUMBER($BQ$360),$B$252=1),$BQ$360,HLOOKUP(INDIRECT(ADDRESS(2,COLUMN())),OFFSET($CL$2,0,0,ROW()-1,84),ROW()-1,FALSE))</f>
        <v/>
      </c>
      <c r="BR150" t="str">
        <f ca="1">IF(AND(ISNUMBER($BR$360),$B$252=1),$BR$360,HLOOKUP(INDIRECT(ADDRESS(2,COLUMN())),OFFSET($CL$2,0,0,ROW()-1,84),ROW()-1,FALSE))</f>
        <v/>
      </c>
      <c r="BS150" t="str">
        <f ca="1">IF(AND(ISNUMBER($BS$360),$B$252=1),$BS$360,HLOOKUP(INDIRECT(ADDRESS(2,COLUMN())),OFFSET($CL$2,0,0,ROW()-1,84),ROW()-1,FALSE))</f>
        <v/>
      </c>
      <c r="BT150" t="str">
        <f ca="1">IF(AND(ISNUMBER($BT$360),$B$252=1),$BT$360,HLOOKUP(INDIRECT(ADDRESS(2,COLUMN())),OFFSET($CL$2,0,0,ROW()-1,84),ROW()-1,FALSE))</f>
        <v/>
      </c>
      <c r="BU150" t="str">
        <f ca="1">IF(AND(ISNUMBER($BU$360),$B$252=1),$BU$360,HLOOKUP(INDIRECT(ADDRESS(2,COLUMN())),OFFSET($CL$2,0,0,ROW()-1,84),ROW()-1,FALSE))</f>
        <v/>
      </c>
      <c r="BV150" t="str">
        <f ca="1">IF(AND(ISNUMBER($BV$360),$B$252=1),$BV$360,HLOOKUP(INDIRECT(ADDRESS(2,COLUMN())),OFFSET($CL$2,0,0,ROW()-1,84),ROW()-1,FALSE))</f>
        <v/>
      </c>
      <c r="BW150" t="str">
        <f ca="1">IF(AND(ISNUMBER($BW$360),$B$252=1),$BW$360,HLOOKUP(INDIRECT(ADDRESS(2,COLUMN())),OFFSET($CL$2,0,0,ROW()-1,84),ROW()-1,FALSE))</f>
        <v/>
      </c>
      <c r="BX150" t="str">
        <f ca="1">IF(AND(ISNUMBER($BX$360),$B$252=1),$BX$360,HLOOKUP(INDIRECT(ADDRESS(2,COLUMN())),OFFSET($CL$2,0,0,ROW()-1,84),ROW()-1,FALSE))</f>
        <v/>
      </c>
      <c r="BY150" t="str">
        <f ca="1">IF(AND(ISNUMBER($BY$360),$B$252=1),$BY$360,HLOOKUP(INDIRECT(ADDRESS(2,COLUMN())),OFFSET($CL$2,0,0,ROW()-1,84),ROW()-1,FALSE))</f>
        <v/>
      </c>
      <c r="BZ150" t="str">
        <f ca="1">IF(AND(ISNUMBER($BZ$360),$B$252=1),$BZ$360,HLOOKUP(INDIRECT(ADDRESS(2,COLUMN())),OFFSET($CL$2,0,0,ROW()-1,84),ROW()-1,FALSE))</f>
        <v/>
      </c>
      <c r="CA150" t="str">
        <f ca="1">IF(AND(ISNUMBER($CA$360),$B$252=1),$CA$360,HLOOKUP(INDIRECT(ADDRESS(2,COLUMN())),OFFSET($CL$2,0,0,ROW()-1,84),ROW()-1,FALSE))</f>
        <v/>
      </c>
      <c r="CB150" t="str">
        <f ca="1">IF(AND(ISNUMBER($CB$360),$B$252=1),$CB$360,HLOOKUP(INDIRECT(ADDRESS(2,COLUMN())),OFFSET($CL$2,0,0,ROW()-1,84),ROW()-1,FALSE))</f>
        <v/>
      </c>
      <c r="CC150" t="str">
        <f ca="1">IF(AND(ISNUMBER($CC$360),$B$252=1),$CC$360,HLOOKUP(INDIRECT(ADDRESS(2,COLUMN())),OFFSET($CL$2,0,0,ROW()-1,84),ROW()-1,FALSE))</f>
        <v/>
      </c>
      <c r="CD150" t="str">
        <f ca="1">IF(AND(ISNUMBER($CD$360),$B$252=1),$CD$360,HLOOKUP(INDIRECT(ADDRESS(2,COLUMN())),OFFSET($CL$2,0,0,ROW()-1,84),ROW()-1,FALSE))</f>
        <v/>
      </c>
      <c r="CE150" t="str">
        <f ca="1">IF(AND(ISNUMBER($CE$360),$B$252=1),$CE$360,HLOOKUP(INDIRECT(ADDRESS(2,COLUMN())),OFFSET($CL$2,0,0,ROW()-1,84),ROW()-1,FALSE))</f>
        <v/>
      </c>
      <c r="CF150" t="str">
        <f ca="1">IF(AND(ISNUMBER($CF$360),$B$252=1),$CF$360,HLOOKUP(INDIRECT(ADDRESS(2,COLUMN())),OFFSET($CL$2,0,0,ROW()-1,84),ROW()-1,FALSE))</f>
        <v/>
      </c>
      <c r="CG150" t="str">
        <f ca="1">IF(AND(ISNUMBER($CG$360),$B$252=1),$CG$360,HLOOKUP(INDIRECT(ADDRESS(2,COLUMN())),OFFSET($CL$2,0,0,ROW()-1,84),ROW()-1,FALSE))</f>
        <v/>
      </c>
      <c r="CH150" t="str">
        <f ca="1">IF(AND(ISNUMBER($CH$360),$B$252=1),$CH$360,HLOOKUP(INDIRECT(ADDRESS(2,COLUMN())),OFFSET($CL$2,0,0,ROW()-1,84),ROW()-1,FALSE))</f>
        <v/>
      </c>
      <c r="CI150" t="str">
        <f ca="1">IF(AND(ISNUMBER($CI$360),$B$252=1),$CI$360,HLOOKUP(INDIRECT(ADDRESS(2,COLUMN())),OFFSET($CL$2,0,0,ROW()-1,84),ROW()-1,FALSE))</f>
        <v/>
      </c>
      <c r="CJ150" t="str">
        <f ca="1">IF(AND(ISNUMBER($CJ$360),$B$252=1),$CJ$360,HLOOKUP(INDIRECT(ADDRESS(2,COLUMN())),OFFSET($CL$2,0,0,ROW()-1,84),ROW()-1,FALSE))</f>
        <v/>
      </c>
      <c r="CK150" t="str">
        <f ca="1">IF(AND(ISNUMBER($CK$360),$B$252=1),$CK$360,HLOOKUP(INDIRECT(ADDRESS(2,COLUMN())),OFFSET($CL$2,0,0,ROW()-1,84),ROW()-1,FALSE))</f>
        <v/>
      </c>
      <c r="CL150" t="str">
        <f>""</f>
        <v/>
      </c>
      <c r="CM150" t="str">
        <f>""</f>
        <v/>
      </c>
      <c r="CN150" t="str">
        <f>""</f>
        <v/>
      </c>
      <c r="CO150">
        <f>0.47</f>
        <v>0.47</v>
      </c>
      <c r="CP150">
        <f>0.465172414</f>
        <v>0.46517241399999998</v>
      </c>
      <c r="CQ150">
        <f>0.460114943</f>
        <v>0.460114943</v>
      </c>
      <c r="CR150">
        <f>0.455</f>
        <v>0.45500000000000002</v>
      </c>
      <c r="CS150">
        <f>0.457241379</f>
        <v>0.457241379</v>
      </c>
      <c r="CT150">
        <f>0.441195402</f>
        <v>0.44119540200000001</v>
      </c>
      <c r="CU150">
        <f>0.4365</f>
        <v>0.4365</v>
      </c>
      <c r="CV150">
        <f>0.4321341</f>
        <v>0.43213410000000002</v>
      </c>
      <c r="CW150">
        <f>0.416807692</f>
        <v>0.41680769200000001</v>
      </c>
      <c r="CX150">
        <f>0.4145</f>
        <v>0.41449999999999998</v>
      </c>
      <c r="CY150">
        <f>0.406095785</f>
        <v>0.40609578499999999</v>
      </c>
      <c r="CZ150">
        <f>0.41902682</f>
        <v>0.41902682000000002</v>
      </c>
      <c r="DA150">
        <f>0.433</f>
        <v>0.433</v>
      </c>
      <c r="DB150">
        <f>0.421570881</f>
        <v>0.42157088100000001</v>
      </c>
      <c r="DC150">
        <f>0.424827586</f>
        <v>0.42482758599999998</v>
      </c>
      <c r="DD150">
        <f>0.425</f>
        <v>0.42499999999999999</v>
      </c>
      <c r="DE150">
        <f>0.416666667</f>
        <v>0.41666666699999999</v>
      </c>
      <c r="DF150">
        <f>0.437692308</f>
        <v>0.43769230799999997</v>
      </c>
      <c r="DG150">
        <f>0.438302682</f>
        <v>0.438302682</v>
      </c>
      <c r="DH150">
        <f>0.387241379</f>
        <v>0.387241379</v>
      </c>
      <c r="DI150">
        <f>0.499423077</f>
        <v>0.49942307699999999</v>
      </c>
      <c r="DJ150">
        <f>0.492413793</f>
        <v>0.49241379299999999</v>
      </c>
      <c r="DK150">
        <f>0.484482759</f>
        <v>0.48448275899999999</v>
      </c>
      <c r="DL150">
        <f>0.475384615</f>
        <v>0.47538461500000001</v>
      </c>
      <c r="DM150">
        <f>0.47</f>
        <v>0.47</v>
      </c>
      <c r="DN150" t="str">
        <f>""</f>
        <v/>
      </c>
      <c r="DO150" t="str">
        <f>""</f>
        <v/>
      </c>
      <c r="DP150" t="str">
        <f>""</f>
        <v/>
      </c>
      <c r="DQ150" t="str">
        <f>""</f>
        <v/>
      </c>
      <c r="DR150" t="str">
        <f>""</f>
        <v/>
      </c>
      <c r="DS150" t="str">
        <f>""</f>
        <v/>
      </c>
      <c r="DT150" t="str">
        <f>""</f>
        <v/>
      </c>
      <c r="DU150" t="str">
        <f>""</f>
        <v/>
      </c>
      <c r="DV150" t="str">
        <f>""</f>
        <v/>
      </c>
      <c r="DW150" t="str">
        <f>""</f>
        <v/>
      </c>
      <c r="DX150" t="str">
        <f>""</f>
        <v/>
      </c>
      <c r="DY150" t="str">
        <f>""</f>
        <v/>
      </c>
      <c r="DZ150" t="str">
        <f>""</f>
        <v/>
      </c>
      <c r="EA150" t="str">
        <f>""</f>
        <v/>
      </c>
      <c r="EB150" t="str">
        <f>""</f>
        <v/>
      </c>
      <c r="EC150" t="str">
        <f>""</f>
        <v/>
      </c>
      <c r="ED150" t="str">
        <f>""</f>
        <v/>
      </c>
      <c r="EE150" t="str">
        <f>""</f>
        <v/>
      </c>
      <c r="EF150" t="str">
        <f>""</f>
        <v/>
      </c>
      <c r="EG150" t="str">
        <f>""</f>
        <v/>
      </c>
      <c r="EH150" t="str">
        <f>""</f>
        <v/>
      </c>
      <c r="EI150" t="str">
        <f>""</f>
        <v/>
      </c>
      <c r="EJ150" t="str">
        <f>""</f>
        <v/>
      </c>
      <c r="EK150" t="str">
        <f>""</f>
        <v/>
      </c>
      <c r="EL150" t="str">
        <f>""</f>
        <v/>
      </c>
      <c r="EM150" t="str">
        <f>""</f>
        <v/>
      </c>
      <c r="EN150" t="str">
        <f>""</f>
        <v/>
      </c>
      <c r="EO150" t="str">
        <f>""</f>
        <v/>
      </c>
      <c r="EP150" t="str">
        <f>""</f>
        <v/>
      </c>
      <c r="EQ150" t="str">
        <f>""</f>
        <v/>
      </c>
      <c r="ER150" t="str">
        <f>""</f>
        <v/>
      </c>
      <c r="ES150" t="str">
        <f>""</f>
        <v/>
      </c>
      <c r="ET150" t="str">
        <f>""</f>
        <v/>
      </c>
      <c r="EU150" t="str">
        <f>""</f>
        <v/>
      </c>
      <c r="EV150" t="str">
        <f>""</f>
        <v/>
      </c>
      <c r="EW150" t="str">
        <f>""</f>
        <v/>
      </c>
      <c r="EX150" t="str">
        <f>""</f>
        <v/>
      </c>
      <c r="EY150" t="str">
        <f>""</f>
        <v/>
      </c>
      <c r="EZ150" t="str">
        <f>""</f>
        <v/>
      </c>
      <c r="FA150" t="str">
        <f>""</f>
        <v/>
      </c>
      <c r="FB150" t="str">
        <f>""</f>
        <v/>
      </c>
      <c r="FC150" t="str">
        <f>""</f>
        <v/>
      </c>
      <c r="FD150" t="str">
        <f>""</f>
        <v/>
      </c>
      <c r="FE150" t="str">
        <f>""</f>
        <v/>
      </c>
      <c r="FF150" t="str">
        <f>""</f>
        <v/>
      </c>
      <c r="FG150" t="str">
        <f>""</f>
        <v/>
      </c>
      <c r="FH150" t="str">
        <f>""</f>
        <v/>
      </c>
      <c r="FI150" t="str">
        <f>""</f>
        <v/>
      </c>
      <c r="FJ150" t="str">
        <f>""</f>
        <v/>
      </c>
      <c r="FK150" t="str">
        <f>""</f>
        <v/>
      </c>
      <c r="FL150" t="str">
        <f>""</f>
        <v/>
      </c>
      <c r="FM150" t="str">
        <f>""</f>
        <v/>
      </c>
      <c r="FN150" t="str">
        <f>""</f>
        <v/>
      </c>
      <c r="FO150" t="str">
        <f>""</f>
        <v/>
      </c>
      <c r="FP150" t="str">
        <f>""</f>
        <v/>
      </c>
      <c r="FQ150" t="str">
        <f>""</f>
        <v/>
      </c>
    </row>
    <row r="151" spans="1:173">
      <c r="A151" t="str">
        <f>"    UDR Inc"</f>
        <v xml:space="preserve">    UDR Inc</v>
      </c>
      <c r="B151" t="str">
        <f>"UDR US Equity"</f>
        <v>UDR US Equity</v>
      </c>
      <c r="C151" t="str">
        <f t="shared" si="45"/>
        <v>BE895</v>
      </c>
      <c r="D151" t="str">
        <f t="shared" si="46"/>
        <v>BEST_AFFOPS</v>
      </c>
      <c r="E151" t="str">
        <f t="shared" si="47"/>
        <v>动态</v>
      </c>
      <c r="F151">
        <f ca="1">IF(AND(ISNUMBER($F$361),$B$252=1),$F$361,HLOOKUP(INDIRECT(ADDRESS(2,COLUMN())),OFFSET($CL$2,0,0,ROW()-1,84),ROW()-1,FALSE))</f>
        <v>1.8101230770000001</v>
      </c>
      <c r="G151">
        <f ca="1">IF(AND(ISNUMBER($G$361),$B$252=1),$G$361,HLOOKUP(INDIRECT(ADDRESS(2,COLUMN())),OFFSET($CL$2,0,0,ROW()-1,84),ROW()-1,FALSE))</f>
        <v>1.8039693489999999</v>
      </c>
      <c r="H151">
        <f ca="1">IF(AND(ISNUMBER($H$361),$B$252=1),$H$361,HLOOKUP(INDIRECT(ADDRESS(2,COLUMN())),OFFSET($CL$2,0,0,ROW()-1,84),ROW()-1,FALSE))</f>
        <v>1.813812261</v>
      </c>
      <c r="I151">
        <f ca="1">IF(AND(ISNUMBER($I$361),$B$252=1),$I$361,HLOOKUP(INDIRECT(ADDRESS(2,COLUMN())),OFFSET($CL$2,0,0,ROW()-1,84),ROW()-1,FALSE))</f>
        <v>1.8</v>
      </c>
      <c r="J151">
        <f ca="1">IF(AND(ISNUMBER($J$361),$B$252=1),$J$361,HLOOKUP(INDIRECT(ADDRESS(2,COLUMN())),OFFSET($CL$2,0,0,ROW()-1,84),ROW()-1,FALSE))</f>
        <v>1.791954023</v>
      </c>
      <c r="K151">
        <f ca="1">IF(AND(ISNUMBER($K$361),$B$252=1),$K$361,HLOOKUP(INDIRECT(ADDRESS(2,COLUMN())),OFFSET($CL$2,0,0,ROW()-1,84),ROW()-1,FALSE))</f>
        <v>1.7860306509999999</v>
      </c>
      <c r="L151">
        <f ca="1">IF(AND(ISNUMBER($L$361),$B$252=1),$L$361,HLOOKUP(INDIRECT(ADDRESS(2,COLUMN())),OFFSET($CL$2,0,0,ROW()-1,84),ROW()-1,FALSE))</f>
        <v>1.77725</v>
      </c>
      <c r="M151">
        <f ca="1">IF(AND(ISNUMBER($M$361),$B$252=1),$M$361,HLOOKUP(INDIRECT(ADDRESS(2,COLUMN())),OFFSET($CL$2,0,0,ROW()-1,84),ROW()-1,FALSE))</f>
        <v>1.7771072800000001</v>
      </c>
      <c r="N151">
        <f ca="1">IF(AND(ISNUMBER($N$361),$B$252=1),$N$361,HLOOKUP(INDIRECT(ADDRESS(2,COLUMN())),OFFSET($CL$2,0,0,ROW()-1,84),ROW()-1,FALSE))</f>
        <v>1.749490421</v>
      </c>
      <c r="O151">
        <f ca="1">IF(AND(ISNUMBER($O$361),$B$252=1),$O$361,HLOOKUP(INDIRECT(ADDRESS(2,COLUMN())),OFFSET($CL$2,0,0,ROW()-1,84),ROW()-1,FALSE))</f>
        <v>1.7475000000000001</v>
      </c>
      <c r="P151">
        <f ca="1">IF(AND(ISNUMBER($P$361),$B$252=1),$P$361,HLOOKUP(INDIRECT(ADDRESS(2,COLUMN())),OFFSET($CL$2,0,0,ROW()-1,84),ROW()-1,FALSE))</f>
        <v>1.7388505750000001</v>
      </c>
      <c r="Q151">
        <f ca="1">IF(AND(ISNUMBER($Q$361),$B$252=1),$Q$361,HLOOKUP(INDIRECT(ADDRESS(2,COLUMN())),OFFSET($CL$2,0,0,ROW()-1,84),ROW()-1,FALSE))</f>
        <v>1.7025192309999999</v>
      </c>
      <c r="R151">
        <f ca="1">IF(AND(ISNUMBER($R$361),$B$252=1),$R$361,HLOOKUP(INDIRECT(ADDRESS(2,COLUMN())),OFFSET($CL$2,0,0,ROW()-1,84),ROW()-1,FALSE))</f>
        <v>1.6815</v>
      </c>
      <c r="S151">
        <f ca="1">IF(AND(ISNUMBER($S$361),$B$252=1),$S$361,HLOOKUP(INDIRECT(ADDRESS(2,COLUMN())),OFFSET($CL$2,0,0,ROW()-1,84),ROW()-1,FALSE))</f>
        <v>1.680509579</v>
      </c>
      <c r="T151">
        <f ca="1">IF(AND(ISNUMBER($T$361),$B$252=1),$T$361,HLOOKUP(INDIRECT(ADDRESS(2,COLUMN())),OFFSET($CL$2,0,0,ROW()-1,84),ROW()-1,FALSE))</f>
        <v>1.717578544</v>
      </c>
      <c r="U151">
        <f ca="1">IF(AND(ISNUMBER($U$361),$B$252=1),$U$361,HLOOKUP(INDIRECT(ADDRESS(2,COLUMN())),OFFSET($CL$2,0,0,ROW()-1,84),ROW()-1,FALSE))</f>
        <v>1.71</v>
      </c>
      <c r="V151">
        <f ca="1">IF(AND(ISNUMBER($V$361),$B$252=1),$V$361,HLOOKUP(INDIRECT(ADDRESS(2,COLUMN())),OFFSET($CL$2,0,0,ROW()-1,84),ROW()-1,FALSE))</f>
        <v>1.701003831</v>
      </c>
      <c r="W151">
        <f ca="1">IF(AND(ISNUMBER($W$361),$B$252=1),$W$361,HLOOKUP(INDIRECT(ADDRESS(2,COLUMN())),OFFSET($CL$2,0,0,ROW()-1,84),ROW()-1,FALSE))</f>
        <v>1.6810306509999999</v>
      </c>
      <c r="X151">
        <f ca="1">IF(AND(ISNUMBER($X$361),$B$252=1),$X$361,HLOOKUP(INDIRECT(ADDRESS(2,COLUMN())),OFFSET($CL$2,0,0,ROW()-1,84),ROW()-1,FALSE))</f>
        <v>1.6884999999999999</v>
      </c>
      <c r="Y151">
        <f ca="1">IF(AND(ISNUMBER($Y$361),$B$252=1),$Y$361,HLOOKUP(INDIRECT(ADDRESS(2,COLUMN())),OFFSET($CL$2,0,0,ROW()-1,84),ROW()-1,FALSE))</f>
        <v>1.6843333330000001</v>
      </c>
      <c r="Z151">
        <f ca="1">IF(AND(ISNUMBER($Z$361),$B$252=1),$Z$361,HLOOKUP(INDIRECT(ADDRESS(2,COLUMN())),OFFSET($CL$2,0,0,ROW()-1,84),ROW()-1,FALSE))</f>
        <v>1.6779999999999999</v>
      </c>
      <c r="AA151">
        <f ca="1">IF(AND(ISNUMBER($AA$361),$B$252=1),$AA$361,HLOOKUP(INDIRECT(ADDRESS(2,COLUMN())),OFFSET($CL$2,0,0,ROW()-1,84),ROW()-1,FALSE))</f>
        <v>1.666291188</v>
      </c>
      <c r="AB151">
        <f ca="1">IF(AND(ISNUMBER($AB$361),$B$252=1),$AB$361,HLOOKUP(INDIRECT(ADDRESS(2,COLUMN())),OFFSET($CL$2,0,0,ROW()-1,84),ROW()-1,FALSE))</f>
        <v>1.6623448279999999</v>
      </c>
      <c r="AC151">
        <f ca="1">IF(AND(ISNUMBER($AC$361),$B$252=1),$AC$361,HLOOKUP(INDIRECT(ADDRESS(2,COLUMN())),OFFSET($CL$2,0,0,ROW()-1,84),ROW()-1,FALSE))</f>
        <v>1.6508461539999999</v>
      </c>
      <c r="AD151">
        <f ca="1">IF(AND(ISNUMBER($AD$361),$B$252=1),$AD$361,HLOOKUP(INDIRECT(ADDRESS(2,COLUMN())),OFFSET($CL$2,0,0,ROW()-1,84),ROW()-1,FALSE))</f>
        <v>1.6501302680000001</v>
      </c>
      <c r="AE151">
        <f ca="1">IF(AND(ISNUMBER($AE$361),$B$252=1),$AE$361,HLOOKUP(INDIRECT(ADDRESS(2,COLUMN())),OFFSET($CL$2,0,0,ROW()-1,84),ROW()-1,FALSE))</f>
        <v>1.640632184</v>
      </c>
      <c r="AF151">
        <f ca="1">IF(AND(ISNUMBER($AF$361),$B$252=1),$AF$361,HLOOKUP(INDIRECT(ADDRESS(2,COLUMN())),OFFSET($CL$2,0,0,ROW()-1,84),ROW()-1,FALSE))</f>
        <v>1.644153846</v>
      </c>
      <c r="AG151">
        <f ca="1">IF(AND(ISNUMBER($AG$361),$B$252=1),$AG$361,HLOOKUP(INDIRECT(ADDRESS(2,COLUMN())),OFFSET($CL$2,0,0,ROW()-1,84),ROW()-1,FALSE))</f>
        <v>1.6339999999999999</v>
      </c>
      <c r="AH151">
        <f ca="1">IF(AND(ISNUMBER($AH$361),$B$252=1),$AH$361,HLOOKUP(INDIRECT(ADDRESS(2,COLUMN())),OFFSET($CL$2,0,0,ROW()-1,84),ROW()-1,FALSE))</f>
        <v>1.6218511449999999</v>
      </c>
      <c r="AI151">
        <f ca="1">IF(AND(ISNUMBER($AI$361),$B$252=1),$AI$361,HLOOKUP(INDIRECT(ADDRESS(2,COLUMN())),OFFSET($CL$2,0,0,ROW()-1,84),ROW()-1,FALSE))</f>
        <v>1.6002000000000001</v>
      </c>
      <c r="AJ151">
        <f ca="1">IF(AND(ISNUMBER($AJ$361),$B$252=1),$AJ$361,HLOOKUP(INDIRECT(ADDRESS(2,COLUMN())),OFFSET($CL$2,0,0,ROW()-1,84),ROW()-1,FALSE))</f>
        <v>1.5832671760000001</v>
      </c>
      <c r="AK151">
        <f ca="1">IF(AND(ISNUMBER($AK$361),$B$252=1),$AK$361,HLOOKUP(INDIRECT(ADDRESS(2,COLUMN())),OFFSET($CL$2,0,0,ROW()-1,84),ROW()-1,FALSE))</f>
        <v>1.5746717560000001</v>
      </c>
      <c r="AL151">
        <f ca="1">IF(AND(ISNUMBER($AL$361),$B$252=1),$AL$361,HLOOKUP(INDIRECT(ADDRESS(2,COLUMN())),OFFSET($CL$2,0,0,ROW()-1,84),ROW()-1,FALSE))</f>
        <v>1.552596154</v>
      </c>
      <c r="AM151">
        <f ca="1">IF(AND(ISNUMBER($AM$361),$B$252=1),$AM$361,HLOOKUP(INDIRECT(ADDRESS(2,COLUMN())),OFFSET($CL$2,0,0,ROW()-1,84),ROW()-1,FALSE))</f>
        <v>1.5300458020000001</v>
      </c>
      <c r="AN151">
        <f ca="1">IF(AND(ISNUMBER($AN$361),$B$252=1),$AN$361,HLOOKUP(INDIRECT(ADDRESS(2,COLUMN())),OFFSET($CL$2,0,0,ROW()-1,84),ROW()-1,FALSE))</f>
        <v>1.511661538</v>
      </c>
      <c r="AO151">
        <f ca="1">IF(AND(ISNUMBER($AO$361),$B$252=1),$AO$361,HLOOKUP(INDIRECT(ADDRESS(2,COLUMN())),OFFSET($CL$2,0,0,ROW()-1,84),ROW()-1,FALSE))</f>
        <v>1.492597701</v>
      </c>
      <c r="AP151">
        <f ca="1">IF(AND(ISNUMBER($AP$361),$B$252=1),$AP$361,HLOOKUP(INDIRECT(ADDRESS(2,COLUMN())),OFFSET($CL$2,0,0,ROW()-1,84),ROW()-1,FALSE))</f>
        <v>1.468034351</v>
      </c>
      <c r="AQ151">
        <f ca="1">IF(AND(ISNUMBER($AQ$361),$B$252=1),$AQ$361,HLOOKUP(INDIRECT(ADDRESS(2,COLUMN())),OFFSET($CL$2,0,0,ROW()-1,84),ROW()-1,FALSE))</f>
        <v>1.4590307689999999</v>
      </c>
      <c r="AR151">
        <f ca="1">IF(AND(ISNUMBER($AR$361),$B$252=1),$AR$361,HLOOKUP(INDIRECT(ADDRESS(2,COLUMN())),OFFSET($CL$2,0,0,ROW()-1,84),ROW()-1,FALSE))</f>
        <v>1.479288462</v>
      </c>
      <c r="AS151">
        <f ca="1">IF(AND(ISNUMBER($AS$361),$B$252=1),$AS$361,HLOOKUP(INDIRECT(ADDRESS(2,COLUMN())),OFFSET($CL$2,0,0,ROW()-1,84),ROW()-1,FALSE))</f>
        <v>1.488</v>
      </c>
      <c r="AT151">
        <f ca="1">IF(AND(ISNUMBER($AT$361),$B$252=1),$AT$361,HLOOKUP(INDIRECT(ADDRESS(2,COLUMN())),OFFSET($CL$2,0,0,ROW()-1,84),ROW()-1,FALSE))</f>
        <v>1.464207692</v>
      </c>
      <c r="AU151">
        <f ca="1">IF(AND(ISNUMBER($AU$361),$B$252=1),$AU$361,HLOOKUP(INDIRECT(ADDRESS(2,COLUMN())),OFFSET($CL$2,0,0,ROW()-1,84),ROW()-1,FALSE))</f>
        <v>1.4326192310000001</v>
      </c>
      <c r="AV151">
        <f ca="1">IF(AND(ISNUMBER($AV$361),$B$252=1),$AV$361,HLOOKUP(INDIRECT(ADDRESS(2,COLUMN())),OFFSET($CL$2,0,0,ROW()-1,84),ROW()-1,FALSE))</f>
        <v>1.417701149</v>
      </c>
      <c r="AW151">
        <f ca="1">IF(AND(ISNUMBER($AW$361),$B$252=1),$AW$361,HLOOKUP(INDIRECT(ADDRESS(2,COLUMN())),OFFSET($CL$2,0,0,ROW()-1,84),ROW()-1,FALSE))</f>
        <v>1.3938923080000001</v>
      </c>
      <c r="AX151">
        <f ca="1">IF(AND(ISNUMBER($AX$361),$B$252=1),$AX$361,HLOOKUP(INDIRECT(ADDRESS(2,COLUMN())),OFFSET($CL$2,0,0,ROW()-1,84),ROW()-1,FALSE))</f>
        <v>1.383601533</v>
      </c>
      <c r="AY151">
        <f ca="1">IF(AND(ISNUMBER($AY$361),$B$252=1),$AY$361,HLOOKUP(INDIRECT(ADDRESS(2,COLUMN())),OFFSET($CL$2,0,0,ROW()-1,84),ROW()-1,FALSE))</f>
        <v>1.359574713</v>
      </c>
      <c r="AZ151">
        <f ca="1">IF(AND(ISNUMBER($AZ$361),$B$252=1),$AZ$361,HLOOKUP(INDIRECT(ADDRESS(2,COLUMN())),OFFSET($CL$2,0,0,ROW()-1,84),ROW()-1,FALSE))</f>
        <v>1.353865385</v>
      </c>
      <c r="BA151">
        <f ca="1">IF(AND(ISNUMBER($BA$361),$B$252=1),$BA$361,HLOOKUP(INDIRECT(ADDRESS(2,COLUMN())),OFFSET($CL$2,0,0,ROW()-1,84),ROW()-1,FALSE))</f>
        <v>1.351302682</v>
      </c>
      <c r="BB151">
        <f ca="1">IF(AND(ISNUMBER($BB$361),$B$252=1),$BB$361,HLOOKUP(INDIRECT(ADDRESS(2,COLUMN())),OFFSET($CL$2,0,0,ROW()-1,84),ROW()-1,FALSE))</f>
        <v>1.3525210729999999</v>
      </c>
      <c r="BC151">
        <f ca="1">IF(AND(ISNUMBER($BC$361),$B$252=1),$BC$361,HLOOKUP(INDIRECT(ADDRESS(2,COLUMN())),OFFSET($CL$2,0,0,ROW()-1,84),ROW()-1,FALSE))</f>
        <v>1.337769231</v>
      </c>
      <c r="BD151">
        <f ca="1">IF(AND(ISNUMBER($BD$361),$B$252=1),$BD$361,HLOOKUP(INDIRECT(ADDRESS(2,COLUMN())),OFFSET($CL$2,0,0,ROW()-1,84),ROW()-1,FALSE))</f>
        <v>1.3286307690000001</v>
      </c>
      <c r="BE151">
        <f ca="1">IF(AND(ISNUMBER($BE$361),$B$252=1),$BE$361,HLOOKUP(INDIRECT(ADDRESS(2,COLUMN())),OFFSET($CL$2,0,0,ROW()-1,84),ROW()-1,FALSE))</f>
        <v>1.3160000000000001</v>
      </c>
      <c r="BF151">
        <f ca="1">IF(AND(ISNUMBER($BF$361),$B$252=1),$BF$361,HLOOKUP(INDIRECT(ADDRESS(2,COLUMN())),OFFSET($CL$2,0,0,ROW()-1,84),ROW()-1,FALSE))</f>
        <v>1.3059230770000001</v>
      </c>
      <c r="BG151">
        <f ca="1">IF(AND(ISNUMBER($BG$361),$B$252=1),$BG$361,HLOOKUP(INDIRECT(ADDRESS(2,COLUMN())),OFFSET($CL$2,0,0,ROW()-1,84),ROW()-1,FALSE))</f>
        <v>1.306961686</v>
      </c>
      <c r="BH151">
        <f ca="1">IF(AND(ISNUMBER($BH$361),$B$252=1),$BH$361,HLOOKUP(INDIRECT(ADDRESS(2,COLUMN())),OFFSET($CL$2,0,0,ROW()-1,84),ROW()-1,FALSE))</f>
        <v>1.293022989</v>
      </c>
      <c r="BI151">
        <f ca="1">IF(AND(ISNUMBER($BI$361),$B$252=1),$BI$361,HLOOKUP(INDIRECT(ADDRESS(2,COLUMN())),OFFSET($CL$2,0,0,ROW()-1,84),ROW()-1,FALSE))</f>
        <v>1.283896154</v>
      </c>
      <c r="BJ151">
        <f ca="1">IF(AND(ISNUMBER($BJ$361),$B$252=1),$BJ$361,HLOOKUP(INDIRECT(ADDRESS(2,COLUMN())),OFFSET($CL$2,0,0,ROW()-1,84),ROW()-1,FALSE))</f>
        <v>1.272666667</v>
      </c>
      <c r="BK151">
        <f ca="1">IF(AND(ISNUMBER($BK$361),$B$252=1),$BK$361,HLOOKUP(INDIRECT(ADDRESS(2,COLUMN())),OFFSET($CL$2,0,0,ROW()-1,84),ROW()-1,FALSE))</f>
        <v>1.2483692310000001</v>
      </c>
      <c r="BL151">
        <f ca="1">IF(AND(ISNUMBER($BL$361),$B$252=1),$BL$361,HLOOKUP(INDIRECT(ADDRESS(2,COLUMN())),OFFSET($CL$2,0,0,ROW()-1,84),ROW()-1,FALSE))</f>
        <v>1.2353076919999999</v>
      </c>
      <c r="BM151">
        <f ca="1">IF(AND(ISNUMBER($BM$361),$B$252=1),$BM$361,HLOOKUP(INDIRECT(ADDRESS(2,COLUMN())),OFFSET($CL$2,0,0,ROW()-1,84),ROW()-1,FALSE))</f>
        <v>1.2229731800000001</v>
      </c>
      <c r="BN151">
        <f ca="1">IF(AND(ISNUMBER($BN$361),$B$252=1),$BN$361,HLOOKUP(INDIRECT(ADDRESS(2,COLUMN())),OFFSET($CL$2,0,0,ROW()-1,84),ROW()-1,FALSE))</f>
        <v>1.226746154</v>
      </c>
      <c r="BO151">
        <f ca="1">IF(AND(ISNUMBER($BO$361),$B$252=1),$BO$361,HLOOKUP(INDIRECT(ADDRESS(2,COLUMN())),OFFSET($CL$2,0,0,ROW()-1,84),ROW()-1,FALSE))</f>
        <v>1.2281455939999999</v>
      </c>
      <c r="BP151">
        <f ca="1">IF(AND(ISNUMBER($BP$361),$B$252=1),$BP$361,HLOOKUP(INDIRECT(ADDRESS(2,COLUMN())),OFFSET($CL$2,0,0,ROW()-1,84),ROW()-1,FALSE))</f>
        <v>1.2569885059999999</v>
      </c>
      <c r="BQ151">
        <f ca="1">IF(AND(ISNUMBER($BQ$361),$B$252=1),$BQ$361,HLOOKUP(INDIRECT(ADDRESS(2,COLUMN())),OFFSET($CL$2,0,0,ROW()-1,84),ROW()-1,FALSE))</f>
        <v>1.2509999999999999</v>
      </c>
      <c r="BR151">
        <f ca="1">IF(AND(ISNUMBER($BR$361),$B$252=1),$BR$361,HLOOKUP(INDIRECT(ADDRESS(2,COLUMN())),OFFSET($CL$2,0,0,ROW()-1,84),ROW()-1,FALSE))</f>
        <v>1.2710846149999999</v>
      </c>
      <c r="BS151">
        <f ca="1">IF(AND(ISNUMBER($BS$361),$B$252=1),$BS$361,HLOOKUP(INDIRECT(ADDRESS(2,COLUMN())),OFFSET($CL$2,0,0,ROW()-1,84),ROW()-1,FALSE))</f>
        <v>1.2663486589999999</v>
      </c>
      <c r="BT151">
        <f ca="1">IF(AND(ISNUMBER($BT$361),$B$252=1),$BT$361,HLOOKUP(INDIRECT(ADDRESS(2,COLUMN())),OFFSET($CL$2,0,0,ROW()-1,84),ROW()-1,FALSE))</f>
        <v>1.2423615379999999</v>
      </c>
      <c r="BU151">
        <f ca="1">IF(AND(ISNUMBER($BU$361),$B$252=1),$BU$361,HLOOKUP(INDIRECT(ADDRESS(2,COLUMN())),OFFSET($CL$2,0,0,ROW()-1,84),ROW()-1,FALSE))</f>
        <v>1.2345923080000001</v>
      </c>
      <c r="BV151">
        <f ca="1">IF(AND(ISNUMBER($BV$361),$B$252=1),$BV$361,HLOOKUP(INDIRECT(ADDRESS(2,COLUMN())),OFFSET($CL$2,0,0,ROW()-1,84),ROW()-1,FALSE))</f>
        <v>1.2234904209999999</v>
      </c>
      <c r="BW151">
        <f ca="1">IF(AND(ISNUMBER($BW$361),$B$252=1),$BW$361,HLOOKUP(INDIRECT(ADDRESS(2,COLUMN())),OFFSET($CL$2,0,0,ROW()-1,84),ROW()-1,FALSE))</f>
        <v>1.218142308</v>
      </c>
      <c r="BX151">
        <f ca="1">IF(AND(ISNUMBER($BX$361),$B$252=1),$BX$361,HLOOKUP(INDIRECT(ADDRESS(2,COLUMN())),OFFSET($CL$2,0,0,ROW()-1,84),ROW()-1,FALSE))</f>
        <v>1.222344828</v>
      </c>
      <c r="BY151">
        <f ca="1">IF(AND(ISNUMBER($BY$361),$B$252=1),$BY$361,HLOOKUP(INDIRECT(ADDRESS(2,COLUMN())),OFFSET($CL$2,0,0,ROW()-1,84),ROW()-1,FALSE))</f>
        <v>1.222927203</v>
      </c>
      <c r="BZ151">
        <f ca="1">IF(AND(ISNUMBER($BZ$361),$B$252=1),$BZ$361,HLOOKUP(INDIRECT(ADDRESS(2,COLUMN())),OFFSET($CL$2,0,0,ROW()-1,84),ROW()-1,FALSE))</f>
        <v>1.2428153850000001</v>
      </c>
      <c r="CA151">
        <f ca="1">IF(AND(ISNUMBER($CA$361),$B$252=1),$CA$361,HLOOKUP(INDIRECT(ADDRESS(2,COLUMN())),OFFSET($CL$2,0,0,ROW()-1,84),ROW()-1,FALSE))</f>
        <v>1.237770115</v>
      </c>
      <c r="CB151">
        <f ca="1">IF(AND(ISNUMBER($CB$361),$B$252=1),$CB$361,HLOOKUP(INDIRECT(ADDRESS(2,COLUMN())),OFFSET($CL$2,0,0,ROW()-1,84),ROW()-1,FALSE))</f>
        <v>1.258041985</v>
      </c>
      <c r="CC151">
        <f ca="1">IF(AND(ISNUMBER($CC$361),$B$252=1),$CC$361,HLOOKUP(INDIRECT(ADDRESS(2,COLUMN())),OFFSET($CL$2,0,0,ROW()-1,84),ROW()-1,FALSE))</f>
        <v>1.2529999999999999</v>
      </c>
      <c r="CD151">
        <f ca="1">IF(AND(ISNUMBER($CD$361),$B$252=1),$CD$361,HLOOKUP(INDIRECT(ADDRESS(2,COLUMN())),OFFSET($CL$2,0,0,ROW()-1,84),ROW()-1,FALSE))</f>
        <v>1.237816794</v>
      </c>
      <c r="CE151">
        <f ca="1">IF(AND(ISNUMBER($CE$361),$B$252=1),$CE$361,HLOOKUP(INDIRECT(ADDRESS(2,COLUMN())),OFFSET($CL$2,0,0,ROW()-1,84),ROW()-1,FALSE))</f>
        <v>1.2113053439999999</v>
      </c>
      <c r="CF151">
        <f ca="1">IF(AND(ISNUMBER($CF$361),$B$252=1),$CF$361,HLOOKUP(INDIRECT(ADDRESS(2,COLUMN())),OFFSET($CL$2,0,0,ROW()-1,84),ROW()-1,FALSE))</f>
        <v>1.1877500000000001</v>
      </c>
      <c r="CG151">
        <f ca="1">IF(AND(ISNUMBER($CG$361),$B$252=1),$CG$361,HLOOKUP(INDIRECT(ADDRESS(2,COLUMN())),OFFSET($CL$2,0,0,ROW()-1,84),ROW()-1,FALSE))</f>
        <v>1.1755229009999999</v>
      </c>
      <c r="CH151">
        <f ca="1">IF(AND(ISNUMBER($CH$361),$B$252=1),$CH$361,HLOOKUP(INDIRECT(ADDRESS(2,COLUMN())),OFFSET($CL$2,0,0,ROW()-1,84),ROW()-1,FALSE))</f>
        <v>1.1333461540000001</v>
      </c>
      <c r="CI151">
        <f ca="1">IF(AND(ISNUMBER($CI$361),$B$252=1),$CI$361,HLOOKUP(INDIRECT(ADDRESS(2,COLUMN())),OFFSET($CL$2,0,0,ROW()-1,84),ROW()-1,FALSE))</f>
        <v>1.1303026819999999</v>
      </c>
      <c r="CJ151">
        <f ca="1">IF(AND(ISNUMBER($CJ$361),$B$252=1),$CJ$361,HLOOKUP(INDIRECT(ADDRESS(2,COLUMN())),OFFSET($CL$2,0,0,ROW()-1,84),ROW()-1,FALSE))</f>
        <v>1.1227633589999999</v>
      </c>
      <c r="CK151">
        <f ca="1">IF(AND(ISNUMBER($CK$361),$B$252=1),$CK$361,HLOOKUP(INDIRECT(ADDRESS(2,COLUMN())),OFFSET($CL$2,0,0,ROW()-1,84),ROW()-1,FALSE))</f>
        <v>1.096615385</v>
      </c>
      <c r="CL151">
        <f>1.810123077</f>
        <v>1.8101230770000001</v>
      </c>
      <c r="CM151">
        <f>1.803969349</f>
        <v>1.8039693489999999</v>
      </c>
      <c r="CN151">
        <f>1.813812261</f>
        <v>1.813812261</v>
      </c>
      <c r="CO151">
        <f>1.8</f>
        <v>1.8</v>
      </c>
      <c r="CP151">
        <f>1.791954023</f>
        <v>1.791954023</v>
      </c>
      <c r="CQ151">
        <f>1.786030651</f>
        <v>1.7860306509999999</v>
      </c>
      <c r="CR151">
        <f>1.77725</f>
        <v>1.77725</v>
      </c>
      <c r="CS151">
        <f>1.77710728</f>
        <v>1.7771072800000001</v>
      </c>
      <c r="CT151">
        <f>1.749490421</f>
        <v>1.749490421</v>
      </c>
      <c r="CU151">
        <f>1.7475</f>
        <v>1.7475000000000001</v>
      </c>
      <c r="CV151">
        <f>1.738850575</f>
        <v>1.7388505750000001</v>
      </c>
      <c r="CW151">
        <f>1.702519231</f>
        <v>1.7025192309999999</v>
      </c>
      <c r="CX151">
        <f>1.6815</f>
        <v>1.6815</v>
      </c>
      <c r="CY151">
        <f>1.680509579</f>
        <v>1.680509579</v>
      </c>
      <c r="CZ151">
        <f>1.717578544</f>
        <v>1.717578544</v>
      </c>
      <c r="DA151">
        <f>1.71</f>
        <v>1.71</v>
      </c>
      <c r="DB151">
        <f>1.701003831</f>
        <v>1.701003831</v>
      </c>
      <c r="DC151">
        <f>1.681030651</f>
        <v>1.6810306509999999</v>
      </c>
      <c r="DD151">
        <f>1.6885</f>
        <v>1.6884999999999999</v>
      </c>
      <c r="DE151">
        <f>1.684333333</f>
        <v>1.6843333330000001</v>
      </c>
      <c r="DF151">
        <f>1.678</f>
        <v>1.6779999999999999</v>
      </c>
      <c r="DG151">
        <f>1.666291188</f>
        <v>1.666291188</v>
      </c>
      <c r="DH151">
        <f>1.662344828</f>
        <v>1.6623448279999999</v>
      </c>
      <c r="DI151">
        <f>1.650846154</f>
        <v>1.6508461539999999</v>
      </c>
      <c r="DJ151">
        <f>1.650130268</f>
        <v>1.6501302680000001</v>
      </c>
      <c r="DK151">
        <f>1.640632184</f>
        <v>1.640632184</v>
      </c>
      <c r="DL151">
        <f>1.644153846</f>
        <v>1.644153846</v>
      </c>
      <c r="DM151">
        <f>1.634</f>
        <v>1.6339999999999999</v>
      </c>
      <c r="DN151">
        <f>1.621851145</f>
        <v>1.6218511449999999</v>
      </c>
      <c r="DO151">
        <f>1.6002</f>
        <v>1.6002000000000001</v>
      </c>
      <c r="DP151">
        <f>1.583267176</f>
        <v>1.5832671760000001</v>
      </c>
      <c r="DQ151">
        <f>1.574671756</f>
        <v>1.5746717560000001</v>
      </c>
      <c r="DR151">
        <f>1.552596154</f>
        <v>1.552596154</v>
      </c>
      <c r="DS151">
        <f>1.530045802</f>
        <v>1.5300458020000001</v>
      </c>
      <c r="DT151">
        <f>1.511661538</f>
        <v>1.511661538</v>
      </c>
      <c r="DU151">
        <f>1.492597701</f>
        <v>1.492597701</v>
      </c>
      <c r="DV151">
        <f>1.468034351</f>
        <v>1.468034351</v>
      </c>
      <c r="DW151">
        <f>1.459030769</f>
        <v>1.4590307689999999</v>
      </c>
      <c r="DX151">
        <f>1.479288462</f>
        <v>1.479288462</v>
      </c>
      <c r="DY151">
        <f>1.488</f>
        <v>1.488</v>
      </c>
      <c r="DZ151">
        <f>1.464207692</f>
        <v>1.464207692</v>
      </c>
      <c r="EA151">
        <f>1.432619231</f>
        <v>1.4326192310000001</v>
      </c>
      <c r="EB151">
        <f>1.417701149</f>
        <v>1.417701149</v>
      </c>
      <c r="EC151">
        <f>1.393892308</f>
        <v>1.3938923080000001</v>
      </c>
      <c r="ED151">
        <f>1.383601533</f>
        <v>1.383601533</v>
      </c>
      <c r="EE151">
        <f>1.359574713</f>
        <v>1.359574713</v>
      </c>
      <c r="EF151">
        <f>1.353865385</f>
        <v>1.353865385</v>
      </c>
      <c r="EG151">
        <f>1.351302682</f>
        <v>1.351302682</v>
      </c>
      <c r="EH151">
        <f>1.352521073</f>
        <v>1.3525210729999999</v>
      </c>
      <c r="EI151">
        <f>1.337769231</f>
        <v>1.337769231</v>
      </c>
      <c r="EJ151">
        <f>1.328630769</f>
        <v>1.3286307690000001</v>
      </c>
      <c r="EK151">
        <f>1.316</f>
        <v>1.3160000000000001</v>
      </c>
      <c r="EL151">
        <f>1.305923077</f>
        <v>1.3059230770000001</v>
      </c>
      <c r="EM151">
        <f>1.306961686</f>
        <v>1.306961686</v>
      </c>
      <c r="EN151">
        <f>1.293022989</f>
        <v>1.293022989</v>
      </c>
      <c r="EO151">
        <f>1.283896154</f>
        <v>1.283896154</v>
      </c>
      <c r="EP151">
        <f>1.272666667</f>
        <v>1.272666667</v>
      </c>
      <c r="EQ151">
        <f>1.248369231</f>
        <v>1.2483692310000001</v>
      </c>
      <c r="ER151">
        <f>1.235307692</f>
        <v>1.2353076919999999</v>
      </c>
      <c r="ES151">
        <f>1.22297318</f>
        <v>1.2229731800000001</v>
      </c>
      <c r="ET151">
        <f>1.226746154</f>
        <v>1.226746154</v>
      </c>
      <c r="EU151">
        <f>1.228145594</f>
        <v>1.2281455939999999</v>
      </c>
      <c r="EV151">
        <f>1.256988506</f>
        <v>1.2569885059999999</v>
      </c>
      <c r="EW151">
        <f>1.251</f>
        <v>1.2509999999999999</v>
      </c>
      <c r="EX151">
        <f>1.271084615</f>
        <v>1.2710846149999999</v>
      </c>
      <c r="EY151">
        <f>1.266348659</f>
        <v>1.2663486589999999</v>
      </c>
      <c r="EZ151">
        <f>1.242361538</f>
        <v>1.2423615379999999</v>
      </c>
      <c r="FA151">
        <f>1.234592308</f>
        <v>1.2345923080000001</v>
      </c>
      <c r="FB151">
        <f>1.223490421</f>
        <v>1.2234904209999999</v>
      </c>
      <c r="FC151">
        <f>1.218142308</f>
        <v>1.218142308</v>
      </c>
      <c r="FD151">
        <f>1.222344828</f>
        <v>1.222344828</v>
      </c>
      <c r="FE151">
        <f>1.222927203</f>
        <v>1.222927203</v>
      </c>
      <c r="FF151">
        <f>1.242815385</f>
        <v>1.2428153850000001</v>
      </c>
      <c r="FG151">
        <f>1.237770115</f>
        <v>1.237770115</v>
      </c>
      <c r="FH151">
        <f>1.258041985</f>
        <v>1.258041985</v>
      </c>
      <c r="FI151">
        <f>1.253</f>
        <v>1.2529999999999999</v>
      </c>
      <c r="FJ151">
        <f>1.237816794</f>
        <v>1.237816794</v>
      </c>
      <c r="FK151">
        <f>1.211305344</f>
        <v>1.2113053439999999</v>
      </c>
      <c r="FL151">
        <f>1.18775</f>
        <v>1.1877500000000001</v>
      </c>
      <c r="FM151">
        <f>1.175522901</f>
        <v>1.1755229009999999</v>
      </c>
      <c r="FN151">
        <f>1.133346154</f>
        <v>1.1333461540000001</v>
      </c>
      <c r="FO151">
        <f>1.130302682</f>
        <v>1.1303026819999999</v>
      </c>
      <c r="FP151">
        <f>1.122763359</f>
        <v>1.1227633589999999</v>
      </c>
      <c r="FQ151">
        <f>1.096615385</f>
        <v>1.096615385</v>
      </c>
    </row>
    <row r="152" spans="1:173">
      <c r="A152" t="str">
        <f>"2017年预测每股FAD"</f>
        <v>2017年预测每股FAD</v>
      </c>
      <c r="B152" t="str">
        <f>""</f>
        <v/>
      </c>
      <c r="E152" t="str">
        <f>"Sum"</f>
        <v>Sum</v>
      </c>
      <c r="F152" t="str">
        <f ca="1">IF(ISERROR(IF(SUM($F$153:$F$160) = 0, "", SUM($F$153:$F$160))), "", (IF(SUM($F$153:$F$160) = 0, "", SUM($F$153:$F$160))))</f>
        <v/>
      </c>
      <c r="G152" t="str">
        <f ca="1">IF(ISERROR(IF(SUM($G$153:$G$160) = 0, "", SUM($G$153:$G$160))), "", (IF(SUM($G$153:$G$160) = 0, "", SUM($G$153:$G$160))))</f>
        <v/>
      </c>
      <c r="H152">
        <f ca="1">IF(ISERROR(IF(SUM($H$153:$H$160) = 0, "", SUM($H$153:$H$160))), "", (IF(SUM($H$153:$H$160) = 0, "", SUM($H$153:$H$160))))</f>
        <v>34.529999999999994</v>
      </c>
      <c r="I152">
        <f ca="1">IF(ISERROR(IF(SUM($I$153:$I$160) = 0, "", SUM($I$153:$I$160))), "", (IF(SUM($I$153:$I$160) = 0, "", SUM($I$153:$I$160))))</f>
        <v>34.402999999999999</v>
      </c>
      <c r="J152">
        <f ca="1">IF(ISERROR(IF(SUM($J$153:$J$160) = 0, "", SUM($J$153:$J$160))), "", (IF(SUM($J$153:$J$160) = 0, "", SUM($J$153:$J$160))))</f>
        <v>34.395000000000003</v>
      </c>
      <c r="K152">
        <f ca="1">IF(ISERROR(IF(SUM($K$153:$K$160) = 0, "", SUM($K$153:$K$160))), "", (IF(SUM($K$153:$K$160) = 0, "", SUM($K$153:$K$160))))</f>
        <v>34.541000000000004</v>
      </c>
      <c r="L152">
        <f ca="1">IF(ISERROR(IF(SUM($L$153:$L$160) = 0, "", SUM($L$153:$L$160))), "", (IF(SUM($L$153:$L$160) = 0, "", SUM($L$153:$L$160))))</f>
        <v>35.053000000000004</v>
      </c>
      <c r="M152">
        <f ca="1">IF(ISERROR(IF(SUM($M$153:$M$160) = 0, "", SUM($M$153:$M$160))), "", (IF(SUM($M$153:$M$160) = 0, "", SUM($M$153:$M$160))))</f>
        <v>35.112000000000002</v>
      </c>
      <c r="N152">
        <f ca="1">IF(ISERROR(IF(SUM($N$153:$N$160) = 0, "", SUM($N$153:$N$160))), "", (IF(SUM($N$153:$N$160) = 0, "", SUM($N$153:$N$160))))</f>
        <v>35.165999999999997</v>
      </c>
      <c r="O152">
        <f ca="1">IF(ISERROR(IF(SUM($O$153:$O$160) = 0, "", SUM($O$153:$O$160))), "", (IF(SUM($O$153:$O$160) = 0, "", SUM($O$153:$O$160))))</f>
        <v>35.033000000000001</v>
      </c>
      <c r="P152">
        <f ca="1">IF(ISERROR(IF(SUM($P$153:$P$160) = 0, "", SUM($P$153:$P$160))), "", (IF(SUM($P$153:$P$160) = 0, "", SUM($P$153:$P$160))))</f>
        <v>35.034999999999997</v>
      </c>
      <c r="Q152">
        <f ca="1">IF(ISERROR(IF(SUM($Q$153:$Q$160) = 0, "", SUM($Q$153:$Q$160))), "", (IF(SUM($Q$153:$Q$160) = 0, "", SUM($Q$153:$Q$160))))</f>
        <v>34.953999999999994</v>
      </c>
      <c r="R152">
        <f ca="1">IF(ISERROR(IF(SUM($R$153:$R$160) = 0, "", SUM($R$153:$R$160))), "", (IF(SUM($R$153:$R$160) = 0, "", SUM($R$153:$R$160))))</f>
        <v>34.752999999999993</v>
      </c>
      <c r="S152">
        <f ca="1">IF(ISERROR(IF(SUM($S$153:$S$160) = 0, "", SUM($S$153:$S$160))), "", (IF(SUM($S$153:$S$160) = 0, "", SUM($S$153:$S$160))))</f>
        <v>34.770000000000003</v>
      </c>
      <c r="T152">
        <f ca="1">IF(ISERROR(IF(SUM($T$153:$T$160) = 0, "", SUM($T$153:$T$160))), "", (IF(SUM($T$153:$T$160) = 0, "", SUM($T$153:$T$160))))</f>
        <v>35.265000000000001</v>
      </c>
      <c r="U152">
        <f ca="1">IF(ISERROR(IF(SUM($U$153:$U$160) = 0, "", SUM($U$153:$U$160))), "", (IF(SUM($U$153:$U$160) = 0, "", SUM($U$153:$U$160))))</f>
        <v>35.315000000000005</v>
      </c>
      <c r="V152">
        <f ca="1">IF(ISERROR(IF(SUM($V$153:$V$160) = 0, "", SUM($V$153:$V$160))), "", (IF(SUM($V$153:$V$160) = 0, "", SUM($V$153:$V$160))))</f>
        <v>35.458000000000006</v>
      </c>
      <c r="W152">
        <f ca="1">IF(ISERROR(IF(SUM($W$153:$W$160) = 0, "", SUM($W$153:$W$160))), "", (IF(SUM($W$153:$W$160) = 0, "", SUM($W$153:$W$160))))</f>
        <v>35.419999999999995</v>
      </c>
      <c r="X152">
        <f ca="1">IF(ISERROR(IF(SUM($X$153:$X$160) = 0, "", SUM($X$153:$X$160))), "", (IF(SUM($X$153:$X$160) = 0, "", SUM($X$153:$X$160))))</f>
        <v>35.515000000000001</v>
      </c>
      <c r="Y152">
        <f ca="1">IF(ISERROR(IF(SUM($Y$153:$Y$160) = 0, "", SUM($Y$153:$Y$160))), "", (IF(SUM($Y$153:$Y$160) = 0, "", SUM($Y$153:$Y$160))))</f>
        <v>35.525000000000006</v>
      </c>
      <c r="Z152">
        <f ca="1">IF(ISERROR(IF(SUM($Z$153:$Z$160) = 0, "", SUM($Z$153:$Z$160))), "", (IF(SUM($Z$153:$Z$160) = 0, "", SUM($Z$153:$Z$160))))</f>
        <v>35.832999999999998</v>
      </c>
      <c r="AA152">
        <f ca="1">IF(ISERROR(IF(SUM($AA$153:$AA$160) = 0, "", SUM($AA$153:$AA$160))), "", (IF(SUM($AA$153:$AA$160) = 0, "", SUM($AA$153:$AA$160))))</f>
        <v>35.980000000000004</v>
      </c>
      <c r="AB152">
        <f ca="1">IF(ISERROR(IF(SUM($AB$153:$AB$160) = 0, "", SUM($AB$153:$AB$160))), "", (IF(SUM($AB$153:$AB$160) = 0, "", SUM($AB$153:$AB$160))))</f>
        <v>36.041000000000004</v>
      </c>
      <c r="AC152">
        <f ca="1">IF(ISERROR(IF(SUM($AC$153:$AC$160) = 0, "", SUM($AC$153:$AC$160))), "", (IF(SUM($AC$153:$AC$160) = 0, "", SUM($AC$153:$AC$160))))</f>
        <v>35.975000000000009</v>
      </c>
      <c r="AD152">
        <f ca="1">IF(ISERROR(IF(SUM($AD$153:$AD$160) = 0, "", SUM($AD$153:$AD$160))), "", (IF(SUM($AD$153:$AD$160) = 0, "", SUM($AD$153:$AD$160))))</f>
        <v>36.161999999999999</v>
      </c>
      <c r="AE152">
        <f ca="1">IF(ISERROR(IF(SUM($AE$153:$AE$160) = 0, "", SUM($AE$153:$AE$160))), "", (IF(SUM($AE$153:$AE$160) = 0, "", SUM($AE$153:$AE$160))))</f>
        <v>36.765000000000001</v>
      </c>
      <c r="AF152">
        <f ca="1">IF(ISERROR(IF(SUM($AF$153:$AF$160) = 0, "", SUM($AF$153:$AF$160))), "", (IF(SUM($AF$153:$AF$160) = 0, "", SUM($AF$153:$AF$160))))</f>
        <v>36.978000000000002</v>
      </c>
      <c r="AG152">
        <f ca="1">IF(ISERROR(IF(SUM($AG$153:$AG$160) = 0, "", SUM($AG$153:$AG$160))), "", (IF(SUM($AG$153:$AG$160) = 0, "", SUM($AG$153:$AG$160))))</f>
        <v>36.981000000000002</v>
      </c>
      <c r="AH152">
        <f ca="1">IF(ISERROR(IF(SUM($AH$153:$AH$160) = 0, "", SUM($AH$153:$AH$160))), "", (IF(SUM($AH$153:$AH$160) = 0, "", SUM($AH$153:$AH$160))))</f>
        <v>36.677</v>
      </c>
      <c r="AI152">
        <f ca="1">IF(ISERROR(IF(SUM($AI$153:$AI$160) = 0, "", SUM($AI$153:$AI$160))), "", (IF(SUM($AI$153:$AI$160) = 0, "", SUM($AI$153:$AI$160))))</f>
        <v>36.622</v>
      </c>
      <c r="AJ152">
        <f ca="1">IF(ISERROR(IF(SUM($AJ$153:$AJ$160) = 0, "", SUM($AJ$153:$AJ$160))), "", (IF(SUM($AJ$153:$AJ$160) = 0, "", SUM($AJ$153:$AJ$160))))</f>
        <v>25.280999999999999</v>
      </c>
      <c r="AK152">
        <f ca="1">IF(ISERROR(IF(SUM($AK$153:$AK$160) = 0, "", SUM($AK$153:$AK$160))), "", (IF(SUM($AK$153:$AK$160) = 0, "", SUM($AK$153:$AK$160))))</f>
        <v>33.35</v>
      </c>
      <c r="AL152">
        <f ca="1">IF(ISERROR(IF(SUM($AL$153:$AL$160) = 0, "", SUM($AL$153:$AL$160))), "", (IF(SUM($AL$153:$AL$160) = 0, "", SUM($AL$153:$AL$160))))</f>
        <v>33.935000000000002</v>
      </c>
      <c r="AM152">
        <f ca="1">IF(ISERROR(IF(SUM($AM$153:$AM$160) = 0, "", SUM($AM$153:$AM$160))), "", (IF(SUM($AM$153:$AM$160) = 0, "", SUM($AM$153:$AM$160))))</f>
        <v>7.13</v>
      </c>
      <c r="AN152">
        <f ca="1">IF(ISERROR(IF(SUM($AN$153:$AN$160) = 0, "", SUM($AN$153:$AN$160))), "", (IF(SUM($AN$153:$AN$160) = 0, "", SUM($AN$153:$AN$160))))</f>
        <v>17.630000000000003</v>
      </c>
      <c r="AO152">
        <f ca="1">IF(ISERROR(IF(SUM($AO$153:$AO$160) = 0, "", SUM($AO$153:$AO$160))), "", (IF(SUM($AO$153:$AO$160) = 0, "", SUM($AO$153:$AO$160))))</f>
        <v>32.824999999999996</v>
      </c>
      <c r="AP152">
        <f ca="1">IF(ISERROR(IF(SUM($AP$153:$AP$160) = 0, "", SUM($AP$153:$AP$160))), "", (IF(SUM($AP$153:$AP$160) = 0, "", SUM($AP$153:$AP$160))))</f>
        <v>10.039999999999999</v>
      </c>
      <c r="AQ152">
        <f ca="1">IF(ISERROR(IF(SUM($AQ$153:$AQ$160) = 0, "", SUM($AQ$153:$AQ$160))), "", (IF(SUM($AQ$153:$AQ$160) = 0, "", SUM($AQ$153:$AQ$160))))</f>
        <v>14.999999999999998</v>
      </c>
      <c r="AR152">
        <f ca="1">IF(ISERROR(IF(SUM($AR$153:$AR$160) = 0, "", SUM($AR$153:$AR$160))), "", (IF(SUM($AR$153:$AR$160) = 0, "", SUM($AR$153:$AR$160))))</f>
        <v>12.09</v>
      </c>
      <c r="AS152" t="str">
        <f ca="1">IF(ISERROR(IF(SUM($AS$153:$AS$160) = 0, "", SUM($AS$153:$AS$160))), "", (IF(SUM($AS$153:$AS$160) = 0, "", SUM($AS$153:$AS$160))))</f>
        <v/>
      </c>
      <c r="AT152" t="str">
        <f ca="1">IF(ISERROR(IF(SUM($AT$153:$AT$160) = 0, "", SUM($AT$153:$AT$160))), "", (IF(SUM($AT$153:$AT$160) = 0, "", SUM($AT$153:$AT$160))))</f>
        <v/>
      </c>
      <c r="AU152" t="str">
        <f ca="1">IF(ISERROR(IF(SUM($AU$153:$AU$160) = 0, "", SUM($AU$153:$AU$160))), "", (IF(SUM($AU$153:$AU$160) = 0, "", SUM($AU$153:$AU$160))))</f>
        <v/>
      </c>
      <c r="AV152" t="str">
        <f ca="1">IF(ISERROR(IF(SUM($AV$153:$AV$160) = 0, "", SUM($AV$153:$AV$160))), "", (IF(SUM($AV$153:$AV$160) = 0, "", SUM($AV$153:$AV$160))))</f>
        <v/>
      </c>
      <c r="AW152" t="str">
        <f ca="1">IF(ISERROR(IF(SUM($AW$153:$AW$160) = 0, "", SUM($AW$153:$AW$160))), "", (IF(SUM($AW$153:$AW$160) = 0, "", SUM($AW$153:$AW$160))))</f>
        <v/>
      </c>
      <c r="AX152" t="str">
        <f ca="1">IF(ISERROR(IF(SUM($AX$153:$AX$160) = 0, "", SUM($AX$153:$AX$160))), "", (IF(SUM($AX$153:$AX$160) = 0, "", SUM($AX$153:$AX$160))))</f>
        <v/>
      </c>
      <c r="AY152" t="str">
        <f ca="1">IF(ISERROR(IF(SUM($AY$153:$AY$160) = 0, "", SUM($AY$153:$AY$160))), "", (IF(SUM($AY$153:$AY$160) = 0, "", SUM($AY$153:$AY$160))))</f>
        <v/>
      </c>
      <c r="AZ152" t="str">
        <f ca="1">IF(ISERROR(IF(SUM($AZ$153:$AZ$160) = 0, "", SUM($AZ$153:$AZ$160))), "", (IF(SUM($AZ$153:$AZ$160) = 0, "", SUM($AZ$153:$AZ$160))))</f>
        <v/>
      </c>
      <c r="BA152" t="str">
        <f ca="1">IF(ISERROR(IF(SUM($BA$153:$BA$160) = 0, "", SUM($BA$153:$BA$160))), "", (IF(SUM($BA$153:$BA$160) = 0, "", SUM($BA$153:$BA$160))))</f>
        <v/>
      </c>
      <c r="BB152" t="str">
        <f ca="1">IF(ISERROR(IF(SUM($BB$153:$BB$160) = 0, "", SUM($BB$153:$BB$160))), "", (IF(SUM($BB$153:$BB$160) = 0, "", SUM($BB$153:$BB$160))))</f>
        <v/>
      </c>
      <c r="BC152" t="str">
        <f ca="1">IF(ISERROR(IF(SUM($BC$153:$BC$160) = 0, "", SUM($BC$153:$BC$160))), "", (IF(SUM($BC$153:$BC$160) = 0, "", SUM($BC$153:$BC$160))))</f>
        <v/>
      </c>
      <c r="BD152" t="str">
        <f ca="1">IF(ISERROR(IF(SUM($BD$153:$BD$160) = 0, "", SUM($BD$153:$BD$160))), "", (IF(SUM($BD$153:$BD$160) = 0, "", SUM($BD$153:$BD$160))))</f>
        <v/>
      </c>
      <c r="BE152" t="str">
        <f ca="1">IF(ISERROR(IF(SUM($BE$153:$BE$160) = 0, "", SUM($BE$153:$BE$160))), "", (IF(SUM($BE$153:$BE$160) = 0, "", SUM($BE$153:$BE$160))))</f>
        <v/>
      </c>
      <c r="BF152" t="str">
        <f ca="1">IF(ISERROR(IF(SUM($BF$153:$BF$160) = 0, "", SUM($BF$153:$BF$160))), "", (IF(SUM($BF$153:$BF$160) = 0, "", SUM($BF$153:$BF$160))))</f>
        <v/>
      </c>
      <c r="BG152" t="str">
        <f ca="1">IF(ISERROR(IF(SUM($BG$153:$BG$160) = 0, "", SUM($BG$153:$BG$160))), "", (IF(SUM($BG$153:$BG$160) = 0, "", SUM($BG$153:$BG$160))))</f>
        <v/>
      </c>
      <c r="BH152" t="str">
        <f ca="1">IF(ISERROR(IF(SUM($BH$153:$BH$160) = 0, "", SUM($BH$153:$BH$160))), "", (IF(SUM($BH$153:$BH$160) = 0, "", SUM($BH$153:$BH$160))))</f>
        <v/>
      </c>
      <c r="BI152" t="str">
        <f ca="1">IF(ISERROR(IF(SUM($BI$153:$BI$160) = 0, "", SUM($BI$153:$BI$160))), "", (IF(SUM($BI$153:$BI$160) = 0, "", SUM($BI$153:$BI$160))))</f>
        <v/>
      </c>
      <c r="BJ152" t="str">
        <f ca="1">IF(ISERROR(IF(SUM($BJ$153:$BJ$160) = 0, "", SUM($BJ$153:$BJ$160))), "", (IF(SUM($BJ$153:$BJ$160) = 0, "", SUM($BJ$153:$BJ$160))))</f>
        <v/>
      </c>
      <c r="BK152" t="str">
        <f ca="1">IF(ISERROR(IF(SUM($BK$153:$BK$160) = 0, "", SUM($BK$153:$BK$160))), "", (IF(SUM($BK$153:$BK$160) = 0, "", SUM($BK$153:$BK$160))))</f>
        <v/>
      </c>
      <c r="BL152" t="str">
        <f ca="1">IF(ISERROR(IF(SUM($BL$153:$BL$160) = 0, "", SUM($BL$153:$BL$160))), "", (IF(SUM($BL$153:$BL$160) = 0, "", SUM($BL$153:$BL$160))))</f>
        <v/>
      </c>
      <c r="BM152" t="str">
        <f ca="1">IF(ISERROR(IF(SUM($BM$153:$BM$160) = 0, "", SUM($BM$153:$BM$160))), "", (IF(SUM($BM$153:$BM$160) = 0, "", SUM($BM$153:$BM$160))))</f>
        <v/>
      </c>
      <c r="BN152" t="str">
        <f ca="1">IF(ISERROR(IF(SUM($BN$153:$BN$160) = 0, "", SUM($BN$153:$BN$160))), "", (IF(SUM($BN$153:$BN$160) = 0, "", SUM($BN$153:$BN$160))))</f>
        <v/>
      </c>
      <c r="BO152" t="str">
        <f ca="1">IF(ISERROR(IF(SUM($BO$153:$BO$160) = 0, "", SUM($BO$153:$BO$160))), "", (IF(SUM($BO$153:$BO$160) = 0, "", SUM($BO$153:$BO$160))))</f>
        <v/>
      </c>
      <c r="BP152" t="str">
        <f ca="1">IF(ISERROR(IF(SUM($BP$153:$BP$160) = 0, "", SUM($BP$153:$BP$160))), "", (IF(SUM($BP$153:$BP$160) = 0, "", SUM($BP$153:$BP$160))))</f>
        <v/>
      </c>
      <c r="BQ152" t="str">
        <f ca="1">IF(ISERROR(IF(SUM($BQ$153:$BQ$160) = 0, "", SUM($BQ$153:$BQ$160))), "", (IF(SUM($BQ$153:$BQ$160) = 0, "", SUM($BQ$153:$BQ$160))))</f>
        <v/>
      </c>
      <c r="BR152" t="str">
        <f ca="1">IF(ISERROR(IF(SUM($BR$153:$BR$160) = 0, "", SUM($BR$153:$BR$160))), "", (IF(SUM($BR$153:$BR$160) = 0, "", SUM($BR$153:$BR$160))))</f>
        <v/>
      </c>
      <c r="BS152" t="str">
        <f ca="1">IF(ISERROR(IF(SUM($BS$153:$BS$160) = 0, "", SUM($BS$153:$BS$160))), "", (IF(SUM($BS$153:$BS$160) = 0, "", SUM($BS$153:$BS$160))))</f>
        <v/>
      </c>
      <c r="BT152" t="str">
        <f ca="1">IF(ISERROR(IF(SUM($BT$153:$BT$160) = 0, "", SUM($BT$153:$BT$160))), "", (IF(SUM($BT$153:$BT$160) = 0, "", SUM($BT$153:$BT$160))))</f>
        <v/>
      </c>
      <c r="BU152" t="str">
        <f ca="1">IF(ISERROR(IF(SUM($BU$153:$BU$160) = 0, "", SUM($BU$153:$BU$160))), "", (IF(SUM($BU$153:$BU$160) = 0, "", SUM($BU$153:$BU$160))))</f>
        <v/>
      </c>
      <c r="BV152" t="str">
        <f ca="1">IF(ISERROR(IF(SUM($BV$153:$BV$160) = 0, "", SUM($BV$153:$BV$160))), "", (IF(SUM($BV$153:$BV$160) = 0, "", SUM($BV$153:$BV$160))))</f>
        <v/>
      </c>
      <c r="BW152" t="str">
        <f ca="1">IF(ISERROR(IF(SUM($BW$153:$BW$160) = 0, "", SUM($BW$153:$BW$160))), "", (IF(SUM($BW$153:$BW$160) = 0, "", SUM($BW$153:$BW$160))))</f>
        <v/>
      </c>
      <c r="BX152" t="str">
        <f ca="1">IF(ISERROR(IF(SUM($BX$153:$BX$160) = 0, "", SUM($BX$153:$BX$160))), "", (IF(SUM($BX$153:$BX$160) = 0, "", SUM($BX$153:$BX$160))))</f>
        <v/>
      </c>
      <c r="BY152" t="str">
        <f ca="1">IF(ISERROR(IF(SUM($BY$153:$BY$160) = 0, "", SUM($BY$153:$BY$160))), "", (IF(SUM($BY$153:$BY$160) = 0, "", SUM($BY$153:$BY$160))))</f>
        <v/>
      </c>
      <c r="BZ152" t="str">
        <f ca="1">IF(ISERROR(IF(SUM($BZ$153:$BZ$160) = 0, "", SUM($BZ$153:$BZ$160))), "", (IF(SUM($BZ$153:$BZ$160) = 0, "", SUM($BZ$153:$BZ$160))))</f>
        <v/>
      </c>
      <c r="CA152" t="str">
        <f ca="1">IF(ISERROR(IF(SUM($CA$153:$CA$160) = 0, "", SUM($CA$153:$CA$160))), "", (IF(SUM($CA$153:$CA$160) = 0, "", SUM($CA$153:$CA$160))))</f>
        <v/>
      </c>
      <c r="CB152" t="str">
        <f ca="1">IF(ISERROR(IF(SUM($CB$153:$CB$160) = 0, "", SUM($CB$153:$CB$160))), "", (IF(SUM($CB$153:$CB$160) = 0, "", SUM($CB$153:$CB$160))))</f>
        <v/>
      </c>
      <c r="CC152" t="str">
        <f ca="1">IF(ISERROR(IF(SUM($CC$153:$CC$160) = 0, "", SUM($CC$153:$CC$160))), "", (IF(SUM($CC$153:$CC$160) = 0, "", SUM($CC$153:$CC$160))))</f>
        <v/>
      </c>
      <c r="CD152" t="str">
        <f ca="1">IF(ISERROR(IF(SUM($CD$153:$CD$160) = 0, "", SUM($CD$153:$CD$160))), "", (IF(SUM($CD$153:$CD$160) = 0, "", SUM($CD$153:$CD$160))))</f>
        <v/>
      </c>
      <c r="CE152" t="str">
        <f ca="1">IF(ISERROR(IF(SUM($CE$153:$CE$160) = 0, "", SUM($CE$153:$CE$160))), "", (IF(SUM($CE$153:$CE$160) = 0, "", SUM($CE$153:$CE$160))))</f>
        <v/>
      </c>
      <c r="CF152" t="str">
        <f ca="1">IF(ISERROR(IF(SUM($CF$153:$CF$160) = 0, "", SUM($CF$153:$CF$160))), "", (IF(SUM($CF$153:$CF$160) = 0, "", SUM($CF$153:$CF$160))))</f>
        <v/>
      </c>
      <c r="CG152" t="str">
        <f ca="1">IF(ISERROR(IF(SUM($CG$153:$CG$160) = 0, "", SUM($CG$153:$CG$160))), "", (IF(SUM($CG$153:$CG$160) = 0, "", SUM($CG$153:$CG$160))))</f>
        <v/>
      </c>
      <c r="CH152" t="str">
        <f ca="1">IF(ISERROR(IF(SUM($CH$153:$CH$160) = 0, "", SUM($CH$153:$CH$160))), "", (IF(SUM($CH$153:$CH$160) = 0, "", SUM($CH$153:$CH$160))))</f>
        <v/>
      </c>
      <c r="CI152" t="str">
        <f ca="1">IF(ISERROR(IF(SUM($CI$153:$CI$160) = 0, "", SUM($CI$153:$CI$160))), "", (IF(SUM($CI$153:$CI$160) = 0, "", SUM($CI$153:$CI$160))))</f>
        <v/>
      </c>
      <c r="CJ152" t="str">
        <f ca="1">IF(ISERROR(IF(SUM($CJ$153:$CJ$160) = 0, "", SUM($CJ$153:$CJ$160))), "", (IF(SUM($CJ$153:$CJ$160) = 0, "", SUM($CJ$153:$CJ$160))))</f>
        <v/>
      </c>
      <c r="CK152" t="str">
        <f ca="1">IF(ISERROR(IF(SUM($CK$153:$CK$160) = 0, "", SUM($CK$153:$CK$160))), "", (IF(SUM($CK$153:$CK$160) = 0, "", SUM($CK$153:$CK$160))))</f>
        <v/>
      </c>
      <c r="CL152" t="str">
        <f>""</f>
        <v/>
      </c>
      <c r="CM152" t="str">
        <f>""</f>
        <v/>
      </c>
      <c r="CN152">
        <f>34.53</f>
        <v>34.53</v>
      </c>
      <c r="CO152">
        <f>34.403</f>
        <v>34.402999999999999</v>
      </c>
      <c r="CP152">
        <f>34.395</f>
        <v>34.395000000000003</v>
      </c>
      <c r="CQ152">
        <f>34.541</f>
        <v>34.540999999999997</v>
      </c>
      <c r="CR152">
        <f>35.053</f>
        <v>35.052999999999997</v>
      </c>
      <c r="CS152">
        <f>35.112</f>
        <v>35.112000000000002</v>
      </c>
      <c r="CT152">
        <f>35.166</f>
        <v>35.165999999999997</v>
      </c>
      <c r="CU152">
        <f>35.033</f>
        <v>35.033000000000001</v>
      </c>
      <c r="CV152">
        <f>35.035</f>
        <v>35.034999999999997</v>
      </c>
      <c r="CW152">
        <f>34.954</f>
        <v>34.954000000000001</v>
      </c>
      <c r="CX152">
        <f>34.753</f>
        <v>34.753</v>
      </c>
      <c r="CY152">
        <f>34.77</f>
        <v>34.770000000000003</v>
      </c>
      <c r="CZ152">
        <f>35.265</f>
        <v>35.265000000000001</v>
      </c>
      <c r="DA152">
        <f>35.315</f>
        <v>35.314999999999998</v>
      </c>
      <c r="DB152">
        <f>35.458</f>
        <v>35.457999999999998</v>
      </c>
      <c r="DC152">
        <f>35.42</f>
        <v>35.42</v>
      </c>
      <c r="DD152">
        <f>35.515</f>
        <v>35.515000000000001</v>
      </c>
      <c r="DE152">
        <f>35.525</f>
        <v>35.524999999999999</v>
      </c>
      <c r="DF152">
        <f>35.833</f>
        <v>35.832999999999998</v>
      </c>
      <c r="DG152">
        <f>35.98</f>
        <v>35.979999999999997</v>
      </c>
      <c r="DH152">
        <f>36.041</f>
        <v>36.040999999999997</v>
      </c>
      <c r="DI152">
        <f>35.975</f>
        <v>35.975000000000001</v>
      </c>
      <c r="DJ152">
        <f>36.162</f>
        <v>36.161999999999999</v>
      </c>
      <c r="DK152">
        <f>36.765</f>
        <v>36.765000000000001</v>
      </c>
      <c r="DL152">
        <f>36.978</f>
        <v>36.978000000000002</v>
      </c>
      <c r="DM152">
        <f>36.981</f>
        <v>36.981000000000002</v>
      </c>
      <c r="DN152">
        <f>36.677</f>
        <v>36.677</v>
      </c>
      <c r="DO152">
        <f>36.622</f>
        <v>36.622</v>
      </c>
      <c r="DP152">
        <f>25.281</f>
        <v>25.280999999999999</v>
      </c>
      <c r="DQ152">
        <f>33.35</f>
        <v>33.35</v>
      </c>
      <c r="DR152">
        <f>33.935</f>
        <v>33.935000000000002</v>
      </c>
      <c r="DS152">
        <f>7.13</f>
        <v>7.13</v>
      </c>
      <c r="DT152">
        <f>17.63</f>
        <v>17.63</v>
      </c>
      <c r="DU152">
        <f>32.825</f>
        <v>32.825000000000003</v>
      </c>
      <c r="DV152">
        <f>10.04</f>
        <v>10.039999999999999</v>
      </c>
      <c r="DW152">
        <f>15</f>
        <v>15</v>
      </c>
      <c r="DX152">
        <f>12.09</f>
        <v>12.09</v>
      </c>
      <c r="DY152" t="str">
        <f>""</f>
        <v/>
      </c>
      <c r="DZ152" t="str">
        <f>""</f>
        <v/>
      </c>
      <c r="EA152" t="str">
        <f>""</f>
        <v/>
      </c>
      <c r="EB152" t="str">
        <f>""</f>
        <v/>
      </c>
      <c r="EC152" t="str">
        <f>""</f>
        <v/>
      </c>
      <c r="ED152" t="str">
        <f>""</f>
        <v/>
      </c>
      <c r="EE152" t="str">
        <f>""</f>
        <v/>
      </c>
      <c r="EF152" t="str">
        <f>""</f>
        <v/>
      </c>
      <c r="EG152" t="str">
        <f>""</f>
        <v/>
      </c>
      <c r="EH152" t="str">
        <f>""</f>
        <v/>
      </c>
      <c r="EI152" t="str">
        <f>""</f>
        <v/>
      </c>
      <c r="EJ152" t="str">
        <f>""</f>
        <v/>
      </c>
      <c r="EK152" t="str">
        <f>""</f>
        <v/>
      </c>
      <c r="EL152" t="str">
        <f>""</f>
        <v/>
      </c>
      <c r="EM152" t="str">
        <f>""</f>
        <v/>
      </c>
      <c r="EN152" t="str">
        <f>""</f>
        <v/>
      </c>
      <c r="EO152" t="str">
        <f>""</f>
        <v/>
      </c>
      <c r="EP152" t="str">
        <f>""</f>
        <v/>
      </c>
      <c r="EQ152" t="str">
        <f>""</f>
        <v/>
      </c>
      <c r="ER152" t="str">
        <f>""</f>
        <v/>
      </c>
      <c r="ES152" t="str">
        <f>""</f>
        <v/>
      </c>
      <c r="ET152" t="str">
        <f>""</f>
        <v/>
      </c>
      <c r="EU152" t="str">
        <f>""</f>
        <v/>
      </c>
      <c r="EV152" t="str">
        <f>""</f>
        <v/>
      </c>
      <c r="EW152" t="str">
        <f>""</f>
        <v/>
      </c>
      <c r="EX152" t="str">
        <f>""</f>
        <v/>
      </c>
      <c r="EY152" t="str">
        <f>""</f>
        <v/>
      </c>
      <c r="EZ152" t="str">
        <f>""</f>
        <v/>
      </c>
      <c r="FA152" t="str">
        <f>""</f>
        <v/>
      </c>
      <c r="FB152" t="str">
        <f>""</f>
        <v/>
      </c>
      <c r="FC152" t="str">
        <f>""</f>
        <v/>
      </c>
      <c r="FD152" t="str">
        <f>""</f>
        <v/>
      </c>
      <c r="FE152" t="str">
        <f>""</f>
        <v/>
      </c>
      <c r="FF152" t="str">
        <f>""</f>
        <v/>
      </c>
      <c r="FG152" t="str">
        <f>""</f>
        <v/>
      </c>
      <c r="FH152" t="str">
        <f>""</f>
        <v/>
      </c>
      <c r="FI152" t="str">
        <f>""</f>
        <v/>
      </c>
      <c r="FJ152" t="str">
        <f>""</f>
        <v/>
      </c>
      <c r="FK152" t="str">
        <f>""</f>
        <v/>
      </c>
      <c r="FL152" t="str">
        <f>""</f>
        <v/>
      </c>
      <c r="FM152" t="str">
        <f>""</f>
        <v/>
      </c>
      <c r="FN152" t="str">
        <f>""</f>
        <v/>
      </c>
      <c r="FO152" t="str">
        <f>""</f>
        <v/>
      </c>
      <c r="FP152" t="str">
        <f>""</f>
        <v/>
      </c>
      <c r="FQ152" t="str">
        <f>""</f>
        <v/>
      </c>
    </row>
    <row r="153" spans="1:173">
      <c r="A153" t="str">
        <f>"    Apartment Investment &amp; Managem"</f>
        <v xml:space="preserve">    Apartment Investment &amp; Managem</v>
      </c>
      <c r="B153" t="str">
        <f>"AIV US Equity"</f>
        <v>AIV US Equity</v>
      </c>
      <c r="C153" t="str">
        <f t="shared" ref="C153:C160" si="48">"BE895"</f>
        <v>BE895</v>
      </c>
      <c r="D153" t="str">
        <f t="shared" ref="D153:D160" si="49">"BEST_AFFOPS"</f>
        <v>BEST_AFFOPS</v>
      </c>
      <c r="E153" t="str">
        <f t="shared" ref="E153:E160" si="50">"动态"</f>
        <v>动态</v>
      </c>
      <c r="F153" t="str">
        <f ca="1">IF(AND(ISNUMBER($F$362),$B$252=1),$F$362,HLOOKUP(INDIRECT(ADDRESS(2,COLUMN())),OFFSET($CL$2,0,0,ROW()-1,84),ROW()-1,FALSE))</f>
        <v/>
      </c>
      <c r="G153" t="str">
        <f ca="1">IF(AND(ISNUMBER($G$362),$B$252=1),$G$362,HLOOKUP(INDIRECT(ADDRESS(2,COLUMN())),OFFSET($CL$2,0,0,ROW()-1,84),ROW()-1,FALSE))</f>
        <v/>
      </c>
      <c r="H153">
        <f ca="1">IF(AND(ISNUMBER($H$362),$B$252=1),$H$362,HLOOKUP(INDIRECT(ADDRESS(2,COLUMN())),OFFSET($CL$2,0,0,ROW()-1,84),ROW()-1,FALSE))</f>
        <v>2.113</v>
      </c>
      <c r="I153">
        <f ca="1">IF(AND(ISNUMBER($I$362),$B$252=1),$I$362,HLOOKUP(INDIRECT(ADDRESS(2,COLUMN())),OFFSET($CL$2,0,0,ROW()-1,84),ROW()-1,FALSE))</f>
        <v>2.1120000000000001</v>
      </c>
      <c r="J153">
        <f ca="1">IF(AND(ISNUMBER($J$362),$B$252=1),$J$362,HLOOKUP(INDIRECT(ADDRESS(2,COLUMN())),OFFSET($CL$2,0,0,ROW()-1,84),ROW()-1,FALSE))</f>
        <v>2.1080000000000001</v>
      </c>
      <c r="K153">
        <f ca="1">IF(AND(ISNUMBER($K$362),$B$252=1),$K$362,HLOOKUP(INDIRECT(ADDRESS(2,COLUMN())),OFFSET($CL$2,0,0,ROW()-1,84),ROW()-1,FALSE))</f>
        <v>2.1030000000000002</v>
      </c>
      <c r="L153">
        <f ca="1">IF(AND(ISNUMBER($L$362),$B$252=1),$L$362,HLOOKUP(INDIRECT(ADDRESS(2,COLUMN())),OFFSET($CL$2,0,0,ROW()-1,84),ROW()-1,FALSE))</f>
        <v>2.1</v>
      </c>
      <c r="M153">
        <f ca="1">IF(AND(ISNUMBER($M$362),$B$252=1),$M$362,HLOOKUP(INDIRECT(ADDRESS(2,COLUMN())),OFFSET($CL$2,0,0,ROW()-1,84),ROW()-1,FALSE))</f>
        <v>2.113</v>
      </c>
      <c r="N153">
        <f ca="1">IF(AND(ISNUMBER($N$362),$B$252=1),$N$362,HLOOKUP(INDIRECT(ADDRESS(2,COLUMN())),OFFSET($CL$2,0,0,ROW()-1,84),ROW()-1,FALSE))</f>
        <v>2.1659999999999999</v>
      </c>
      <c r="O153">
        <f ca="1">IF(AND(ISNUMBER($O$362),$B$252=1),$O$362,HLOOKUP(INDIRECT(ADDRESS(2,COLUMN())),OFFSET($CL$2,0,0,ROW()-1,84),ROW()-1,FALSE))</f>
        <v>2.1080000000000001</v>
      </c>
      <c r="P153">
        <f ca="1">IF(AND(ISNUMBER($P$362),$B$252=1),$P$362,HLOOKUP(INDIRECT(ADDRESS(2,COLUMN())),OFFSET($CL$2,0,0,ROW()-1,84),ROW()-1,FALSE))</f>
        <v>2.1080000000000001</v>
      </c>
      <c r="Q153">
        <f ca="1">IF(AND(ISNUMBER($Q$362),$B$252=1),$Q$362,HLOOKUP(INDIRECT(ADDRESS(2,COLUMN())),OFFSET($CL$2,0,0,ROW()-1,84),ROW()-1,FALSE))</f>
        <v>2.133</v>
      </c>
      <c r="R153">
        <f ca="1">IF(AND(ISNUMBER($R$362),$B$252=1),$R$362,HLOOKUP(INDIRECT(ADDRESS(2,COLUMN())),OFFSET($CL$2,0,0,ROW()-1,84),ROW()-1,FALSE))</f>
        <v>2.036</v>
      </c>
      <c r="S153">
        <f ca="1">IF(AND(ISNUMBER($S$362),$B$252=1),$S$362,HLOOKUP(INDIRECT(ADDRESS(2,COLUMN())),OFFSET($CL$2,0,0,ROW()-1,84),ROW()-1,FALSE))</f>
        <v>2.0339999999999998</v>
      </c>
      <c r="T153">
        <f ca="1">IF(AND(ISNUMBER($T$362),$B$252=1),$T$362,HLOOKUP(INDIRECT(ADDRESS(2,COLUMN())),OFFSET($CL$2,0,0,ROW()-1,84),ROW()-1,FALSE))</f>
        <v>2.121</v>
      </c>
      <c r="U153">
        <f ca="1">IF(AND(ISNUMBER($U$362),$B$252=1),$U$362,HLOOKUP(INDIRECT(ADDRESS(2,COLUMN())),OFFSET($CL$2,0,0,ROW()-1,84),ROW()-1,FALSE))</f>
        <v>2.129</v>
      </c>
      <c r="V153">
        <f ca="1">IF(AND(ISNUMBER($V$362),$B$252=1),$V$362,HLOOKUP(INDIRECT(ADDRESS(2,COLUMN())),OFFSET($CL$2,0,0,ROW()-1,84),ROW()-1,FALSE))</f>
        <v>2.14</v>
      </c>
      <c r="W153">
        <f ca="1">IF(AND(ISNUMBER($W$362),$B$252=1),$W$362,HLOOKUP(INDIRECT(ADDRESS(2,COLUMN())),OFFSET($CL$2,0,0,ROW()-1,84),ROW()-1,FALSE))</f>
        <v>2.14</v>
      </c>
      <c r="X153">
        <f ca="1">IF(AND(ISNUMBER($X$362),$B$252=1),$X$362,HLOOKUP(INDIRECT(ADDRESS(2,COLUMN())),OFFSET($CL$2,0,0,ROW()-1,84),ROW()-1,FALSE))</f>
        <v>2.1539999999999999</v>
      </c>
      <c r="Y153">
        <f ca="1">IF(AND(ISNUMBER($Y$362),$B$252=1),$Y$362,HLOOKUP(INDIRECT(ADDRESS(2,COLUMN())),OFFSET($CL$2,0,0,ROW()-1,84),ROW()-1,FALSE))</f>
        <v>2.1539999999999999</v>
      </c>
      <c r="Z153">
        <f ca="1">IF(AND(ISNUMBER($Z$362),$B$252=1),$Z$362,HLOOKUP(INDIRECT(ADDRESS(2,COLUMN())),OFFSET($CL$2,0,0,ROW()-1,84),ROW()-1,FALSE))</f>
        <v>2.15</v>
      </c>
      <c r="AA153">
        <f ca="1">IF(AND(ISNUMBER($AA$362),$B$252=1),$AA$362,HLOOKUP(INDIRECT(ADDRESS(2,COLUMN())),OFFSET($CL$2,0,0,ROW()-1,84),ROW()-1,FALSE))</f>
        <v>2.1539999999999999</v>
      </c>
      <c r="AB153">
        <f ca="1">IF(AND(ISNUMBER($AB$362),$B$252=1),$AB$362,HLOOKUP(INDIRECT(ADDRESS(2,COLUMN())),OFFSET($CL$2,0,0,ROW()-1,84),ROW()-1,FALSE))</f>
        <v>2.16</v>
      </c>
      <c r="AC153">
        <f ca="1">IF(AND(ISNUMBER($AC$362),$B$252=1),$AC$362,HLOOKUP(INDIRECT(ADDRESS(2,COLUMN())),OFFSET($CL$2,0,0,ROW()-1,84),ROW()-1,FALSE))</f>
        <v>2.137</v>
      </c>
      <c r="AD153">
        <f ca="1">IF(AND(ISNUMBER($AD$362),$B$252=1),$AD$362,HLOOKUP(INDIRECT(ADDRESS(2,COLUMN())),OFFSET($CL$2,0,0,ROW()-1,84),ROW()-1,FALSE))</f>
        <v>2.1339999999999999</v>
      </c>
      <c r="AE153">
        <f ca="1">IF(AND(ISNUMBER($AE$362),$B$252=1),$AE$362,HLOOKUP(INDIRECT(ADDRESS(2,COLUMN())),OFFSET($CL$2,0,0,ROW()-1,84),ROW()-1,FALSE))</f>
        <v>2.1800000000000002</v>
      </c>
      <c r="AF153">
        <f ca="1">IF(AND(ISNUMBER($AF$362),$B$252=1),$AF$362,HLOOKUP(INDIRECT(ADDRESS(2,COLUMN())),OFFSET($CL$2,0,0,ROW()-1,84),ROW()-1,FALSE))</f>
        <v>2.1970000000000001</v>
      </c>
      <c r="AG153">
        <f ca="1">IF(AND(ISNUMBER($AG$362),$B$252=1),$AG$362,HLOOKUP(INDIRECT(ADDRESS(2,COLUMN())),OFFSET($CL$2,0,0,ROW()-1,84),ROW()-1,FALSE))</f>
        <v>2.1970000000000001</v>
      </c>
      <c r="AH153">
        <f ca="1">IF(AND(ISNUMBER($AH$362),$B$252=1),$AH$362,HLOOKUP(INDIRECT(ADDRESS(2,COLUMN())),OFFSET($CL$2,0,0,ROW()-1,84),ROW()-1,FALSE))</f>
        <v>2.2050000000000001</v>
      </c>
      <c r="AI153">
        <f ca="1">IF(AND(ISNUMBER($AI$362),$B$252=1),$AI$362,HLOOKUP(INDIRECT(ADDRESS(2,COLUMN())),OFFSET($CL$2,0,0,ROW()-1,84),ROW()-1,FALSE))</f>
        <v>2.375</v>
      </c>
      <c r="AJ153" t="str">
        <f ca="1">IF(AND(ISNUMBER($AJ$362),$B$252=1),$AJ$362,HLOOKUP(INDIRECT(ADDRESS(2,COLUMN())),OFFSET($CL$2,0,0,ROW()-1,84),ROW()-1,FALSE))</f>
        <v/>
      </c>
      <c r="AK153" t="str">
        <f ca="1">IF(AND(ISNUMBER($AK$362),$B$252=1),$AK$362,HLOOKUP(INDIRECT(ADDRESS(2,COLUMN())),OFFSET($CL$2,0,0,ROW()-1,84),ROW()-1,FALSE))</f>
        <v/>
      </c>
      <c r="AL153" t="str">
        <f ca="1">IF(AND(ISNUMBER($AL$362),$B$252=1),$AL$362,HLOOKUP(INDIRECT(ADDRESS(2,COLUMN())),OFFSET($CL$2,0,0,ROW()-1,84),ROW()-1,FALSE))</f>
        <v/>
      </c>
      <c r="AM153" t="str">
        <f ca="1">IF(AND(ISNUMBER($AM$362),$B$252=1),$AM$362,HLOOKUP(INDIRECT(ADDRESS(2,COLUMN())),OFFSET($CL$2,0,0,ROW()-1,84),ROW()-1,FALSE))</f>
        <v/>
      </c>
      <c r="AN153" t="str">
        <f ca="1">IF(AND(ISNUMBER($AN$362),$B$252=1),$AN$362,HLOOKUP(INDIRECT(ADDRESS(2,COLUMN())),OFFSET($CL$2,0,0,ROW()-1,84),ROW()-1,FALSE))</f>
        <v/>
      </c>
      <c r="AO153" t="str">
        <f ca="1">IF(AND(ISNUMBER($AO$362),$B$252=1),$AO$362,HLOOKUP(INDIRECT(ADDRESS(2,COLUMN())),OFFSET($CL$2,0,0,ROW()-1,84),ROW()-1,FALSE))</f>
        <v/>
      </c>
      <c r="AP153" t="str">
        <f ca="1">IF(AND(ISNUMBER($AP$362),$B$252=1),$AP$362,HLOOKUP(INDIRECT(ADDRESS(2,COLUMN())),OFFSET($CL$2,0,0,ROW()-1,84),ROW()-1,FALSE))</f>
        <v/>
      </c>
      <c r="AQ153" t="str">
        <f ca="1">IF(AND(ISNUMBER($AQ$362),$B$252=1),$AQ$362,HLOOKUP(INDIRECT(ADDRESS(2,COLUMN())),OFFSET($CL$2,0,0,ROW()-1,84),ROW()-1,FALSE))</f>
        <v/>
      </c>
      <c r="AR153" t="str">
        <f ca="1">IF(AND(ISNUMBER($AR$362),$B$252=1),$AR$362,HLOOKUP(INDIRECT(ADDRESS(2,COLUMN())),OFFSET($CL$2,0,0,ROW()-1,84),ROW()-1,FALSE))</f>
        <v/>
      </c>
      <c r="AS153" t="str">
        <f ca="1">IF(AND(ISNUMBER($AS$362),$B$252=1),$AS$362,HLOOKUP(INDIRECT(ADDRESS(2,COLUMN())),OFFSET($CL$2,0,0,ROW()-1,84),ROW()-1,FALSE))</f>
        <v/>
      </c>
      <c r="AT153" t="str">
        <f ca="1">IF(AND(ISNUMBER($AT$362),$B$252=1),$AT$362,HLOOKUP(INDIRECT(ADDRESS(2,COLUMN())),OFFSET($CL$2,0,0,ROW()-1,84),ROW()-1,FALSE))</f>
        <v/>
      </c>
      <c r="AU153" t="str">
        <f ca="1">IF(AND(ISNUMBER($AU$362),$B$252=1),$AU$362,HLOOKUP(INDIRECT(ADDRESS(2,COLUMN())),OFFSET($CL$2,0,0,ROW()-1,84),ROW()-1,FALSE))</f>
        <v/>
      </c>
      <c r="AV153" t="str">
        <f ca="1">IF(AND(ISNUMBER($AV$362),$B$252=1),$AV$362,HLOOKUP(INDIRECT(ADDRESS(2,COLUMN())),OFFSET($CL$2,0,0,ROW()-1,84),ROW()-1,FALSE))</f>
        <v/>
      </c>
      <c r="AW153" t="str">
        <f ca="1">IF(AND(ISNUMBER($AW$362),$B$252=1),$AW$362,HLOOKUP(INDIRECT(ADDRESS(2,COLUMN())),OFFSET($CL$2,0,0,ROW()-1,84),ROW()-1,FALSE))</f>
        <v/>
      </c>
      <c r="AX153" t="str">
        <f ca="1">IF(AND(ISNUMBER($AX$362),$B$252=1),$AX$362,HLOOKUP(INDIRECT(ADDRESS(2,COLUMN())),OFFSET($CL$2,0,0,ROW()-1,84),ROW()-1,FALSE))</f>
        <v/>
      </c>
      <c r="AY153" t="str">
        <f ca="1">IF(AND(ISNUMBER($AY$362),$B$252=1),$AY$362,HLOOKUP(INDIRECT(ADDRESS(2,COLUMN())),OFFSET($CL$2,0,0,ROW()-1,84),ROW()-1,FALSE))</f>
        <v/>
      </c>
      <c r="AZ153" t="str">
        <f ca="1">IF(AND(ISNUMBER($AZ$362),$B$252=1),$AZ$362,HLOOKUP(INDIRECT(ADDRESS(2,COLUMN())),OFFSET($CL$2,0,0,ROW()-1,84),ROW()-1,FALSE))</f>
        <v/>
      </c>
      <c r="BA153" t="str">
        <f ca="1">IF(AND(ISNUMBER($BA$362),$B$252=1),$BA$362,HLOOKUP(INDIRECT(ADDRESS(2,COLUMN())),OFFSET($CL$2,0,0,ROW()-1,84),ROW()-1,FALSE))</f>
        <v/>
      </c>
      <c r="BB153" t="str">
        <f ca="1">IF(AND(ISNUMBER($BB$362),$B$252=1),$BB$362,HLOOKUP(INDIRECT(ADDRESS(2,COLUMN())),OFFSET($CL$2,0,0,ROW()-1,84),ROW()-1,FALSE))</f>
        <v/>
      </c>
      <c r="BC153" t="str">
        <f ca="1">IF(AND(ISNUMBER($BC$362),$B$252=1),$BC$362,HLOOKUP(INDIRECT(ADDRESS(2,COLUMN())),OFFSET($CL$2,0,0,ROW()-1,84),ROW()-1,FALSE))</f>
        <v/>
      </c>
      <c r="BD153" t="str">
        <f ca="1">IF(AND(ISNUMBER($BD$362),$B$252=1),$BD$362,HLOOKUP(INDIRECT(ADDRESS(2,COLUMN())),OFFSET($CL$2,0,0,ROW()-1,84),ROW()-1,FALSE))</f>
        <v/>
      </c>
      <c r="BE153" t="str">
        <f ca="1">IF(AND(ISNUMBER($BE$362),$B$252=1),$BE$362,HLOOKUP(INDIRECT(ADDRESS(2,COLUMN())),OFFSET($CL$2,0,0,ROW()-1,84),ROW()-1,FALSE))</f>
        <v/>
      </c>
      <c r="BF153" t="str">
        <f ca="1">IF(AND(ISNUMBER($BF$362),$B$252=1),$BF$362,HLOOKUP(INDIRECT(ADDRESS(2,COLUMN())),OFFSET($CL$2,0,0,ROW()-1,84),ROW()-1,FALSE))</f>
        <v/>
      </c>
      <c r="BG153" t="str">
        <f ca="1">IF(AND(ISNUMBER($BG$362),$B$252=1),$BG$362,HLOOKUP(INDIRECT(ADDRESS(2,COLUMN())),OFFSET($CL$2,0,0,ROW()-1,84),ROW()-1,FALSE))</f>
        <v/>
      </c>
      <c r="BH153" t="str">
        <f ca="1">IF(AND(ISNUMBER($BH$362),$B$252=1),$BH$362,HLOOKUP(INDIRECT(ADDRESS(2,COLUMN())),OFFSET($CL$2,0,0,ROW()-1,84),ROW()-1,FALSE))</f>
        <v/>
      </c>
      <c r="BI153" t="str">
        <f ca="1">IF(AND(ISNUMBER($BI$362),$B$252=1),$BI$362,HLOOKUP(INDIRECT(ADDRESS(2,COLUMN())),OFFSET($CL$2,0,0,ROW()-1,84),ROW()-1,FALSE))</f>
        <v/>
      </c>
      <c r="BJ153" t="str">
        <f ca="1">IF(AND(ISNUMBER($BJ$362),$B$252=1),$BJ$362,HLOOKUP(INDIRECT(ADDRESS(2,COLUMN())),OFFSET($CL$2,0,0,ROW()-1,84),ROW()-1,FALSE))</f>
        <v/>
      </c>
      <c r="BK153" t="str">
        <f ca="1">IF(AND(ISNUMBER($BK$362),$B$252=1),$BK$362,HLOOKUP(INDIRECT(ADDRESS(2,COLUMN())),OFFSET($CL$2,0,0,ROW()-1,84),ROW()-1,FALSE))</f>
        <v/>
      </c>
      <c r="BL153" t="str">
        <f ca="1">IF(AND(ISNUMBER($BL$362),$B$252=1),$BL$362,HLOOKUP(INDIRECT(ADDRESS(2,COLUMN())),OFFSET($CL$2,0,0,ROW()-1,84),ROW()-1,FALSE))</f>
        <v/>
      </c>
      <c r="BM153" t="str">
        <f ca="1">IF(AND(ISNUMBER($BM$362),$B$252=1),$BM$362,HLOOKUP(INDIRECT(ADDRESS(2,COLUMN())),OFFSET($CL$2,0,0,ROW()-1,84),ROW()-1,FALSE))</f>
        <v/>
      </c>
      <c r="BN153" t="str">
        <f ca="1">IF(AND(ISNUMBER($BN$362),$B$252=1),$BN$362,HLOOKUP(INDIRECT(ADDRESS(2,COLUMN())),OFFSET($CL$2,0,0,ROW()-1,84),ROW()-1,FALSE))</f>
        <v/>
      </c>
      <c r="BO153" t="str">
        <f ca="1">IF(AND(ISNUMBER($BO$362),$B$252=1),$BO$362,HLOOKUP(INDIRECT(ADDRESS(2,COLUMN())),OFFSET($CL$2,0,0,ROW()-1,84),ROW()-1,FALSE))</f>
        <v/>
      </c>
      <c r="BP153" t="str">
        <f ca="1">IF(AND(ISNUMBER($BP$362),$B$252=1),$BP$362,HLOOKUP(INDIRECT(ADDRESS(2,COLUMN())),OFFSET($CL$2,0,0,ROW()-1,84),ROW()-1,FALSE))</f>
        <v/>
      </c>
      <c r="BQ153" t="str">
        <f ca="1">IF(AND(ISNUMBER($BQ$362),$B$252=1),$BQ$362,HLOOKUP(INDIRECT(ADDRESS(2,COLUMN())),OFFSET($CL$2,0,0,ROW()-1,84),ROW()-1,FALSE))</f>
        <v/>
      </c>
      <c r="BR153" t="str">
        <f ca="1">IF(AND(ISNUMBER($BR$362),$B$252=1),$BR$362,HLOOKUP(INDIRECT(ADDRESS(2,COLUMN())),OFFSET($CL$2,0,0,ROW()-1,84),ROW()-1,FALSE))</f>
        <v/>
      </c>
      <c r="BS153" t="str">
        <f ca="1">IF(AND(ISNUMBER($BS$362),$B$252=1),$BS$362,HLOOKUP(INDIRECT(ADDRESS(2,COLUMN())),OFFSET($CL$2,0,0,ROW()-1,84),ROW()-1,FALSE))</f>
        <v/>
      </c>
      <c r="BT153" t="str">
        <f ca="1">IF(AND(ISNUMBER($BT$362),$B$252=1),$BT$362,HLOOKUP(INDIRECT(ADDRESS(2,COLUMN())),OFFSET($CL$2,0,0,ROW()-1,84),ROW()-1,FALSE))</f>
        <v/>
      </c>
      <c r="BU153" t="str">
        <f ca="1">IF(AND(ISNUMBER($BU$362),$B$252=1),$BU$362,HLOOKUP(INDIRECT(ADDRESS(2,COLUMN())),OFFSET($CL$2,0,0,ROW()-1,84),ROW()-1,FALSE))</f>
        <v/>
      </c>
      <c r="BV153" t="str">
        <f ca="1">IF(AND(ISNUMBER($BV$362),$B$252=1),$BV$362,HLOOKUP(INDIRECT(ADDRESS(2,COLUMN())),OFFSET($CL$2,0,0,ROW()-1,84),ROW()-1,FALSE))</f>
        <v/>
      </c>
      <c r="BW153" t="str">
        <f ca="1">IF(AND(ISNUMBER($BW$362),$B$252=1),$BW$362,HLOOKUP(INDIRECT(ADDRESS(2,COLUMN())),OFFSET($CL$2,0,0,ROW()-1,84),ROW()-1,FALSE))</f>
        <v/>
      </c>
      <c r="BX153" t="str">
        <f ca="1">IF(AND(ISNUMBER($BX$362),$B$252=1),$BX$362,HLOOKUP(INDIRECT(ADDRESS(2,COLUMN())),OFFSET($CL$2,0,0,ROW()-1,84),ROW()-1,FALSE))</f>
        <v/>
      </c>
      <c r="BY153" t="str">
        <f ca="1">IF(AND(ISNUMBER($BY$362),$B$252=1),$BY$362,HLOOKUP(INDIRECT(ADDRESS(2,COLUMN())),OFFSET($CL$2,0,0,ROW()-1,84),ROW()-1,FALSE))</f>
        <v/>
      </c>
      <c r="BZ153" t="str">
        <f ca="1">IF(AND(ISNUMBER($BZ$362),$B$252=1),$BZ$362,HLOOKUP(INDIRECT(ADDRESS(2,COLUMN())),OFFSET($CL$2,0,0,ROW()-1,84),ROW()-1,FALSE))</f>
        <v/>
      </c>
      <c r="CA153" t="str">
        <f ca="1">IF(AND(ISNUMBER($CA$362),$B$252=1),$CA$362,HLOOKUP(INDIRECT(ADDRESS(2,COLUMN())),OFFSET($CL$2,0,0,ROW()-1,84),ROW()-1,FALSE))</f>
        <v/>
      </c>
      <c r="CB153" t="str">
        <f ca="1">IF(AND(ISNUMBER($CB$362),$B$252=1),$CB$362,HLOOKUP(INDIRECT(ADDRESS(2,COLUMN())),OFFSET($CL$2,0,0,ROW()-1,84),ROW()-1,FALSE))</f>
        <v/>
      </c>
      <c r="CC153" t="str">
        <f ca="1">IF(AND(ISNUMBER($CC$362),$B$252=1),$CC$362,HLOOKUP(INDIRECT(ADDRESS(2,COLUMN())),OFFSET($CL$2,0,0,ROW()-1,84),ROW()-1,FALSE))</f>
        <v/>
      </c>
      <c r="CD153" t="str">
        <f ca="1">IF(AND(ISNUMBER($CD$362),$B$252=1),$CD$362,HLOOKUP(INDIRECT(ADDRESS(2,COLUMN())),OFFSET($CL$2,0,0,ROW()-1,84),ROW()-1,FALSE))</f>
        <v/>
      </c>
      <c r="CE153" t="str">
        <f ca="1">IF(AND(ISNUMBER($CE$362),$B$252=1),$CE$362,HLOOKUP(INDIRECT(ADDRESS(2,COLUMN())),OFFSET($CL$2,0,0,ROW()-1,84),ROW()-1,FALSE))</f>
        <v/>
      </c>
      <c r="CF153" t="str">
        <f ca="1">IF(AND(ISNUMBER($CF$362),$B$252=1),$CF$362,HLOOKUP(INDIRECT(ADDRESS(2,COLUMN())),OFFSET($CL$2,0,0,ROW()-1,84),ROW()-1,FALSE))</f>
        <v/>
      </c>
      <c r="CG153" t="str">
        <f ca="1">IF(AND(ISNUMBER($CG$362),$B$252=1),$CG$362,HLOOKUP(INDIRECT(ADDRESS(2,COLUMN())),OFFSET($CL$2,0,0,ROW()-1,84),ROW()-1,FALSE))</f>
        <v/>
      </c>
      <c r="CH153" t="str">
        <f ca="1">IF(AND(ISNUMBER($CH$362),$B$252=1),$CH$362,HLOOKUP(INDIRECT(ADDRESS(2,COLUMN())),OFFSET($CL$2,0,0,ROW()-1,84),ROW()-1,FALSE))</f>
        <v/>
      </c>
      <c r="CI153" t="str">
        <f ca="1">IF(AND(ISNUMBER($CI$362),$B$252=1),$CI$362,HLOOKUP(INDIRECT(ADDRESS(2,COLUMN())),OFFSET($CL$2,0,0,ROW()-1,84),ROW()-1,FALSE))</f>
        <v/>
      </c>
      <c r="CJ153" t="str">
        <f ca="1">IF(AND(ISNUMBER($CJ$362),$B$252=1),$CJ$362,HLOOKUP(INDIRECT(ADDRESS(2,COLUMN())),OFFSET($CL$2,0,0,ROW()-1,84),ROW()-1,FALSE))</f>
        <v/>
      </c>
      <c r="CK153" t="str">
        <f ca="1">IF(AND(ISNUMBER($CK$362),$B$252=1),$CK$362,HLOOKUP(INDIRECT(ADDRESS(2,COLUMN())),OFFSET($CL$2,0,0,ROW()-1,84),ROW()-1,FALSE))</f>
        <v/>
      </c>
      <c r="CL153" t="str">
        <f>""</f>
        <v/>
      </c>
      <c r="CM153" t="str">
        <f>""</f>
        <v/>
      </c>
      <c r="CN153">
        <f>2.113</f>
        <v>2.113</v>
      </c>
      <c r="CO153">
        <f>2.112</f>
        <v>2.1120000000000001</v>
      </c>
      <c r="CP153">
        <f>2.108</f>
        <v>2.1080000000000001</v>
      </c>
      <c r="CQ153">
        <f>2.103</f>
        <v>2.1030000000000002</v>
      </c>
      <c r="CR153">
        <f>2.1</f>
        <v>2.1</v>
      </c>
      <c r="CS153">
        <f>2.113</f>
        <v>2.113</v>
      </c>
      <c r="CT153">
        <f>2.166</f>
        <v>2.1659999999999999</v>
      </c>
      <c r="CU153">
        <f>2.108</f>
        <v>2.1080000000000001</v>
      </c>
      <c r="CV153">
        <f>2.108</f>
        <v>2.1080000000000001</v>
      </c>
      <c r="CW153">
        <f>2.133</f>
        <v>2.133</v>
      </c>
      <c r="CX153">
        <f>2.036</f>
        <v>2.036</v>
      </c>
      <c r="CY153">
        <f>2.034</f>
        <v>2.0339999999999998</v>
      </c>
      <c r="CZ153">
        <f>2.121</f>
        <v>2.121</v>
      </c>
      <c r="DA153">
        <f>2.129</f>
        <v>2.129</v>
      </c>
      <c r="DB153">
        <f>2.14</f>
        <v>2.14</v>
      </c>
      <c r="DC153">
        <f>2.14</f>
        <v>2.14</v>
      </c>
      <c r="DD153">
        <f>2.154</f>
        <v>2.1539999999999999</v>
      </c>
      <c r="DE153">
        <f>2.154</f>
        <v>2.1539999999999999</v>
      </c>
      <c r="DF153">
        <f>2.15</f>
        <v>2.15</v>
      </c>
      <c r="DG153">
        <f>2.154</f>
        <v>2.1539999999999999</v>
      </c>
      <c r="DH153">
        <f>2.16</f>
        <v>2.16</v>
      </c>
      <c r="DI153">
        <f>2.137</f>
        <v>2.137</v>
      </c>
      <c r="DJ153">
        <f>2.134</f>
        <v>2.1339999999999999</v>
      </c>
      <c r="DK153">
        <f>2.18</f>
        <v>2.1800000000000002</v>
      </c>
      <c r="DL153">
        <f>2.197</f>
        <v>2.1970000000000001</v>
      </c>
      <c r="DM153">
        <f>2.197</f>
        <v>2.1970000000000001</v>
      </c>
      <c r="DN153">
        <f>2.205</f>
        <v>2.2050000000000001</v>
      </c>
      <c r="DO153">
        <f>2.375</f>
        <v>2.375</v>
      </c>
      <c r="DP153" t="str">
        <f>""</f>
        <v/>
      </c>
      <c r="DQ153" t="str">
        <f>""</f>
        <v/>
      </c>
      <c r="DR153" t="str">
        <f>""</f>
        <v/>
      </c>
      <c r="DS153" t="str">
        <f>""</f>
        <v/>
      </c>
      <c r="DT153" t="str">
        <f>""</f>
        <v/>
      </c>
      <c r="DU153" t="str">
        <f>""</f>
        <v/>
      </c>
      <c r="DV153" t="str">
        <f>""</f>
        <v/>
      </c>
      <c r="DW153" t="str">
        <f>""</f>
        <v/>
      </c>
      <c r="DX153" t="str">
        <f>""</f>
        <v/>
      </c>
      <c r="DY153" t="str">
        <f>""</f>
        <v/>
      </c>
      <c r="DZ153" t="str">
        <f>""</f>
        <v/>
      </c>
      <c r="EA153" t="str">
        <f>""</f>
        <v/>
      </c>
      <c r="EB153" t="str">
        <f>""</f>
        <v/>
      </c>
      <c r="EC153" t="str">
        <f>""</f>
        <v/>
      </c>
      <c r="ED153" t="str">
        <f>""</f>
        <v/>
      </c>
      <c r="EE153" t="str">
        <f>""</f>
        <v/>
      </c>
      <c r="EF153" t="str">
        <f>""</f>
        <v/>
      </c>
      <c r="EG153" t="str">
        <f>""</f>
        <v/>
      </c>
      <c r="EH153" t="str">
        <f>""</f>
        <v/>
      </c>
      <c r="EI153" t="str">
        <f>""</f>
        <v/>
      </c>
      <c r="EJ153" t="str">
        <f>""</f>
        <v/>
      </c>
      <c r="EK153" t="str">
        <f>""</f>
        <v/>
      </c>
      <c r="EL153" t="str">
        <f>""</f>
        <v/>
      </c>
      <c r="EM153" t="str">
        <f>""</f>
        <v/>
      </c>
      <c r="EN153" t="str">
        <f>""</f>
        <v/>
      </c>
      <c r="EO153" t="str">
        <f>""</f>
        <v/>
      </c>
      <c r="EP153" t="str">
        <f>""</f>
        <v/>
      </c>
      <c r="EQ153" t="str">
        <f>""</f>
        <v/>
      </c>
      <c r="ER153" t="str">
        <f>""</f>
        <v/>
      </c>
      <c r="ES153" t="str">
        <f>""</f>
        <v/>
      </c>
      <c r="ET153" t="str">
        <f>""</f>
        <v/>
      </c>
      <c r="EU153" t="str">
        <f>""</f>
        <v/>
      </c>
      <c r="EV153" t="str">
        <f>""</f>
        <v/>
      </c>
      <c r="EW153" t="str">
        <f>""</f>
        <v/>
      </c>
      <c r="EX153" t="str">
        <f>""</f>
        <v/>
      </c>
      <c r="EY153" t="str">
        <f>""</f>
        <v/>
      </c>
      <c r="EZ153" t="str">
        <f>""</f>
        <v/>
      </c>
      <c r="FA153" t="str">
        <f>""</f>
        <v/>
      </c>
      <c r="FB153" t="str">
        <f>""</f>
        <v/>
      </c>
      <c r="FC153" t="str">
        <f>""</f>
        <v/>
      </c>
      <c r="FD153" t="str">
        <f>""</f>
        <v/>
      </c>
      <c r="FE153" t="str">
        <f>""</f>
        <v/>
      </c>
      <c r="FF153" t="str">
        <f>""</f>
        <v/>
      </c>
      <c r="FG153" t="str">
        <f>""</f>
        <v/>
      </c>
      <c r="FH153" t="str">
        <f>""</f>
        <v/>
      </c>
      <c r="FI153" t="str">
        <f>""</f>
        <v/>
      </c>
      <c r="FJ153" t="str">
        <f>""</f>
        <v/>
      </c>
      <c r="FK153" t="str">
        <f>""</f>
        <v/>
      </c>
      <c r="FL153" t="str">
        <f>""</f>
        <v/>
      </c>
      <c r="FM153" t="str">
        <f>""</f>
        <v/>
      </c>
      <c r="FN153" t="str">
        <f>""</f>
        <v/>
      </c>
      <c r="FO153" t="str">
        <f>""</f>
        <v/>
      </c>
      <c r="FP153" t="str">
        <f>""</f>
        <v/>
      </c>
      <c r="FQ153" t="str">
        <f>""</f>
        <v/>
      </c>
    </row>
    <row r="154" spans="1:173">
      <c r="A154" t="str">
        <f>"    AvalonBay Communities Inc"</f>
        <v xml:space="preserve">    AvalonBay Communities Inc</v>
      </c>
      <c r="B154" t="str">
        <f>"AVB US Equity"</f>
        <v>AVB US Equity</v>
      </c>
      <c r="C154" t="str">
        <f t="shared" si="48"/>
        <v>BE895</v>
      </c>
      <c r="D154" t="str">
        <f t="shared" si="49"/>
        <v>BEST_AFFOPS</v>
      </c>
      <c r="E154" t="str">
        <f t="shared" si="50"/>
        <v>动态</v>
      </c>
      <c r="F154" t="str">
        <f ca="1">IF(AND(ISNUMBER($F$363),$B$252=1),$F$363,HLOOKUP(INDIRECT(ADDRESS(2,COLUMN())),OFFSET($CL$2,0,0,ROW()-1,84),ROW()-1,FALSE))</f>
        <v/>
      </c>
      <c r="G154" t="str">
        <f ca="1">IF(AND(ISNUMBER($G$363),$B$252=1),$G$363,HLOOKUP(INDIRECT(ADDRESS(2,COLUMN())),OFFSET($CL$2,0,0,ROW()-1,84),ROW()-1,FALSE))</f>
        <v/>
      </c>
      <c r="H154">
        <f ca="1">IF(AND(ISNUMBER($H$363),$B$252=1),$H$363,HLOOKUP(INDIRECT(ADDRESS(2,COLUMN())),OFFSET($CL$2,0,0,ROW()-1,84),ROW()-1,FALSE))</f>
        <v>8.0399999999999991</v>
      </c>
      <c r="I154">
        <f ca="1">IF(AND(ISNUMBER($I$363),$B$252=1),$I$363,HLOOKUP(INDIRECT(ADDRESS(2,COLUMN())),OFFSET($CL$2,0,0,ROW()-1,84),ROW()-1,FALSE))</f>
        <v>8.0220000000000002</v>
      </c>
      <c r="J154">
        <f ca="1">IF(AND(ISNUMBER($J$363),$B$252=1),$J$363,HLOOKUP(INDIRECT(ADDRESS(2,COLUMN())),OFFSET($CL$2,0,0,ROW()-1,84),ROW()-1,FALSE))</f>
        <v>7.99</v>
      </c>
      <c r="K154">
        <f ca="1">IF(AND(ISNUMBER($K$363),$B$252=1),$K$363,HLOOKUP(INDIRECT(ADDRESS(2,COLUMN())),OFFSET($CL$2,0,0,ROW()-1,84),ROW()-1,FALSE))</f>
        <v>8.0570000000000004</v>
      </c>
      <c r="L154">
        <f ca="1">IF(AND(ISNUMBER($L$363),$B$252=1),$L$363,HLOOKUP(INDIRECT(ADDRESS(2,COLUMN())),OFFSET($CL$2,0,0,ROW()-1,84),ROW()-1,FALSE))</f>
        <v>8.0440000000000005</v>
      </c>
      <c r="M154">
        <f ca="1">IF(AND(ISNUMBER($M$363),$B$252=1),$M$363,HLOOKUP(INDIRECT(ADDRESS(2,COLUMN())),OFFSET($CL$2,0,0,ROW()-1,84),ROW()-1,FALSE))</f>
        <v>8.1389999999999993</v>
      </c>
      <c r="N154">
        <f ca="1">IF(AND(ISNUMBER($N$363),$B$252=1),$N$363,HLOOKUP(INDIRECT(ADDRESS(2,COLUMN())),OFFSET($CL$2,0,0,ROW()-1,84),ROW()-1,FALSE))</f>
        <v>8.14</v>
      </c>
      <c r="O154">
        <f ca="1">IF(AND(ISNUMBER($O$363),$B$252=1),$O$363,HLOOKUP(INDIRECT(ADDRESS(2,COLUMN())),OFFSET($CL$2,0,0,ROW()-1,84),ROW()-1,FALSE))</f>
        <v>8.1280000000000001</v>
      </c>
      <c r="P154">
        <f ca="1">IF(AND(ISNUMBER($P$363),$B$252=1),$P$363,HLOOKUP(INDIRECT(ADDRESS(2,COLUMN())),OFFSET($CL$2,0,0,ROW()-1,84),ROW()-1,FALSE))</f>
        <v>8.1460000000000008</v>
      </c>
      <c r="Q154">
        <f ca="1">IF(AND(ISNUMBER($Q$363),$B$252=1),$Q$363,HLOOKUP(INDIRECT(ADDRESS(2,COLUMN())),OFFSET($CL$2,0,0,ROW()-1,84),ROW()-1,FALSE))</f>
        <v>8.0920000000000005</v>
      </c>
      <c r="R154">
        <f ca="1">IF(AND(ISNUMBER($R$363),$B$252=1),$R$363,HLOOKUP(INDIRECT(ADDRESS(2,COLUMN())),OFFSET($CL$2,0,0,ROW()-1,84),ROW()-1,FALSE))</f>
        <v>8.1509999999999998</v>
      </c>
      <c r="S154">
        <f ca="1">IF(AND(ISNUMBER($S$363),$B$252=1),$S$363,HLOOKUP(INDIRECT(ADDRESS(2,COLUMN())),OFFSET($CL$2,0,0,ROW()-1,84),ROW()-1,FALSE))</f>
        <v>8.1379999999999999</v>
      </c>
      <c r="T154">
        <f ca="1">IF(AND(ISNUMBER($T$363),$B$252=1),$T$363,HLOOKUP(INDIRECT(ADDRESS(2,COLUMN())),OFFSET($CL$2,0,0,ROW()-1,84),ROW()-1,FALSE))</f>
        <v>8.1359999999999992</v>
      </c>
      <c r="U154">
        <f ca="1">IF(AND(ISNUMBER($U$363),$B$252=1),$U$363,HLOOKUP(INDIRECT(ADDRESS(2,COLUMN())),OFFSET($CL$2,0,0,ROW()-1,84),ROW()-1,FALSE))</f>
        <v>8.1530000000000005</v>
      </c>
      <c r="V154">
        <f ca="1">IF(AND(ISNUMBER($V$363),$B$252=1),$V$363,HLOOKUP(INDIRECT(ADDRESS(2,COLUMN())),OFFSET($CL$2,0,0,ROW()-1,84),ROW()-1,FALSE))</f>
        <v>8.2029999999999994</v>
      </c>
      <c r="W154">
        <f ca="1">IF(AND(ISNUMBER($W$363),$B$252=1),$W$363,HLOOKUP(INDIRECT(ADDRESS(2,COLUMN())),OFFSET($CL$2,0,0,ROW()-1,84),ROW()-1,FALSE))</f>
        <v>8.19</v>
      </c>
      <c r="X154">
        <f ca="1">IF(AND(ISNUMBER($X$363),$B$252=1),$X$363,HLOOKUP(INDIRECT(ADDRESS(2,COLUMN())),OFFSET($CL$2,0,0,ROW()-1,84),ROW()-1,FALSE))</f>
        <v>8.2959999999999994</v>
      </c>
      <c r="Y154">
        <f ca="1">IF(AND(ISNUMBER($Y$363),$B$252=1),$Y$363,HLOOKUP(INDIRECT(ADDRESS(2,COLUMN())),OFFSET($CL$2,0,0,ROW()-1,84),ROW()-1,FALSE))</f>
        <v>8.2829999999999995</v>
      </c>
      <c r="Z154">
        <f ca="1">IF(AND(ISNUMBER($Z$363),$B$252=1),$Z$363,HLOOKUP(INDIRECT(ADDRESS(2,COLUMN())),OFFSET($CL$2,0,0,ROW()-1,84),ROW()-1,FALSE))</f>
        <v>8.3710000000000004</v>
      </c>
      <c r="AA154">
        <f ca="1">IF(AND(ISNUMBER($AA$363),$B$252=1),$AA$363,HLOOKUP(INDIRECT(ADDRESS(2,COLUMN())),OFFSET($CL$2,0,0,ROW()-1,84),ROW()-1,FALSE))</f>
        <v>8.4280000000000008</v>
      </c>
      <c r="AB154">
        <f ca="1">IF(AND(ISNUMBER($AB$363),$B$252=1),$AB$363,HLOOKUP(INDIRECT(ADDRESS(2,COLUMN())),OFFSET($CL$2,0,0,ROW()-1,84),ROW()-1,FALSE))</f>
        <v>8.3989999999999991</v>
      </c>
      <c r="AC154">
        <f ca="1">IF(AND(ISNUMBER($AC$363),$B$252=1),$AC$363,HLOOKUP(INDIRECT(ADDRESS(2,COLUMN())),OFFSET($CL$2,0,0,ROW()-1,84),ROW()-1,FALSE))</f>
        <v>8.3800000000000008</v>
      </c>
      <c r="AD154">
        <f ca="1">IF(AND(ISNUMBER($AD$363),$B$252=1),$AD$363,HLOOKUP(INDIRECT(ADDRESS(2,COLUMN())),OFFSET($CL$2,0,0,ROW()-1,84),ROW()-1,FALSE))</f>
        <v>8.52</v>
      </c>
      <c r="AE154">
        <f ca="1">IF(AND(ISNUMBER($AE$363),$B$252=1),$AE$363,HLOOKUP(INDIRECT(ADDRESS(2,COLUMN())),OFFSET($CL$2,0,0,ROW()-1,84),ROW()-1,FALSE))</f>
        <v>8.4890000000000008</v>
      </c>
      <c r="AF154">
        <f ca="1">IF(AND(ISNUMBER($AF$363),$B$252=1),$AF$363,HLOOKUP(INDIRECT(ADDRESS(2,COLUMN())),OFFSET($CL$2,0,0,ROW()-1,84),ROW()-1,FALSE))</f>
        <v>8.5619999999999994</v>
      </c>
      <c r="AG154">
        <f ca="1">IF(AND(ISNUMBER($AG$363),$B$252=1),$AG$363,HLOOKUP(INDIRECT(ADDRESS(2,COLUMN())),OFFSET($CL$2,0,0,ROW()-1,84),ROW()-1,FALSE))</f>
        <v>8.49</v>
      </c>
      <c r="AH154">
        <f ca="1">IF(AND(ISNUMBER($AH$363),$B$252=1),$AH$363,HLOOKUP(INDIRECT(ADDRESS(2,COLUMN())),OFFSET($CL$2,0,0,ROW()-1,84),ROW()-1,FALSE))</f>
        <v>8.4730000000000008</v>
      </c>
      <c r="AI154">
        <f ca="1">IF(AND(ISNUMBER($AI$363),$B$252=1),$AI$363,HLOOKUP(INDIRECT(ADDRESS(2,COLUMN())),OFFSET($CL$2,0,0,ROW()-1,84),ROW()-1,FALSE))</f>
        <v>8.4730000000000008</v>
      </c>
      <c r="AJ154" t="str">
        <f ca="1">IF(AND(ISNUMBER($AJ$363),$B$252=1),$AJ$363,HLOOKUP(INDIRECT(ADDRESS(2,COLUMN())),OFFSET($CL$2,0,0,ROW()-1,84),ROW()-1,FALSE))</f>
        <v/>
      </c>
      <c r="AK154">
        <f ca="1">IF(AND(ISNUMBER($AK$363),$B$252=1),$AK$363,HLOOKUP(INDIRECT(ADDRESS(2,COLUMN())),OFFSET($CL$2,0,0,ROW()-1,84),ROW()-1,FALSE))</f>
        <v>8.09</v>
      </c>
      <c r="AL154">
        <f ca="1">IF(AND(ISNUMBER($AL$363),$B$252=1),$AL$363,HLOOKUP(INDIRECT(ADDRESS(2,COLUMN())),OFFSET($CL$2,0,0,ROW()-1,84),ROW()-1,FALSE))</f>
        <v>8.0449999999999999</v>
      </c>
      <c r="AM154" t="str">
        <f ca="1">IF(AND(ISNUMBER($AM$363),$B$252=1),$AM$363,HLOOKUP(INDIRECT(ADDRESS(2,COLUMN())),OFFSET($CL$2,0,0,ROW()-1,84),ROW()-1,FALSE))</f>
        <v/>
      </c>
      <c r="AN154" t="str">
        <f ca="1">IF(AND(ISNUMBER($AN$363),$B$252=1),$AN$363,HLOOKUP(INDIRECT(ADDRESS(2,COLUMN())),OFFSET($CL$2,0,0,ROW()-1,84),ROW()-1,FALSE))</f>
        <v/>
      </c>
      <c r="AO154">
        <f ca="1">IF(AND(ISNUMBER($AO$363),$B$252=1),$AO$363,HLOOKUP(INDIRECT(ADDRESS(2,COLUMN())),OFFSET($CL$2,0,0,ROW()-1,84),ROW()-1,FALSE))</f>
        <v>7.65</v>
      </c>
      <c r="AP154" t="str">
        <f ca="1">IF(AND(ISNUMBER($AP$363),$B$252=1),$AP$363,HLOOKUP(INDIRECT(ADDRESS(2,COLUMN())),OFFSET($CL$2,0,0,ROW()-1,84),ROW()-1,FALSE))</f>
        <v/>
      </c>
      <c r="AQ154" t="str">
        <f ca="1">IF(AND(ISNUMBER($AQ$363),$B$252=1),$AQ$363,HLOOKUP(INDIRECT(ADDRESS(2,COLUMN())),OFFSET($CL$2,0,0,ROW()-1,84),ROW()-1,FALSE))</f>
        <v/>
      </c>
      <c r="AR154">
        <f ca="1">IF(AND(ISNUMBER($AR$363),$B$252=1),$AR$363,HLOOKUP(INDIRECT(ADDRESS(2,COLUMN())),OFFSET($CL$2,0,0,ROW()-1,84),ROW()-1,FALSE))</f>
        <v>7.7</v>
      </c>
      <c r="AS154" t="str">
        <f ca="1">IF(AND(ISNUMBER($AS$363),$B$252=1),$AS$363,HLOOKUP(INDIRECT(ADDRESS(2,COLUMN())),OFFSET($CL$2,0,0,ROW()-1,84),ROW()-1,FALSE))</f>
        <v/>
      </c>
      <c r="AT154" t="str">
        <f ca="1">IF(AND(ISNUMBER($AT$363),$B$252=1),$AT$363,HLOOKUP(INDIRECT(ADDRESS(2,COLUMN())),OFFSET($CL$2,0,0,ROW()-1,84),ROW()-1,FALSE))</f>
        <v/>
      </c>
      <c r="AU154" t="str">
        <f ca="1">IF(AND(ISNUMBER($AU$363),$B$252=1),$AU$363,HLOOKUP(INDIRECT(ADDRESS(2,COLUMN())),OFFSET($CL$2,0,0,ROW()-1,84),ROW()-1,FALSE))</f>
        <v/>
      </c>
      <c r="AV154" t="str">
        <f ca="1">IF(AND(ISNUMBER($AV$363),$B$252=1),$AV$363,HLOOKUP(INDIRECT(ADDRESS(2,COLUMN())),OFFSET($CL$2,0,0,ROW()-1,84),ROW()-1,FALSE))</f>
        <v/>
      </c>
      <c r="AW154" t="str">
        <f ca="1">IF(AND(ISNUMBER($AW$363),$B$252=1),$AW$363,HLOOKUP(INDIRECT(ADDRESS(2,COLUMN())),OFFSET($CL$2,0,0,ROW()-1,84),ROW()-1,FALSE))</f>
        <v/>
      </c>
      <c r="AX154" t="str">
        <f ca="1">IF(AND(ISNUMBER($AX$363),$B$252=1),$AX$363,HLOOKUP(INDIRECT(ADDRESS(2,COLUMN())),OFFSET($CL$2,0,0,ROW()-1,84),ROW()-1,FALSE))</f>
        <v/>
      </c>
      <c r="AY154" t="str">
        <f ca="1">IF(AND(ISNUMBER($AY$363),$B$252=1),$AY$363,HLOOKUP(INDIRECT(ADDRESS(2,COLUMN())),OFFSET($CL$2,0,0,ROW()-1,84),ROW()-1,FALSE))</f>
        <v/>
      </c>
      <c r="AZ154" t="str">
        <f ca="1">IF(AND(ISNUMBER($AZ$363),$B$252=1),$AZ$363,HLOOKUP(INDIRECT(ADDRESS(2,COLUMN())),OFFSET($CL$2,0,0,ROW()-1,84),ROW()-1,FALSE))</f>
        <v/>
      </c>
      <c r="BA154" t="str">
        <f ca="1">IF(AND(ISNUMBER($BA$363),$B$252=1),$BA$363,HLOOKUP(INDIRECT(ADDRESS(2,COLUMN())),OFFSET($CL$2,0,0,ROW()-1,84),ROW()-1,FALSE))</f>
        <v/>
      </c>
      <c r="BB154" t="str">
        <f ca="1">IF(AND(ISNUMBER($BB$363),$B$252=1),$BB$363,HLOOKUP(INDIRECT(ADDRESS(2,COLUMN())),OFFSET($CL$2,0,0,ROW()-1,84),ROW()-1,FALSE))</f>
        <v/>
      </c>
      <c r="BC154" t="str">
        <f ca="1">IF(AND(ISNUMBER($BC$363),$B$252=1),$BC$363,HLOOKUP(INDIRECT(ADDRESS(2,COLUMN())),OFFSET($CL$2,0,0,ROW()-1,84),ROW()-1,FALSE))</f>
        <v/>
      </c>
      <c r="BD154" t="str">
        <f ca="1">IF(AND(ISNUMBER($BD$363),$B$252=1),$BD$363,HLOOKUP(INDIRECT(ADDRESS(2,COLUMN())),OFFSET($CL$2,0,0,ROW()-1,84),ROW()-1,FALSE))</f>
        <v/>
      </c>
      <c r="BE154" t="str">
        <f ca="1">IF(AND(ISNUMBER($BE$363),$B$252=1),$BE$363,HLOOKUP(INDIRECT(ADDRESS(2,COLUMN())),OFFSET($CL$2,0,0,ROW()-1,84),ROW()-1,FALSE))</f>
        <v/>
      </c>
      <c r="BF154" t="str">
        <f ca="1">IF(AND(ISNUMBER($BF$363),$B$252=1),$BF$363,HLOOKUP(INDIRECT(ADDRESS(2,COLUMN())),OFFSET($CL$2,0,0,ROW()-1,84),ROW()-1,FALSE))</f>
        <v/>
      </c>
      <c r="BG154" t="str">
        <f ca="1">IF(AND(ISNUMBER($BG$363),$B$252=1),$BG$363,HLOOKUP(INDIRECT(ADDRESS(2,COLUMN())),OFFSET($CL$2,0,0,ROW()-1,84),ROW()-1,FALSE))</f>
        <v/>
      </c>
      <c r="BH154" t="str">
        <f ca="1">IF(AND(ISNUMBER($BH$363),$B$252=1),$BH$363,HLOOKUP(INDIRECT(ADDRESS(2,COLUMN())),OFFSET($CL$2,0,0,ROW()-1,84),ROW()-1,FALSE))</f>
        <v/>
      </c>
      <c r="BI154" t="str">
        <f ca="1">IF(AND(ISNUMBER($BI$363),$B$252=1),$BI$363,HLOOKUP(INDIRECT(ADDRESS(2,COLUMN())),OFFSET($CL$2,0,0,ROW()-1,84),ROW()-1,FALSE))</f>
        <v/>
      </c>
      <c r="BJ154" t="str">
        <f ca="1">IF(AND(ISNUMBER($BJ$363),$B$252=1),$BJ$363,HLOOKUP(INDIRECT(ADDRESS(2,COLUMN())),OFFSET($CL$2,0,0,ROW()-1,84),ROW()-1,FALSE))</f>
        <v/>
      </c>
      <c r="BK154" t="str">
        <f ca="1">IF(AND(ISNUMBER($BK$363),$B$252=1),$BK$363,HLOOKUP(INDIRECT(ADDRESS(2,COLUMN())),OFFSET($CL$2,0,0,ROW()-1,84),ROW()-1,FALSE))</f>
        <v/>
      </c>
      <c r="BL154" t="str">
        <f ca="1">IF(AND(ISNUMBER($BL$363),$B$252=1),$BL$363,HLOOKUP(INDIRECT(ADDRESS(2,COLUMN())),OFFSET($CL$2,0,0,ROW()-1,84),ROW()-1,FALSE))</f>
        <v/>
      </c>
      <c r="BM154" t="str">
        <f ca="1">IF(AND(ISNUMBER($BM$363),$B$252=1),$BM$363,HLOOKUP(INDIRECT(ADDRESS(2,COLUMN())),OFFSET($CL$2,0,0,ROW()-1,84),ROW()-1,FALSE))</f>
        <v/>
      </c>
      <c r="BN154" t="str">
        <f ca="1">IF(AND(ISNUMBER($BN$363),$B$252=1),$BN$363,HLOOKUP(INDIRECT(ADDRESS(2,COLUMN())),OFFSET($CL$2,0,0,ROW()-1,84),ROW()-1,FALSE))</f>
        <v/>
      </c>
      <c r="BO154" t="str">
        <f ca="1">IF(AND(ISNUMBER($BO$363),$B$252=1),$BO$363,HLOOKUP(INDIRECT(ADDRESS(2,COLUMN())),OFFSET($CL$2,0,0,ROW()-1,84),ROW()-1,FALSE))</f>
        <v/>
      </c>
      <c r="BP154" t="str">
        <f ca="1">IF(AND(ISNUMBER($BP$363),$B$252=1),$BP$363,HLOOKUP(INDIRECT(ADDRESS(2,COLUMN())),OFFSET($CL$2,0,0,ROW()-1,84),ROW()-1,FALSE))</f>
        <v/>
      </c>
      <c r="BQ154" t="str">
        <f ca="1">IF(AND(ISNUMBER($BQ$363),$B$252=1),$BQ$363,HLOOKUP(INDIRECT(ADDRESS(2,COLUMN())),OFFSET($CL$2,0,0,ROW()-1,84),ROW()-1,FALSE))</f>
        <v/>
      </c>
      <c r="BR154" t="str">
        <f ca="1">IF(AND(ISNUMBER($BR$363),$B$252=1),$BR$363,HLOOKUP(INDIRECT(ADDRESS(2,COLUMN())),OFFSET($CL$2,0,0,ROW()-1,84),ROW()-1,FALSE))</f>
        <v/>
      </c>
      <c r="BS154" t="str">
        <f ca="1">IF(AND(ISNUMBER($BS$363),$B$252=1),$BS$363,HLOOKUP(INDIRECT(ADDRESS(2,COLUMN())),OFFSET($CL$2,0,0,ROW()-1,84),ROW()-1,FALSE))</f>
        <v/>
      </c>
      <c r="BT154" t="str">
        <f ca="1">IF(AND(ISNUMBER($BT$363),$B$252=1),$BT$363,HLOOKUP(INDIRECT(ADDRESS(2,COLUMN())),OFFSET($CL$2,0,0,ROW()-1,84),ROW()-1,FALSE))</f>
        <v/>
      </c>
      <c r="BU154" t="str">
        <f ca="1">IF(AND(ISNUMBER($BU$363),$B$252=1),$BU$363,HLOOKUP(INDIRECT(ADDRESS(2,COLUMN())),OFFSET($CL$2,0,0,ROW()-1,84),ROW()-1,FALSE))</f>
        <v/>
      </c>
      <c r="BV154" t="str">
        <f ca="1">IF(AND(ISNUMBER($BV$363),$B$252=1),$BV$363,HLOOKUP(INDIRECT(ADDRESS(2,COLUMN())),OFFSET($CL$2,0,0,ROW()-1,84),ROW()-1,FALSE))</f>
        <v/>
      </c>
      <c r="BW154" t="str">
        <f ca="1">IF(AND(ISNUMBER($BW$363),$B$252=1),$BW$363,HLOOKUP(INDIRECT(ADDRESS(2,COLUMN())),OFFSET($CL$2,0,0,ROW()-1,84),ROW()-1,FALSE))</f>
        <v/>
      </c>
      <c r="BX154" t="str">
        <f ca="1">IF(AND(ISNUMBER($BX$363),$B$252=1),$BX$363,HLOOKUP(INDIRECT(ADDRESS(2,COLUMN())),OFFSET($CL$2,0,0,ROW()-1,84),ROW()-1,FALSE))</f>
        <v/>
      </c>
      <c r="BY154" t="str">
        <f ca="1">IF(AND(ISNUMBER($BY$363),$B$252=1),$BY$363,HLOOKUP(INDIRECT(ADDRESS(2,COLUMN())),OFFSET($CL$2,0,0,ROW()-1,84),ROW()-1,FALSE))</f>
        <v/>
      </c>
      <c r="BZ154" t="str">
        <f ca="1">IF(AND(ISNUMBER($BZ$363),$B$252=1),$BZ$363,HLOOKUP(INDIRECT(ADDRESS(2,COLUMN())),OFFSET($CL$2,0,0,ROW()-1,84),ROW()-1,FALSE))</f>
        <v/>
      </c>
      <c r="CA154" t="str">
        <f ca="1">IF(AND(ISNUMBER($CA$363),$B$252=1),$CA$363,HLOOKUP(INDIRECT(ADDRESS(2,COLUMN())),OFFSET($CL$2,0,0,ROW()-1,84),ROW()-1,FALSE))</f>
        <v/>
      </c>
      <c r="CB154" t="str">
        <f ca="1">IF(AND(ISNUMBER($CB$363),$B$252=1),$CB$363,HLOOKUP(INDIRECT(ADDRESS(2,COLUMN())),OFFSET($CL$2,0,0,ROW()-1,84),ROW()-1,FALSE))</f>
        <v/>
      </c>
      <c r="CC154" t="str">
        <f ca="1">IF(AND(ISNUMBER($CC$363),$B$252=1),$CC$363,HLOOKUP(INDIRECT(ADDRESS(2,COLUMN())),OFFSET($CL$2,0,0,ROW()-1,84),ROW()-1,FALSE))</f>
        <v/>
      </c>
      <c r="CD154" t="str">
        <f ca="1">IF(AND(ISNUMBER($CD$363),$B$252=1),$CD$363,HLOOKUP(INDIRECT(ADDRESS(2,COLUMN())),OFFSET($CL$2,0,0,ROW()-1,84),ROW()-1,FALSE))</f>
        <v/>
      </c>
      <c r="CE154" t="str">
        <f ca="1">IF(AND(ISNUMBER($CE$363),$B$252=1),$CE$363,HLOOKUP(INDIRECT(ADDRESS(2,COLUMN())),OFFSET($CL$2,0,0,ROW()-1,84),ROW()-1,FALSE))</f>
        <v/>
      </c>
      <c r="CF154" t="str">
        <f ca="1">IF(AND(ISNUMBER($CF$363),$B$252=1),$CF$363,HLOOKUP(INDIRECT(ADDRESS(2,COLUMN())),OFFSET($CL$2,0,0,ROW()-1,84),ROW()-1,FALSE))</f>
        <v/>
      </c>
      <c r="CG154" t="str">
        <f ca="1">IF(AND(ISNUMBER($CG$363),$B$252=1),$CG$363,HLOOKUP(INDIRECT(ADDRESS(2,COLUMN())),OFFSET($CL$2,0,0,ROW()-1,84),ROW()-1,FALSE))</f>
        <v/>
      </c>
      <c r="CH154" t="str">
        <f ca="1">IF(AND(ISNUMBER($CH$363),$B$252=1),$CH$363,HLOOKUP(INDIRECT(ADDRESS(2,COLUMN())),OFFSET($CL$2,0,0,ROW()-1,84),ROW()-1,FALSE))</f>
        <v/>
      </c>
      <c r="CI154" t="str">
        <f ca="1">IF(AND(ISNUMBER($CI$363),$B$252=1),$CI$363,HLOOKUP(INDIRECT(ADDRESS(2,COLUMN())),OFFSET($CL$2,0,0,ROW()-1,84),ROW()-1,FALSE))</f>
        <v/>
      </c>
      <c r="CJ154" t="str">
        <f ca="1">IF(AND(ISNUMBER($CJ$363),$B$252=1),$CJ$363,HLOOKUP(INDIRECT(ADDRESS(2,COLUMN())),OFFSET($CL$2,0,0,ROW()-1,84),ROW()-1,FALSE))</f>
        <v/>
      </c>
      <c r="CK154" t="str">
        <f ca="1">IF(AND(ISNUMBER($CK$363),$B$252=1),$CK$363,HLOOKUP(INDIRECT(ADDRESS(2,COLUMN())),OFFSET($CL$2,0,0,ROW()-1,84),ROW()-1,FALSE))</f>
        <v/>
      </c>
      <c r="CL154" t="str">
        <f>""</f>
        <v/>
      </c>
      <c r="CM154" t="str">
        <f>""</f>
        <v/>
      </c>
      <c r="CN154">
        <f>8.04</f>
        <v>8.0399999999999991</v>
      </c>
      <c r="CO154">
        <f>8.022</f>
        <v>8.0220000000000002</v>
      </c>
      <c r="CP154">
        <f>7.99</f>
        <v>7.99</v>
      </c>
      <c r="CQ154">
        <f>8.057</f>
        <v>8.0570000000000004</v>
      </c>
      <c r="CR154">
        <f>8.044</f>
        <v>8.0440000000000005</v>
      </c>
      <c r="CS154">
        <f>8.139</f>
        <v>8.1389999999999993</v>
      </c>
      <c r="CT154">
        <f>8.14</f>
        <v>8.14</v>
      </c>
      <c r="CU154">
        <f>8.128</f>
        <v>8.1280000000000001</v>
      </c>
      <c r="CV154">
        <f>8.146</f>
        <v>8.1460000000000008</v>
      </c>
      <c r="CW154">
        <f>8.092</f>
        <v>8.0920000000000005</v>
      </c>
      <c r="CX154">
        <f>8.151</f>
        <v>8.1509999999999998</v>
      </c>
      <c r="CY154">
        <f>8.138</f>
        <v>8.1379999999999999</v>
      </c>
      <c r="CZ154">
        <f>8.136</f>
        <v>8.1359999999999992</v>
      </c>
      <c r="DA154">
        <f>8.153</f>
        <v>8.1530000000000005</v>
      </c>
      <c r="DB154">
        <f>8.203</f>
        <v>8.2029999999999994</v>
      </c>
      <c r="DC154">
        <f>8.19</f>
        <v>8.19</v>
      </c>
      <c r="DD154">
        <f>8.296</f>
        <v>8.2959999999999994</v>
      </c>
      <c r="DE154">
        <f>8.283</f>
        <v>8.2829999999999995</v>
      </c>
      <c r="DF154">
        <f>8.371</f>
        <v>8.3710000000000004</v>
      </c>
      <c r="DG154">
        <f>8.428</f>
        <v>8.4280000000000008</v>
      </c>
      <c r="DH154">
        <f>8.399</f>
        <v>8.3989999999999991</v>
      </c>
      <c r="DI154">
        <f>8.38</f>
        <v>8.3800000000000008</v>
      </c>
      <c r="DJ154">
        <f>8.52</f>
        <v>8.52</v>
      </c>
      <c r="DK154">
        <f>8.489</f>
        <v>8.4890000000000008</v>
      </c>
      <c r="DL154">
        <f>8.562</f>
        <v>8.5619999999999994</v>
      </c>
      <c r="DM154">
        <f>8.49</f>
        <v>8.49</v>
      </c>
      <c r="DN154">
        <f>8.473</f>
        <v>8.4730000000000008</v>
      </c>
      <c r="DO154">
        <f>8.473</f>
        <v>8.4730000000000008</v>
      </c>
      <c r="DP154" t="str">
        <f>""</f>
        <v/>
      </c>
      <c r="DQ154">
        <f>8.09</f>
        <v>8.09</v>
      </c>
      <c r="DR154">
        <f>8.045</f>
        <v>8.0449999999999999</v>
      </c>
      <c r="DS154" t="str">
        <f>""</f>
        <v/>
      </c>
      <c r="DT154" t="str">
        <f>""</f>
        <v/>
      </c>
      <c r="DU154">
        <f>7.65</f>
        <v>7.65</v>
      </c>
      <c r="DV154" t="str">
        <f>""</f>
        <v/>
      </c>
      <c r="DW154" t="str">
        <f>""</f>
        <v/>
      </c>
      <c r="DX154">
        <f>7.7</f>
        <v>7.7</v>
      </c>
      <c r="DY154" t="str">
        <f>""</f>
        <v/>
      </c>
      <c r="DZ154" t="str">
        <f>""</f>
        <v/>
      </c>
      <c r="EA154" t="str">
        <f>""</f>
        <v/>
      </c>
      <c r="EB154" t="str">
        <f>""</f>
        <v/>
      </c>
      <c r="EC154" t="str">
        <f>""</f>
        <v/>
      </c>
      <c r="ED154" t="str">
        <f>""</f>
        <v/>
      </c>
      <c r="EE154" t="str">
        <f>""</f>
        <v/>
      </c>
      <c r="EF154" t="str">
        <f>""</f>
        <v/>
      </c>
      <c r="EG154" t="str">
        <f>""</f>
        <v/>
      </c>
      <c r="EH154" t="str">
        <f>""</f>
        <v/>
      </c>
      <c r="EI154" t="str">
        <f>""</f>
        <v/>
      </c>
      <c r="EJ154" t="str">
        <f>""</f>
        <v/>
      </c>
      <c r="EK154" t="str">
        <f>""</f>
        <v/>
      </c>
      <c r="EL154" t="str">
        <f>""</f>
        <v/>
      </c>
      <c r="EM154" t="str">
        <f>""</f>
        <v/>
      </c>
      <c r="EN154" t="str">
        <f>""</f>
        <v/>
      </c>
      <c r="EO154" t="str">
        <f>""</f>
        <v/>
      </c>
      <c r="EP154" t="str">
        <f>""</f>
        <v/>
      </c>
      <c r="EQ154" t="str">
        <f>""</f>
        <v/>
      </c>
      <c r="ER154" t="str">
        <f>""</f>
        <v/>
      </c>
      <c r="ES154" t="str">
        <f>""</f>
        <v/>
      </c>
      <c r="ET154" t="str">
        <f>""</f>
        <v/>
      </c>
      <c r="EU154" t="str">
        <f>""</f>
        <v/>
      </c>
      <c r="EV154" t="str">
        <f>""</f>
        <v/>
      </c>
      <c r="EW154" t="str">
        <f>""</f>
        <v/>
      </c>
      <c r="EX154" t="str">
        <f>""</f>
        <v/>
      </c>
      <c r="EY154" t="str">
        <f>""</f>
        <v/>
      </c>
      <c r="EZ154" t="str">
        <f>""</f>
        <v/>
      </c>
      <c r="FA154" t="str">
        <f>""</f>
        <v/>
      </c>
      <c r="FB154" t="str">
        <f>""</f>
        <v/>
      </c>
      <c r="FC154" t="str">
        <f>""</f>
        <v/>
      </c>
      <c r="FD154" t="str">
        <f>""</f>
        <v/>
      </c>
      <c r="FE154" t="str">
        <f>""</f>
        <v/>
      </c>
      <c r="FF154" t="str">
        <f>""</f>
        <v/>
      </c>
      <c r="FG154" t="str">
        <f>""</f>
        <v/>
      </c>
      <c r="FH154" t="str">
        <f>""</f>
        <v/>
      </c>
      <c r="FI154" t="str">
        <f>""</f>
        <v/>
      </c>
      <c r="FJ154" t="str">
        <f>""</f>
        <v/>
      </c>
      <c r="FK154" t="str">
        <f>""</f>
        <v/>
      </c>
      <c r="FL154" t="str">
        <f>""</f>
        <v/>
      </c>
      <c r="FM154" t="str">
        <f>""</f>
        <v/>
      </c>
      <c r="FN154" t="str">
        <f>""</f>
        <v/>
      </c>
      <c r="FO154" t="str">
        <f>""</f>
        <v/>
      </c>
      <c r="FP154" t="str">
        <f>""</f>
        <v/>
      </c>
      <c r="FQ154" t="str">
        <f>""</f>
        <v/>
      </c>
    </row>
    <row r="155" spans="1:173">
      <c r="A155" t="str">
        <f>"    Camden Property Trust"</f>
        <v xml:space="preserve">    Camden Property Trust</v>
      </c>
      <c r="B155" t="str">
        <f>"CPT US Equity"</f>
        <v>CPT US Equity</v>
      </c>
      <c r="C155" t="str">
        <f t="shared" si="48"/>
        <v>BE895</v>
      </c>
      <c r="D155" t="str">
        <f t="shared" si="49"/>
        <v>BEST_AFFOPS</v>
      </c>
      <c r="E155" t="str">
        <f t="shared" si="50"/>
        <v>动态</v>
      </c>
      <c r="F155" t="str">
        <f ca="1">IF(AND(ISNUMBER($F$364),$B$252=1),$F$364,HLOOKUP(INDIRECT(ADDRESS(2,COLUMN())),OFFSET($CL$2,0,0,ROW()-1,84),ROW()-1,FALSE))</f>
        <v/>
      </c>
      <c r="G155" t="str">
        <f ca="1">IF(AND(ISNUMBER($G$364),$B$252=1),$G$364,HLOOKUP(INDIRECT(ADDRESS(2,COLUMN())),OFFSET($CL$2,0,0,ROW()-1,84),ROW()-1,FALSE))</f>
        <v/>
      </c>
      <c r="H155">
        <f ca="1">IF(AND(ISNUMBER($H$364),$B$252=1),$H$364,HLOOKUP(INDIRECT(ADDRESS(2,COLUMN())),OFFSET($CL$2,0,0,ROW()-1,84),ROW()-1,FALSE))</f>
        <v>3.859</v>
      </c>
      <c r="I155">
        <f ca="1">IF(AND(ISNUMBER($I$364),$B$252=1),$I$364,HLOOKUP(INDIRECT(ADDRESS(2,COLUMN())),OFFSET($CL$2,0,0,ROW()-1,84),ROW()-1,FALSE))</f>
        <v>3.843</v>
      </c>
      <c r="J155">
        <f ca="1">IF(AND(ISNUMBER($J$364),$B$252=1),$J$364,HLOOKUP(INDIRECT(ADDRESS(2,COLUMN())),OFFSET($CL$2,0,0,ROW()-1,84),ROW()-1,FALSE))</f>
        <v>3.8380000000000001</v>
      </c>
      <c r="K155">
        <f ca="1">IF(AND(ISNUMBER($K$364),$B$252=1),$K$364,HLOOKUP(INDIRECT(ADDRESS(2,COLUMN())),OFFSET($CL$2,0,0,ROW()-1,84),ROW()-1,FALSE))</f>
        <v>3.8260000000000001</v>
      </c>
      <c r="L155">
        <f ca="1">IF(AND(ISNUMBER($L$364),$B$252=1),$L$364,HLOOKUP(INDIRECT(ADDRESS(2,COLUMN())),OFFSET($CL$2,0,0,ROW()-1,84),ROW()-1,FALSE))</f>
        <v>3.8879999999999999</v>
      </c>
      <c r="M155">
        <f ca="1">IF(AND(ISNUMBER($M$364),$B$252=1),$M$364,HLOOKUP(INDIRECT(ADDRESS(2,COLUMN())),OFFSET($CL$2,0,0,ROW()-1,84),ROW()-1,FALSE))</f>
        <v>3.9430000000000001</v>
      </c>
      <c r="N155">
        <f ca="1">IF(AND(ISNUMBER($N$364),$B$252=1),$N$364,HLOOKUP(INDIRECT(ADDRESS(2,COLUMN())),OFFSET($CL$2,0,0,ROW()-1,84),ROW()-1,FALSE))</f>
        <v>3.9529999999999998</v>
      </c>
      <c r="O155">
        <f ca="1">IF(AND(ISNUMBER($O$364),$B$252=1),$O$364,HLOOKUP(INDIRECT(ADDRESS(2,COLUMN())),OFFSET($CL$2,0,0,ROW()-1,84),ROW()-1,FALSE))</f>
        <v>3.9249999999999998</v>
      </c>
      <c r="P155">
        <f ca="1">IF(AND(ISNUMBER($P$364),$B$252=1),$P$364,HLOOKUP(INDIRECT(ADDRESS(2,COLUMN())),OFFSET($CL$2,0,0,ROW()-1,84),ROW()-1,FALSE))</f>
        <v>3.9169999999999998</v>
      </c>
      <c r="Q155">
        <f ca="1">IF(AND(ISNUMBER($Q$364),$B$252=1),$Q$364,HLOOKUP(INDIRECT(ADDRESS(2,COLUMN())),OFFSET($CL$2,0,0,ROW()-1,84),ROW()-1,FALSE))</f>
        <v>3.94</v>
      </c>
      <c r="R155">
        <f ca="1">IF(AND(ISNUMBER($R$364),$B$252=1),$R$364,HLOOKUP(INDIRECT(ADDRESS(2,COLUMN())),OFFSET($CL$2,0,0,ROW()-1,84),ROW()-1,FALSE))</f>
        <v>3.835</v>
      </c>
      <c r="S155">
        <f ca="1">IF(AND(ISNUMBER($S$364),$B$252=1),$S$364,HLOOKUP(INDIRECT(ADDRESS(2,COLUMN())),OFFSET($CL$2,0,0,ROW()-1,84),ROW()-1,FALSE))</f>
        <v>3.835</v>
      </c>
      <c r="T155">
        <f ca="1">IF(AND(ISNUMBER($T$364),$B$252=1),$T$364,HLOOKUP(INDIRECT(ADDRESS(2,COLUMN())),OFFSET($CL$2,0,0,ROW()-1,84),ROW()-1,FALSE))</f>
        <v>3.956</v>
      </c>
      <c r="U155">
        <f ca="1">IF(AND(ISNUMBER($U$364),$B$252=1),$U$364,HLOOKUP(INDIRECT(ADDRESS(2,COLUMN())),OFFSET($CL$2,0,0,ROW()-1,84),ROW()-1,FALSE))</f>
        <v>3.9590000000000001</v>
      </c>
      <c r="V155">
        <f ca="1">IF(AND(ISNUMBER($V$364),$B$252=1),$V$364,HLOOKUP(INDIRECT(ADDRESS(2,COLUMN())),OFFSET($CL$2,0,0,ROW()-1,84),ROW()-1,FALSE))</f>
        <v>3.9340000000000002</v>
      </c>
      <c r="W155">
        <f ca="1">IF(AND(ISNUMBER($W$364),$B$252=1),$W$364,HLOOKUP(INDIRECT(ADDRESS(2,COLUMN())),OFFSET($CL$2,0,0,ROW()-1,84),ROW()-1,FALSE))</f>
        <v>3.8759999999999999</v>
      </c>
      <c r="X155">
        <f ca="1">IF(AND(ISNUMBER($X$364),$B$252=1),$X$364,HLOOKUP(INDIRECT(ADDRESS(2,COLUMN())),OFFSET($CL$2,0,0,ROW()-1,84),ROW()-1,FALSE))</f>
        <v>3.8889999999999998</v>
      </c>
      <c r="Y155">
        <f ca="1">IF(AND(ISNUMBER($Y$364),$B$252=1),$Y$364,HLOOKUP(INDIRECT(ADDRESS(2,COLUMN())),OFFSET($CL$2,0,0,ROW()-1,84),ROW()-1,FALSE))</f>
        <v>3.8849999999999998</v>
      </c>
      <c r="Z155">
        <f ca="1">IF(AND(ISNUMBER($Z$364),$B$252=1),$Z$364,HLOOKUP(INDIRECT(ADDRESS(2,COLUMN())),OFFSET($CL$2,0,0,ROW()-1,84),ROW()-1,FALSE))</f>
        <v>3.8679999999999999</v>
      </c>
      <c r="AA155">
        <f ca="1">IF(AND(ISNUMBER($AA$364),$B$252=1),$AA$364,HLOOKUP(INDIRECT(ADDRESS(2,COLUMN())),OFFSET($CL$2,0,0,ROW()-1,84),ROW()-1,FALSE))</f>
        <v>3.8759999999999999</v>
      </c>
      <c r="AB155">
        <f ca="1">IF(AND(ISNUMBER($AB$364),$B$252=1),$AB$364,HLOOKUP(INDIRECT(ADDRESS(2,COLUMN())),OFFSET($CL$2,0,0,ROW()-1,84),ROW()-1,FALSE))</f>
        <v>3.9249999999999998</v>
      </c>
      <c r="AC155">
        <f ca="1">IF(AND(ISNUMBER($AC$364),$B$252=1),$AC$364,HLOOKUP(INDIRECT(ADDRESS(2,COLUMN())),OFFSET($CL$2,0,0,ROW()-1,84),ROW()-1,FALSE))</f>
        <v>4.2839999999999998</v>
      </c>
      <c r="AD155">
        <f ca="1">IF(AND(ISNUMBER($AD$364),$B$252=1),$AD$364,HLOOKUP(INDIRECT(ADDRESS(2,COLUMN())),OFFSET($CL$2,0,0,ROW()-1,84),ROW()-1,FALSE))</f>
        <v>4.3319999999999999</v>
      </c>
      <c r="AE155">
        <f ca="1">IF(AND(ISNUMBER($AE$364),$B$252=1),$AE$364,HLOOKUP(INDIRECT(ADDRESS(2,COLUMN())),OFFSET($CL$2,0,0,ROW()-1,84),ROW()-1,FALSE))</f>
        <v>4.3209999999999997</v>
      </c>
      <c r="AF155">
        <f ca="1">IF(AND(ISNUMBER($AF$364),$B$252=1),$AF$364,HLOOKUP(INDIRECT(ADDRESS(2,COLUMN())),OFFSET($CL$2,0,0,ROW()-1,84),ROW()-1,FALSE))</f>
        <v>4.3410000000000002</v>
      </c>
      <c r="AG155">
        <f ca="1">IF(AND(ISNUMBER($AG$364),$B$252=1),$AG$364,HLOOKUP(INDIRECT(ADDRESS(2,COLUMN())),OFFSET($CL$2,0,0,ROW()-1,84),ROW()-1,FALSE))</f>
        <v>4.3120000000000003</v>
      </c>
      <c r="AH155">
        <f ca="1">IF(AND(ISNUMBER($AH$364),$B$252=1),$AH$364,HLOOKUP(INDIRECT(ADDRESS(2,COLUMN())),OFFSET($CL$2,0,0,ROW()-1,84),ROW()-1,FALSE))</f>
        <v>4.3600000000000003</v>
      </c>
      <c r="AI155">
        <f ca="1">IF(AND(ISNUMBER($AI$364),$B$252=1),$AI$364,HLOOKUP(INDIRECT(ADDRESS(2,COLUMN())),OFFSET($CL$2,0,0,ROW()-1,84),ROW()-1,FALSE))</f>
        <v>4.3650000000000002</v>
      </c>
      <c r="AJ155">
        <f ca="1">IF(AND(ISNUMBER($AJ$364),$B$252=1),$AJ$364,HLOOKUP(INDIRECT(ADDRESS(2,COLUMN())),OFFSET($CL$2,0,0,ROW()-1,84),ROW()-1,FALSE))</f>
        <v>4.375</v>
      </c>
      <c r="AK155">
        <f ca="1">IF(AND(ISNUMBER($AK$364),$B$252=1),$AK$364,HLOOKUP(INDIRECT(ADDRESS(2,COLUMN())),OFFSET($CL$2,0,0,ROW()-1,84),ROW()-1,FALSE))</f>
        <v>4.375</v>
      </c>
      <c r="AL155">
        <f ca="1">IF(AND(ISNUMBER($AL$364),$B$252=1),$AL$364,HLOOKUP(INDIRECT(ADDRESS(2,COLUMN())),OFFSET($CL$2,0,0,ROW()-1,84),ROW()-1,FALSE))</f>
        <v>4.37</v>
      </c>
      <c r="AM155" t="str">
        <f ca="1">IF(AND(ISNUMBER($AM$364),$B$252=1),$AM$364,HLOOKUP(INDIRECT(ADDRESS(2,COLUMN())),OFFSET($CL$2,0,0,ROW()-1,84),ROW()-1,FALSE))</f>
        <v/>
      </c>
      <c r="AN155" t="str">
        <f ca="1">IF(AND(ISNUMBER($AN$364),$B$252=1),$AN$364,HLOOKUP(INDIRECT(ADDRESS(2,COLUMN())),OFFSET($CL$2,0,0,ROW()-1,84),ROW()-1,FALSE))</f>
        <v/>
      </c>
      <c r="AO155">
        <f ca="1">IF(AND(ISNUMBER($AO$364),$B$252=1),$AO$364,HLOOKUP(INDIRECT(ADDRESS(2,COLUMN())),OFFSET($CL$2,0,0,ROW()-1,84),ROW()-1,FALSE))</f>
        <v>4.37</v>
      </c>
      <c r="AP155" t="str">
        <f ca="1">IF(AND(ISNUMBER($AP$364),$B$252=1),$AP$364,HLOOKUP(INDIRECT(ADDRESS(2,COLUMN())),OFFSET($CL$2,0,0,ROW()-1,84),ROW()-1,FALSE))</f>
        <v/>
      </c>
      <c r="AQ155" t="str">
        <f ca="1">IF(AND(ISNUMBER($AQ$364),$B$252=1),$AQ$364,HLOOKUP(INDIRECT(ADDRESS(2,COLUMN())),OFFSET($CL$2,0,0,ROW()-1,84),ROW()-1,FALSE))</f>
        <v/>
      </c>
      <c r="AR155">
        <f ca="1">IF(AND(ISNUMBER($AR$364),$B$252=1),$AR$364,HLOOKUP(INDIRECT(ADDRESS(2,COLUMN())),OFFSET($CL$2,0,0,ROW()-1,84),ROW()-1,FALSE))</f>
        <v>4.3899999999999997</v>
      </c>
      <c r="AS155" t="str">
        <f ca="1">IF(AND(ISNUMBER($AS$364),$B$252=1),$AS$364,HLOOKUP(INDIRECT(ADDRESS(2,COLUMN())),OFFSET($CL$2,0,0,ROW()-1,84),ROW()-1,FALSE))</f>
        <v/>
      </c>
      <c r="AT155" t="str">
        <f ca="1">IF(AND(ISNUMBER($AT$364),$B$252=1),$AT$364,HLOOKUP(INDIRECT(ADDRESS(2,COLUMN())),OFFSET($CL$2,0,0,ROW()-1,84),ROW()-1,FALSE))</f>
        <v/>
      </c>
      <c r="AU155" t="str">
        <f ca="1">IF(AND(ISNUMBER($AU$364),$B$252=1),$AU$364,HLOOKUP(INDIRECT(ADDRESS(2,COLUMN())),OFFSET($CL$2,0,0,ROW()-1,84),ROW()-1,FALSE))</f>
        <v/>
      </c>
      <c r="AV155" t="str">
        <f ca="1">IF(AND(ISNUMBER($AV$364),$B$252=1),$AV$364,HLOOKUP(INDIRECT(ADDRESS(2,COLUMN())),OFFSET($CL$2,0,0,ROW()-1,84),ROW()-1,FALSE))</f>
        <v/>
      </c>
      <c r="AW155" t="str">
        <f ca="1">IF(AND(ISNUMBER($AW$364),$B$252=1),$AW$364,HLOOKUP(INDIRECT(ADDRESS(2,COLUMN())),OFFSET($CL$2,0,0,ROW()-1,84),ROW()-1,FALSE))</f>
        <v/>
      </c>
      <c r="AX155" t="str">
        <f ca="1">IF(AND(ISNUMBER($AX$364),$B$252=1),$AX$364,HLOOKUP(INDIRECT(ADDRESS(2,COLUMN())),OFFSET($CL$2,0,0,ROW()-1,84),ROW()-1,FALSE))</f>
        <v/>
      </c>
      <c r="AY155" t="str">
        <f ca="1">IF(AND(ISNUMBER($AY$364),$B$252=1),$AY$364,HLOOKUP(INDIRECT(ADDRESS(2,COLUMN())),OFFSET($CL$2,0,0,ROW()-1,84),ROW()-1,FALSE))</f>
        <v/>
      </c>
      <c r="AZ155" t="str">
        <f ca="1">IF(AND(ISNUMBER($AZ$364),$B$252=1),$AZ$364,HLOOKUP(INDIRECT(ADDRESS(2,COLUMN())),OFFSET($CL$2,0,0,ROW()-1,84),ROW()-1,FALSE))</f>
        <v/>
      </c>
      <c r="BA155" t="str">
        <f ca="1">IF(AND(ISNUMBER($BA$364),$B$252=1),$BA$364,HLOOKUP(INDIRECT(ADDRESS(2,COLUMN())),OFFSET($CL$2,0,0,ROW()-1,84),ROW()-1,FALSE))</f>
        <v/>
      </c>
      <c r="BB155" t="str">
        <f ca="1">IF(AND(ISNUMBER($BB$364),$B$252=1),$BB$364,HLOOKUP(INDIRECT(ADDRESS(2,COLUMN())),OFFSET($CL$2,0,0,ROW()-1,84),ROW()-1,FALSE))</f>
        <v/>
      </c>
      <c r="BC155" t="str">
        <f ca="1">IF(AND(ISNUMBER($BC$364),$B$252=1),$BC$364,HLOOKUP(INDIRECT(ADDRESS(2,COLUMN())),OFFSET($CL$2,0,0,ROW()-1,84),ROW()-1,FALSE))</f>
        <v/>
      </c>
      <c r="BD155" t="str">
        <f ca="1">IF(AND(ISNUMBER($BD$364),$B$252=1),$BD$364,HLOOKUP(INDIRECT(ADDRESS(2,COLUMN())),OFFSET($CL$2,0,0,ROW()-1,84),ROW()-1,FALSE))</f>
        <v/>
      </c>
      <c r="BE155" t="str">
        <f ca="1">IF(AND(ISNUMBER($BE$364),$B$252=1),$BE$364,HLOOKUP(INDIRECT(ADDRESS(2,COLUMN())),OFFSET($CL$2,0,0,ROW()-1,84),ROW()-1,FALSE))</f>
        <v/>
      </c>
      <c r="BF155" t="str">
        <f ca="1">IF(AND(ISNUMBER($BF$364),$B$252=1),$BF$364,HLOOKUP(INDIRECT(ADDRESS(2,COLUMN())),OFFSET($CL$2,0,0,ROW()-1,84),ROW()-1,FALSE))</f>
        <v/>
      </c>
      <c r="BG155" t="str">
        <f ca="1">IF(AND(ISNUMBER($BG$364),$B$252=1),$BG$364,HLOOKUP(INDIRECT(ADDRESS(2,COLUMN())),OFFSET($CL$2,0,0,ROW()-1,84),ROW()-1,FALSE))</f>
        <v/>
      </c>
      <c r="BH155" t="str">
        <f ca="1">IF(AND(ISNUMBER($BH$364),$B$252=1),$BH$364,HLOOKUP(INDIRECT(ADDRESS(2,COLUMN())),OFFSET($CL$2,0,0,ROW()-1,84),ROW()-1,FALSE))</f>
        <v/>
      </c>
      <c r="BI155" t="str">
        <f ca="1">IF(AND(ISNUMBER($BI$364),$B$252=1),$BI$364,HLOOKUP(INDIRECT(ADDRESS(2,COLUMN())),OFFSET($CL$2,0,0,ROW()-1,84),ROW()-1,FALSE))</f>
        <v/>
      </c>
      <c r="BJ155" t="str">
        <f ca="1">IF(AND(ISNUMBER($BJ$364),$B$252=1),$BJ$364,HLOOKUP(INDIRECT(ADDRESS(2,COLUMN())),OFFSET($CL$2,0,0,ROW()-1,84),ROW()-1,FALSE))</f>
        <v/>
      </c>
      <c r="BK155" t="str">
        <f ca="1">IF(AND(ISNUMBER($BK$364),$B$252=1),$BK$364,HLOOKUP(INDIRECT(ADDRESS(2,COLUMN())),OFFSET($CL$2,0,0,ROW()-1,84),ROW()-1,FALSE))</f>
        <v/>
      </c>
      <c r="BL155" t="str">
        <f ca="1">IF(AND(ISNUMBER($BL$364),$B$252=1),$BL$364,HLOOKUP(INDIRECT(ADDRESS(2,COLUMN())),OFFSET($CL$2,0,0,ROW()-1,84),ROW()-1,FALSE))</f>
        <v/>
      </c>
      <c r="BM155" t="str">
        <f ca="1">IF(AND(ISNUMBER($BM$364),$B$252=1),$BM$364,HLOOKUP(INDIRECT(ADDRESS(2,COLUMN())),OFFSET($CL$2,0,0,ROW()-1,84),ROW()-1,FALSE))</f>
        <v/>
      </c>
      <c r="BN155" t="str">
        <f ca="1">IF(AND(ISNUMBER($BN$364),$B$252=1),$BN$364,HLOOKUP(INDIRECT(ADDRESS(2,COLUMN())),OFFSET($CL$2,0,0,ROW()-1,84),ROW()-1,FALSE))</f>
        <v/>
      </c>
      <c r="BO155" t="str">
        <f ca="1">IF(AND(ISNUMBER($BO$364),$B$252=1),$BO$364,HLOOKUP(INDIRECT(ADDRESS(2,COLUMN())),OFFSET($CL$2,0,0,ROW()-1,84),ROW()-1,FALSE))</f>
        <v/>
      </c>
      <c r="BP155" t="str">
        <f ca="1">IF(AND(ISNUMBER($BP$364),$B$252=1),$BP$364,HLOOKUP(INDIRECT(ADDRESS(2,COLUMN())),OFFSET($CL$2,0,0,ROW()-1,84),ROW()-1,FALSE))</f>
        <v/>
      </c>
      <c r="BQ155" t="str">
        <f ca="1">IF(AND(ISNUMBER($BQ$364),$B$252=1),$BQ$364,HLOOKUP(INDIRECT(ADDRESS(2,COLUMN())),OFFSET($CL$2,0,0,ROW()-1,84),ROW()-1,FALSE))</f>
        <v/>
      </c>
      <c r="BR155" t="str">
        <f ca="1">IF(AND(ISNUMBER($BR$364),$B$252=1),$BR$364,HLOOKUP(INDIRECT(ADDRESS(2,COLUMN())),OFFSET($CL$2,0,0,ROW()-1,84),ROW()-1,FALSE))</f>
        <v/>
      </c>
      <c r="BS155" t="str">
        <f ca="1">IF(AND(ISNUMBER($BS$364),$B$252=1),$BS$364,HLOOKUP(INDIRECT(ADDRESS(2,COLUMN())),OFFSET($CL$2,0,0,ROW()-1,84),ROW()-1,FALSE))</f>
        <v/>
      </c>
      <c r="BT155" t="str">
        <f ca="1">IF(AND(ISNUMBER($BT$364),$B$252=1),$BT$364,HLOOKUP(INDIRECT(ADDRESS(2,COLUMN())),OFFSET($CL$2,0,0,ROW()-1,84),ROW()-1,FALSE))</f>
        <v/>
      </c>
      <c r="BU155" t="str">
        <f ca="1">IF(AND(ISNUMBER($BU$364),$B$252=1),$BU$364,HLOOKUP(INDIRECT(ADDRESS(2,COLUMN())),OFFSET($CL$2,0,0,ROW()-1,84),ROW()-1,FALSE))</f>
        <v/>
      </c>
      <c r="BV155" t="str">
        <f ca="1">IF(AND(ISNUMBER($BV$364),$B$252=1),$BV$364,HLOOKUP(INDIRECT(ADDRESS(2,COLUMN())),OFFSET($CL$2,0,0,ROW()-1,84),ROW()-1,FALSE))</f>
        <v/>
      </c>
      <c r="BW155" t="str">
        <f ca="1">IF(AND(ISNUMBER($BW$364),$B$252=1),$BW$364,HLOOKUP(INDIRECT(ADDRESS(2,COLUMN())),OFFSET($CL$2,0,0,ROW()-1,84),ROW()-1,FALSE))</f>
        <v/>
      </c>
      <c r="BX155" t="str">
        <f ca="1">IF(AND(ISNUMBER($BX$364),$B$252=1),$BX$364,HLOOKUP(INDIRECT(ADDRESS(2,COLUMN())),OFFSET($CL$2,0,0,ROW()-1,84),ROW()-1,FALSE))</f>
        <v/>
      </c>
      <c r="BY155" t="str">
        <f ca="1">IF(AND(ISNUMBER($BY$364),$B$252=1),$BY$364,HLOOKUP(INDIRECT(ADDRESS(2,COLUMN())),OFFSET($CL$2,0,0,ROW()-1,84),ROW()-1,FALSE))</f>
        <v/>
      </c>
      <c r="BZ155" t="str">
        <f ca="1">IF(AND(ISNUMBER($BZ$364),$B$252=1),$BZ$364,HLOOKUP(INDIRECT(ADDRESS(2,COLUMN())),OFFSET($CL$2,0,0,ROW()-1,84),ROW()-1,FALSE))</f>
        <v/>
      </c>
      <c r="CA155" t="str">
        <f ca="1">IF(AND(ISNUMBER($CA$364),$B$252=1),$CA$364,HLOOKUP(INDIRECT(ADDRESS(2,COLUMN())),OFFSET($CL$2,0,0,ROW()-1,84),ROW()-1,FALSE))</f>
        <v/>
      </c>
      <c r="CB155" t="str">
        <f ca="1">IF(AND(ISNUMBER($CB$364),$B$252=1),$CB$364,HLOOKUP(INDIRECT(ADDRESS(2,COLUMN())),OFFSET($CL$2,0,0,ROW()-1,84),ROW()-1,FALSE))</f>
        <v/>
      </c>
      <c r="CC155" t="str">
        <f ca="1">IF(AND(ISNUMBER($CC$364),$B$252=1),$CC$364,HLOOKUP(INDIRECT(ADDRESS(2,COLUMN())),OFFSET($CL$2,0,0,ROW()-1,84),ROW()-1,FALSE))</f>
        <v/>
      </c>
      <c r="CD155" t="str">
        <f ca="1">IF(AND(ISNUMBER($CD$364),$B$252=1),$CD$364,HLOOKUP(INDIRECT(ADDRESS(2,COLUMN())),OFFSET($CL$2,0,0,ROW()-1,84),ROW()-1,FALSE))</f>
        <v/>
      </c>
      <c r="CE155" t="str">
        <f ca="1">IF(AND(ISNUMBER($CE$364),$B$252=1),$CE$364,HLOOKUP(INDIRECT(ADDRESS(2,COLUMN())),OFFSET($CL$2,0,0,ROW()-1,84),ROW()-1,FALSE))</f>
        <v/>
      </c>
      <c r="CF155" t="str">
        <f ca="1">IF(AND(ISNUMBER($CF$364),$B$252=1),$CF$364,HLOOKUP(INDIRECT(ADDRESS(2,COLUMN())),OFFSET($CL$2,0,0,ROW()-1,84),ROW()-1,FALSE))</f>
        <v/>
      </c>
      <c r="CG155" t="str">
        <f ca="1">IF(AND(ISNUMBER($CG$364),$B$252=1),$CG$364,HLOOKUP(INDIRECT(ADDRESS(2,COLUMN())),OFFSET($CL$2,0,0,ROW()-1,84),ROW()-1,FALSE))</f>
        <v/>
      </c>
      <c r="CH155" t="str">
        <f ca="1">IF(AND(ISNUMBER($CH$364),$B$252=1),$CH$364,HLOOKUP(INDIRECT(ADDRESS(2,COLUMN())),OFFSET($CL$2,0,0,ROW()-1,84),ROW()-1,FALSE))</f>
        <v/>
      </c>
      <c r="CI155" t="str">
        <f ca="1">IF(AND(ISNUMBER($CI$364),$B$252=1),$CI$364,HLOOKUP(INDIRECT(ADDRESS(2,COLUMN())),OFFSET($CL$2,0,0,ROW()-1,84),ROW()-1,FALSE))</f>
        <v/>
      </c>
      <c r="CJ155" t="str">
        <f ca="1">IF(AND(ISNUMBER($CJ$364),$B$252=1),$CJ$364,HLOOKUP(INDIRECT(ADDRESS(2,COLUMN())),OFFSET($CL$2,0,0,ROW()-1,84),ROW()-1,FALSE))</f>
        <v/>
      </c>
      <c r="CK155" t="str">
        <f ca="1">IF(AND(ISNUMBER($CK$364),$B$252=1),$CK$364,HLOOKUP(INDIRECT(ADDRESS(2,COLUMN())),OFFSET($CL$2,0,0,ROW()-1,84),ROW()-1,FALSE))</f>
        <v/>
      </c>
      <c r="CL155" t="str">
        <f>""</f>
        <v/>
      </c>
      <c r="CM155" t="str">
        <f>""</f>
        <v/>
      </c>
      <c r="CN155">
        <f>3.859</f>
        <v>3.859</v>
      </c>
      <c r="CO155">
        <f>3.843</f>
        <v>3.843</v>
      </c>
      <c r="CP155">
        <f>3.838</f>
        <v>3.8380000000000001</v>
      </c>
      <c r="CQ155">
        <f>3.826</f>
        <v>3.8260000000000001</v>
      </c>
      <c r="CR155">
        <f>3.888</f>
        <v>3.8879999999999999</v>
      </c>
      <c r="CS155">
        <f>3.943</f>
        <v>3.9430000000000001</v>
      </c>
      <c r="CT155">
        <f>3.953</f>
        <v>3.9529999999999998</v>
      </c>
      <c r="CU155">
        <f>3.925</f>
        <v>3.9249999999999998</v>
      </c>
      <c r="CV155">
        <f>3.917</f>
        <v>3.9169999999999998</v>
      </c>
      <c r="CW155">
        <f>3.94</f>
        <v>3.94</v>
      </c>
      <c r="CX155">
        <f>3.835</f>
        <v>3.835</v>
      </c>
      <c r="CY155">
        <f>3.835</f>
        <v>3.835</v>
      </c>
      <c r="CZ155">
        <f>3.956</f>
        <v>3.956</v>
      </c>
      <c r="DA155">
        <f>3.959</f>
        <v>3.9590000000000001</v>
      </c>
      <c r="DB155">
        <f>3.934</f>
        <v>3.9340000000000002</v>
      </c>
      <c r="DC155">
        <f>3.876</f>
        <v>3.8759999999999999</v>
      </c>
      <c r="DD155">
        <f>3.889</f>
        <v>3.8889999999999998</v>
      </c>
      <c r="DE155">
        <f>3.885</f>
        <v>3.8849999999999998</v>
      </c>
      <c r="DF155">
        <f>3.868</f>
        <v>3.8679999999999999</v>
      </c>
      <c r="DG155">
        <f>3.876</f>
        <v>3.8759999999999999</v>
      </c>
      <c r="DH155">
        <f>3.925</f>
        <v>3.9249999999999998</v>
      </c>
      <c r="DI155">
        <f>4.284</f>
        <v>4.2839999999999998</v>
      </c>
      <c r="DJ155">
        <f>4.332</f>
        <v>4.3319999999999999</v>
      </c>
      <c r="DK155">
        <f>4.321</f>
        <v>4.3209999999999997</v>
      </c>
      <c r="DL155">
        <f>4.341</f>
        <v>4.3410000000000002</v>
      </c>
      <c r="DM155">
        <f>4.312</f>
        <v>4.3120000000000003</v>
      </c>
      <c r="DN155">
        <f>4.36</f>
        <v>4.3600000000000003</v>
      </c>
      <c r="DO155">
        <f>4.365</f>
        <v>4.3650000000000002</v>
      </c>
      <c r="DP155">
        <f>4.375</f>
        <v>4.375</v>
      </c>
      <c r="DQ155">
        <f>4.375</f>
        <v>4.375</v>
      </c>
      <c r="DR155">
        <f>4.37</f>
        <v>4.37</v>
      </c>
      <c r="DS155" t="str">
        <f>""</f>
        <v/>
      </c>
      <c r="DT155" t="str">
        <f>""</f>
        <v/>
      </c>
      <c r="DU155">
        <f>4.37</f>
        <v>4.37</v>
      </c>
      <c r="DV155" t="str">
        <f>""</f>
        <v/>
      </c>
      <c r="DW155" t="str">
        <f>""</f>
        <v/>
      </c>
      <c r="DX155">
        <f>4.39</f>
        <v>4.3899999999999997</v>
      </c>
      <c r="DY155" t="str">
        <f>""</f>
        <v/>
      </c>
      <c r="DZ155" t="str">
        <f>""</f>
        <v/>
      </c>
      <c r="EA155" t="str">
        <f>""</f>
        <v/>
      </c>
      <c r="EB155" t="str">
        <f>""</f>
        <v/>
      </c>
      <c r="EC155" t="str">
        <f>""</f>
        <v/>
      </c>
      <c r="ED155" t="str">
        <f>""</f>
        <v/>
      </c>
      <c r="EE155" t="str">
        <f>""</f>
        <v/>
      </c>
      <c r="EF155" t="str">
        <f>""</f>
        <v/>
      </c>
      <c r="EG155" t="str">
        <f>""</f>
        <v/>
      </c>
      <c r="EH155" t="str">
        <f>""</f>
        <v/>
      </c>
      <c r="EI155" t="str">
        <f>""</f>
        <v/>
      </c>
      <c r="EJ155" t="str">
        <f>""</f>
        <v/>
      </c>
      <c r="EK155" t="str">
        <f>""</f>
        <v/>
      </c>
      <c r="EL155" t="str">
        <f>""</f>
        <v/>
      </c>
      <c r="EM155" t="str">
        <f>""</f>
        <v/>
      </c>
      <c r="EN155" t="str">
        <f>""</f>
        <v/>
      </c>
      <c r="EO155" t="str">
        <f>""</f>
        <v/>
      </c>
      <c r="EP155" t="str">
        <f>""</f>
        <v/>
      </c>
      <c r="EQ155" t="str">
        <f>""</f>
        <v/>
      </c>
      <c r="ER155" t="str">
        <f>""</f>
        <v/>
      </c>
      <c r="ES155" t="str">
        <f>""</f>
        <v/>
      </c>
      <c r="ET155" t="str">
        <f>""</f>
        <v/>
      </c>
      <c r="EU155" t="str">
        <f>""</f>
        <v/>
      </c>
      <c r="EV155" t="str">
        <f>""</f>
        <v/>
      </c>
      <c r="EW155" t="str">
        <f>""</f>
        <v/>
      </c>
      <c r="EX155" t="str">
        <f>""</f>
        <v/>
      </c>
      <c r="EY155" t="str">
        <f>""</f>
        <v/>
      </c>
      <c r="EZ155" t="str">
        <f>""</f>
        <v/>
      </c>
      <c r="FA155" t="str">
        <f>""</f>
        <v/>
      </c>
      <c r="FB155" t="str">
        <f>""</f>
        <v/>
      </c>
      <c r="FC155" t="str">
        <f>""</f>
        <v/>
      </c>
      <c r="FD155" t="str">
        <f>""</f>
        <v/>
      </c>
      <c r="FE155" t="str">
        <f>""</f>
        <v/>
      </c>
      <c r="FF155" t="str">
        <f>""</f>
        <v/>
      </c>
      <c r="FG155" t="str">
        <f>""</f>
        <v/>
      </c>
      <c r="FH155" t="str">
        <f>""</f>
        <v/>
      </c>
      <c r="FI155" t="str">
        <f>""</f>
        <v/>
      </c>
      <c r="FJ155" t="str">
        <f>""</f>
        <v/>
      </c>
      <c r="FK155" t="str">
        <f>""</f>
        <v/>
      </c>
      <c r="FL155" t="str">
        <f>""</f>
        <v/>
      </c>
      <c r="FM155" t="str">
        <f>""</f>
        <v/>
      </c>
      <c r="FN155" t="str">
        <f>""</f>
        <v/>
      </c>
      <c r="FO155" t="str">
        <f>""</f>
        <v/>
      </c>
      <c r="FP155" t="str">
        <f>""</f>
        <v/>
      </c>
      <c r="FQ155" t="str">
        <f>""</f>
        <v/>
      </c>
    </row>
    <row r="156" spans="1:173">
      <c r="A156" t="str">
        <f>"    Equity Residential"</f>
        <v xml:space="preserve">    Equity Residential</v>
      </c>
      <c r="B156" t="str">
        <f>"EQR US Equity"</f>
        <v>EQR US Equity</v>
      </c>
      <c r="C156" t="str">
        <f t="shared" si="48"/>
        <v>BE895</v>
      </c>
      <c r="D156" t="str">
        <f t="shared" si="49"/>
        <v>BEST_AFFOPS</v>
      </c>
      <c r="E156" t="str">
        <f t="shared" si="50"/>
        <v>动态</v>
      </c>
      <c r="F156" t="str">
        <f ca="1">IF(AND(ISNUMBER($F$365),$B$252=1),$F$365,HLOOKUP(INDIRECT(ADDRESS(2,COLUMN())),OFFSET($CL$2,0,0,ROW()-1,84),ROW()-1,FALSE))</f>
        <v/>
      </c>
      <c r="G156" t="str">
        <f ca="1">IF(AND(ISNUMBER($G$365),$B$252=1),$G$365,HLOOKUP(INDIRECT(ADDRESS(2,COLUMN())),OFFSET($CL$2,0,0,ROW()-1,84),ROW()-1,FALSE))</f>
        <v/>
      </c>
      <c r="H156">
        <f ca="1">IF(AND(ISNUMBER($H$365),$B$252=1),$H$365,HLOOKUP(INDIRECT(ADDRESS(2,COLUMN())),OFFSET($CL$2,0,0,ROW()-1,84),ROW()-1,FALSE))</f>
        <v>2.7210000000000001</v>
      </c>
      <c r="I156">
        <f ca="1">IF(AND(ISNUMBER($I$365),$B$252=1),$I$365,HLOOKUP(INDIRECT(ADDRESS(2,COLUMN())),OFFSET($CL$2,0,0,ROW()-1,84),ROW()-1,FALSE))</f>
        <v>2.7229999999999999</v>
      </c>
      <c r="J156">
        <f ca="1">IF(AND(ISNUMBER($J$365),$B$252=1),$J$365,HLOOKUP(INDIRECT(ADDRESS(2,COLUMN())),OFFSET($CL$2,0,0,ROW()-1,84),ROW()-1,FALSE))</f>
        <v>2.706</v>
      </c>
      <c r="K156">
        <f ca="1">IF(AND(ISNUMBER($K$365),$B$252=1),$K$365,HLOOKUP(INDIRECT(ADDRESS(2,COLUMN())),OFFSET($CL$2,0,0,ROW()-1,84),ROW()-1,FALSE))</f>
        <v>2.7290000000000001</v>
      </c>
      <c r="L156">
        <f ca="1">IF(AND(ISNUMBER($L$365),$B$252=1),$L$365,HLOOKUP(INDIRECT(ADDRESS(2,COLUMN())),OFFSET($CL$2,0,0,ROW()-1,84),ROW()-1,FALSE))</f>
        <v>2.7080000000000002</v>
      </c>
      <c r="M156">
        <f ca="1">IF(AND(ISNUMBER($M$365),$B$252=1),$M$365,HLOOKUP(INDIRECT(ADDRESS(2,COLUMN())),OFFSET($CL$2,0,0,ROW()-1,84),ROW()-1,FALSE))</f>
        <v>2.74</v>
      </c>
      <c r="N156">
        <f ca="1">IF(AND(ISNUMBER($N$365),$B$252=1),$N$365,HLOOKUP(INDIRECT(ADDRESS(2,COLUMN())),OFFSET($CL$2,0,0,ROW()-1,84),ROW()-1,FALSE))</f>
        <v>2.6960000000000002</v>
      </c>
      <c r="O156">
        <f ca="1">IF(AND(ISNUMBER($O$365),$B$252=1),$O$365,HLOOKUP(INDIRECT(ADDRESS(2,COLUMN())),OFFSET($CL$2,0,0,ROW()-1,84),ROW()-1,FALSE))</f>
        <v>2.7450000000000001</v>
      </c>
      <c r="P156">
        <f ca="1">IF(AND(ISNUMBER($P$365),$B$252=1),$P$365,HLOOKUP(INDIRECT(ADDRESS(2,COLUMN())),OFFSET($CL$2,0,0,ROW()-1,84),ROW()-1,FALSE))</f>
        <v>2.7410000000000001</v>
      </c>
      <c r="Q156">
        <f ca="1">IF(AND(ISNUMBER($Q$365),$B$252=1),$Q$365,HLOOKUP(INDIRECT(ADDRESS(2,COLUMN())),OFFSET($CL$2,0,0,ROW()-1,84),ROW()-1,FALSE))</f>
        <v>2.76</v>
      </c>
      <c r="R156">
        <f ca="1">IF(AND(ISNUMBER($R$365),$B$252=1),$R$365,HLOOKUP(INDIRECT(ADDRESS(2,COLUMN())),OFFSET($CL$2,0,0,ROW()-1,84),ROW()-1,FALSE))</f>
        <v>2.7250000000000001</v>
      </c>
      <c r="S156">
        <f ca="1">IF(AND(ISNUMBER($S$365),$B$252=1),$S$365,HLOOKUP(INDIRECT(ADDRESS(2,COLUMN())),OFFSET($CL$2,0,0,ROW()-1,84),ROW()-1,FALSE))</f>
        <v>2.75</v>
      </c>
      <c r="T156">
        <f ca="1">IF(AND(ISNUMBER($T$365),$B$252=1),$T$365,HLOOKUP(INDIRECT(ADDRESS(2,COLUMN())),OFFSET($CL$2,0,0,ROW()-1,84),ROW()-1,FALSE))</f>
        <v>2.819</v>
      </c>
      <c r="U156">
        <f ca="1">IF(AND(ISNUMBER($U$365),$B$252=1),$U$365,HLOOKUP(INDIRECT(ADDRESS(2,COLUMN())),OFFSET($CL$2,0,0,ROW()-1,84),ROW()-1,FALSE))</f>
        <v>2.8260000000000001</v>
      </c>
      <c r="V156">
        <f ca="1">IF(AND(ISNUMBER($V$365),$B$252=1),$V$365,HLOOKUP(INDIRECT(ADDRESS(2,COLUMN())),OFFSET($CL$2,0,0,ROW()-1,84),ROW()-1,FALSE))</f>
        <v>2.8140000000000001</v>
      </c>
      <c r="W156">
        <f ca="1">IF(AND(ISNUMBER($W$365),$B$252=1),$W$365,HLOOKUP(INDIRECT(ADDRESS(2,COLUMN())),OFFSET($CL$2,0,0,ROW()-1,84),ROW()-1,FALSE))</f>
        <v>2.82</v>
      </c>
      <c r="X156">
        <f ca="1">IF(AND(ISNUMBER($X$365),$B$252=1),$X$365,HLOOKUP(INDIRECT(ADDRESS(2,COLUMN())),OFFSET($CL$2,0,0,ROW()-1,84),ROW()-1,FALSE))</f>
        <v>2.8239999999999998</v>
      </c>
      <c r="Y156">
        <f ca="1">IF(AND(ISNUMBER($Y$365),$B$252=1),$Y$365,HLOOKUP(INDIRECT(ADDRESS(2,COLUMN())),OFFSET($CL$2,0,0,ROW()-1,84),ROW()-1,FALSE))</f>
        <v>2.8439999999999999</v>
      </c>
      <c r="Z156">
        <f ca="1">IF(AND(ISNUMBER($Z$365),$B$252=1),$Z$365,HLOOKUP(INDIRECT(ADDRESS(2,COLUMN())),OFFSET($CL$2,0,0,ROW()-1,84),ROW()-1,FALSE))</f>
        <v>2.883</v>
      </c>
      <c r="AA156">
        <f ca="1">IF(AND(ISNUMBER($AA$365),$B$252=1),$AA$365,HLOOKUP(INDIRECT(ADDRESS(2,COLUMN())),OFFSET($CL$2,0,0,ROW()-1,84),ROW()-1,FALSE))</f>
        <v>2.9769999999999999</v>
      </c>
      <c r="AB156">
        <f ca="1">IF(AND(ISNUMBER($AB$365),$B$252=1),$AB$365,HLOOKUP(INDIRECT(ADDRESS(2,COLUMN())),OFFSET($CL$2,0,0,ROW()-1,84),ROW()-1,FALSE))</f>
        <v>3.0009999999999999</v>
      </c>
      <c r="AC156">
        <f ca="1">IF(AND(ISNUMBER($AC$365),$B$252=1),$AC$365,HLOOKUP(INDIRECT(ADDRESS(2,COLUMN())),OFFSET($CL$2,0,0,ROW()-1,84),ROW()-1,FALSE))</f>
        <v>2.9830000000000001</v>
      </c>
      <c r="AD156">
        <f ca="1">IF(AND(ISNUMBER($AD$365),$B$252=1),$AD$365,HLOOKUP(INDIRECT(ADDRESS(2,COLUMN())),OFFSET($CL$2,0,0,ROW()-1,84),ROW()-1,FALSE))</f>
        <v>3.0169999999999999</v>
      </c>
      <c r="AE156">
        <f ca="1">IF(AND(ISNUMBER($AE$365),$B$252=1),$AE$365,HLOOKUP(INDIRECT(ADDRESS(2,COLUMN())),OFFSET($CL$2,0,0,ROW()-1,84),ROW()-1,FALSE))</f>
        <v>3.0270000000000001</v>
      </c>
      <c r="AF156">
        <f ca="1">IF(AND(ISNUMBER($AF$365),$B$252=1),$AF$365,HLOOKUP(INDIRECT(ADDRESS(2,COLUMN())),OFFSET($CL$2,0,0,ROW()-1,84),ROW()-1,FALSE))</f>
        <v>3.1640000000000001</v>
      </c>
      <c r="AG156">
        <f ca="1">IF(AND(ISNUMBER($AG$365),$B$252=1),$AG$365,HLOOKUP(INDIRECT(ADDRESS(2,COLUMN())),OFFSET($CL$2,0,0,ROW()-1,84),ROW()-1,FALSE))</f>
        <v>3.1509999999999998</v>
      </c>
      <c r="AH156">
        <f ca="1">IF(AND(ISNUMBER($AH$365),$B$252=1),$AH$365,HLOOKUP(INDIRECT(ADDRESS(2,COLUMN())),OFFSET($CL$2,0,0,ROW()-1,84),ROW()-1,FALSE))</f>
        <v>3.2149999999999999</v>
      </c>
      <c r="AI156">
        <f ca="1">IF(AND(ISNUMBER($AI$365),$B$252=1),$AI$365,HLOOKUP(INDIRECT(ADDRESS(2,COLUMN())),OFFSET($CL$2,0,0,ROW()-1,84),ROW()-1,FALSE))</f>
        <v>3.2959999999999998</v>
      </c>
      <c r="AJ156">
        <f ca="1">IF(AND(ISNUMBER($AJ$365),$B$252=1),$AJ$365,HLOOKUP(INDIRECT(ADDRESS(2,COLUMN())),OFFSET($CL$2,0,0,ROW()-1,84),ROW()-1,FALSE))</f>
        <v>3.5059999999999998</v>
      </c>
      <c r="AK156">
        <f ca="1">IF(AND(ISNUMBER($AK$365),$B$252=1),$AK$365,HLOOKUP(INDIRECT(ADDRESS(2,COLUMN())),OFFSET($CL$2,0,0,ROW()-1,84),ROW()-1,FALSE))</f>
        <v>3.4780000000000002</v>
      </c>
      <c r="AL156">
        <f ca="1">IF(AND(ISNUMBER($AL$365),$B$252=1),$AL$365,HLOOKUP(INDIRECT(ADDRESS(2,COLUMN())),OFFSET($CL$2,0,0,ROW()-1,84),ROW()-1,FALSE))</f>
        <v>3.66</v>
      </c>
      <c r="AM156" t="str">
        <f ca="1">IF(AND(ISNUMBER($AM$365),$B$252=1),$AM$365,HLOOKUP(INDIRECT(ADDRESS(2,COLUMN())),OFFSET($CL$2,0,0,ROW()-1,84),ROW()-1,FALSE))</f>
        <v/>
      </c>
      <c r="AN156" t="str">
        <f ca="1">IF(AND(ISNUMBER($AN$365),$B$252=1),$AN$365,HLOOKUP(INDIRECT(ADDRESS(2,COLUMN())),OFFSET($CL$2,0,0,ROW()-1,84),ROW()-1,FALSE))</f>
        <v/>
      </c>
      <c r="AO156">
        <f ca="1">IF(AND(ISNUMBER($AO$365),$B$252=1),$AO$365,HLOOKUP(INDIRECT(ADDRESS(2,COLUMN())),OFFSET($CL$2,0,0,ROW()-1,84),ROW()-1,FALSE))</f>
        <v>3.45</v>
      </c>
      <c r="AP156" t="str">
        <f ca="1">IF(AND(ISNUMBER($AP$365),$B$252=1),$AP$365,HLOOKUP(INDIRECT(ADDRESS(2,COLUMN())),OFFSET($CL$2,0,0,ROW()-1,84),ROW()-1,FALSE))</f>
        <v/>
      </c>
      <c r="AQ156">
        <f ca="1">IF(AND(ISNUMBER($AQ$365),$B$252=1),$AQ$365,HLOOKUP(INDIRECT(ADDRESS(2,COLUMN())),OFFSET($CL$2,0,0,ROW()-1,84),ROW()-1,FALSE))</f>
        <v>3.4249999999999998</v>
      </c>
      <c r="AR156" t="str">
        <f ca="1">IF(AND(ISNUMBER($AR$365),$B$252=1),$AR$365,HLOOKUP(INDIRECT(ADDRESS(2,COLUMN())),OFFSET($CL$2,0,0,ROW()-1,84),ROW()-1,FALSE))</f>
        <v/>
      </c>
      <c r="AS156" t="str">
        <f ca="1">IF(AND(ISNUMBER($AS$365),$B$252=1),$AS$365,HLOOKUP(INDIRECT(ADDRESS(2,COLUMN())),OFFSET($CL$2,0,0,ROW()-1,84),ROW()-1,FALSE))</f>
        <v/>
      </c>
      <c r="AT156" t="str">
        <f ca="1">IF(AND(ISNUMBER($AT$365),$B$252=1),$AT$365,HLOOKUP(INDIRECT(ADDRESS(2,COLUMN())),OFFSET($CL$2,0,0,ROW()-1,84),ROW()-1,FALSE))</f>
        <v/>
      </c>
      <c r="AU156" t="str">
        <f ca="1">IF(AND(ISNUMBER($AU$365),$B$252=1),$AU$365,HLOOKUP(INDIRECT(ADDRESS(2,COLUMN())),OFFSET($CL$2,0,0,ROW()-1,84),ROW()-1,FALSE))</f>
        <v/>
      </c>
      <c r="AV156" t="str">
        <f ca="1">IF(AND(ISNUMBER($AV$365),$B$252=1),$AV$365,HLOOKUP(INDIRECT(ADDRESS(2,COLUMN())),OFFSET($CL$2,0,0,ROW()-1,84),ROW()-1,FALSE))</f>
        <v/>
      </c>
      <c r="AW156" t="str">
        <f ca="1">IF(AND(ISNUMBER($AW$365),$B$252=1),$AW$365,HLOOKUP(INDIRECT(ADDRESS(2,COLUMN())),OFFSET($CL$2,0,0,ROW()-1,84),ROW()-1,FALSE))</f>
        <v/>
      </c>
      <c r="AX156" t="str">
        <f ca="1">IF(AND(ISNUMBER($AX$365),$B$252=1),$AX$365,HLOOKUP(INDIRECT(ADDRESS(2,COLUMN())),OFFSET($CL$2,0,0,ROW()-1,84),ROW()-1,FALSE))</f>
        <v/>
      </c>
      <c r="AY156" t="str">
        <f ca="1">IF(AND(ISNUMBER($AY$365),$B$252=1),$AY$365,HLOOKUP(INDIRECT(ADDRESS(2,COLUMN())),OFFSET($CL$2,0,0,ROW()-1,84),ROW()-1,FALSE))</f>
        <v/>
      </c>
      <c r="AZ156" t="str">
        <f ca="1">IF(AND(ISNUMBER($AZ$365),$B$252=1),$AZ$365,HLOOKUP(INDIRECT(ADDRESS(2,COLUMN())),OFFSET($CL$2,0,0,ROW()-1,84),ROW()-1,FALSE))</f>
        <v/>
      </c>
      <c r="BA156" t="str">
        <f ca="1">IF(AND(ISNUMBER($BA$365),$B$252=1),$BA$365,HLOOKUP(INDIRECT(ADDRESS(2,COLUMN())),OFFSET($CL$2,0,0,ROW()-1,84),ROW()-1,FALSE))</f>
        <v/>
      </c>
      <c r="BB156" t="str">
        <f ca="1">IF(AND(ISNUMBER($BB$365),$B$252=1),$BB$365,HLOOKUP(INDIRECT(ADDRESS(2,COLUMN())),OFFSET($CL$2,0,0,ROW()-1,84),ROW()-1,FALSE))</f>
        <v/>
      </c>
      <c r="BC156" t="str">
        <f ca="1">IF(AND(ISNUMBER($BC$365),$B$252=1),$BC$365,HLOOKUP(INDIRECT(ADDRESS(2,COLUMN())),OFFSET($CL$2,0,0,ROW()-1,84),ROW()-1,FALSE))</f>
        <v/>
      </c>
      <c r="BD156" t="str">
        <f ca="1">IF(AND(ISNUMBER($BD$365),$B$252=1),$BD$365,HLOOKUP(INDIRECT(ADDRESS(2,COLUMN())),OFFSET($CL$2,0,0,ROW()-1,84),ROW()-1,FALSE))</f>
        <v/>
      </c>
      <c r="BE156" t="str">
        <f ca="1">IF(AND(ISNUMBER($BE$365),$B$252=1),$BE$365,HLOOKUP(INDIRECT(ADDRESS(2,COLUMN())),OFFSET($CL$2,0,0,ROW()-1,84),ROW()-1,FALSE))</f>
        <v/>
      </c>
      <c r="BF156" t="str">
        <f ca="1">IF(AND(ISNUMBER($BF$365),$B$252=1),$BF$365,HLOOKUP(INDIRECT(ADDRESS(2,COLUMN())),OFFSET($CL$2,0,0,ROW()-1,84),ROW()-1,FALSE))</f>
        <v/>
      </c>
      <c r="BG156" t="str">
        <f ca="1">IF(AND(ISNUMBER($BG$365),$B$252=1),$BG$365,HLOOKUP(INDIRECT(ADDRESS(2,COLUMN())),OFFSET($CL$2,0,0,ROW()-1,84),ROW()-1,FALSE))</f>
        <v/>
      </c>
      <c r="BH156" t="str">
        <f ca="1">IF(AND(ISNUMBER($BH$365),$B$252=1),$BH$365,HLOOKUP(INDIRECT(ADDRESS(2,COLUMN())),OFFSET($CL$2,0,0,ROW()-1,84),ROW()-1,FALSE))</f>
        <v/>
      </c>
      <c r="BI156" t="str">
        <f ca="1">IF(AND(ISNUMBER($BI$365),$B$252=1),$BI$365,HLOOKUP(INDIRECT(ADDRESS(2,COLUMN())),OFFSET($CL$2,0,0,ROW()-1,84),ROW()-1,FALSE))</f>
        <v/>
      </c>
      <c r="BJ156" t="str">
        <f ca="1">IF(AND(ISNUMBER($BJ$365),$B$252=1),$BJ$365,HLOOKUP(INDIRECT(ADDRESS(2,COLUMN())),OFFSET($CL$2,0,0,ROW()-1,84),ROW()-1,FALSE))</f>
        <v/>
      </c>
      <c r="BK156" t="str">
        <f ca="1">IF(AND(ISNUMBER($BK$365),$B$252=1),$BK$365,HLOOKUP(INDIRECT(ADDRESS(2,COLUMN())),OFFSET($CL$2,0,0,ROW()-1,84),ROW()-1,FALSE))</f>
        <v/>
      </c>
      <c r="BL156" t="str">
        <f ca="1">IF(AND(ISNUMBER($BL$365),$B$252=1),$BL$365,HLOOKUP(INDIRECT(ADDRESS(2,COLUMN())),OFFSET($CL$2,0,0,ROW()-1,84),ROW()-1,FALSE))</f>
        <v/>
      </c>
      <c r="BM156" t="str">
        <f ca="1">IF(AND(ISNUMBER($BM$365),$B$252=1),$BM$365,HLOOKUP(INDIRECT(ADDRESS(2,COLUMN())),OFFSET($CL$2,0,0,ROW()-1,84),ROW()-1,FALSE))</f>
        <v/>
      </c>
      <c r="BN156" t="str">
        <f ca="1">IF(AND(ISNUMBER($BN$365),$B$252=1),$BN$365,HLOOKUP(INDIRECT(ADDRESS(2,COLUMN())),OFFSET($CL$2,0,0,ROW()-1,84),ROW()-1,FALSE))</f>
        <v/>
      </c>
      <c r="BO156" t="str">
        <f ca="1">IF(AND(ISNUMBER($BO$365),$B$252=1),$BO$365,HLOOKUP(INDIRECT(ADDRESS(2,COLUMN())),OFFSET($CL$2,0,0,ROW()-1,84),ROW()-1,FALSE))</f>
        <v/>
      </c>
      <c r="BP156" t="str">
        <f ca="1">IF(AND(ISNUMBER($BP$365),$B$252=1),$BP$365,HLOOKUP(INDIRECT(ADDRESS(2,COLUMN())),OFFSET($CL$2,0,0,ROW()-1,84),ROW()-1,FALSE))</f>
        <v/>
      </c>
      <c r="BQ156" t="str">
        <f ca="1">IF(AND(ISNUMBER($BQ$365),$B$252=1),$BQ$365,HLOOKUP(INDIRECT(ADDRESS(2,COLUMN())),OFFSET($CL$2,0,0,ROW()-1,84),ROW()-1,FALSE))</f>
        <v/>
      </c>
      <c r="BR156" t="str">
        <f ca="1">IF(AND(ISNUMBER($BR$365),$B$252=1),$BR$365,HLOOKUP(INDIRECT(ADDRESS(2,COLUMN())),OFFSET($CL$2,0,0,ROW()-1,84),ROW()-1,FALSE))</f>
        <v/>
      </c>
      <c r="BS156" t="str">
        <f ca="1">IF(AND(ISNUMBER($BS$365),$B$252=1),$BS$365,HLOOKUP(INDIRECT(ADDRESS(2,COLUMN())),OFFSET($CL$2,0,0,ROW()-1,84),ROW()-1,FALSE))</f>
        <v/>
      </c>
      <c r="BT156" t="str">
        <f ca="1">IF(AND(ISNUMBER($BT$365),$B$252=1),$BT$365,HLOOKUP(INDIRECT(ADDRESS(2,COLUMN())),OFFSET($CL$2,0,0,ROW()-1,84),ROW()-1,FALSE))</f>
        <v/>
      </c>
      <c r="BU156" t="str">
        <f ca="1">IF(AND(ISNUMBER($BU$365),$B$252=1),$BU$365,HLOOKUP(INDIRECT(ADDRESS(2,COLUMN())),OFFSET($CL$2,0,0,ROW()-1,84),ROW()-1,FALSE))</f>
        <v/>
      </c>
      <c r="BV156" t="str">
        <f ca="1">IF(AND(ISNUMBER($BV$365),$B$252=1),$BV$365,HLOOKUP(INDIRECT(ADDRESS(2,COLUMN())),OFFSET($CL$2,0,0,ROW()-1,84),ROW()-1,FALSE))</f>
        <v/>
      </c>
      <c r="BW156" t="str">
        <f ca="1">IF(AND(ISNUMBER($BW$365),$B$252=1),$BW$365,HLOOKUP(INDIRECT(ADDRESS(2,COLUMN())),OFFSET($CL$2,0,0,ROW()-1,84),ROW()-1,FALSE))</f>
        <v/>
      </c>
      <c r="BX156" t="str">
        <f ca="1">IF(AND(ISNUMBER($BX$365),$B$252=1),$BX$365,HLOOKUP(INDIRECT(ADDRESS(2,COLUMN())),OFFSET($CL$2,0,0,ROW()-1,84),ROW()-1,FALSE))</f>
        <v/>
      </c>
      <c r="BY156" t="str">
        <f ca="1">IF(AND(ISNUMBER($BY$365),$B$252=1),$BY$365,HLOOKUP(INDIRECT(ADDRESS(2,COLUMN())),OFFSET($CL$2,0,0,ROW()-1,84),ROW()-1,FALSE))</f>
        <v/>
      </c>
      <c r="BZ156" t="str">
        <f ca="1">IF(AND(ISNUMBER($BZ$365),$B$252=1),$BZ$365,HLOOKUP(INDIRECT(ADDRESS(2,COLUMN())),OFFSET($CL$2,0,0,ROW()-1,84),ROW()-1,FALSE))</f>
        <v/>
      </c>
      <c r="CA156" t="str">
        <f ca="1">IF(AND(ISNUMBER($CA$365),$B$252=1),$CA$365,HLOOKUP(INDIRECT(ADDRESS(2,COLUMN())),OFFSET($CL$2,0,0,ROW()-1,84),ROW()-1,FALSE))</f>
        <v/>
      </c>
      <c r="CB156" t="str">
        <f ca="1">IF(AND(ISNUMBER($CB$365),$B$252=1),$CB$365,HLOOKUP(INDIRECT(ADDRESS(2,COLUMN())),OFFSET($CL$2,0,0,ROW()-1,84),ROW()-1,FALSE))</f>
        <v/>
      </c>
      <c r="CC156" t="str">
        <f ca="1">IF(AND(ISNUMBER($CC$365),$B$252=1),$CC$365,HLOOKUP(INDIRECT(ADDRESS(2,COLUMN())),OFFSET($CL$2,0,0,ROW()-1,84),ROW()-1,FALSE))</f>
        <v/>
      </c>
      <c r="CD156" t="str">
        <f ca="1">IF(AND(ISNUMBER($CD$365),$B$252=1),$CD$365,HLOOKUP(INDIRECT(ADDRESS(2,COLUMN())),OFFSET($CL$2,0,0,ROW()-1,84),ROW()-1,FALSE))</f>
        <v/>
      </c>
      <c r="CE156" t="str">
        <f ca="1">IF(AND(ISNUMBER($CE$365),$B$252=1),$CE$365,HLOOKUP(INDIRECT(ADDRESS(2,COLUMN())),OFFSET($CL$2,0,0,ROW()-1,84),ROW()-1,FALSE))</f>
        <v/>
      </c>
      <c r="CF156" t="str">
        <f ca="1">IF(AND(ISNUMBER($CF$365),$B$252=1),$CF$365,HLOOKUP(INDIRECT(ADDRESS(2,COLUMN())),OFFSET($CL$2,0,0,ROW()-1,84),ROW()-1,FALSE))</f>
        <v/>
      </c>
      <c r="CG156" t="str">
        <f ca="1">IF(AND(ISNUMBER($CG$365),$B$252=1),$CG$365,HLOOKUP(INDIRECT(ADDRESS(2,COLUMN())),OFFSET($CL$2,0,0,ROW()-1,84),ROW()-1,FALSE))</f>
        <v/>
      </c>
      <c r="CH156" t="str">
        <f ca="1">IF(AND(ISNUMBER($CH$365),$B$252=1),$CH$365,HLOOKUP(INDIRECT(ADDRESS(2,COLUMN())),OFFSET($CL$2,0,0,ROW()-1,84),ROW()-1,FALSE))</f>
        <v/>
      </c>
      <c r="CI156" t="str">
        <f ca="1">IF(AND(ISNUMBER($CI$365),$B$252=1),$CI$365,HLOOKUP(INDIRECT(ADDRESS(2,COLUMN())),OFFSET($CL$2,0,0,ROW()-1,84),ROW()-1,FALSE))</f>
        <v/>
      </c>
      <c r="CJ156" t="str">
        <f ca="1">IF(AND(ISNUMBER($CJ$365),$B$252=1),$CJ$365,HLOOKUP(INDIRECT(ADDRESS(2,COLUMN())),OFFSET($CL$2,0,0,ROW()-1,84),ROW()-1,FALSE))</f>
        <v/>
      </c>
      <c r="CK156" t="str">
        <f ca="1">IF(AND(ISNUMBER($CK$365),$B$252=1),$CK$365,HLOOKUP(INDIRECT(ADDRESS(2,COLUMN())),OFFSET($CL$2,0,0,ROW()-1,84),ROW()-1,FALSE))</f>
        <v/>
      </c>
      <c r="CL156" t="str">
        <f>""</f>
        <v/>
      </c>
      <c r="CM156" t="str">
        <f>""</f>
        <v/>
      </c>
      <c r="CN156">
        <f>2.721</f>
        <v>2.7210000000000001</v>
      </c>
      <c r="CO156">
        <f>2.723</f>
        <v>2.7229999999999999</v>
      </c>
      <c r="CP156">
        <f>2.706</f>
        <v>2.706</v>
      </c>
      <c r="CQ156">
        <f>2.729</f>
        <v>2.7290000000000001</v>
      </c>
      <c r="CR156">
        <f>2.708</f>
        <v>2.7080000000000002</v>
      </c>
      <c r="CS156">
        <f>2.74</f>
        <v>2.74</v>
      </c>
      <c r="CT156">
        <f>2.696</f>
        <v>2.6960000000000002</v>
      </c>
      <c r="CU156">
        <f>2.745</f>
        <v>2.7450000000000001</v>
      </c>
      <c r="CV156">
        <f>2.741</f>
        <v>2.7410000000000001</v>
      </c>
      <c r="CW156">
        <f>2.76</f>
        <v>2.76</v>
      </c>
      <c r="CX156">
        <f>2.725</f>
        <v>2.7250000000000001</v>
      </c>
      <c r="CY156">
        <f>2.75</f>
        <v>2.75</v>
      </c>
      <c r="CZ156">
        <f>2.819</f>
        <v>2.819</v>
      </c>
      <c r="DA156">
        <f>2.826</f>
        <v>2.8260000000000001</v>
      </c>
      <c r="DB156">
        <f>2.814</f>
        <v>2.8140000000000001</v>
      </c>
      <c r="DC156">
        <f>2.82</f>
        <v>2.82</v>
      </c>
      <c r="DD156">
        <f>2.824</f>
        <v>2.8239999999999998</v>
      </c>
      <c r="DE156">
        <f>2.844</f>
        <v>2.8439999999999999</v>
      </c>
      <c r="DF156">
        <f>2.883</f>
        <v>2.883</v>
      </c>
      <c r="DG156">
        <f>2.977</f>
        <v>2.9769999999999999</v>
      </c>
      <c r="DH156">
        <f>3.001</f>
        <v>3.0009999999999999</v>
      </c>
      <c r="DI156">
        <f>2.983</f>
        <v>2.9830000000000001</v>
      </c>
      <c r="DJ156">
        <f>3.017</f>
        <v>3.0169999999999999</v>
      </c>
      <c r="DK156">
        <f>3.027</f>
        <v>3.0270000000000001</v>
      </c>
      <c r="DL156">
        <f>3.164</f>
        <v>3.1640000000000001</v>
      </c>
      <c r="DM156">
        <f>3.151</f>
        <v>3.1509999999999998</v>
      </c>
      <c r="DN156">
        <f>3.215</f>
        <v>3.2149999999999999</v>
      </c>
      <c r="DO156">
        <f>3.296</f>
        <v>3.2959999999999998</v>
      </c>
      <c r="DP156">
        <f>3.506</f>
        <v>3.5059999999999998</v>
      </c>
      <c r="DQ156">
        <f>3.478</f>
        <v>3.4780000000000002</v>
      </c>
      <c r="DR156">
        <f>3.66</f>
        <v>3.66</v>
      </c>
      <c r="DS156" t="str">
        <f>""</f>
        <v/>
      </c>
      <c r="DT156" t="str">
        <f>""</f>
        <v/>
      </c>
      <c r="DU156">
        <f>3.45</f>
        <v>3.45</v>
      </c>
      <c r="DV156" t="str">
        <f>""</f>
        <v/>
      </c>
      <c r="DW156">
        <f>3.425</f>
        <v>3.4249999999999998</v>
      </c>
      <c r="DX156" t="str">
        <f>""</f>
        <v/>
      </c>
      <c r="DY156" t="str">
        <f>""</f>
        <v/>
      </c>
      <c r="DZ156" t="str">
        <f>""</f>
        <v/>
      </c>
      <c r="EA156" t="str">
        <f>""</f>
        <v/>
      </c>
      <c r="EB156" t="str">
        <f>""</f>
        <v/>
      </c>
      <c r="EC156" t="str">
        <f>""</f>
        <v/>
      </c>
      <c r="ED156" t="str">
        <f>""</f>
        <v/>
      </c>
      <c r="EE156" t="str">
        <f>""</f>
        <v/>
      </c>
      <c r="EF156" t="str">
        <f>""</f>
        <v/>
      </c>
      <c r="EG156" t="str">
        <f>""</f>
        <v/>
      </c>
      <c r="EH156" t="str">
        <f>""</f>
        <v/>
      </c>
      <c r="EI156" t="str">
        <f>""</f>
        <v/>
      </c>
      <c r="EJ156" t="str">
        <f>""</f>
        <v/>
      </c>
      <c r="EK156" t="str">
        <f>""</f>
        <v/>
      </c>
      <c r="EL156" t="str">
        <f>""</f>
        <v/>
      </c>
      <c r="EM156" t="str">
        <f>""</f>
        <v/>
      </c>
      <c r="EN156" t="str">
        <f>""</f>
        <v/>
      </c>
      <c r="EO156" t="str">
        <f>""</f>
        <v/>
      </c>
      <c r="EP156" t="str">
        <f>""</f>
        <v/>
      </c>
      <c r="EQ156" t="str">
        <f>""</f>
        <v/>
      </c>
      <c r="ER156" t="str">
        <f>""</f>
        <v/>
      </c>
      <c r="ES156" t="str">
        <f>""</f>
        <v/>
      </c>
      <c r="ET156" t="str">
        <f>""</f>
        <v/>
      </c>
      <c r="EU156" t="str">
        <f>""</f>
        <v/>
      </c>
      <c r="EV156" t="str">
        <f>""</f>
        <v/>
      </c>
      <c r="EW156" t="str">
        <f>""</f>
        <v/>
      </c>
      <c r="EX156" t="str">
        <f>""</f>
        <v/>
      </c>
      <c r="EY156" t="str">
        <f>""</f>
        <v/>
      </c>
      <c r="EZ156" t="str">
        <f>""</f>
        <v/>
      </c>
      <c r="FA156" t="str">
        <f>""</f>
        <v/>
      </c>
      <c r="FB156" t="str">
        <f>""</f>
        <v/>
      </c>
      <c r="FC156" t="str">
        <f>""</f>
        <v/>
      </c>
      <c r="FD156" t="str">
        <f>""</f>
        <v/>
      </c>
      <c r="FE156" t="str">
        <f>""</f>
        <v/>
      </c>
      <c r="FF156" t="str">
        <f>""</f>
        <v/>
      </c>
      <c r="FG156" t="str">
        <f>""</f>
        <v/>
      </c>
      <c r="FH156" t="str">
        <f>""</f>
        <v/>
      </c>
      <c r="FI156" t="str">
        <f>""</f>
        <v/>
      </c>
      <c r="FJ156" t="str">
        <f>""</f>
        <v/>
      </c>
      <c r="FK156" t="str">
        <f>""</f>
        <v/>
      </c>
      <c r="FL156" t="str">
        <f>""</f>
        <v/>
      </c>
      <c r="FM156" t="str">
        <f>""</f>
        <v/>
      </c>
      <c r="FN156" t="str">
        <f>""</f>
        <v/>
      </c>
      <c r="FO156" t="str">
        <f>""</f>
        <v/>
      </c>
      <c r="FP156" t="str">
        <f>""</f>
        <v/>
      </c>
      <c r="FQ156" t="str">
        <f>""</f>
        <v/>
      </c>
    </row>
    <row r="157" spans="1:173">
      <c r="A157" t="str">
        <f>"    Essex Property Trust Inc"</f>
        <v xml:space="preserve">    Essex Property Trust Inc</v>
      </c>
      <c r="B157" t="str">
        <f>"ESS US Equity"</f>
        <v>ESS US Equity</v>
      </c>
      <c r="C157" t="str">
        <f t="shared" si="48"/>
        <v>BE895</v>
      </c>
      <c r="D157" t="str">
        <f t="shared" si="49"/>
        <v>BEST_AFFOPS</v>
      </c>
      <c r="E157" t="str">
        <f t="shared" si="50"/>
        <v>动态</v>
      </c>
      <c r="F157" t="str">
        <f ca="1">IF(AND(ISNUMBER($F$366),$B$252=1),$F$366,HLOOKUP(INDIRECT(ADDRESS(2,COLUMN())),OFFSET($CL$2,0,0,ROW()-1,84),ROW()-1,FALSE))</f>
        <v/>
      </c>
      <c r="G157" t="str">
        <f ca="1">IF(AND(ISNUMBER($G$366),$B$252=1),$G$366,HLOOKUP(INDIRECT(ADDRESS(2,COLUMN())),OFFSET($CL$2,0,0,ROW()-1,84),ROW()-1,FALSE))</f>
        <v/>
      </c>
      <c r="H157">
        <f ca="1">IF(AND(ISNUMBER($H$366),$B$252=1),$H$366,HLOOKUP(INDIRECT(ADDRESS(2,COLUMN())),OFFSET($CL$2,0,0,ROW()-1,84),ROW()-1,FALSE))</f>
        <v>10.73</v>
      </c>
      <c r="I157">
        <f ca="1">IF(AND(ISNUMBER($I$366),$B$252=1),$I$366,HLOOKUP(INDIRECT(ADDRESS(2,COLUMN())),OFFSET($CL$2,0,0,ROW()-1,84),ROW()-1,FALSE))</f>
        <v>10.689</v>
      </c>
      <c r="J157">
        <f ca="1">IF(AND(ISNUMBER($J$366),$B$252=1),$J$366,HLOOKUP(INDIRECT(ADDRESS(2,COLUMN())),OFFSET($CL$2,0,0,ROW()-1,84),ROW()-1,FALSE))</f>
        <v>10.664999999999999</v>
      </c>
      <c r="K157">
        <f ca="1">IF(AND(ISNUMBER($K$366),$B$252=1),$K$366,HLOOKUP(INDIRECT(ADDRESS(2,COLUMN())),OFFSET($CL$2,0,0,ROW()-1,84),ROW()-1,FALSE))</f>
        <v>10.804</v>
      </c>
      <c r="L157">
        <f ca="1">IF(AND(ISNUMBER($L$366),$B$252=1),$L$366,HLOOKUP(INDIRECT(ADDRESS(2,COLUMN())),OFFSET($CL$2,0,0,ROW()-1,84),ROW()-1,FALSE))</f>
        <v>10.81</v>
      </c>
      <c r="M157">
        <f ca="1">IF(AND(ISNUMBER($M$366),$B$252=1),$M$366,HLOOKUP(INDIRECT(ADDRESS(2,COLUMN())),OFFSET($CL$2,0,0,ROW()-1,84),ROW()-1,FALSE))</f>
        <v>10.728999999999999</v>
      </c>
      <c r="N157">
        <f ca="1">IF(AND(ISNUMBER($N$366),$B$252=1),$N$366,HLOOKUP(INDIRECT(ADDRESS(2,COLUMN())),OFFSET($CL$2,0,0,ROW()-1,84),ROW()-1,FALSE))</f>
        <v>10.77</v>
      </c>
      <c r="O157">
        <f ca="1">IF(AND(ISNUMBER($O$366),$B$252=1),$O$366,HLOOKUP(INDIRECT(ADDRESS(2,COLUMN())),OFFSET($CL$2,0,0,ROW()-1,84),ROW()-1,FALSE))</f>
        <v>10.683</v>
      </c>
      <c r="P157">
        <f ca="1">IF(AND(ISNUMBER($P$366),$B$252=1),$P$366,HLOOKUP(INDIRECT(ADDRESS(2,COLUMN())),OFFSET($CL$2,0,0,ROW()-1,84),ROW()-1,FALSE))</f>
        <v>10.68</v>
      </c>
      <c r="Q157">
        <f ca="1">IF(AND(ISNUMBER($Q$366),$B$252=1),$Q$366,HLOOKUP(INDIRECT(ADDRESS(2,COLUMN())),OFFSET($CL$2,0,0,ROW()-1,84),ROW()-1,FALSE))</f>
        <v>10.679</v>
      </c>
      <c r="R157">
        <f ca="1">IF(AND(ISNUMBER($R$366),$B$252=1),$R$366,HLOOKUP(INDIRECT(ADDRESS(2,COLUMN())),OFFSET($CL$2,0,0,ROW()-1,84),ROW()-1,FALSE))</f>
        <v>10.692</v>
      </c>
      <c r="S157">
        <f ca="1">IF(AND(ISNUMBER($S$366),$B$252=1),$S$366,HLOOKUP(INDIRECT(ADDRESS(2,COLUMN())),OFFSET($CL$2,0,0,ROW()-1,84),ROW()-1,FALSE))</f>
        <v>10.69</v>
      </c>
      <c r="T157">
        <f ca="1">IF(AND(ISNUMBER($T$366),$B$252=1),$T$366,HLOOKUP(INDIRECT(ADDRESS(2,COLUMN())),OFFSET($CL$2,0,0,ROW()-1,84),ROW()-1,FALSE))</f>
        <v>10.792999999999999</v>
      </c>
      <c r="U157">
        <f ca="1">IF(AND(ISNUMBER($U$366),$B$252=1),$U$366,HLOOKUP(INDIRECT(ADDRESS(2,COLUMN())),OFFSET($CL$2,0,0,ROW()-1,84),ROW()-1,FALSE))</f>
        <v>10.804</v>
      </c>
      <c r="V157">
        <f ca="1">IF(AND(ISNUMBER($V$366),$B$252=1),$V$366,HLOOKUP(INDIRECT(ADDRESS(2,COLUMN())),OFFSET($CL$2,0,0,ROW()-1,84),ROW()-1,FALSE))</f>
        <v>10.816000000000001</v>
      </c>
      <c r="W157">
        <f ca="1">IF(AND(ISNUMBER($W$366),$B$252=1),$W$366,HLOOKUP(INDIRECT(ADDRESS(2,COLUMN())),OFFSET($CL$2,0,0,ROW()-1,84),ROW()-1,FALSE))</f>
        <v>10.829000000000001</v>
      </c>
      <c r="X157">
        <f ca="1">IF(AND(ISNUMBER($X$366),$B$252=1),$X$366,HLOOKUP(INDIRECT(ADDRESS(2,COLUMN())),OFFSET($CL$2,0,0,ROW()-1,84),ROW()-1,FALSE))</f>
        <v>10.814</v>
      </c>
      <c r="Y157">
        <f ca="1">IF(AND(ISNUMBER($Y$366),$B$252=1),$Y$366,HLOOKUP(INDIRECT(ADDRESS(2,COLUMN())),OFFSET($CL$2,0,0,ROW()-1,84),ROW()-1,FALSE))</f>
        <v>10.821</v>
      </c>
      <c r="Z157">
        <f ca="1">IF(AND(ISNUMBER($Z$366),$B$252=1),$Z$366,HLOOKUP(INDIRECT(ADDRESS(2,COLUMN())),OFFSET($CL$2,0,0,ROW()-1,84),ROW()-1,FALSE))</f>
        <v>10.819000000000001</v>
      </c>
      <c r="AA157">
        <f ca="1">IF(AND(ISNUMBER($AA$366),$B$252=1),$AA$366,HLOOKUP(INDIRECT(ADDRESS(2,COLUMN())),OFFSET($CL$2,0,0,ROW()-1,84),ROW()-1,FALSE))</f>
        <v>10.813000000000001</v>
      </c>
      <c r="AB157">
        <f ca="1">IF(AND(ISNUMBER($AB$366),$B$252=1),$AB$366,HLOOKUP(INDIRECT(ADDRESS(2,COLUMN())),OFFSET($CL$2,0,0,ROW()-1,84),ROW()-1,FALSE))</f>
        <v>10.868</v>
      </c>
      <c r="AC157">
        <f ca="1">IF(AND(ISNUMBER($AC$366),$B$252=1),$AC$366,HLOOKUP(INDIRECT(ADDRESS(2,COLUMN())),OFFSET($CL$2,0,0,ROW()-1,84),ROW()-1,FALSE))</f>
        <v>10.955</v>
      </c>
      <c r="AD157">
        <f ca="1">IF(AND(ISNUMBER($AD$366),$B$252=1),$AD$366,HLOOKUP(INDIRECT(ADDRESS(2,COLUMN())),OFFSET($CL$2,0,0,ROW()-1,84),ROW()-1,FALSE))</f>
        <v>10.933</v>
      </c>
      <c r="AE157">
        <f ca="1">IF(AND(ISNUMBER($AE$366),$B$252=1),$AE$366,HLOOKUP(INDIRECT(ADDRESS(2,COLUMN())),OFFSET($CL$2,0,0,ROW()-1,84),ROW()-1,FALSE))</f>
        <v>10.978999999999999</v>
      </c>
      <c r="AF157">
        <f ca="1">IF(AND(ISNUMBER($AF$366),$B$252=1),$AF$366,HLOOKUP(INDIRECT(ADDRESS(2,COLUMN())),OFFSET($CL$2,0,0,ROW()-1,84),ROW()-1,FALSE))</f>
        <v>10.91</v>
      </c>
      <c r="AG157">
        <f ca="1">IF(AND(ISNUMBER($AG$366),$B$252=1),$AG$366,HLOOKUP(INDIRECT(ADDRESS(2,COLUMN())),OFFSET($CL$2,0,0,ROW()-1,84),ROW()-1,FALSE))</f>
        <v>11.010999999999999</v>
      </c>
      <c r="AH157">
        <f ca="1">IF(AND(ISNUMBER($AH$366),$B$252=1),$AH$366,HLOOKUP(INDIRECT(ADDRESS(2,COLUMN())),OFFSET($CL$2,0,0,ROW()-1,84),ROW()-1,FALSE))</f>
        <v>11.112</v>
      </c>
      <c r="AI157">
        <f ca="1">IF(AND(ISNUMBER($AI$366),$B$252=1),$AI$366,HLOOKUP(INDIRECT(ADDRESS(2,COLUMN())),OFFSET($CL$2,0,0,ROW()-1,84),ROW()-1,FALSE))</f>
        <v>10.77</v>
      </c>
      <c r="AJ157">
        <f ca="1">IF(AND(ISNUMBER($AJ$366),$B$252=1),$AJ$366,HLOOKUP(INDIRECT(ADDRESS(2,COLUMN())),OFFSET($CL$2,0,0,ROW()-1,84),ROW()-1,FALSE))</f>
        <v>10.26</v>
      </c>
      <c r="AK157">
        <f ca="1">IF(AND(ISNUMBER($AK$366),$B$252=1),$AK$366,HLOOKUP(INDIRECT(ADDRESS(2,COLUMN())),OFFSET($CL$2,0,0,ROW()-1,84),ROW()-1,FALSE))</f>
        <v>10.26</v>
      </c>
      <c r="AL157">
        <f ca="1">IF(AND(ISNUMBER($AL$366),$B$252=1),$AL$366,HLOOKUP(INDIRECT(ADDRESS(2,COLUMN())),OFFSET($CL$2,0,0,ROW()-1,84),ROW()-1,FALSE))</f>
        <v>10.75</v>
      </c>
      <c r="AM157" t="str">
        <f ca="1">IF(AND(ISNUMBER($AM$366),$B$252=1),$AM$366,HLOOKUP(INDIRECT(ADDRESS(2,COLUMN())),OFFSET($CL$2,0,0,ROW()-1,84),ROW()-1,FALSE))</f>
        <v/>
      </c>
      <c r="AN157">
        <f ca="1">IF(AND(ISNUMBER($AN$366),$B$252=1),$AN$366,HLOOKUP(INDIRECT(ADDRESS(2,COLUMN())),OFFSET($CL$2,0,0,ROW()-1,84),ROW()-1,FALSE))</f>
        <v>10.515000000000001</v>
      </c>
      <c r="AO157">
        <f ca="1">IF(AND(ISNUMBER($AO$366),$B$252=1),$AO$366,HLOOKUP(INDIRECT(ADDRESS(2,COLUMN())),OFFSET($CL$2,0,0,ROW()-1,84),ROW()-1,FALSE))</f>
        <v>10.46</v>
      </c>
      <c r="AP157">
        <f ca="1">IF(AND(ISNUMBER($AP$366),$B$252=1),$AP$366,HLOOKUP(INDIRECT(ADDRESS(2,COLUMN())),OFFSET($CL$2,0,0,ROW()-1,84),ROW()-1,FALSE))</f>
        <v>10.039999999999999</v>
      </c>
      <c r="AQ157">
        <f ca="1">IF(AND(ISNUMBER($AQ$366),$B$252=1),$AQ$366,HLOOKUP(INDIRECT(ADDRESS(2,COLUMN())),OFFSET($CL$2,0,0,ROW()-1,84),ROW()-1,FALSE))</f>
        <v>9.92</v>
      </c>
      <c r="AR157" t="str">
        <f ca="1">IF(AND(ISNUMBER($AR$366),$B$252=1),$AR$366,HLOOKUP(INDIRECT(ADDRESS(2,COLUMN())),OFFSET($CL$2,0,0,ROW()-1,84),ROW()-1,FALSE))</f>
        <v/>
      </c>
      <c r="AS157" t="str">
        <f ca="1">IF(AND(ISNUMBER($AS$366),$B$252=1),$AS$366,HLOOKUP(INDIRECT(ADDRESS(2,COLUMN())),OFFSET($CL$2,0,0,ROW()-1,84),ROW()-1,FALSE))</f>
        <v/>
      </c>
      <c r="AT157" t="str">
        <f ca="1">IF(AND(ISNUMBER($AT$366),$B$252=1),$AT$366,HLOOKUP(INDIRECT(ADDRESS(2,COLUMN())),OFFSET($CL$2,0,0,ROW()-1,84),ROW()-1,FALSE))</f>
        <v/>
      </c>
      <c r="AU157" t="str">
        <f ca="1">IF(AND(ISNUMBER($AU$366),$B$252=1),$AU$366,HLOOKUP(INDIRECT(ADDRESS(2,COLUMN())),OFFSET($CL$2,0,0,ROW()-1,84),ROW()-1,FALSE))</f>
        <v/>
      </c>
      <c r="AV157" t="str">
        <f ca="1">IF(AND(ISNUMBER($AV$366),$B$252=1),$AV$366,HLOOKUP(INDIRECT(ADDRESS(2,COLUMN())),OFFSET($CL$2,0,0,ROW()-1,84),ROW()-1,FALSE))</f>
        <v/>
      </c>
      <c r="AW157" t="str">
        <f ca="1">IF(AND(ISNUMBER($AW$366),$B$252=1),$AW$366,HLOOKUP(INDIRECT(ADDRESS(2,COLUMN())),OFFSET($CL$2,0,0,ROW()-1,84),ROW()-1,FALSE))</f>
        <v/>
      </c>
      <c r="AX157" t="str">
        <f ca="1">IF(AND(ISNUMBER($AX$366),$B$252=1),$AX$366,HLOOKUP(INDIRECT(ADDRESS(2,COLUMN())),OFFSET($CL$2,0,0,ROW()-1,84),ROW()-1,FALSE))</f>
        <v/>
      </c>
      <c r="AY157" t="str">
        <f ca="1">IF(AND(ISNUMBER($AY$366),$B$252=1),$AY$366,HLOOKUP(INDIRECT(ADDRESS(2,COLUMN())),OFFSET($CL$2,0,0,ROW()-1,84),ROW()-1,FALSE))</f>
        <v/>
      </c>
      <c r="AZ157" t="str">
        <f ca="1">IF(AND(ISNUMBER($AZ$366),$B$252=1),$AZ$366,HLOOKUP(INDIRECT(ADDRESS(2,COLUMN())),OFFSET($CL$2,0,0,ROW()-1,84),ROW()-1,FALSE))</f>
        <v/>
      </c>
      <c r="BA157" t="str">
        <f ca="1">IF(AND(ISNUMBER($BA$366),$B$252=1),$BA$366,HLOOKUP(INDIRECT(ADDRESS(2,COLUMN())),OFFSET($CL$2,0,0,ROW()-1,84),ROW()-1,FALSE))</f>
        <v/>
      </c>
      <c r="BB157" t="str">
        <f ca="1">IF(AND(ISNUMBER($BB$366),$B$252=1),$BB$366,HLOOKUP(INDIRECT(ADDRESS(2,COLUMN())),OFFSET($CL$2,0,0,ROW()-1,84),ROW()-1,FALSE))</f>
        <v/>
      </c>
      <c r="BC157" t="str">
        <f ca="1">IF(AND(ISNUMBER($BC$366),$B$252=1),$BC$366,HLOOKUP(INDIRECT(ADDRESS(2,COLUMN())),OFFSET($CL$2,0,0,ROW()-1,84),ROW()-1,FALSE))</f>
        <v/>
      </c>
      <c r="BD157" t="str">
        <f ca="1">IF(AND(ISNUMBER($BD$366),$B$252=1),$BD$366,HLOOKUP(INDIRECT(ADDRESS(2,COLUMN())),OFFSET($CL$2,0,0,ROW()-1,84),ROW()-1,FALSE))</f>
        <v/>
      </c>
      <c r="BE157" t="str">
        <f ca="1">IF(AND(ISNUMBER($BE$366),$B$252=1),$BE$366,HLOOKUP(INDIRECT(ADDRESS(2,COLUMN())),OFFSET($CL$2,0,0,ROW()-1,84),ROW()-1,FALSE))</f>
        <v/>
      </c>
      <c r="BF157" t="str">
        <f ca="1">IF(AND(ISNUMBER($BF$366),$B$252=1),$BF$366,HLOOKUP(INDIRECT(ADDRESS(2,COLUMN())),OFFSET($CL$2,0,0,ROW()-1,84),ROW()-1,FALSE))</f>
        <v/>
      </c>
      <c r="BG157" t="str">
        <f ca="1">IF(AND(ISNUMBER($BG$366),$B$252=1),$BG$366,HLOOKUP(INDIRECT(ADDRESS(2,COLUMN())),OFFSET($CL$2,0,0,ROW()-1,84),ROW()-1,FALSE))</f>
        <v/>
      </c>
      <c r="BH157" t="str">
        <f ca="1">IF(AND(ISNUMBER($BH$366),$B$252=1),$BH$366,HLOOKUP(INDIRECT(ADDRESS(2,COLUMN())),OFFSET($CL$2,0,0,ROW()-1,84),ROW()-1,FALSE))</f>
        <v/>
      </c>
      <c r="BI157" t="str">
        <f ca="1">IF(AND(ISNUMBER($BI$366),$B$252=1),$BI$366,HLOOKUP(INDIRECT(ADDRESS(2,COLUMN())),OFFSET($CL$2,0,0,ROW()-1,84),ROW()-1,FALSE))</f>
        <v/>
      </c>
      <c r="BJ157" t="str">
        <f ca="1">IF(AND(ISNUMBER($BJ$366),$B$252=1),$BJ$366,HLOOKUP(INDIRECT(ADDRESS(2,COLUMN())),OFFSET($CL$2,0,0,ROW()-1,84),ROW()-1,FALSE))</f>
        <v/>
      </c>
      <c r="BK157" t="str">
        <f ca="1">IF(AND(ISNUMBER($BK$366),$B$252=1),$BK$366,HLOOKUP(INDIRECT(ADDRESS(2,COLUMN())),OFFSET($CL$2,0,0,ROW()-1,84),ROW()-1,FALSE))</f>
        <v/>
      </c>
      <c r="BL157" t="str">
        <f ca="1">IF(AND(ISNUMBER($BL$366),$B$252=1),$BL$366,HLOOKUP(INDIRECT(ADDRESS(2,COLUMN())),OFFSET($CL$2,0,0,ROW()-1,84),ROW()-1,FALSE))</f>
        <v/>
      </c>
      <c r="BM157" t="str">
        <f ca="1">IF(AND(ISNUMBER($BM$366),$B$252=1),$BM$366,HLOOKUP(INDIRECT(ADDRESS(2,COLUMN())),OFFSET($CL$2,0,0,ROW()-1,84),ROW()-1,FALSE))</f>
        <v/>
      </c>
      <c r="BN157" t="str">
        <f ca="1">IF(AND(ISNUMBER($BN$366),$B$252=1),$BN$366,HLOOKUP(INDIRECT(ADDRESS(2,COLUMN())),OFFSET($CL$2,0,0,ROW()-1,84),ROW()-1,FALSE))</f>
        <v/>
      </c>
      <c r="BO157" t="str">
        <f ca="1">IF(AND(ISNUMBER($BO$366),$B$252=1),$BO$366,HLOOKUP(INDIRECT(ADDRESS(2,COLUMN())),OFFSET($CL$2,0,0,ROW()-1,84),ROW()-1,FALSE))</f>
        <v/>
      </c>
      <c r="BP157" t="str">
        <f ca="1">IF(AND(ISNUMBER($BP$366),$B$252=1),$BP$366,HLOOKUP(INDIRECT(ADDRESS(2,COLUMN())),OFFSET($CL$2,0,0,ROW()-1,84),ROW()-1,FALSE))</f>
        <v/>
      </c>
      <c r="BQ157" t="str">
        <f ca="1">IF(AND(ISNUMBER($BQ$366),$B$252=1),$BQ$366,HLOOKUP(INDIRECT(ADDRESS(2,COLUMN())),OFFSET($CL$2,0,0,ROW()-1,84),ROW()-1,FALSE))</f>
        <v/>
      </c>
      <c r="BR157" t="str">
        <f ca="1">IF(AND(ISNUMBER($BR$366),$B$252=1),$BR$366,HLOOKUP(INDIRECT(ADDRESS(2,COLUMN())),OFFSET($CL$2,0,0,ROW()-1,84),ROW()-1,FALSE))</f>
        <v/>
      </c>
      <c r="BS157" t="str">
        <f ca="1">IF(AND(ISNUMBER($BS$366),$B$252=1),$BS$366,HLOOKUP(INDIRECT(ADDRESS(2,COLUMN())),OFFSET($CL$2,0,0,ROW()-1,84),ROW()-1,FALSE))</f>
        <v/>
      </c>
      <c r="BT157" t="str">
        <f ca="1">IF(AND(ISNUMBER($BT$366),$B$252=1),$BT$366,HLOOKUP(INDIRECT(ADDRESS(2,COLUMN())),OFFSET($CL$2,0,0,ROW()-1,84),ROW()-1,FALSE))</f>
        <v/>
      </c>
      <c r="BU157" t="str">
        <f ca="1">IF(AND(ISNUMBER($BU$366),$B$252=1),$BU$366,HLOOKUP(INDIRECT(ADDRESS(2,COLUMN())),OFFSET($CL$2,0,0,ROW()-1,84),ROW()-1,FALSE))</f>
        <v/>
      </c>
      <c r="BV157" t="str">
        <f ca="1">IF(AND(ISNUMBER($BV$366),$B$252=1),$BV$366,HLOOKUP(INDIRECT(ADDRESS(2,COLUMN())),OFFSET($CL$2,0,0,ROW()-1,84),ROW()-1,FALSE))</f>
        <v/>
      </c>
      <c r="BW157" t="str">
        <f ca="1">IF(AND(ISNUMBER($BW$366),$B$252=1),$BW$366,HLOOKUP(INDIRECT(ADDRESS(2,COLUMN())),OFFSET($CL$2,0,0,ROW()-1,84),ROW()-1,FALSE))</f>
        <v/>
      </c>
      <c r="BX157" t="str">
        <f ca="1">IF(AND(ISNUMBER($BX$366),$B$252=1),$BX$366,HLOOKUP(INDIRECT(ADDRESS(2,COLUMN())),OFFSET($CL$2,0,0,ROW()-1,84),ROW()-1,FALSE))</f>
        <v/>
      </c>
      <c r="BY157" t="str">
        <f ca="1">IF(AND(ISNUMBER($BY$366),$B$252=1),$BY$366,HLOOKUP(INDIRECT(ADDRESS(2,COLUMN())),OFFSET($CL$2,0,0,ROW()-1,84),ROW()-1,FALSE))</f>
        <v/>
      </c>
      <c r="BZ157" t="str">
        <f ca="1">IF(AND(ISNUMBER($BZ$366),$B$252=1),$BZ$366,HLOOKUP(INDIRECT(ADDRESS(2,COLUMN())),OFFSET($CL$2,0,0,ROW()-1,84),ROW()-1,FALSE))</f>
        <v/>
      </c>
      <c r="CA157" t="str">
        <f ca="1">IF(AND(ISNUMBER($CA$366),$B$252=1),$CA$366,HLOOKUP(INDIRECT(ADDRESS(2,COLUMN())),OFFSET($CL$2,0,0,ROW()-1,84),ROW()-1,FALSE))</f>
        <v/>
      </c>
      <c r="CB157" t="str">
        <f ca="1">IF(AND(ISNUMBER($CB$366),$B$252=1),$CB$366,HLOOKUP(INDIRECT(ADDRESS(2,COLUMN())),OFFSET($CL$2,0,0,ROW()-1,84),ROW()-1,FALSE))</f>
        <v/>
      </c>
      <c r="CC157" t="str">
        <f ca="1">IF(AND(ISNUMBER($CC$366),$B$252=1),$CC$366,HLOOKUP(INDIRECT(ADDRESS(2,COLUMN())),OFFSET($CL$2,0,0,ROW()-1,84),ROW()-1,FALSE))</f>
        <v/>
      </c>
      <c r="CD157" t="str">
        <f ca="1">IF(AND(ISNUMBER($CD$366),$B$252=1),$CD$366,HLOOKUP(INDIRECT(ADDRESS(2,COLUMN())),OFFSET($CL$2,0,0,ROW()-1,84),ROW()-1,FALSE))</f>
        <v/>
      </c>
      <c r="CE157" t="str">
        <f ca="1">IF(AND(ISNUMBER($CE$366),$B$252=1),$CE$366,HLOOKUP(INDIRECT(ADDRESS(2,COLUMN())),OFFSET($CL$2,0,0,ROW()-1,84),ROW()-1,FALSE))</f>
        <v/>
      </c>
      <c r="CF157" t="str">
        <f ca="1">IF(AND(ISNUMBER($CF$366),$B$252=1),$CF$366,HLOOKUP(INDIRECT(ADDRESS(2,COLUMN())),OFFSET($CL$2,0,0,ROW()-1,84),ROW()-1,FALSE))</f>
        <v/>
      </c>
      <c r="CG157" t="str">
        <f ca="1">IF(AND(ISNUMBER($CG$366),$B$252=1),$CG$366,HLOOKUP(INDIRECT(ADDRESS(2,COLUMN())),OFFSET($CL$2,0,0,ROW()-1,84),ROW()-1,FALSE))</f>
        <v/>
      </c>
      <c r="CH157" t="str">
        <f ca="1">IF(AND(ISNUMBER($CH$366),$B$252=1),$CH$366,HLOOKUP(INDIRECT(ADDRESS(2,COLUMN())),OFFSET($CL$2,0,0,ROW()-1,84),ROW()-1,FALSE))</f>
        <v/>
      </c>
      <c r="CI157" t="str">
        <f ca="1">IF(AND(ISNUMBER($CI$366),$B$252=1),$CI$366,HLOOKUP(INDIRECT(ADDRESS(2,COLUMN())),OFFSET($CL$2,0,0,ROW()-1,84),ROW()-1,FALSE))</f>
        <v/>
      </c>
      <c r="CJ157" t="str">
        <f ca="1">IF(AND(ISNUMBER($CJ$366),$B$252=1),$CJ$366,HLOOKUP(INDIRECT(ADDRESS(2,COLUMN())),OFFSET($CL$2,0,0,ROW()-1,84),ROW()-1,FALSE))</f>
        <v/>
      </c>
      <c r="CK157" t="str">
        <f ca="1">IF(AND(ISNUMBER($CK$366),$B$252=1),$CK$366,HLOOKUP(INDIRECT(ADDRESS(2,COLUMN())),OFFSET($CL$2,0,0,ROW()-1,84),ROW()-1,FALSE))</f>
        <v/>
      </c>
      <c r="CL157" t="str">
        <f>""</f>
        <v/>
      </c>
      <c r="CM157" t="str">
        <f>""</f>
        <v/>
      </c>
      <c r="CN157">
        <f>10.73</f>
        <v>10.73</v>
      </c>
      <c r="CO157">
        <f>10.689</f>
        <v>10.689</v>
      </c>
      <c r="CP157">
        <f>10.665</f>
        <v>10.664999999999999</v>
      </c>
      <c r="CQ157">
        <f>10.804</f>
        <v>10.804</v>
      </c>
      <c r="CR157">
        <f>10.81</f>
        <v>10.81</v>
      </c>
      <c r="CS157">
        <f>10.729</f>
        <v>10.728999999999999</v>
      </c>
      <c r="CT157">
        <f>10.77</f>
        <v>10.77</v>
      </c>
      <c r="CU157">
        <f>10.683</f>
        <v>10.683</v>
      </c>
      <c r="CV157">
        <f>10.68</f>
        <v>10.68</v>
      </c>
      <c r="CW157">
        <f>10.679</f>
        <v>10.679</v>
      </c>
      <c r="CX157">
        <f>10.692</f>
        <v>10.692</v>
      </c>
      <c r="CY157">
        <f>10.69</f>
        <v>10.69</v>
      </c>
      <c r="CZ157">
        <f>10.793</f>
        <v>10.792999999999999</v>
      </c>
      <c r="DA157">
        <f>10.804</f>
        <v>10.804</v>
      </c>
      <c r="DB157">
        <f>10.816</f>
        <v>10.816000000000001</v>
      </c>
      <c r="DC157">
        <f>10.829</f>
        <v>10.829000000000001</v>
      </c>
      <c r="DD157">
        <f>10.814</f>
        <v>10.814</v>
      </c>
      <c r="DE157">
        <f>10.821</f>
        <v>10.821</v>
      </c>
      <c r="DF157">
        <f>10.819</f>
        <v>10.819000000000001</v>
      </c>
      <c r="DG157">
        <f>10.813</f>
        <v>10.813000000000001</v>
      </c>
      <c r="DH157">
        <f>10.868</f>
        <v>10.868</v>
      </c>
      <c r="DI157">
        <f>10.955</f>
        <v>10.955</v>
      </c>
      <c r="DJ157">
        <f>10.933</f>
        <v>10.933</v>
      </c>
      <c r="DK157">
        <f>10.979</f>
        <v>10.978999999999999</v>
      </c>
      <c r="DL157">
        <f>10.91</f>
        <v>10.91</v>
      </c>
      <c r="DM157">
        <f>11.011</f>
        <v>11.010999999999999</v>
      </c>
      <c r="DN157">
        <f>11.112</f>
        <v>11.112</v>
      </c>
      <c r="DO157">
        <f>10.77</f>
        <v>10.77</v>
      </c>
      <c r="DP157">
        <f>10.26</f>
        <v>10.26</v>
      </c>
      <c r="DQ157">
        <f>10.26</f>
        <v>10.26</v>
      </c>
      <c r="DR157">
        <f>10.75</f>
        <v>10.75</v>
      </c>
      <c r="DS157" t="str">
        <f>""</f>
        <v/>
      </c>
      <c r="DT157">
        <f>10.515</f>
        <v>10.515000000000001</v>
      </c>
      <c r="DU157">
        <f>10.46</f>
        <v>10.46</v>
      </c>
      <c r="DV157">
        <f>10.04</f>
        <v>10.039999999999999</v>
      </c>
      <c r="DW157">
        <f>9.92</f>
        <v>9.92</v>
      </c>
      <c r="DX157" t="str">
        <f>""</f>
        <v/>
      </c>
      <c r="DY157" t="str">
        <f>""</f>
        <v/>
      </c>
      <c r="DZ157" t="str">
        <f>""</f>
        <v/>
      </c>
      <c r="EA157" t="str">
        <f>""</f>
        <v/>
      </c>
      <c r="EB157" t="str">
        <f>""</f>
        <v/>
      </c>
      <c r="EC157" t="str">
        <f>""</f>
        <v/>
      </c>
      <c r="ED157" t="str">
        <f>""</f>
        <v/>
      </c>
      <c r="EE157" t="str">
        <f>""</f>
        <v/>
      </c>
      <c r="EF157" t="str">
        <f>""</f>
        <v/>
      </c>
      <c r="EG157" t="str">
        <f>""</f>
        <v/>
      </c>
      <c r="EH157" t="str">
        <f>""</f>
        <v/>
      </c>
      <c r="EI157" t="str">
        <f>""</f>
        <v/>
      </c>
      <c r="EJ157" t="str">
        <f>""</f>
        <v/>
      </c>
      <c r="EK157" t="str">
        <f>""</f>
        <v/>
      </c>
      <c r="EL157" t="str">
        <f>""</f>
        <v/>
      </c>
      <c r="EM157" t="str">
        <f>""</f>
        <v/>
      </c>
      <c r="EN157" t="str">
        <f>""</f>
        <v/>
      </c>
      <c r="EO157" t="str">
        <f>""</f>
        <v/>
      </c>
      <c r="EP157" t="str">
        <f>""</f>
        <v/>
      </c>
      <c r="EQ157" t="str">
        <f>""</f>
        <v/>
      </c>
      <c r="ER157" t="str">
        <f>""</f>
        <v/>
      </c>
      <c r="ES157" t="str">
        <f>""</f>
        <v/>
      </c>
      <c r="ET157" t="str">
        <f>""</f>
        <v/>
      </c>
      <c r="EU157" t="str">
        <f>""</f>
        <v/>
      </c>
      <c r="EV157" t="str">
        <f>""</f>
        <v/>
      </c>
      <c r="EW157" t="str">
        <f>""</f>
        <v/>
      </c>
      <c r="EX157" t="str">
        <f>""</f>
        <v/>
      </c>
      <c r="EY157" t="str">
        <f>""</f>
        <v/>
      </c>
      <c r="EZ157" t="str">
        <f>""</f>
        <v/>
      </c>
      <c r="FA157" t="str">
        <f>""</f>
        <v/>
      </c>
      <c r="FB157" t="str">
        <f>""</f>
        <v/>
      </c>
      <c r="FC157" t="str">
        <f>""</f>
        <v/>
      </c>
      <c r="FD157" t="str">
        <f>""</f>
        <v/>
      </c>
      <c r="FE157" t="str">
        <f>""</f>
        <v/>
      </c>
      <c r="FF157" t="str">
        <f>""</f>
        <v/>
      </c>
      <c r="FG157" t="str">
        <f>""</f>
        <v/>
      </c>
      <c r="FH157" t="str">
        <f>""</f>
        <v/>
      </c>
      <c r="FI157" t="str">
        <f>""</f>
        <v/>
      </c>
      <c r="FJ157" t="str">
        <f>""</f>
        <v/>
      </c>
      <c r="FK157" t="str">
        <f>""</f>
        <v/>
      </c>
      <c r="FL157" t="str">
        <f>""</f>
        <v/>
      </c>
      <c r="FM157" t="str">
        <f>""</f>
        <v/>
      </c>
      <c r="FN157" t="str">
        <f>""</f>
        <v/>
      </c>
      <c r="FO157" t="str">
        <f>""</f>
        <v/>
      </c>
      <c r="FP157" t="str">
        <f>""</f>
        <v/>
      </c>
      <c r="FQ157" t="str">
        <f>""</f>
        <v/>
      </c>
    </row>
    <row r="158" spans="1:173">
      <c r="A158" t="str">
        <f>"    Mid-America Apartment Communit"</f>
        <v xml:space="preserve">    Mid-America Apartment Communit</v>
      </c>
      <c r="B158" t="str">
        <f>"MAA US Equity"</f>
        <v>MAA US Equity</v>
      </c>
      <c r="C158" t="str">
        <f t="shared" si="48"/>
        <v>BE895</v>
      </c>
      <c r="D158" t="str">
        <f t="shared" si="49"/>
        <v>BEST_AFFOPS</v>
      </c>
      <c r="E158" t="str">
        <f t="shared" si="50"/>
        <v>动态</v>
      </c>
      <c r="F158" t="str">
        <f ca="1">IF(AND(ISNUMBER($F$367),$B$252=1),$F$367,HLOOKUP(INDIRECT(ADDRESS(2,COLUMN())),OFFSET($CL$2,0,0,ROW()-1,84),ROW()-1,FALSE))</f>
        <v/>
      </c>
      <c r="G158" t="str">
        <f ca="1">IF(AND(ISNUMBER($G$367),$B$252=1),$G$367,HLOOKUP(INDIRECT(ADDRESS(2,COLUMN())),OFFSET($CL$2,0,0,ROW()-1,84),ROW()-1,FALSE))</f>
        <v/>
      </c>
      <c r="H158">
        <f ca="1">IF(AND(ISNUMBER($H$367),$B$252=1),$H$367,HLOOKUP(INDIRECT(ADDRESS(2,COLUMN())),OFFSET($CL$2,0,0,ROW()-1,84),ROW()-1,FALSE))</f>
        <v>5.3710000000000004</v>
      </c>
      <c r="I158">
        <f ca="1">IF(AND(ISNUMBER($I$367),$B$252=1),$I$367,HLOOKUP(INDIRECT(ADDRESS(2,COLUMN())),OFFSET($CL$2,0,0,ROW()-1,84),ROW()-1,FALSE))</f>
        <v>5.306</v>
      </c>
      <c r="J158">
        <f ca="1">IF(AND(ISNUMBER($J$367),$B$252=1),$J$367,HLOOKUP(INDIRECT(ADDRESS(2,COLUMN())),OFFSET($CL$2,0,0,ROW()-1,84),ROW()-1,FALSE))</f>
        <v>5.3879999999999999</v>
      </c>
      <c r="K158">
        <f ca="1">IF(AND(ISNUMBER($K$367),$B$252=1),$K$367,HLOOKUP(INDIRECT(ADDRESS(2,COLUMN())),OFFSET($CL$2,0,0,ROW()-1,84),ROW()-1,FALSE))</f>
        <v>5.3220000000000001</v>
      </c>
      <c r="L158">
        <f ca="1">IF(AND(ISNUMBER($L$367),$B$252=1),$L$367,HLOOKUP(INDIRECT(ADDRESS(2,COLUMN())),OFFSET($CL$2,0,0,ROW()-1,84),ROW()-1,FALSE))</f>
        <v>5.3929999999999998</v>
      </c>
      <c r="M158">
        <f ca="1">IF(AND(ISNUMBER($M$367),$B$252=1),$M$367,HLOOKUP(INDIRECT(ADDRESS(2,COLUMN())),OFFSET($CL$2,0,0,ROW()-1,84),ROW()-1,FALSE))</f>
        <v>5.3330000000000002</v>
      </c>
      <c r="N158">
        <f ca="1">IF(AND(ISNUMBER($N$367),$B$252=1),$N$367,HLOOKUP(INDIRECT(ADDRESS(2,COLUMN())),OFFSET($CL$2,0,0,ROW()-1,84),ROW()-1,FALSE))</f>
        <v>5.34</v>
      </c>
      <c r="O158">
        <f ca="1">IF(AND(ISNUMBER($O$367),$B$252=1),$O$367,HLOOKUP(INDIRECT(ADDRESS(2,COLUMN())),OFFSET($CL$2,0,0,ROW()-1,84),ROW()-1,FALSE))</f>
        <v>5.3390000000000004</v>
      </c>
      <c r="P158">
        <f ca="1">IF(AND(ISNUMBER($P$367),$B$252=1),$P$367,HLOOKUP(INDIRECT(ADDRESS(2,COLUMN())),OFFSET($CL$2,0,0,ROW()-1,84),ROW()-1,FALSE))</f>
        <v>5.3380000000000001</v>
      </c>
      <c r="Q158">
        <f ca="1">IF(AND(ISNUMBER($Q$367),$B$252=1),$Q$367,HLOOKUP(INDIRECT(ADDRESS(2,COLUMN())),OFFSET($CL$2,0,0,ROW()-1,84),ROW()-1,FALSE))</f>
        <v>5.2649999999999997</v>
      </c>
      <c r="R158">
        <f ca="1">IF(AND(ISNUMBER($R$367),$B$252=1),$R$367,HLOOKUP(INDIRECT(ADDRESS(2,COLUMN())),OFFSET($CL$2,0,0,ROW()-1,84),ROW()-1,FALSE))</f>
        <v>5.2450000000000001</v>
      </c>
      <c r="S158">
        <f ca="1">IF(AND(ISNUMBER($S$367),$B$252=1),$S$367,HLOOKUP(INDIRECT(ADDRESS(2,COLUMN())),OFFSET($CL$2,0,0,ROW()-1,84),ROW()-1,FALSE))</f>
        <v>5.2560000000000002</v>
      </c>
      <c r="T158">
        <f ca="1">IF(AND(ISNUMBER($T$367),$B$252=1),$T$367,HLOOKUP(INDIRECT(ADDRESS(2,COLUMN())),OFFSET($CL$2,0,0,ROW()-1,84),ROW()-1,FALSE))</f>
        <v>5.3129999999999997</v>
      </c>
      <c r="U158">
        <f ca="1">IF(AND(ISNUMBER($U$367),$B$252=1),$U$367,HLOOKUP(INDIRECT(ADDRESS(2,COLUMN())),OFFSET($CL$2,0,0,ROW()-1,84),ROW()-1,FALSE))</f>
        <v>5.3010000000000002</v>
      </c>
      <c r="V158">
        <f ca="1">IF(AND(ISNUMBER($V$367),$B$252=1),$V$367,HLOOKUP(INDIRECT(ADDRESS(2,COLUMN())),OFFSET($CL$2,0,0,ROW()-1,84),ROW()-1,FALSE))</f>
        <v>5.4130000000000003</v>
      </c>
      <c r="W158">
        <f ca="1">IF(AND(ISNUMBER($W$367),$B$252=1),$W$367,HLOOKUP(INDIRECT(ADDRESS(2,COLUMN())),OFFSET($CL$2,0,0,ROW()-1,84),ROW()-1,FALSE))</f>
        <v>5.4320000000000004</v>
      </c>
      <c r="X158">
        <f ca="1">IF(AND(ISNUMBER($X$367),$B$252=1),$X$367,HLOOKUP(INDIRECT(ADDRESS(2,COLUMN())),OFFSET($CL$2,0,0,ROW()-1,84),ROW()-1,FALSE))</f>
        <v>5.3789999999999996</v>
      </c>
      <c r="Y158">
        <f ca="1">IF(AND(ISNUMBER($Y$367),$B$252=1),$Y$367,HLOOKUP(INDIRECT(ADDRESS(2,COLUMN())),OFFSET($CL$2,0,0,ROW()-1,84),ROW()-1,FALSE))</f>
        <v>5.3739999999999997</v>
      </c>
      <c r="Z158">
        <f ca="1">IF(AND(ISNUMBER($Z$367),$B$252=1),$Z$367,HLOOKUP(INDIRECT(ADDRESS(2,COLUMN())),OFFSET($CL$2,0,0,ROW()-1,84),ROW()-1,FALSE))</f>
        <v>5.54</v>
      </c>
      <c r="AA158">
        <f ca="1">IF(AND(ISNUMBER($AA$367),$B$252=1),$AA$367,HLOOKUP(INDIRECT(ADDRESS(2,COLUMN())),OFFSET($CL$2,0,0,ROW()-1,84),ROW()-1,FALSE))</f>
        <v>5.5209999999999999</v>
      </c>
      <c r="AB158">
        <f ca="1">IF(AND(ISNUMBER($AB$367),$B$252=1),$AB$367,HLOOKUP(INDIRECT(ADDRESS(2,COLUMN())),OFFSET($CL$2,0,0,ROW()-1,84),ROW()-1,FALSE))</f>
        <v>5.52</v>
      </c>
      <c r="AC158">
        <f ca="1">IF(AND(ISNUMBER($AC$367),$B$252=1),$AC$367,HLOOKUP(INDIRECT(ADDRESS(2,COLUMN())),OFFSET($CL$2,0,0,ROW()-1,84),ROW()-1,FALSE))</f>
        <v>5.4989999999999997</v>
      </c>
      <c r="AD158">
        <f ca="1">IF(AND(ISNUMBER($AD$367),$B$252=1),$AD$367,HLOOKUP(INDIRECT(ADDRESS(2,COLUMN())),OFFSET($CL$2,0,0,ROW()-1,84),ROW()-1,FALSE))</f>
        <v>5.4820000000000002</v>
      </c>
      <c r="AE158">
        <f ca="1">IF(AND(ISNUMBER($AE$367),$B$252=1),$AE$367,HLOOKUP(INDIRECT(ADDRESS(2,COLUMN())),OFFSET($CL$2,0,0,ROW()-1,84),ROW()-1,FALSE))</f>
        <v>5.4660000000000002</v>
      </c>
      <c r="AF158">
        <f ca="1">IF(AND(ISNUMBER($AF$367),$B$252=1),$AF$367,HLOOKUP(INDIRECT(ADDRESS(2,COLUMN())),OFFSET($CL$2,0,0,ROW()-1,84),ROW()-1,FALSE))</f>
        <v>5.4980000000000002</v>
      </c>
      <c r="AG158">
        <f ca="1">IF(AND(ISNUMBER($AG$367),$B$252=1),$AG$367,HLOOKUP(INDIRECT(ADDRESS(2,COLUMN())),OFFSET($CL$2,0,0,ROW()-1,84),ROW()-1,FALSE))</f>
        <v>5.5140000000000002</v>
      </c>
      <c r="AH158">
        <f ca="1">IF(AND(ISNUMBER($AH$367),$B$252=1),$AH$367,HLOOKUP(INDIRECT(ADDRESS(2,COLUMN())),OFFSET($CL$2,0,0,ROW()-1,84),ROW()-1,FALSE))</f>
        <v>5.5339999999999998</v>
      </c>
      <c r="AI158">
        <f ca="1">IF(AND(ISNUMBER($AI$367),$B$252=1),$AI$367,HLOOKUP(INDIRECT(ADDRESS(2,COLUMN())),OFFSET($CL$2,0,0,ROW()-1,84),ROW()-1,FALSE))</f>
        <v>5.6029999999999998</v>
      </c>
      <c r="AJ158">
        <f ca="1">IF(AND(ISNUMBER($AJ$367),$B$252=1),$AJ$367,HLOOKUP(INDIRECT(ADDRESS(2,COLUMN())),OFFSET($CL$2,0,0,ROW()-1,84),ROW()-1,FALSE))</f>
        <v>5.44</v>
      </c>
      <c r="AK158">
        <f ca="1">IF(AND(ISNUMBER($AK$367),$B$252=1),$AK$367,HLOOKUP(INDIRECT(ADDRESS(2,COLUMN())),OFFSET($CL$2,0,0,ROW()-1,84),ROW()-1,FALSE))</f>
        <v>5.44</v>
      </c>
      <c r="AL158">
        <f ca="1">IF(AND(ISNUMBER($AL$367),$B$252=1),$AL$367,HLOOKUP(INDIRECT(ADDRESS(2,COLUMN())),OFFSET($CL$2,0,0,ROW()-1,84),ROW()-1,FALSE))</f>
        <v>5.44</v>
      </c>
      <c r="AM158">
        <f ca="1">IF(AND(ISNUMBER($AM$367),$B$252=1),$AM$367,HLOOKUP(INDIRECT(ADDRESS(2,COLUMN())),OFFSET($CL$2,0,0,ROW()-1,84),ROW()-1,FALSE))</f>
        <v>5.46</v>
      </c>
      <c r="AN158">
        <f ca="1">IF(AND(ISNUMBER($AN$367),$B$252=1),$AN$367,HLOOKUP(INDIRECT(ADDRESS(2,COLUMN())),OFFSET($CL$2,0,0,ROW()-1,84),ROW()-1,FALSE))</f>
        <v>5.46</v>
      </c>
      <c r="AO158">
        <f ca="1">IF(AND(ISNUMBER($AO$367),$B$252=1),$AO$367,HLOOKUP(INDIRECT(ADDRESS(2,COLUMN())),OFFSET($CL$2,0,0,ROW()-1,84),ROW()-1,FALSE))</f>
        <v>5.26</v>
      </c>
      <c r="AP158" t="str">
        <f ca="1">IF(AND(ISNUMBER($AP$367),$B$252=1),$AP$367,HLOOKUP(INDIRECT(ADDRESS(2,COLUMN())),OFFSET($CL$2,0,0,ROW()-1,84),ROW()-1,FALSE))</f>
        <v/>
      </c>
      <c r="AQ158" t="str">
        <f ca="1">IF(AND(ISNUMBER($AQ$367),$B$252=1),$AQ$367,HLOOKUP(INDIRECT(ADDRESS(2,COLUMN())),OFFSET($CL$2,0,0,ROW()-1,84),ROW()-1,FALSE))</f>
        <v/>
      </c>
      <c r="AR158" t="str">
        <f ca="1">IF(AND(ISNUMBER($AR$367),$B$252=1),$AR$367,HLOOKUP(INDIRECT(ADDRESS(2,COLUMN())),OFFSET($CL$2,0,0,ROW()-1,84),ROW()-1,FALSE))</f>
        <v/>
      </c>
      <c r="AS158" t="str">
        <f ca="1">IF(AND(ISNUMBER($AS$367),$B$252=1),$AS$367,HLOOKUP(INDIRECT(ADDRESS(2,COLUMN())),OFFSET($CL$2,0,0,ROW()-1,84),ROW()-1,FALSE))</f>
        <v/>
      </c>
      <c r="AT158" t="str">
        <f ca="1">IF(AND(ISNUMBER($AT$367),$B$252=1),$AT$367,HLOOKUP(INDIRECT(ADDRESS(2,COLUMN())),OFFSET($CL$2,0,0,ROW()-1,84),ROW()-1,FALSE))</f>
        <v/>
      </c>
      <c r="AU158" t="str">
        <f ca="1">IF(AND(ISNUMBER($AU$367),$B$252=1),$AU$367,HLOOKUP(INDIRECT(ADDRESS(2,COLUMN())),OFFSET($CL$2,0,0,ROW()-1,84),ROW()-1,FALSE))</f>
        <v/>
      </c>
      <c r="AV158" t="str">
        <f ca="1">IF(AND(ISNUMBER($AV$367),$B$252=1),$AV$367,HLOOKUP(INDIRECT(ADDRESS(2,COLUMN())),OFFSET($CL$2,0,0,ROW()-1,84),ROW()-1,FALSE))</f>
        <v/>
      </c>
      <c r="AW158" t="str">
        <f ca="1">IF(AND(ISNUMBER($AW$367),$B$252=1),$AW$367,HLOOKUP(INDIRECT(ADDRESS(2,COLUMN())),OFFSET($CL$2,0,0,ROW()-1,84),ROW()-1,FALSE))</f>
        <v/>
      </c>
      <c r="AX158" t="str">
        <f ca="1">IF(AND(ISNUMBER($AX$367),$B$252=1),$AX$367,HLOOKUP(INDIRECT(ADDRESS(2,COLUMN())),OFFSET($CL$2,0,0,ROW()-1,84),ROW()-1,FALSE))</f>
        <v/>
      </c>
      <c r="AY158" t="str">
        <f ca="1">IF(AND(ISNUMBER($AY$367),$B$252=1),$AY$367,HLOOKUP(INDIRECT(ADDRESS(2,COLUMN())),OFFSET($CL$2,0,0,ROW()-1,84),ROW()-1,FALSE))</f>
        <v/>
      </c>
      <c r="AZ158" t="str">
        <f ca="1">IF(AND(ISNUMBER($AZ$367),$B$252=1),$AZ$367,HLOOKUP(INDIRECT(ADDRESS(2,COLUMN())),OFFSET($CL$2,0,0,ROW()-1,84),ROW()-1,FALSE))</f>
        <v/>
      </c>
      <c r="BA158" t="str">
        <f ca="1">IF(AND(ISNUMBER($BA$367),$B$252=1),$BA$367,HLOOKUP(INDIRECT(ADDRESS(2,COLUMN())),OFFSET($CL$2,0,0,ROW()-1,84),ROW()-1,FALSE))</f>
        <v/>
      </c>
      <c r="BB158" t="str">
        <f ca="1">IF(AND(ISNUMBER($BB$367),$B$252=1),$BB$367,HLOOKUP(INDIRECT(ADDRESS(2,COLUMN())),OFFSET($CL$2,0,0,ROW()-1,84),ROW()-1,FALSE))</f>
        <v/>
      </c>
      <c r="BC158" t="str">
        <f ca="1">IF(AND(ISNUMBER($BC$367),$B$252=1),$BC$367,HLOOKUP(INDIRECT(ADDRESS(2,COLUMN())),OFFSET($CL$2,0,0,ROW()-1,84),ROW()-1,FALSE))</f>
        <v/>
      </c>
      <c r="BD158" t="str">
        <f ca="1">IF(AND(ISNUMBER($BD$367),$B$252=1),$BD$367,HLOOKUP(INDIRECT(ADDRESS(2,COLUMN())),OFFSET($CL$2,0,0,ROW()-1,84),ROW()-1,FALSE))</f>
        <v/>
      </c>
      <c r="BE158" t="str">
        <f ca="1">IF(AND(ISNUMBER($BE$367),$B$252=1),$BE$367,HLOOKUP(INDIRECT(ADDRESS(2,COLUMN())),OFFSET($CL$2,0,0,ROW()-1,84),ROW()-1,FALSE))</f>
        <v/>
      </c>
      <c r="BF158" t="str">
        <f ca="1">IF(AND(ISNUMBER($BF$367),$B$252=1),$BF$367,HLOOKUP(INDIRECT(ADDRESS(2,COLUMN())),OFFSET($CL$2,0,0,ROW()-1,84),ROW()-1,FALSE))</f>
        <v/>
      </c>
      <c r="BG158" t="str">
        <f ca="1">IF(AND(ISNUMBER($BG$367),$B$252=1),$BG$367,HLOOKUP(INDIRECT(ADDRESS(2,COLUMN())),OFFSET($CL$2,0,0,ROW()-1,84),ROW()-1,FALSE))</f>
        <v/>
      </c>
      <c r="BH158" t="str">
        <f ca="1">IF(AND(ISNUMBER($BH$367),$B$252=1),$BH$367,HLOOKUP(INDIRECT(ADDRESS(2,COLUMN())),OFFSET($CL$2,0,0,ROW()-1,84),ROW()-1,FALSE))</f>
        <v/>
      </c>
      <c r="BI158" t="str">
        <f ca="1">IF(AND(ISNUMBER($BI$367),$B$252=1),$BI$367,HLOOKUP(INDIRECT(ADDRESS(2,COLUMN())),OFFSET($CL$2,0,0,ROW()-1,84),ROW()-1,FALSE))</f>
        <v/>
      </c>
      <c r="BJ158" t="str">
        <f ca="1">IF(AND(ISNUMBER($BJ$367),$B$252=1),$BJ$367,HLOOKUP(INDIRECT(ADDRESS(2,COLUMN())),OFFSET($CL$2,0,0,ROW()-1,84),ROW()-1,FALSE))</f>
        <v/>
      </c>
      <c r="BK158" t="str">
        <f ca="1">IF(AND(ISNUMBER($BK$367),$B$252=1),$BK$367,HLOOKUP(INDIRECT(ADDRESS(2,COLUMN())),OFFSET($CL$2,0,0,ROW()-1,84),ROW()-1,FALSE))</f>
        <v/>
      </c>
      <c r="BL158" t="str">
        <f ca="1">IF(AND(ISNUMBER($BL$367),$B$252=1),$BL$367,HLOOKUP(INDIRECT(ADDRESS(2,COLUMN())),OFFSET($CL$2,0,0,ROW()-1,84),ROW()-1,FALSE))</f>
        <v/>
      </c>
      <c r="BM158" t="str">
        <f ca="1">IF(AND(ISNUMBER($BM$367),$B$252=1),$BM$367,HLOOKUP(INDIRECT(ADDRESS(2,COLUMN())),OFFSET($CL$2,0,0,ROW()-1,84),ROW()-1,FALSE))</f>
        <v/>
      </c>
      <c r="BN158" t="str">
        <f ca="1">IF(AND(ISNUMBER($BN$367),$B$252=1),$BN$367,HLOOKUP(INDIRECT(ADDRESS(2,COLUMN())),OFFSET($CL$2,0,0,ROW()-1,84),ROW()-1,FALSE))</f>
        <v/>
      </c>
      <c r="BO158" t="str">
        <f ca="1">IF(AND(ISNUMBER($BO$367),$B$252=1),$BO$367,HLOOKUP(INDIRECT(ADDRESS(2,COLUMN())),OFFSET($CL$2,0,0,ROW()-1,84),ROW()-1,FALSE))</f>
        <v/>
      </c>
      <c r="BP158" t="str">
        <f ca="1">IF(AND(ISNUMBER($BP$367),$B$252=1),$BP$367,HLOOKUP(INDIRECT(ADDRESS(2,COLUMN())),OFFSET($CL$2,0,0,ROW()-1,84),ROW()-1,FALSE))</f>
        <v/>
      </c>
      <c r="BQ158" t="str">
        <f ca="1">IF(AND(ISNUMBER($BQ$367),$B$252=1),$BQ$367,HLOOKUP(INDIRECT(ADDRESS(2,COLUMN())),OFFSET($CL$2,0,0,ROW()-1,84),ROW()-1,FALSE))</f>
        <v/>
      </c>
      <c r="BR158" t="str">
        <f ca="1">IF(AND(ISNUMBER($BR$367),$B$252=1),$BR$367,HLOOKUP(INDIRECT(ADDRESS(2,COLUMN())),OFFSET($CL$2,0,0,ROW()-1,84),ROW()-1,FALSE))</f>
        <v/>
      </c>
      <c r="BS158" t="str">
        <f ca="1">IF(AND(ISNUMBER($BS$367),$B$252=1),$BS$367,HLOOKUP(INDIRECT(ADDRESS(2,COLUMN())),OFFSET($CL$2,0,0,ROW()-1,84),ROW()-1,FALSE))</f>
        <v/>
      </c>
      <c r="BT158" t="str">
        <f ca="1">IF(AND(ISNUMBER($BT$367),$B$252=1),$BT$367,HLOOKUP(INDIRECT(ADDRESS(2,COLUMN())),OFFSET($CL$2,0,0,ROW()-1,84),ROW()-1,FALSE))</f>
        <v/>
      </c>
      <c r="BU158" t="str">
        <f ca="1">IF(AND(ISNUMBER($BU$367),$B$252=1),$BU$367,HLOOKUP(INDIRECT(ADDRESS(2,COLUMN())),OFFSET($CL$2,0,0,ROW()-1,84),ROW()-1,FALSE))</f>
        <v/>
      </c>
      <c r="BV158" t="str">
        <f ca="1">IF(AND(ISNUMBER($BV$367),$B$252=1),$BV$367,HLOOKUP(INDIRECT(ADDRESS(2,COLUMN())),OFFSET($CL$2,0,0,ROW()-1,84),ROW()-1,FALSE))</f>
        <v/>
      </c>
      <c r="BW158" t="str">
        <f ca="1">IF(AND(ISNUMBER($BW$367),$B$252=1),$BW$367,HLOOKUP(INDIRECT(ADDRESS(2,COLUMN())),OFFSET($CL$2,0,0,ROW()-1,84),ROW()-1,FALSE))</f>
        <v/>
      </c>
      <c r="BX158" t="str">
        <f ca="1">IF(AND(ISNUMBER($BX$367),$B$252=1),$BX$367,HLOOKUP(INDIRECT(ADDRESS(2,COLUMN())),OFFSET($CL$2,0,0,ROW()-1,84),ROW()-1,FALSE))</f>
        <v/>
      </c>
      <c r="BY158" t="str">
        <f ca="1">IF(AND(ISNUMBER($BY$367),$B$252=1),$BY$367,HLOOKUP(INDIRECT(ADDRESS(2,COLUMN())),OFFSET($CL$2,0,0,ROW()-1,84),ROW()-1,FALSE))</f>
        <v/>
      </c>
      <c r="BZ158" t="str">
        <f ca="1">IF(AND(ISNUMBER($BZ$367),$B$252=1),$BZ$367,HLOOKUP(INDIRECT(ADDRESS(2,COLUMN())),OFFSET($CL$2,0,0,ROW()-1,84),ROW()-1,FALSE))</f>
        <v/>
      </c>
      <c r="CA158" t="str">
        <f ca="1">IF(AND(ISNUMBER($CA$367),$B$252=1),$CA$367,HLOOKUP(INDIRECT(ADDRESS(2,COLUMN())),OFFSET($CL$2,0,0,ROW()-1,84),ROW()-1,FALSE))</f>
        <v/>
      </c>
      <c r="CB158" t="str">
        <f ca="1">IF(AND(ISNUMBER($CB$367),$B$252=1),$CB$367,HLOOKUP(INDIRECT(ADDRESS(2,COLUMN())),OFFSET($CL$2,0,0,ROW()-1,84),ROW()-1,FALSE))</f>
        <v/>
      </c>
      <c r="CC158" t="str">
        <f ca="1">IF(AND(ISNUMBER($CC$367),$B$252=1),$CC$367,HLOOKUP(INDIRECT(ADDRESS(2,COLUMN())),OFFSET($CL$2,0,0,ROW()-1,84),ROW()-1,FALSE))</f>
        <v/>
      </c>
      <c r="CD158" t="str">
        <f ca="1">IF(AND(ISNUMBER($CD$367),$B$252=1),$CD$367,HLOOKUP(INDIRECT(ADDRESS(2,COLUMN())),OFFSET($CL$2,0,0,ROW()-1,84),ROW()-1,FALSE))</f>
        <v/>
      </c>
      <c r="CE158" t="str">
        <f ca="1">IF(AND(ISNUMBER($CE$367),$B$252=1),$CE$367,HLOOKUP(INDIRECT(ADDRESS(2,COLUMN())),OFFSET($CL$2,0,0,ROW()-1,84),ROW()-1,FALSE))</f>
        <v/>
      </c>
      <c r="CF158" t="str">
        <f ca="1">IF(AND(ISNUMBER($CF$367),$B$252=1),$CF$367,HLOOKUP(INDIRECT(ADDRESS(2,COLUMN())),OFFSET($CL$2,0,0,ROW()-1,84),ROW()-1,FALSE))</f>
        <v/>
      </c>
      <c r="CG158" t="str">
        <f ca="1">IF(AND(ISNUMBER($CG$367),$B$252=1),$CG$367,HLOOKUP(INDIRECT(ADDRESS(2,COLUMN())),OFFSET($CL$2,0,0,ROW()-1,84),ROW()-1,FALSE))</f>
        <v/>
      </c>
      <c r="CH158" t="str">
        <f ca="1">IF(AND(ISNUMBER($CH$367),$B$252=1),$CH$367,HLOOKUP(INDIRECT(ADDRESS(2,COLUMN())),OFFSET($CL$2,0,0,ROW()-1,84),ROW()-1,FALSE))</f>
        <v/>
      </c>
      <c r="CI158" t="str">
        <f ca="1">IF(AND(ISNUMBER($CI$367),$B$252=1),$CI$367,HLOOKUP(INDIRECT(ADDRESS(2,COLUMN())),OFFSET($CL$2,0,0,ROW()-1,84),ROW()-1,FALSE))</f>
        <v/>
      </c>
      <c r="CJ158" t="str">
        <f ca="1">IF(AND(ISNUMBER($CJ$367),$B$252=1),$CJ$367,HLOOKUP(INDIRECT(ADDRESS(2,COLUMN())),OFFSET($CL$2,0,0,ROW()-1,84),ROW()-1,FALSE))</f>
        <v/>
      </c>
      <c r="CK158" t="str">
        <f ca="1">IF(AND(ISNUMBER($CK$367),$B$252=1),$CK$367,HLOOKUP(INDIRECT(ADDRESS(2,COLUMN())),OFFSET($CL$2,0,0,ROW()-1,84),ROW()-1,FALSE))</f>
        <v/>
      </c>
      <c r="CL158" t="str">
        <f>""</f>
        <v/>
      </c>
      <c r="CM158" t="str">
        <f>""</f>
        <v/>
      </c>
      <c r="CN158">
        <f>5.371</f>
        <v>5.3710000000000004</v>
      </c>
      <c r="CO158">
        <f>5.306</f>
        <v>5.306</v>
      </c>
      <c r="CP158">
        <f>5.388</f>
        <v>5.3879999999999999</v>
      </c>
      <c r="CQ158">
        <f>5.322</f>
        <v>5.3220000000000001</v>
      </c>
      <c r="CR158">
        <f>5.393</f>
        <v>5.3929999999999998</v>
      </c>
      <c r="CS158">
        <f>5.333</f>
        <v>5.3330000000000002</v>
      </c>
      <c r="CT158">
        <f>5.34</f>
        <v>5.34</v>
      </c>
      <c r="CU158">
        <f>5.339</f>
        <v>5.3390000000000004</v>
      </c>
      <c r="CV158">
        <f>5.338</f>
        <v>5.3380000000000001</v>
      </c>
      <c r="CW158">
        <f>5.265</f>
        <v>5.2649999999999997</v>
      </c>
      <c r="CX158">
        <f>5.245</f>
        <v>5.2450000000000001</v>
      </c>
      <c r="CY158">
        <f>5.256</f>
        <v>5.2560000000000002</v>
      </c>
      <c r="CZ158">
        <f>5.313</f>
        <v>5.3129999999999997</v>
      </c>
      <c r="DA158">
        <f>5.301</f>
        <v>5.3010000000000002</v>
      </c>
      <c r="DB158">
        <f>5.413</f>
        <v>5.4130000000000003</v>
      </c>
      <c r="DC158">
        <f>5.432</f>
        <v>5.4320000000000004</v>
      </c>
      <c r="DD158">
        <f>5.379</f>
        <v>5.3789999999999996</v>
      </c>
      <c r="DE158">
        <f>5.374</f>
        <v>5.3739999999999997</v>
      </c>
      <c r="DF158">
        <f>5.54</f>
        <v>5.54</v>
      </c>
      <c r="DG158">
        <f>5.521</f>
        <v>5.5209999999999999</v>
      </c>
      <c r="DH158">
        <f>5.52</f>
        <v>5.52</v>
      </c>
      <c r="DI158">
        <f>5.499</f>
        <v>5.4989999999999997</v>
      </c>
      <c r="DJ158">
        <f>5.482</f>
        <v>5.4820000000000002</v>
      </c>
      <c r="DK158">
        <f>5.466</f>
        <v>5.4660000000000002</v>
      </c>
      <c r="DL158">
        <f>5.498</f>
        <v>5.4980000000000002</v>
      </c>
      <c r="DM158">
        <f>5.514</f>
        <v>5.5140000000000002</v>
      </c>
      <c r="DN158">
        <f>5.534</f>
        <v>5.5339999999999998</v>
      </c>
      <c r="DO158">
        <f>5.603</f>
        <v>5.6029999999999998</v>
      </c>
      <c r="DP158">
        <f>5.44</f>
        <v>5.44</v>
      </c>
      <c r="DQ158">
        <f>5.44</f>
        <v>5.44</v>
      </c>
      <c r="DR158">
        <f>5.44</f>
        <v>5.44</v>
      </c>
      <c r="DS158">
        <f>5.46</f>
        <v>5.46</v>
      </c>
      <c r="DT158">
        <f>5.46</f>
        <v>5.46</v>
      </c>
      <c r="DU158">
        <f>5.26</f>
        <v>5.26</v>
      </c>
      <c r="DV158" t="str">
        <f>""</f>
        <v/>
      </c>
      <c r="DW158" t="str">
        <f>""</f>
        <v/>
      </c>
      <c r="DX158" t="str">
        <f>""</f>
        <v/>
      </c>
      <c r="DY158" t="str">
        <f>""</f>
        <v/>
      </c>
      <c r="DZ158" t="str">
        <f>""</f>
        <v/>
      </c>
      <c r="EA158" t="str">
        <f>""</f>
        <v/>
      </c>
      <c r="EB158" t="str">
        <f>""</f>
        <v/>
      </c>
      <c r="EC158" t="str">
        <f>""</f>
        <v/>
      </c>
      <c r="ED158" t="str">
        <f>""</f>
        <v/>
      </c>
      <c r="EE158" t="str">
        <f>""</f>
        <v/>
      </c>
      <c r="EF158" t="str">
        <f>""</f>
        <v/>
      </c>
      <c r="EG158" t="str">
        <f>""</f>
        <v/>
      </c>
      <c r="EH158" t="str">
        <f>""</f>
        <v/>
      </c>
      <c r="EI158" t="str">
        <f>""</f>
        <v/>
      </c>
      <c r="EJ158" t="str">
        <f>""</f>
        <v/>
      </c>
      <c r="EK158" t="str">
        <f>""</f>
        <v/>
      </c>
      <c r="EL158" t="str">
        <f>""</f>
        <v/>
      </c>
      <c r="EM158" t="str">
        <f>""</f>
        <v/>
      </c>
      <c r="EN158" t="str">
        <f>""</f>
        <v/>
      </c>
      <c r="EO158" t="str">
        <f>""</f>
        <v/>
      </c>
      <c r="EP158" t="str">
        <f>""</f>
        <v/>
      </c>
      <c r="EQ158" t="str">
        <f>""</f>
        <v/>
      </c>
      <c r="ER158" t="str">
        <f>""</f>
        <v/>
      </c>
      <c r="ES158" t="str">
        <f>""</f>
        <v/>
      </c>
      <c r="ET158" t="str">
        <f>""</f>
        <v/>
      </c>
      <c r="EU158" t="str">
        <f>""</f>
        <v/>
      </c>
      <c r="EV158" t="str">
        <f>""</f>
        <v/>
      </c>
      <c r="EW158" t="str">
        <f>""</f>
        <v/>
      </c>
      <c r="EX158" t="str">
        <f>""</f>
        <v/>
      </c>
      <c r="EY158" t="str">
        <f>""</f>
        <v/>
      </c>
      <c r="EZ158" t="str">
        <f>""</f>
        <v/>
      </c>
      <c r="FA158" t="str">
        <f>""</f>
        <v/>
      </c>
      <c r="FB158" t="str">
        <f>""</f>
        <v/>
      </c>
      <c r="FC158" t="str">
        <f>""</f>
        <v/>
      </c>
      <c r="FD158" t="str">
        <f>""</f>
        <v/>
      </c>
      <c r="FE158" t="str">
        <f>""</f>
        <v/>
      </c>
      <c r="FF158" t="str">
        <f>""</f>
        <v/>
      </c>
      <c r="FG158" t="str">
        <f>""</f>
        <v/>
      </c>
      <c r="FH158" t="str">
        <f>""</f>
        <v/>
      </c>
      <c r="FI158" t="str">
        <f>""</f>
        <v/>
      </c>
      <c r="FJ158" t="str">
        <f>""</f>
        <v/>
      </c>
      <c r="FK158" t="str">
        <f>""</f>
        <v/>
      </c>
      <c r="FL158" t="str">
        <f>""</f>
        <v/>
      </c>
      <c r="FM158" t="str">
        <f>""</f>
        <v/>
      </c>
      <c r="FN158" t="str">
        <f>""</f>
        <v/>
      </c>
      <c r="FO158" t="str">
        <f>""</f>
        <v/>
      </c>
      <c r="FP158" t="str">
        <f>""</f>
        <v/>
      </c>
      <c r="FQ158" t="str">
        <f>""</f>
        <v/>
      </c>
    </row>
    <row r="159" spans="1:173">
      <c r="A159" t="str">
        <f>"    Monogram Residential Trust Inc"</f>
        <v xml:space="preserve">    Monogram Residential Trust Inc</v>
      </c>
      <c r="B159" t="str">
        <f>"MORE US Equity"</f>
        <v>MORE US Equity</v>
      </c>
      <c r="C159" t="str">
        <f t="shared" si="48"/>
        <v>BE895</v>
      </c>
      <c r="D159" t="str">
        <f t="shared" si="49"/>
        <v>BEST_AFFOPS</v>
      </c>
      <c r="E159" t="str">
        <f t="shared" si="50"/>
        <v>动态</v>
      </c>
      <c r="F159" t="str">
        <f ca="1">IF(AND(ISNUMBER($F$368),$B$252=1),$F$368,HLOOKUP(INDIRECT(ADDRESS(2,COLUMN())),OFFSET($CL$2,0,0,ROW()-1,84),ROW()-1,FALSE))</f>
        <v/>
      </c>
      <c r="G159" t="str">
        <f ca="1">IF(AND(ISNUMBER($G$368),$B$252=1),$G$368,HLOOKUP(INDIRECT(ADDRESS(2,COLUMN())),OFFSET($CL$2,0,0,ROW()-1,84),ROW()-1,FALSE))</f>
        <v/>
      </c>
      <c r="H159" t="str">
        <f ca="1">IF(AND(ISNUMBER($H$368),$B$252=1),$H$368,HLOOKUP(INDIRECT(ADDRESS(2,COLUMN())),OFFSET($CL$2,0,0,ROW()-1,84),ROW()-1,FALSE))</f>
        <v/>
      </c>
      <c r="I159" t="str">
        <f ca="1">IF(AND(ISNUMBER($I$368),$B$252=1),$I$368,HLOOKUP(INDIRECT(ADDRESS(2,COLUMN())),OFFSET($CL$2,0,0,ROW()-1,84),ROW()-1,FALSE))</f>
        <v/>
      </c>
      <c r="J159" t="str">
        <f ca="1">IF(AND(ISNUMBER($J$368),$B$252=1),$J$368,HLOOKUP(INDIRECT(ADDRESS(2,COLUMN())),OFFSET($CL$2,0,0,ROW()-1,84),ROW()-1,FALSE))</f>
        <v/>
      </c>
      <c r="K159" t="str">
        <f ca="1">IF(AND(ISNUMBER($K$368),$B$252=1),$K$368,HLOOKUP(INDIRECT(ADDRESS(2,COLUMN())),OFFSET($CL$2,0,0,ROW()-1,84),ROW()-1,FALSE))</f>
        <v/>
      </c>
      <c r="L159">
        <f ca="1">IF(AND(ISNUMBER($L$368),$B$252=1),$L$368,HLOOKUP(INDIRECT(ADDRESS(2,COLUMN())),OFFSET($CL$2,0,0,ROW()-1,84),ROW()-1,FALSE))</f>
        <v>0.41</v>
      </c>
      <c r="M159">
        <f ca="1">IF(AND(ISNUMBER($M$368),$B$252=1),$M$368,HLOOKUP(INDIRECT(ADDRESS(2,COLUMN())),OFFSET($CL$2,0,0,ROW()-1,84),ROW()-1,FALSE))</f>
        <v>0.41499999999999998</v>
      </c>
      <c r="N159">
        <f ca="1">IF(AND(ISNUMBER($N$368),$B$252=1),$N$368,HLOOKUP(INDIRECT(ADDRESS(2,COLUMN())),OFFSET($CL$2,0,0,ROW()-1,84),ROW()-1,FALSE))</f>
        <v>0.40799999999999997</v>
      </c>
      <c r="O159">
        <f ca="1">IF(AND(ISNUMBER($O$368),$B$252=1),$O$368,HLOOKUP(INDIRECT(ADDRESS(2,COLUMN())),OFFSET($CL$2,0,0,ROW()-1,84),ROW()-1,FALSE))</f>
        <v>0.41</v>
      </c>
      <c r="P159">
        <f ca="1">IF(AND(ISNUMBER($P$368),$B$252=1),$P$368,HLOOKUP(INDIRECT(ADDRESS(2,COLUMN())),OFFSET($CL$2,0,0,ROW()-1,84),ROW()-1,FALSE))</f>
        <v>0.41</v>
      </c>
      <c r="Q159">
        <f ca="1">IF(AND(ISNUMBER($Q$368),$B$252=1),$Q$368,HLOOKUP(INDIRECT(ADDRESS(2,COLUMN())),OFFSET($CL$2,0,0,ROW()-1,84),ROW()-1,FALSE))</f>
        <v>0.40699999999999997</v>
      </c>
      <c r="R159">
        <f ca="1">IF(AND(ISNUMBER($R$368),$B$252=1),$R$368,HLOOKUP(INDIRECT(ADDRESS(2,COLUMN())),OFFSET($CL$2,0,0,ROW()-1,84),ROW()-1,FALSE))</f>
        <v>0.40699999999999997</v>
      </c>
      <c r="S159">
        <f ca="1">IF(AND(ISNUMBER($S$368),$B$252=1),$S$368,HLOOKUP(INDIRECT(ADDRESS(2,COLUMN())),OFFSET($CL$2,0,0,ROW()-1,84),ROW()-1,FALSE))</f>
        <v>0.4</v>
      </c>
      <c r="T159">
        <f ca="1">IF(AND(ISNUMBER($T$368),$B$252=1),$T$368,HLOOKUP(INDIRECT(ADDRESS(2,COLUMN())),OFFSET($CL$2,0,0,ROW()-1,84),ROW()-1,FALSE))</f>
        <v>0.41699999999999998</v>
      </c>
      <c r="U159">
        <f ca="1">IF(AND(ISNUMBER($U$368),$B$252=1),$U$368,HLOOKUP(INDIRECT(ADDRESS(2,COLUMN())),OFFSET($CL$2,0,0,ROW()-1,84),ROW()-1,FALSE))</f>
        <v>0.433</v>
      </c>
      <c r="V159">
        <f ca="1">IF(AND(ISNUMBER($V$368),$B$252=1),$V$368,HLOOKUP(INDIRECT(ADDRESS(2,COLUMN())),OFFSET($CL$2,0,0,ROW()-1,84),ROW()-1,FALSE))</f>
        <v>0.43</v>
      </c>
      <c r="W159">
        <f ca="1">IF(AND(ISNUMBER($W$368),$B$252=1),$W$368,HLOOKUP(INDIRECT(ADDRESS(2,COLUMN())),OFFSET($CL$2,0,0,ROW()-1,84),ROW()-1,FALSE))</f>
        <v>0.44</v>
      </c>
      <c r="X159">
        <f ca="1">IF(AND(ISNUMBER($X$368),$B$252=1),$X$368,HLOOKUP(INDIRECT(ADDRESS(2,COLUMN())),OFFSET($CL$2,0,0,ROW()-1,84),ROW()-1,FALSE))</f>
        <v>0.45</v>
      </c>
      <c r="Y159">
        <f ca="1">IF(AND(ISNUMBER($Y$368),$B$252=1),$Y$368,HLOOKUP(INDIRECT(ADDRESS(2,COLUMN())),OFFSET($CL$2,0,0,ROW()-1,84),ROW()-1,FALSE))</f>
        <v>0.45</v>
      </c>
      <c r="Z159">
        <f ca="1">IF(AND(ISNUMBER($Z$368),$B$252=1),$Z$368,HLOOKUP(INDIRECT(ADDRESS(2,COLUMN())),OFFSET($CL$2,0,0,ROW()-1,84),ROW()-1,FALSE))</f>
        <v>0.48</v>
      </c>
      <c r="AA159">
        <f ca="1">IF(AND(ISNUMBER($AA$368),$B$252=1),$AA$368,HLOOKUP(INDIRECT(ADDRESS(2,COLUMN())),OFFSET($CL$2,0,0,ROW()-1,84),ROW()-1,FALSE))</f>
        <v>0.49</v>
      </c>
      <c r="AB159">
        <f ca="1">IF(AND(ISNUMBER($AB$368),$B$252=1),$AB$368,HLOOKUP(INDIRECT(ADDRESS(2,COLUMN())),OFFSET($CL$2,0,0,ROW()-1,84),ROW()-1,FALSE))</f>
        <v>0.44</v>
      </c>
      <c r="AC159" t="str">
        <f ca="1">IF(AND(ISNUMBER($AC$368),$B$252=1),$AC$368,HLOOKUP(INDIRECT(ADDRESS(2,COLUMN())),OFFSET($CL$2,0,0,ROW()-1,84),ROW()-1,FALSE))</f>
        <v/>
      </c>
      <c r="AD159" t="str">
        <f ca="1">IF(AND(ISNUMBER($AD$368),$B$252=1),$AD$368,HLOOKUP(INDIRECT(ADDRESS(2,COLUMN())),OFFSET($CL$2,0,0,ROW()-1,84),ROW()-1,FALSE))</f>
        <v/>
      </c>
      <c r="AE159">
        <f ca="1">IF(AND(ISNUMBER($AE$368),$B$252=1),$AE$368,HLOOKUP(INDIRECT(ADDRESS(2,COLUMN())),OFFSET($CL$2,0,0,ROW()-1,84),ROW()-1,FALSE))</f>
        <v>0.56000000000000005</v>
      </c>
      <c r="AF159">
        <f ca="1">IF(AND(ISNUMBER($AF$368),$B$252=1),$AF$368,HLOOKUP(INDIRECT(ADDRESS(2,COLUMN())),OFFSET($CL$2,0,0,ROW()-1,84),ROW()-1,FALSE))</f>
        <v>0.54</v>
      </c>
      <c r="AG159">
        <f ca="1">IF(AND(ISNUMBER($AG$368),$B$252=1),$AG$368,HLOOKUP(INDIRECT(ADDRESS(2,COLUMN())),OFFSET($CL$2,0,0,ROW()-1,84),ROW()-1,FALSE))</f>
        <v>0.54</v>
      </c>
      <c r="AH159" t="str">
        <f ca="1">IF(AND(ISNUMBER($AH$368),$B$252=1),$AH$368,HLOOKUP(INDIRECT(ADDRESS(2,COLUMN())),OFFSET($CL$2,0,0,ROW()-1,84),ROW()-1,FALSE))</f>
        <v/>
      </c>
      <c r="AI159" t="str">
        <f ca="1">IF(AND(ISNUMBER($AI$368),$B$252=1),$AI$368,HLOOKUP(INDIRECT(ADDRESS(2,COLUMN())),OFFSET($CL$2,0,0,ROW()-1,84),ROW()-1,FALSE))</f>
        <v/>
      </c>
      <c r="AJ159" t="str">
        <f ca="1">IF(AND(ISNUMBER($AJ$368),$B$252=1),$AJ$368,HLOOKUP(INDIRECT(ADDRESS(2,COLUMN())),OFFSET($CL$2,0,0,ROW()-1,84),ROW()-1,FALSE))</f>
        <v/>
      </c>
      <c r="AK159" t="str">
        <f ca="1">IF(AND(ISNUMBER($AK$368),$B$252=1),$AK$368,HLOOKUP(INDIRECT(ADDRESS(2,COLUMN())),OFFSET($CL$2,0,0,ROW()-1,84),ROW()-1,FALSE))</f>
        <v/>
      </c>
      <c r="AL159" t="str">
        <f ca="1">IF(AND(ISNUMBER($AL$368),$B$252=1),$AL$368,HLOOKUP(INDIRECT(ADDRESS(2,COLUMN())),OFFSET($CL$2,0,0,ROW()-1,84),ROW()-1,FALSE))</f>
        <v/>
      </c>
      <c r="AM159" t="str">
        <f ca="1">IF(AND(ISNUMBER($AM$368),$B$252=1),$AM$368,HLOOKUP(INDIRECT(ADDRESS(2,COLUMN())),OFFSET($CL$2,0,0,ROW()-1,84),ROW()-1,FALSE))</f>
        <v/>
      </c>
      <c r="AN159" t="str">
        <f ca="1">IF(AND(ISNUMBER($AN$368),$B$252=1),$AN$368,HLOOKUP(INDIRECT(ADDRESS(2,COLUMN())),OFFSET($CL$2,0,0,ROW()-1,84),ROW()-1,FALSE))</f>
        <v/>
      </c>
      <c r="AO159" t="str">
        <f ca="1">IF(AND(ISNUMBER($AO$368),$B$252=1),$AO$368,HLOOKUP(INDIRECT(ADDRESS(2,COLUMN())),OFFSET($CL$2,0,0,ROW()-1,84),ROW()-1,FALSE))</f>
        <v/>
      </c>
      <c r="AP159" t="str">
        <f ca="1">IF(AND(ISNUMBER($AP$368),$B$252=1),$AP$368,HLOOKUP(INDIRECT(ADDRESS(2,COLUMN())),OFFSET($CL$2,0,0,ROW()-1,84),ROW()-1,FALSE))</f>
        <v/>
      </c>
      <c r="AQ159" t="str">
        <f ca="1">IF(AND(ISNUMBER($AQ$368),$B$252=1),$AQ$368,HLOOKUP(INDIRECT(ADDRESS(2,COLUMN())),OFFSET($CL$2,0,0,ROW()-1,84),ROW()-1,FALSE))</f>
        <v/>
      </c>
      <c r="AR159" t="str">
        <f ca="1">IF(AND(ISNUMBER($AR$368),$B$252=1),$AR$368,HLOOKUP(INDIRECT(ADDRESS(2,COLUMN())),OFFSET($CL$2,0,0,ROW()-1,84),ROW()-1,FALSE))</f>
        <v/>
      </c>
      <c r="AS159" t="str">
        <f ca="1">IF(AND(ISNUMBER($AS$368),$B$252=1),$AS$368,HLOOKUP(INDIRECT(ADDRESS(2,COLUMN())),OFFSET($CL$2,0,0,ROW()-1,84),ROW()-1,FALSE))</f>
        <v/>
      </c>
      <c r="AT159" t="str">
        <f ca="1">IF(AND(ISNUMBER($AT$368),$B$252=1),$AT$368,HLOOKUP(INDIRECT(ADDRESS(2,COLUMN())),OFFSET($CL$2,0,0,ROW()-1,84),ROW()-1,FALSE))</f>
        <v/>
      </c>
      <c r="AU159" t="str">
        <f ca="1">IF(AND(ISNUMBER($AU$368),$B$252=1),$AU$368,HLOOKUP(INDIRECT(ADDRESS(2,COLUMN())),OFFSET($CL$2,0,0,ROW()-1,84),ROW()-1,FALSE))</f>
        <v/>
      </c>
      <c r="AV159" t="str">
        <f ca="1">IF(AND(ISNUMBER($AV$368),$B$252=1),$AV$368,HLOOKUP(INDIRECT(ADDRESS(2,COLUMN())),OFFSET($CL$2,0,0,ROW()-1,84),ROW()-1,FALSE))</f>
        <v/>
      </c>
      <c r="AW159" t="str">
        <f ca="1">IF(AND(ISNUMBER($AW$368),$B$252=1),$AW$368,HLOOKUP(INDIRECT(ADDRESS(2,COLUMN())),OFFSET($CL$2,0,0,ROW()-1,84),ROW()-1,FALSE))</f>
        <v/>
      </c>
      <c r="AX159" t="str">
        <f ca="1">IF(AND(ISNUMBER($AX$368),$B$252=1),$AX$368,HLOOKUP(INDIRECT(ADDRESS(2,COLUMN())),OFFSET($CL$2,0,0,ROW()-1,84),ROW()-1,FALSE))</f>
        <v/>
      </c>
      <c r="AY159" t="str">
        <f ca="1">IF(AND(ISNUMBER($AY$368),$B$252=1),$AY$368,HLOOKUP(INDIRECT(ADDRESS(2,COLUMN())),OFFSET($CL$2,0,0,ROW()-1,84),ROW()-1,FALSE))</f>
        <v/>
      </c>
      <c r="AZ159" t="str">
        <f ca="1">IF(AND(ISNUMBER($AZ$368),$B$252=1),$AZ$368,HLOOKUP(INDIRECT(ADDRESS(2,COLUMN())),OFFSET($CL$2,0,0,ROW()-1,84),ROW()-1,FALSE))</f>
        <v/>
      </c>
      <c r="BA159" t="str">
        <f ca="1">IF(AND(ISNUMBER($BA$368),$B$252=1),$BA$368,HLOOKUP(INDIRECT(ADDRESS(2,COLUMN())),OFFSET($CL$2,0,0,ROW()-1,84),ROW()-1,FALSE))</f>
        <v/>
      </c>
      <c r="BB159" t="str">
        <f ca="1">IF(AND(ISNUMBER($BB$368),$B$252=1),$BB$368,HLOOKUP(INDIRECT(ADDRESS(2,COLUMN())),OFFSET($CL$2,0,0,ROW()-1,84),ROW()-1,FALSE))</f>
        <v/>
      </c>
      <c r="BC159" t="str">
        <f ca="1">IF(AND(ISNUMBER($BC$368),$B$252=1),$BC$368,HLOOKUP(INDIRECT(ADDRESS(2,COLUMN())),OFFSET($CL$2,0,0,ROW()-1,84),ROW()-1,FALSE))</f>
        <v/>
      </c>
      <c r="BD159" t="str">
        <f ca="1">IF(AND(ISNUMBER($BD$368),$B$252=1),$BD$368,HLOOKUP(INDIRECT(ADDRESS(2,COLUMN())),OFFSET($CL$2,0,0,ROW()-1,84),ROW()-1,FALSE))</f>
        <v/>
      </c>
      <c r="BE159" t="str">
        <f ca="1">IF(AND(ISNUMBER($BE$368),$B$252=1),$BE$368,HLOOKUP(INDIRECT(ADDRESS(2,COLUMN())),OFFSET($CL$2,0,0,ROW()-1,84),ROW()-1,FALSE))</f>
        <v/>
      </c>
      <c r="BF159" t="str">
        <f ca="1">IF(AND(ISNUMBER($BF$368),$B$252=1),$BF$368,HLOOKUP(INDIRECT(ADDRESS(2,COLUMN())),OFFSET($CL$2,0,0,ROW()-1,84),ROW()-1,FALSE))</f>
        <v/>
      </c>
      <c r="BG159" t="str">
        <f ca="1">IF(AND(ISNUMBER($BG$368),$B$252=1),$BG$368,HLOOKUP(INDIRECT(ADDRESS(2,COLUMN())),OFFSET($CL$2,0,0,ROW()-1,84),ROW()-1,FALSE))</f>
        <v/>
      </c>
      <c r="BH159" t="str">
        <f ca="1">IF(AND(ISNUMBER($BH$368),$B$252=1),$BH$368,HLOOKUP(INDIRECT(ADDRESS(2,COLUMN())),OFFSET($CL$2,0,0,ROW()-1,84),ROW()-1,FALSE))</f>
        <v/>
      </c>
      <c r="BI159" t="str">
        <f ca="1">IF(AND(ISNUMBER($BI$368),$B$252=1),$BI$368,HLOOKUP(INDIRECT(ADDRESS(2,COLUMN())),OFFSET($CL$2,0,0,ROW()-1,84),ROW()-1,FALSE))</f>
        <v/>
      </c>
      <c r="BJ159" t="str">
        <f ca="1">IF(AND(ISNUMBER($BJ$368),$B$252=1),$BJ$368,HLOOKUP(INDIRECT(ADDRESS(2,COLUMN())),OFFSET($CL$2,0,0,ROW()-1,84),ROW()-1,FALSE))</f>
        <v/>
      </c>
      <c r="BK159" t="str">
        <f ca="1">IF(AND(ISNUMBER($BK$368),$B$252=1),$BK$368,HLOOKUP(INDIRECT(ADDRESS(2,COLUMN())),OFFSET($CL$2,0,0,ROW()-1,84),ROW()-1,FALSE))</f>
        <v/>
      </c>
      <c r="BL159" t="str">
        <f ca="1">IF(AND(ISNUMBER($BL$368),$B$252=1),$BL$368,HLOOKUP(INDIRECT(ADDRESS(2,COLUMN())),OFFSET($CL$2,0,0,ROW()-1,84),ROW()-1,FALSE))</f>
        <v/>
      </c>
      <c r="BM159" t="str">
        <f ca="1">IF(AND(ISNUMBER($BM$368),$B$252=1),$BM$368,HLOOKUP(INDIRECT(ADDRESS(2,COLUMN())),OFFSET($CL$2,0,0,ROW()-1,84),ROW()-1,FALSE))</f>
        <v/>
      </c>
      <c r="BN159" t="str">
        <f ca="1">IF(AND(ISNUMBER($BN$368),$B$252=1),$BN$368,HLOOKUP(INDIRECT(ADDRESS(2,COLUMN())),OFFSET($CL$2,0,0,ROW()-1,84),ROW()-1,FALSE))</f>
        <v/>
      </c>
      <c r="BO159" t="str">
        <f ca="1">IF(AND(ISNUMBER($BO$368),$B$252=1),$BO$368,HLOOKUP(INDIRECT(ADDRESS(2,COLUMN())),OFFSET($CL$2,0,0,ROW()-1,84),ROW()-1,FALSE))</f>
        <v/>
      </c>
      <c r="BP159" t="str">
        <f ca="1">IF(AND(ISNUMBER($BP$368),$B$252=1),$BP$368,HLOOKUP(INDIRECT(ADDRESS(2,COLUMN())),OFFSET($CL$2,0,0,ROW()-1,84),ROW()-1,FALSE))</f>
        <v/>
      </c>
      <c r="BQ159" t="str">
        <f ca="1">IF(AND(ISNUMBER($BQ$368),$B$252=1),$BQ$368,HLOOKUP(INDIRECT(ADDRESS(2,COLUMN())),OFFSET($CL$2,0,0,ROW()-1,84),ROW()-1,FALSE))</f>
        <v/>
      </c>
      <c r="BR159" t="str">
        <f ca="1">IF(AND(ISNUMBER($BR$368),$B$252=1),$BR$368,HLOOKUP(INDIRECT(ADDRESS(2,COLUMN())),OFFSET($CL$2,0,0,ROW()-1,84),ROW()-1,FALSE))</f>
        <v/>
      </c>
      <c r="BS159" t="str">
        <f ca="1">IF(AND(ISNUMBER($BS$368),$B$252=1),$BS$368,HLOOKUP(INDIRECT(ADDRESS(2,COLUMN())),OFFSET($CL$2,0,0,ROW()-1,84),ROW()-1,FALSE))</f>
        <v/>
      </c>
      <c r="BT159" t="str">
        <f ca="1">IF(AND(ISNUMBER($BT$368),$B$252=1),$BT$368,HLOOKUP(INDIRECT(ADDRESS(2,COLUMN())),OFFSET($CL$2,0,0,ROW()-1,84),ROW()-1,FALSE))</f>
        <v/>
      </c>
      <c r="BU159" t="str">
        <f ca="1">IF(AND(ISNUMBER($BU$368),$B$252=1),$BU$368,HLOOKUP(INDIRECT(ADDRESS(2,COLUMN())),OFFSET($CL$2,0,0,ROW()-1,84),ROW()-1,FALSE))</f>
        <v/>
      </c>
      <c r="BV159" t="str">
        <f ca="1">IF(AND(ISNUMBER($BV$368),$B$252=1),$BV$368,HLOOKUP(INDIRECT(ADDRESS(2,COLUMN())),OFFSET($CL$2,0,0,ROW()-1,84),ROW()-1,FALSE))</f>
        <v/>
      </c>
      <c r="BW159" t="str">
        <f ca="1">IF(AND(ISNUMBER($BW$368),$B$252=1),$BW$368,HLOOKUP(INDIRECT(ADDRESS(2,COLUMN())),OFFSET($CL$2,0,0,ROW()-1,84),ROW()-1,FALSE))</f>
        <v/>
      </c>
      <c r="BX159" t="str">
        <f ca="1">IF(AND(ISNUMBER($BX$368),$B$252=1),$BX$368,HLOOKUP(INDIRECT(ADDRESS(2,COLUMN())),OFFSET($CL$2,0,0,ROW()-1,84),ROW()-1,FALSE))</f>
        <v/>
      </c>
      <c r="BY159" t="str">
        <f ca="1">IF(AND(ISNUMBER($BY$368),$B$252=1),$BY$368,HLOOKUP(INDIRECT(ADDRESS(2,COLUMN())),OFFSET($CL$2,0,0,ROW()-1,84),ROW()-1,FALSE))</f>
        <v/>
      </c>
      <c r="BZ159" t="str">
        <f ca="1">IF(AND(ISNUMBER($BZ$368),$B$252=1),$BZ$368,HLOOKUP(INDIRECT(ADDRESS(2,COLUMN())),OFFSET($CL$2,0,0,ROW()-1,84),ROW()-1,FALSE))</f>
        <v/>
      </c>
      <c r="CA159" t="str">
        <f ca="1">IF(AND(ISNUMBER($CA$368),$B$252=1),$CA$368,HLOOKUP(INDIRECT(ADDRESS(2,COLUMN())),OFFSET($CL$2,0,0,ROW()-1,84),ROW()-1,FALSE))</f>
        <v/>
      </c>
      <c r="CB159" t="str">
        <f ca="1">IF(AND(ISNUMBER($CB$368),$B$252=1),$CB$368,HLOOKUP(INDIRECT(ADDRESS(2,COLUMN())),OFFSET($CL$2,0,0,ROW()-1,84),ROW()-1,FALSE))</f>
        <v/>
      </c>
      <c r="CC159" t="str">
        <f ca="1">IF(AND(ISNUMBER($CC$368),$B$252=1),$CC$368,HLOOKUP(INDIRECT(ADDRESS(2,COLUMN())),OFFSET($CL$2,0,0,ROW()-1,84),ROW()-1,FALSE))</f>
        <v/>
      </c>
      <c r="CD159" t="str">
        <f ca="1">IF(AND(ISNUMBER($CD$368),$B$252=1),$CD$368,HLOOKUP(INDIRECT(ADDRESS(2,COLUMN())),OFFSET($CL$2,0,0,ROW()-1,84),ROW()-1,FALSE))</f>
        <v/>
      </c>
      <c r="CE159" t="str">
        <f ca="1">IF(AND(ISNUMBER($CE$368),$B$252=1),$CE$368,HLOOKUP(INDIRECT(ADDRESS(2,COLUMN())),OFFSET($CL$2,0,0,ROW()-1,84),ROW()-1,FALSE))</f>
        <v/>
      </c>
      <c r="CF159" t="str">
        <f ca="1">IF(AND(ISNUMBER($CF$368),$B$252=1),$CF$368,HLOOKUP(INDIRECT(ADDRESS(2,COLUMN())),OFFSET($CL$2,0,0,ROW()-1,84),ROW()-1,FALSE))</f>
        <v/>
      </c>
      <c r="CG159" t="str">
        <f ca="1">IF(AND(ISNUMBER($CG$368),$B$252=1),$CG$368,HLOOKUP(INDIRECT(ADDRESS(2,COLUMN())),OFFSET($CL$2,0,0,ROW()-1,84),ROW()-1,FALSE))</f>
        <v/>
      </c>
      <c r="CH159" t="str">
        <f ca="1">IF(AND(ISNUMBER($CH$368),$B$252=1),$CH$368,HLOOKUP(INDIRECT(ADDRESS(2,COLUMN())),OFFSET($CL$2,0,0,ROW()-1,84),ROW()-1,FALSE))</f>
        <v/>
      </c>
      <c r="CI159" t="str">
        <f ca="1">IF(AND(ISNUMBER($CI$368),$B$252=1),$CI$368,HLOOKUP(INDIRECT(ADDRESS(2,COLUMN())),OFFSET($CL$2,0,0,ROW()-1,84),ROW()-1,FALSE))</f>
        <v/>
      </c>
      <c r="CJ159" t="str">
        <f ca="1">IF(AND(ISNUMBER($CJ$368),$B$252=1),$CJ$368,HLOOKUP(INDIRECT(ADDRESS(2,COLUMN())),OFFSET($CL$2,0,0,ROW()-1,84),ROW()-1,FALSE))</f>
        <v/>
      </c>
      <c r="CK159" t="str">
        <f ca="1">IF(AND(ISNUMBER($CK$368),$B$252=1),$CK$368,HLOOKUP(INDIRECT(ADDRESS(2,COLUMN())),OFFSET($CL$2,0,0,ROW()-1,84),ROW()-1,FALSE))</f>
        <v/>
      </c>
      <c r="CL159" t="str">
        <f>""</f>
        <v/>
      </c>
      <c r="CM159" t="str">
        <f>""</f>
        <v/>
      </c>
      <c r="CN159" t="str">
        <f>""</f>
        <v/>
      </c>
      <c r="CO159" t="str">
        <f>""</f>
        <v/>
      </c>
      <c r="CP159" t="str">
        <f>""</f>
        <v/>
      </c>
      <c r="CQ159" t="str">
        <f>""</f>
        <v/>
      </c>
      <c r="CR159">
        <f>0.41</f>
        <v>0.41</v>
      </c>
      <c r="CS159">
        <f>0.415</f>
        <v>0.41499999999999998</v>
      </c>
      <c r="CT159">
        <f>0.408</f>
        <v>0.40799999999999997</v>
      </c>
      <c r="CU159">
        <f>0.41</f>
        <v>0.41</v>
      </c>
      <c r="CV159">
        <f>0.41</f>
        <v>0.41</v>
      </c>
      <c r="CW159">
        <f>0.407</f>
        <v>0.40699999999999997</v>
      </c>
      <c r="CX159">
        <f>0.407</f>
        <v>0.40699999999999997</v>
      </c>
      <c r="CY159">
        <f>0.4</f>
        <v>0.4</v>
      </c>
      <c r="CZ159">
        <f>0.417</f>
        <v>0.41699999999999998</v>
      </c>
      <c r="DA159">
        <f>0.433</f>
        <v>0.433</v>
      </c>
      <c r="DB159">
        <f>0.43</f>
        <v>0.43</v>
      </c>
      <c r="DC159">
        <f>0.44</f>
        <v>0.44</v>
      </c>
      <c r="DD159">
        <f>0.45</f>
        <v>0.45</v>
      </c>
      <c r="DE159">
        <f>0.45</f>
        <v>0.45</v>
      </c>
      <c r="DF159">
        <f>0.48</f>
        <v>0.48</v>
      </c>
      <c r="DG159">
        <f>0.49</f>
        <v>0.49</v>
      </c>
      <c r="DH159">
        <f>0.44</f>
        <v>0.44</v>
      </c>
      <c r="DI159" t="str">
        <f>""</f>
        <v/>
      </c>
      <c r="DJ159" t="str">
        <f>""</f>
        <v/>
      </c>
      <c r="DK159">
        <f>0.56</f>
        <v>0.56000000000000005</v>
      </c>
      <c r="DL159">
        <f>0.54</f>
        <v>0.54</v>
      </c>
      <c r="DM159">
        <f>0.54</f>
        <v>0.54</v>
      </c>
      <c r="DN159" t="str">
        <f>""</f>
        <v/>
      </c>
      <c r="DO159" t="str">
        <f>""</f>
        <v/>
      </c>
      <c r="DP159" t="str">
        <f>""</f>
        <v/>
      </c>
      <c r="DQ159" t="str">
        <f>""</f>
        <v/>
      </c>
      <c r="DR159" t="str">
        <f>""</f>
        <v/>
      </c>
      <c r="DS159" t="str">
        <f>""</f>
        <v/>
      </c>
      <c r="DT159" t="str">
        <f>""</f>
        <v/>
      </c>
      <c r="DU159" t="str">
        <f>""</f>
        <v/>
      </c>
      <c r="DV159" t="str">
        <f>""</f>
        <v/>
      </c>
      <c r="DW159" t="str">
        <f>""</f>
        <v/>
      </c>
      <c r="DX159" t="str">
        <f>""</f>
        <v/>
      </c>
      <c r="DY159" t="str">
        <f>""</f>
        <v/>
      </c>
      <c r="DZ159" t="str">
        <f>""</f>
        <v/>
      </c>
      <c r="EA159" t="str">
        <f>""</f>
        <v/>
      </c>
      <c r="EB159" t="str">
        <f>""</f>
        <v/>
      </c>
      <c r="EC159" t="str">
        <f>""</f>
        <v/>
      </c>
      <c r="ED159" t="str">
        <f>""</f>
        <v/>
      </c>
      <c r="EE159" t="str">
        <f>""</f>
        <v/>
      </c>
      <c r="EF159" t="str">
        <f>""</f>
        <v/>
      </c>
      <c r="EG159" t="str">
        <f>""</f>
        <v/>
      </c>
      <c r="EH159" t="str">
        <f>""</f>
        <v/>
      </c>
      <c r="EI159" t="str">
        <f>""</f>
        <v/>
      </c>
      <c r="EJ159" t="str">
        <f>""</f>
        <v/>
      </c>
      <c r="EK159" t="str">
        <f>""</f>
        <v/>
      </c>
      <c r="EL159" t="str">
        <f>""</f>
        <v/>
      </c>
      <c r="EM159" t="str">
        <f>""</f>
        <v/>
      </c>
      <c r="EN159" t="str">
        <f>""</f>
        <v/>
      </c>
      <c r="EO159" t="str">
        <f>""</f>
        <v/>
      </c>
      <c r="EP159" t="str">
        <f>""</f>
        <v/>
      </c>
      <c r="EQ159" t="str">
        <f>""</f>
        <v/>
      </c>
      <c r="ER159" t="str">
        <f>""</f>
        <v/>
      </c>
      <c r="ES159" t="str">
        <f>""</f>
        <v/>
      </c>
      <c r="ET159" t="str">
        <f>""</f>
        <v/>
      </c>
      <c r="EU159" t="str">
        <f>""</f>
        <v/>
      </c>
      <c r="EV159" t="str">
        <f>""</f>
        <v/>
      </c>
      <c r="EW159" t="str">
        <f>""</f>
        <v/>
      </c>
      <c r="EX159" t="str">
        <f>""</f>
        <v/>
      </c>
      <c r="EY159" t="str">
        <f>""</f>
        <v/>
      </c>
      <c r="EZ159" t="str">
        <f>""</f>
        <v/>
      </c>
      <c r="FA159" t="str">
        <f>""</f>
        <v/>
      </c>
      <c r="FB159" t="str">
        <f>""</f>
        <v/>
      </c>
      <c r="FC159" t="str">
        <f>""</f>
        <v/>
      </c>
      <c r="FD159" t="str">
        <f>""</f>
        <v/>
      </c>
      <c r="FE159" t="str">
        <f>""</f>
        <v/>
      </c>
      <c r="FF159" t="str">
        <f>""</f>
        <v/>
      </c>
      <c r="FG159" t="str">
        <f>""</f>
        <v/>
      </c>
      <c r="FH159" t="str">
        <f>""</f>
        <v/>
      </c>
      <c r="FI159" t="str">
        <f>""</f>
        <v/>
      </c>
      <c r="FJ159" t="str">
        <f>""</f>
        <v/>
      </c>
      <c r="FK159" t="str">
        <f>""</f>
        <v/>
      </c>
      <c r="FL159" t="str">
        <f>""</f>
        <v/>
      </c>
      <c r="FM159" t="str">
        <f>""</f>
        <v/>
      </c>
      <c r="FN159" t="str">
        <f>""</f>
        <v/>
      </c>
      <c r="FO159" t="str">
        <f>""</f>
        <v/>
      </c>
      <c r="FP159" t="str">
        <f>""</f>
        <v/>
      </c>
      <c r="FQ159" t="str">
        <f>""</f>
        <v/>
      </c>
    </row>
    <row r="160" spans="1:173">
      <c r="A160" t="str">
        <f>"    UDR Inc"</f>
        <v xml:space="preserve">    UDR Inc</v>
      </c>
      <c r="B160" t="str">
        <f>"UDR US Equity"</f>
        <v>UDR US Equity</v>
      </c>
      <c r="C160" t="str">
        <f t="shared" si="48"/>
        <v>BE895</v>
      </c>
      <c r="D160" t="str">
        <f t="shared" si="49"/>
        <v>BEST_AFFOPS</v>
      </c>
      <c r="E160" t="str">
        <f t="shared" si="50"/>
        <v>动态</v>
      </c>
      <c r="F160" t="str">
        <f ca="1">IF(AND(ISNUMBER($F$369),$B$252=1),$F$369,HLOOKUP(INDIRECT(ADDRESS(2,COLUMN())),OFFSET($CL$2,0,0,ROW()-1,84),ROW()-1,FALSE))</f>
        <v/>
      </c>
      <c r="G160" t="str">
        <f ca="1">IF(AND(ISNUMBER($G$369),$B$252=1),$G$369,HLOOKUP(INDIRECT(ADDRESS(2,COLUMN())),OFFSET($CL$2,0,0,ROW()-1,84),ROW()-1,FALSE))</f>
        <v/>
      </c>
      <c r="H160">
        <f ca="1">IF(AND(ISNUMBER($H$369),$B$252=1),$H$369,HLOOKUP(INDIRECT(ADDRESS(2,COLUMN())),OFFSET($CL$2,0,0,ROW()-1,84),ROW()-1,FALSE))</f>
        <v>1.696</v>
      </c>
      <c r="I160">
        <f ca="1">IF(AND(ISNUMBER($I$369),$B$252=1),$I$369,HLOOKUP(INDIRECT(ADDRESS(2,COLUMN())),OFFSET($CL$2,0,0,ROW()-1,84),ROW()-1,FALSE))</f>
        <v>1.708</v>
      </c>
      <c r="J160">
        <f ca="1">IF(AND(ISNUMBER($J$369),$B$252=1),$J$369,HLOOKUP(INDIRECT(ADDRESS(2,COLUMN())),OFFSET($CL$2,0,0,ROW()-1,84),ROW()-1,FALSE))</f>
        <v>1.7</v>
      </c>
      <c r="K160">
        <f ca="1">IF(AND(ISNUMBER($K$369),$B$252=1),$K$369,HLOOKUP(INDIRECT(ADDRESS(2,COLUMN())),OFFSET($CL$2,0,0,ROW()-1,84),ROW()-1,FALSE))</f>
        <v>1.7</v>
      </c>
      <c r="L160">
        <f ca="1">IF(AND(ISNUMBER($L$369),$B$252=1),$L$369,HLOOKUP(INDIRECT(ADDRESS(2,COLUMN())),OFFSET($CL$2,0,0,ROW()-1,84),ROW()-1,FALSE))</f>
        <v>1.7</v>
      </c>
      <c r="M160">
        <f ca="1">IF(AND(ISNUMBER($M$369),$B$252=1),$M$369,HLOOKUP(INDIRECT(ADDRESS(2,COLUMN())),OFFSET($CL$2,0,0,ROW()-1,84),ROW()-1,FALSE))</f>
        <v>1.7</v>
      </c>
      <c r="N160">
        <f ca="1">IF(AND(ISNUMBER($N$369),$B$252=1),$N$369,HLOOKUP(INDIRECT(ADDRESS(2,COLUMN())),OFFSET($CL$2,0,0,ROW()-1,84),ROW()-1,FALSE))</f>
        <v>1.6930000000000001</v>
      </c>
      <c r="O160">
        <f ca="1">IF(AND(ISNUMBER($O$369),$B$252=1),$O$369,HLOOKUP(INDIRECT(ADDRESS(2,COLUMN())),OFFSET($CL$2,0,0,ROW()-1,84),ROW()-1,FALSE))</f>
        <v>1.6950000000000001</v>
      </c>
      <c r="P160">
        <f ca="1">IF(AND(ISNUMBER($P$369),$B$252=1),$P$369,HLOOKUP(INDIRECT(ADDRESS(2,COLUMN())),OFFSET($CL$2,0,0,ROW()-1,84),ROW()-1,FALSE))</f>
        <v>1.6950000000000001</v>
      </c>
      <c r="Q160">
        <f ca="1">IF(AND(ISNUMBER($Q$369),$B$252=1),$Q$369,HLOOKUP(INDIRECT(ADDRESS(2,COLUMN())),OFFSET($CL$2,0,0,ROW()-1,84),ROW()-1,FALSE))</f>
        <v>1.6779999999999999</v>
      </c>
      <c r="R160">
        <f ca="1">IF(AND(ISNUMBER($R$369),$B$252=1),$R$369,HLOOKUP(INDIRECT(ADDRESS(2,COLUMN())),OFFSET($CL$2,0,0,ROW()-1,84),ROW()-1,FALSE))</f>
        <v>1.6619999999999999</v>
      </c>
      <c r="S160">
        <f ca="1">IF(AND(ISNUMBER($S$369),$B$252=1),$S$369,HLOOKUP(INDIRECT(ADDRESS(2,COLUMN())),OFFSET($CL$2,0,0,ROW()-1,84),ROW()-1,FALSE))</f>
        <v>1.667</v>
      </c>
      <c r="T160">
        <f ca="1">IF(AND(ISNUMBER($T$369),$B$252=1),$T$369,HLOOKUP(INDIRECT(ADDRESS(2,COLUMN())),OFFSET($CL$2,0,0,ROW()-1,84),ROW()-1,FALSE))</f>
        <v>1.71</v>
      </c>
      <c r="U160">
        <f ca="1">IF(AND(ISNUMBER($U$369),$B$252=1),$U$369,HLOOKUP(INDIRECT(ADDRESS(2,COLUMN())),OFFSET($CL$2,0,0,ROW()-1,84),ROW()-1,FALSE))</f>
        <v>1.71</v>
      </c>
      <c r="V160">
        <f ca="1">IF(AND(ISNUMBER($V$369),$B$252=1),$V$369,HLOOKUP(INDIRECT(ADDRESS(2,COLUMN())),OFFSET($CL$2,0,0,ROW()-1,84),ROW()-1,FALSE))</f>
        <v>1.708</v>
      </c>
      <c r="W160">
        <f ca="1">IF(AND(ISNUMBER($W$369),$B$252=1),$W$369,HLOOKUP(INDIRECT(ADDRESS(2,COLUMN())),OFFSET($CL$2,0,0,ROW()-1,84),ROW()-1,FALSE))</f>
        <v>1.6930000000000001</v>
      </c>
      <c r="X160">
        <f ca="1">IF(AND(ISNUMBER($X$369),$B$252=1),$X$369,HLOOKUP(INDIRECT(ADDRESS(2,COLUMN())),OFFSET($CL$2,0,0,ROW()-1,84),ROW()-1,FALSE))</f>
        <v>1.7090000000000001</v>
      </c>
      <c r="Y160">
        <f ca="1">IF(AND(ISNUMBER($Y$369),$B$252=1),$Y$369,HLOOKUP(INDIRECT(ADDRESS(2,COLUMN())),OFFSET($CL$2,0,0,ROW()-1,84),ROW()-1,FALSE))</f>
        <v>1.714</v>
      </c>
      <c r="Z160">
        <f ca="1">IF(AND(ISNUMBER($Z$369),$B$252=1),$Z$369,HLOOKUP(INDIRECT(ADDRESS(2,COLUMN())),OFFSET($CL$2,0,0,ROW()-1,84),ROW()-1,FALSE))</f>
        <v>1.722</v>
      </c>
      <c r="AA160">
        <f ca="1">IF(AND(ISNUMBER($AA$369),$B$252=1),$AA$369,HLOOKUP(INDIRECT(ADDRESS(2,COLUMN())),OFFSET($CL$2,0,0,ROW()-1,84),ROW()-1,FALSE))</f>
        <v>1.7210000000000001</v>
      </c>
      <c r="AB160">
        <f ca="1">IF(AND(ISNUMBER($AB$369),$B$252=1),$AB$369,HLOOKUP(INDIRECT(ADDRESS(2,COLUMN())),OFFSET($CL$2,0,0,ROW()-1,84),ROW()-1,FALSE))</f>
        <v>1.728</v>
      </c>
      <c r="AC160">
        <f ca="1">IF(AND(ISNUMBER($AC$369),$B$252=1),$AC$369,HLOOKUP(INDIRECT(ADDRESS(2,COLUMN())),OFFSET($CL$2,0,0,ROW()-1,84),ROW()-1,FALSE))</f>
        <v>1.7370000000000001</v>
      </c>
      <c r="AD160">
        <f ca="1">IF(AND(ISNUMBER($AD$369),$B$252=1),$AD$369,HLOOKUP(INDIRECT(ADDRESS(2,COLUMN())),OFFSET($CL$2,0,0,ROW()-1,84),ROW()-1,FALSE))</f>
        <v>1.744</v>
      </c>
      <c r="AE160">
        <f ca="1">IF(AND(ISNUMBER($AE$369),$B$252=1),$AE$369,HLOOKUP(INDIRECT(ADDRESS(2,COLUMN())),OFFSET($CL$2,0,0,ROW()-1,84),ROW()-1,FALSE))</f>
        <v>1.7430000000000001</v>
      </c>
      <c r="AF160">
        <f ca="1">IF(AND(ISNUMBER($AF$369),$B$252=1),$AF$369,HLOOKUP(INDIRECT(ADDRESS(2,COLUMN())),OFFSET($CL$2,0,0,ROW()-1,84),ROW()-1,FALSE))</f>
        <v>1.766</v>
      </c>
      <c r="AG160">
        <f ca="1">IF(AND(ISNUMBER($AG$369),$B$252=1),$AG$369,HLOOKUP(INDIRECT(ADDRESS(2,COLUMN())),OFFSET($CL$2,0,0,ROW()-1,84),ROW()-1,FALSE))</f>
        <v>1.766</v>
      </c>
      <c r="AH160">
        <f ca="1">IF(AND(ISNUMBER($AH$369),$B$252=1),$AH$369,HLOOKUP(INDIRECT(ADDRESS(2,COLUMN())),OFFSET($CL$2,0,0,ROW()-1,84),ROW()-1,FALSE))</f>
        <v>1.778</v>
      </c>
      <c r="AI160">
        <f ca="1">IF(AND(ISNUMBER($AI$369),$B$252=1),$AI$369,HLOOKUP(INDIRECT(ADDRESS(2,COLUMN())),OFFSET($CL$2,0,0,ROW()-1,84),ROW()-1,FALSE))</f>
        <v>1.74</v>
      </c>
      <c r="AJ160">
        <f ca="1">IF(AND(ISNUMBER($AJ$369),$B$252=1),$AJ$369,HLOOKUP(INDIRECT(ADDRESS(2,COLUMN())),OFFSET($CL$2,0,0,ROW()-1,84),ROW()-1,FALSE))</f>
        <v>1.7</v>
      </c>
      <c r="AK160">
        <f ca="1">IF(AND(ISNUMBER($AK$369),$B$252=1),$AK$369,HLOOKUP(INDIRECT(ADDRESS(2,COLUMN())),OFFSET($CL$2,0,0,ROW()-1,84),ROW()-1,FALSE))</f>
        <v>1.7070000000000001</v>
      </c>
      <c r="AL160">
        <f ca="1">IF(AND(ISNUMBER($AL$369),$B$252=1),$AL$369,HLOOKUP(INDIRECT(ADDRESS(2,COLUMN())),OFFSET($CL$2,0,0,ROW()-1,84),ROW()-1,FALSE))</f>
        <v>1.67</v>
      </c>
      <c r="AM160">
        <f ca="1">IF(AND(ISNUMBER($AM$369),$B$252=1),$AM$369,HLOOKUP(INDIRECT(ADDRESS(2,COLUMN())),OFFSET($CL$2,0,0,ROW()-1,84),ROW()-1,FALSE))</f>
        <v>1.67</v>
      </c>
      <c r="AN160">
        <f ca="1">IF(AND(ISNUMBER($AN$369),$B$252=1),$AN$369,HLOOKUP(INDIRECT(ADDRESS(2,COLUMN())),OFFSET($CL$2,0,0,ROW()-1,84),ROW()-1,FALSE))</f>
        <v>1.655</v>
      </c>
      <c r="AO160">
        <f ca="1">IF(AND(ISNUMBER($AO$369),$B$252=1),$AO$369,HLOOKUP(INDIRECT(ADDRESS(2,COLUMN())),OFFSET($CL$2,0,0,ROW()-1,84),ROW()-1,FALSE))</f>
        <v>1.635</v>
      </c>
      <c r="AP160" t="str">
        <f ca="1">IF(AND(ISNUMBER($AP$369),$B$252=1),$AP$369,HLOOKUP(INDIRECT(ADDRESS(2,COLUMN())),OFFSET($CL$2,0,0,ROW()-1,84),ROW()-1,FALSE))</f>
        <v/>
      </c>
      <c r="AQ160">
        <f ca="1">IF(AND(ISNUMBER($AQ$369),$B$252=1),$AQ$369,HLOOKUP(INDIRECT(ADDRESS(2,COLUMN())),OFFSET($CL$2,0,0,ROW()-1,84),ROW()-1,FALSE))</f>
        <v>1.655</v>
      </c>
      <c r="AR160" t="str">
        <f ca="1">IF(AND(ISNUMBER($AR$369),$B$252=1),$AR$369,HLOOKUP(INDIRECT(ADDRESS(2,COLUMN())),OFFSET($CL$2,0,0,ROW()-1,84),ROW()-1,FALSE))</f>
        <v/>
      </c>
      <c r="AS160" t="str">
        <f ca="1">IF(AND(ISNUMBER($AS$369),$B$252=1),$AS$369,HLOOKUP(INDIRECT(ADDRESS(2,COLUMN())),OFFSET($CL$2,0,0,ROW()-1,84),ROW()-1,FALSE))</f>
        <v/>
      </c>
      <c r="AT160" t="str">
        <f ca="1">IF(AND(ISNUMBER($AT$369),$B$252=1),$AT$369,HLOOKUP(INDIRECT(ADDRESS(2,COLUMN())),OFFSET($CL$2,0,0,ROW()-1,84),ROW()-1,FALSE))</f>
        <v/>
      </c>
      <c r="AU160" t="str">
        <f ca="1">IF(AND(ISNUMBER($AU$369),$B$252=1),$AU$369,HLOOKUP(INDIRECT(ADDRESS(2,COLUMN())),OFFSET($CL$2,0,0,ROW()-1,84),ROW()-1,FALSE))</f>
        <v/>
      </c>
      <c r="AV160" t="str">
        <f ca="1">IF(AND(ISNUMBER($AV$369),$B$252=1),$AV$369,HLOOKUP(INDIRECT(ADDRESS(2,COLUMN())),OFFSET($CL$2,0,0,ROW()-1,84),ROW()-1,FALSE))</f>
        <v/>
      </c>
      <c r="AW160" t="str">
        <f ca="1">IF(AND(ISNUMBER($AW$369),$B$252=1),$AW$369,HLOOKUP(INDIRECT(ADDRESS(2,COLUMN())),OFFSET($CL$2,0,0,ROW()-1,84),ROW()-1,FALSE))</f>
        <v/>
      </c>
      <c r="AX160" t="str">
        <f ca="1">IF(AND(ISNUMBER($AX$369),$B$252=1),$AX$369,HLOOKUP(INDIRECT(ADDRESS(2,COLUMN())),OFFSET($CL$2,0,0,ROW()-1,84),ROW()-1,FALSE))</f>
        <v/>
      </c>
      <c r="AY160" t="str">
        <f ca="1">IF(AND(ISNUMBER($AY$369),$B$252=1),$AY$369,HLOOKUP(INDIRECT(ADDRESS(2,COLUMN())),OFFSET($CL$2,0,0,ROW()-1,84),ROW()-1,FALSE))</f>
        <v/>
      </c>
      <c r="AZ160" t="str">
        <f ca="1">IF(AND(ISNUMBER($AZ$369),$B$252=1),$AZ$369,HLOOKUP(INDIRECT(ADDRESS(2,COLUMN())),OFFSET($CL$2,0,0,ROW()-1,84),ROW()-1,FALSE))</f>
        <v/>
      </c>
      <c r="BA160" t="str">
        <f ca="1">IF(AND(ISNUMBER($BA$369),$B$252=1),$BA$369,HLOOKUP(INDIRECT(ADDRESS(2,COLUMN())),OFFSET($CL$2,0,0,ROW()-1,84),ROW()-1,FALSE))</f>
        <v/>
      </c>
      <c r="BB160" t="str">
        <f ca="1">IF(AND(ISNUMBER($BB$369),$B$252=1),$BB$369,HLOOKUP(INDIRECT(ADDRESS(2,COLUMN())),OFFSET($CL$2,0,0,ROW()-1,84),ROW()-1,FALSE))</f>
        <v/>
      </c>
      <c r="BC160" t="str">
        <f ca="1">IF(AND(ISNUMBER($BC$369),$B$252=1),$BC$369,HLOOKUP(INDIRECT(ADDRESS(2,COLUMN())),OFFSET($CL$2,0,0,ROW()-1,84),ROW()-1,FALSE))</f>
        <v/>
      </c>
      <c r="BD160" t="str">
        <f ca="1">IF(AND(ISNUMBER($BD$369),$B$252=1),$BD$369,HLOOKUP(INDIRECT(ADDRESS(2,COLUMN())),OFFSET($CL$2,0,0,ROW()-1,84),ROW()-1,FALSE))</f>
        <v/>
      </c>
      <c r="BE160" t="str">
        <f ca="1">IF(AND(ISNUMBER($BE$369),$B$252=1),$BE$369,HLOOKUP(INDIRECT(ADDRESS(2,COLUMN())),OFFSET($CL$2,0,0,ROW()-1,84),ROW()-1,FALSE))</f>
        <v/>
      </c>
      <c r="BF160" t="str">
        <f ca="1">IF(AND(ISNUMBER($BF$369),$B$252=1),$BF$369,HLOOKUP(INDIRECT(ADDRESS(2,COLUMN())),OFFSET($CL$2,0,0,ROW()-1,84),ROW()-1,FALSE))</f>
        <v/>
      </c>
      <c r="BG160" t="str">
        <f ca="1">IF(AND(ISNUMBER($BG$369),$B$252=1),$BG$369,HLOOKUP(INDIRECT(ADDRESS(2,COLUMN())),OFFSET($CL$2,0,0,ROW()-1,84),ROW()-1,FALSE))</f>
        <v/>
      </c>
      <c r="BH160" t="str">
        <f ca="1">IF(AND(ISNUMBER($BH$369),$B$252=1),$BH$369,HLOOKUP(INDIRECT(ADDRESS(2,COLUMN())),OFFSET($CL$2,0,0,ROW()-1,84),ROW()-1,FALSE))</f>
        <v/>
      </c>
      <c r="BI160" t="str">
        <f ca="1">IF(AND(ISNUMBER($BI$369),$B$252=1),$BI$369,HLOOKUP(INDIRECT(ADDRESS(2,COLUMN())),OFFSET($CL$2,0,0,ROW()-1,84),ROW()-1,FALSE))</f>
        <v/>
      </c>
      <c r="BJ160" t="str">
        <f ca="1">IF(AND(ISNUMBER($BJ$369),$B$252=1),$BJ$369,HLOOKUP(INDIRECT(ADDRESS(2,COLUMN())),OFFSET($CL$2,0,0,ROW()-1,84),ROW()-1,FALSE))</f>
        <v/>
      </c>
      <c r="BK160" t="str">
        <f ca="1">IF(AND(ISNUMBER($BK$369),$B$252=1),$BK$369,HLOOKUP(INDIRECT(ADDRESS(2,COLUMN())),OFFSET($CL$2,0,0,ROW()-1,84),ROW()-1,FALSE))</f>
        <v/>
      </c>
      <c r="BL160" t="str">
        <f ca="1">IF(AND(ISNUMBER($BL$369),$B$252=1),$BL$369,HLOOKUP(INDIRECT(ADDRESS(2,COLUMN())),OFFSET($CL$2,0,0,ROW()-1,84),ROW()-1,FALSE))</f>
        <v/>
      </c>
      <c r="BM160" t="str">
        <f ca="1">IF(AND(ISNUMBER($BM$369),$B$252=1),$BM$369,HLOOKUP(INDIRECT(ADDRESS(2,COLUMN())),OFFSET($CL$2,0,0,ROW()-1,84),ROW()-1,FALSE))</f>
        <v/>
      </c>
      <c r="BN160" t="str">
        <f ca="1">IF(AND(ISNUMBER($BN$369),$B$252=1),$BN$369,HLOOKUP(INDIRECT(ADDRESS(2,COLUMN())),OFFSET($CL$2,0,0,ROW()-1,84),ROW()-1,FALSE))</f>
        <v/>
      </c>
      <c r="BO160" t="str">
        <f ca="1">IF(AND(ISNUMBER($BO$369),$B$252=1),$BO$369,HLOOKUP(INDIRECT(ADDRESS(2,COLUMN())),OFFSET($CL$2,0,0,ROW()-1,84),ROW()-1,FALSE))</f>
        <v/>
      </c>
      <c r="BP160" t="str">
        <f ca="1">IF(AND(ISNUMBER($BP$369),$B$252=1),$BP$369,HLOOKUP(INDIRECT(ADDRESS(2,COLUMN())),OFFSET($CL$2,0,0,ROW()-1,84),ROW()-1,FALSE))</f>
        <v/>
      </c>
      <c r="BQ160" t="str">
        <f ca="1">IF(AND(ISNUMBER($BQ$369),$B$252=1),$BQ$369,HLOOKUP(INDIRECT(ADDRESS(2,COLUMN())),OFFSET($CL$2,0,0,ROW()-1,84),ROW()-1,FALSE))</f>
        <v/>
      </c>
      <c r="BR160" t="str">
        <f ca="1">IF(AND(ISNUMBER($BR$369),$B$252=1),$BR$369,HLOOKUP(INDIRECT(ADDRESS(2,COLUMN())),OFFSET($CL$2,0,0,ROW()-1,84),ROW()-1,FALSE))</f>
        <v/>
      </c>
      <c r="BS160" t="str">
        <f ca="1">IF(AND(ISNUMBER($BS$369),$B$252=1),$BS$369,HLOOKUP(INDIRECT(ADDRESS(2,COLUMN())),OFFSET($CL$2,0,0,ROW()-1,84),ROW()-1,FALSE))</f>
        <v/>
      </c>
      <c r="BT160" t="str">
        <f ca="1">IF(AND(ISNUMBER($BT$369),$B$252=1),$BT$369,HLOOKUP(INDIRECT(ADDRESS(2,COLUMN())),OFFSET($CL$2,0,0,ROW()-1,84),ROW()-1,FALSE))</f>
        <v/>
      </c>
      <c r="BU160" t="str">
        <f ca="1">IF(AND(ISNUMBER($BU$369),$B$252=1),$BU$369,HLOOKUP(INDIRECT(ADDRESS(2,COLUMN())),OFFSET($CL$2,0,0,ROW()-1,84),ROW()-1,FALSE))</f>
        <v/>
      </c>
      <c r="BV160" t="str">
        <f ca="1">IF(AND(ISNUMBER($BV$369),$B$252=1),$BV$369,HLOOKUP(INDIRECT(ADDRESS(2,COLUMN())),OFFSET($CL$2,0,0,ROW()-1,84),ROW()-1,FALSE))</f>
        <v/>
      </c>
      <c r="BW160" t="str">
        <f ca="1">IF(AND(ISNUMBER($BW$369),$B$252=1),$BW$369,HLOOKUP(INDIRECT(ADDRESS(2,COLUMN())),OFFSET($CL$2,0,0,ROW()-1,84),ROW()-1,FALSE))</f>
        <v/>
      </c>
      <c r="BX160" t="str">
        <f ca="1">IF(AND(ISNUMBER($BX$369),$B$252=1),$BX$369,HLOOKUP(INDIRECT(ADDRESS(2,COLUMN())),OFFSET($CL$2,0,0,ROW()-1,84),ROW()-1,FALSE))</f>
        <v/>
      </c>
      <c r="BY160" t="str">
        <f ca="1">IF(AND(ISNUMBER($BY$369),$B$252=1),$BY$369,HLOOKUP(INDIRECT(ADDRESS(2,COLUMN())),OFFSET($CL$2,0,0,ROW()-1,84),ROW()-1,FALSE))</f>
        <v/>
      </c>
      <c r="BZ160" t="str">
        <f ca="1">IF(AND(ISNUMBER($BZ$369),$B$252=1),$BZ$369,HLOOKUP(INDIRECT(ADDRESS(2,COLUMN())),OFFSET($CL$2,0,0,ROW()-1,84),ROW()-1,FALSE))</f>
        <v/>
      </c>
      <c r="CA160" t="str">
        <f ca="1">IF(AND(ISNUMBER($CA$369),$B$252=1),$CA$369,HLOOKUP(INDIRECT(ADDRESS(2,COLUMN())),OFFSET($CL$2,0,0,ROW()-1,84),ROW()-1,FALSE))</f>
        <v/>
      </c>
      <c r="CB160" t="str">
        <f ca="1">IF(AND(ISNUMBER($CB$369),$B$252=1),$CB$369,HLOOKUP(INDIRECT(ADDRESS(2,COLUMN())),OFFSET($CL$2,0,0,ROW()-1,84),ROW()-1,FALSE))</f>
        <v/>
      </c>
      <c r="CC160" t="str">
        <f ca="1">IF(AND(ISNUMBER($CC$369),$B$252=1),$CC$369,HLOOKUP(INDIRECT(ADDRESS(2,COLUMN())),OFFSET($CL$2,0,0,ROW()-1,84),ROW()-1,FALSE))</f>
        <v/>
      </c>
      <c r="CD160" t="str">
        <f ca="1">IF(AND(ISNUMBER($CD$369),$B$252=1),$CD$369,HLOOKUP(INDIRECT(ADDRESS(2,COLUMN())),OFFSET($CL$2,0,0,ROW()-1,84),ROW()-1,FALSE))</f>
        <v/>
      </c>
      <c r="CE160" t="str">
        <f ca="1">IF(AND(ISNUMBER($CE$369),$B$252=1),$CE$369,HLOOKUP(INDIRECT(ADDRESS(2,COLUMN())),OFFSET($CL$2,0,0,ROW()-1,84),ROW()-1,FALSE))</f>
        <v/>
      </c>
      <c r="CF160" t="str">
        <f ca="1">IF(AND(ISNUMBER($CF$369),$B$252=1),$CF$369,HLOOKUP(INDIRECT(ADDRESS(2,COLUMN())),OFFSET($CL$2,0,0,ROW()-1,84),ROW()-1,FALSE))</f>
        <v/>
      </c>
      <c r="CG160" t="str">
        <f ca="1">IF(AND(ISNUMBER($CG$369),$B$252=1),$CG$369,HLOOKUP(INDIRECT(ADDRESS(2,COLUMN())),OFFSET($CL$2,0,0,ROW()-1,84),ROW()-1,FALSE))</f>
        <v/>
      </c>
      <c r="CH160" t="str">
        <f ca="1">IF(AND(ISNUMBER($CH$369),$B$252=1),$CH$369,HLOOKUP(INDIRECT(ADDRESS(2,COLUMN())),OFFSET($CL$2,0,0,ROW()-1,84),ROW()-1,FALSE))</f>
        <v/>
      </c>
      <c r="CI160" t="str">
        <f ca="1">IF(AND(ISNUMBER($CI$369),$B$252=1),$CI$369,HLOOKUP(INDIRECT(ADDRESS(2,COLUMN())),OFFSET($CL$2,0,0,ROW()-1,84),ROW()-1,FALSE))</f>
        <v/>
      </c>
      <c r="CJ160" t="str">
        <f ca="1">IF(AND(ISNUMBER($CJ$369),$B$252=1),$CJ$369,HLOOKUP(INDIRECT(ADDRESS(2,COLUMN())),OFFSET($CL$2,0,0,ROW()-1,84),ROW()-1,FALSE))</f>
        <v/>
      </c>
      <c r="CK160" t="str">
        <f ca="1">IF(AND(ISNUMBER($CK$369),$B$252=1),$CK$369,HLOOKUP(INDIRECT(ADDRESS(2,COLUMN())),OFFSET($CL$2,0,0,ROW()-1,84),ROW()-1,FALSE))</f>
        <v/>
      </c>
      <c r="CL160" t="str">
        <f>""</f>
        <v/>
      </c>
      <c r="CM160" t="str">
        <f>""</f>
        <v/>
      </c>
      <c r="CN160">
        <f>1.696</f>
        <v>1.696</v>
      </c>
      <c r="CO160">
        <f>1.708</f>
        <v>1.708</v>
      </c>
      <c r="CP160">
        <f>1.7</f>
        <v>1.7</v>
      </c>
      <c r="CQ160">
        <f>1.7</f>
        <v>1.7</v>
      </c>
      <c r="CR160">
        <f>1.7</f>
        <v>1.7</v>
      </c>
      <c r="CS160">
        <f>1.7</f>
        <v>1.7</v>
      </c>
      <c r="CT160">
        <f>1.693</f>
        <v>1.6930000000000001</v>
      </c>
      <c r="CU160">
        <f>1.695</f>
        <v>1.6950000000000001</v>
      </c>
      <c r="CV160">
        <f>1.695</f>
        <v>1.6950000000000001</v>
      </c>
      <c r="CW160">
        <f>1.678</f>
        <v>1.6779999999999999</v>
      </c>
      <c r="CX160">
        <f>1.662</f>
        <v>1.6619999999999999</v>
      </c>
      <c r="CY160">
        <f>1.667</f>
        <v>1.667</v>
      </c>
      <c r="CZ160">
        <f>1.71</f>
        <v>1.71</v>
      </c>
      <c r="DA160">
        <f>1.71</f>
        <v>1.71</v>
      </c>
      <c r="DB160">
        <f>1.708</f>
        <v>1.708</v>
      </c>
      <c r="DC160">
        <f>1.693</f>
        <v>1.6930000000000001</v>
      </c>
      <c r="DD160">
        <f>1.709</f>
        <v>1.7090000000000001</v>
      </c>
      <c r="DE160">
        <f>1.714</f>
        <v>1.714</v>
      </c>
      <c r="DF160">
        <f>1.722</f>
        <v>1.722</v>
      </c>
      <c r="DG160">
        <f>1.721</f>
        <v>1.7210000000000001</v>
      </c>
      <c r="DH160">
        <f>1.728</f>
        <v>1.728</v>
      </c>
      <c r="DI160">
        <f>1.737</f>
        <v>1.7370000000000001</v>
      </c>
      <c r="DJ160">
        <f>1.744</f>
        <v>1.744</v>
      </c>
      <c r="DK160">
        <f>1.743</f>
        <v>1.7430000000000001</v>
      </c>
      <c r="DL160">
        <f>1.766</f>
        <v>1.766</v>
      </c>
      <c r="DM160">
        <f>1.766</f>
        <v>1.766</v>
      </c>
      <c r="DN160">
        <f>1.778</f>
        <v>1.778</v>
      </c>
      <c r="DO160">
        <f>1.74</f>
        <v>1.74</v>
      </c>
      <c r="DP160">
        <f>1.7</f>
        <v>1.7</v>
      </c>
      <c r="DQ160">
        <f>1.707</f>
        <v>1.7070000000000001</v>
      </c>
      <c r="DR160">
        <f>1.67</f>
        <v>1.67</v>
      </c>
      <c r="DS160">
        <f>1.67</f>
        <v>1.67</v>
      </c>
      <c r="DT160">
        <f>1.655</f>
        <v>1.655</v>
      </c>
      <c r="DU160">
        <f>1.635</f>
        <v>1.635</v>
      </c>
      <c r="DV160" t="str">
        <f>""</f>
        <v/>
      </c>
      <c r="DW160">
        <f>1.655</f>
        <v>1.655</v>
      </c>
      <c r="DX160" t="str">
        <f>""</f>
        <v/>
      </c>
      <c r="DY160" t="str">
        <f>""</f>
        <v/>
      </c>
      <c r="DZ160" t="str">
        <f>""</f>
        <v/>
      </c>
      <c r="EA160" t="str">
        <f>""</f>
        <v/>
      </c>
      <c r="EB160" t="str">
        <f>""</f>
        <v/>
      </c>
      <c r="EC160" t="str">
        <f>""</f>
        <v/>
      </c>
      <c r="ED160" t="str">
        <f>""</f>
        <v/>
      </c>
      <c r="EE160" t="str">
        <f>""</f>
        <v/>
      </c>
      <c r="EF160" t="str">
        <f>""</f>
        <v/>
      </c>
      <c r="EG160" t="str">
        <f>""</f>
        <v/>
      </c>
      <c r="EH160" t="str">
        <f>""</f>
        <v/>
      </c>
      <c r="EI160" t="str">
        <f>""</f>
        <v/>
      </c>
      <c r="EJ160" t="str">
        <f>""</f>
        <v/>
      </c>
      <c r="EK160" t="str">
        <f>""</f>
        <v/>
      </c>
      <c r="EL160" t="str">
        <f>""</f>
        <v/>
      </c>
      <c r="EM160" t="str">
        <f>""</f>
        <v/>
      </c>
      <c r="EN160" t="str">
        <f>""</f>
        <v/>
      </c>
      <c r="EO160" t="str">
        <f>""</f>
        <v/>
      </c>
      <c r="EP160" t="str">
        <f>""</f>
        <v/>
      </c>
      <c r="EQ160" t="str">
        <f>""</f>
        <v/>
      </c>
      <c r="ER160" t="str">
        <f>""</f>
        <v/>
      </c>
      <c r="ES160" t="str">
        <f>""</f>
        <v/>
      </c>
      <c r="ET160" t="str">
        <f>""</f>
        <v/>
      </c>
      <c r="EU160" t="str">
        <f>""</f>
        <v/>
      </c>
      <c r="EV160" t="str">
        <f>""</f>
        <v/>
      </c>
      <c r="EW160" t="str">
        <f>""</f>
        <v/>
      </c>
      <c r="EX160" t="str">
        <f>""</f>
        <v/>
      </c>
      <c r="EY160" t="str">
        <f>""</f>
        <v/>
      </c>
      <c r="EZ160" t="str">
        <f>""</f>
        <v/>
      </c>
      <c r="FA160" t="str">
        <f>""</f>
        <v/>
      </c>
      <c r="FB160" t="str">
        <f>""</f>
        <v/>
      </c>
      <c r="FC160" t="str">
        <f>""</f>
        <v/>
      </c>
      <c r="FD160" t="str">
        <f>""</f>
        <v/>
      </c>
      <c r="FE160" t="str">
        <f>""</f>
        <v/>
      </c>
      <c r="FF160" t="str">
        <f>""</f>
        <v/>
      </c>
      <c r="FG160" t="str">
        <f>""</f>
        <v/>
      </c>
      <c r="FH160" t="str">
        <f>""</f>
        <v/>
      </c>
      <c r="FI160" t="str">
        <f>""</f>
        <v/>
      </c>
      <c r="FJ160" t="str">
        <f>""</f>
        <v/>
      </c>
      <c r="FK160" t="str">
        <f>""</f>
        <v/>
      </c>
      <c r="FL160" t="str">
        <f>""</f>
        <v/>
      </c>
      <c r="FM160" t="str">
        <f>""</f>
        <v/>
      </c>
      <c r="FN160" t="str">
        <f>""</f>
        <v/>
      </c>
      <c r="FO160" t="str">
        <f>""</f>
        <v/>
      </c>
      <c r="FP160" t="str">
        <f>""</f>
        <v/>
      </c>
      <c r="FQ160" t="str">
        <f>""</f>
        <v/>
      </c>
    </row>
    <row r="161" spans="1:173">
      <c r="A161" t="str">
        <f>"2018年预测每股FAD"</f>
        <v>2018年预测每股FAD</v>
      </c>
      <c r="B161" t="str">
        <f>""</f>
        <v/>
      </c>
      <c r="E161" t="str">
        <f>"Sum"</f>
        <v>Sum</v>
      </c>
      <c r="F161">
        <f ca="1">IF(ISERROR(IF(SUM($F$162:$F$169) = 0, "", SUM($F$162:$F$169))), "", (IF(SUM($F$162:$F$169) = 0, "", SUM($F$162:$F$169))))</f>
        <v>36.021000000000001</v>
      </c>
      <c r="G161">
        <f ca="1">IF(ISERROR(IF(SUM($G$162:$G$169) = 0, "", SUM($G$162:$G$169))), "", (IF(SUM($G$162:$G$169) = 0, "", SUM($G$162:$G$169))))</f>
        <v>36.115000000000002</v>
      </c>
      <c r="H161">
        <f ca="1">IF(ISERROR(IF(SUM($H$162:$H$169) = 0, "", SUM($H$162:$H$169))), "", (IF(SUM($H$162:$H$169) = 0, "", SUM($H$162:$H$169))))</f>
        <v>36.426000000000002</v>
      </c>
      <c r="I161">
        <f ca="1">IF(ISERROR(IF(SUM($I$162:$I$169) = 0, "", SUM($I$162:$I$169))), "", (IF(SUM($I$162:$I$169) = 0, "", SUM($I$162:$I$169))))</f>
        <v>36.409999999999997</v>
      </c>
      <c r="J161">
        <f ca="1">IF(ISERROR(IF(SUM($J$162:$J$169) = 0, "", SUM($J$162:$J$169))), "", (IF(SUM($J$162:$J$169) = 0, "", SUM($J$162:$J$169))))</f>
        <v>36.545999999999999</v>
      </c>
      <c r="K161">
        <f ca="1">IF(ISERROR(IF(SUM($K$162:$K$169) = 0, "", SUM($K$162:$K$169))), "", (IF(SUM($K$162:$K$169) = 0, "", SUM($K$162:$K$169))))</f>
        <v>36.640999999999998</v>
      </c>
      <c r="L161">
        <f ca="1">IF(ISERROR(IF(SUM($L$162:$L$169) = 0, "", SUM($L$162:$L$169))), "", (IF(SUM($L$162:$L$169) = 0, "", SUM($L$162:$L$169))))</f>
        <v>37.204999999999998</v>
      </c>
      <c r="M161">
        <f ca="1">IF(ISERROR(IF(SUM($M$162:$M$169) = 0, "", SUM($M$162:$M$169))), "", (IF(SUM($M$162:$M$169) = 0, "", SUM($M$162:$M$169))))</f>
        <v>37.155000000000001</v>
      </c>
      <c r="N161">
        <f ca="1">IF(ISERROR(IF(SUM($N$162:$N$169) = 0, "", SUM($N$162:$N$169))), "", (IF(SUM($N$162:$N$169) = 0, "", SUM($N$162:$N$169))))</f>
        <v>37.154000000000003</v>
      </c>
      <c r="O161">
        <f ca="1">IF(ISERROR(IF(SUM($O$162:$O$169) = 0, "", SUM($O$162:$O$169))), "", (IF(SUM($O$162:$O$169) = 0, "", SUM($O$162:$O$169))))</f>
        <v>37.041000000000004</v>
      </c>
      <c r="P161">
        <f ca="1">IF(ISERROR(IF(SUM($P$162:$P$169) = 0, "", SUM($P$162:$P$169))), "", (IF(SUM($P$162:$P$169) = 0, "", SUM($P$162:$P$169))))</f>
        <v>36.972999999999999</v>
      </c>
      <c r="Q161">
        <f ca="1">IF(ISERROR(IF(SUM($Q$162:$Q$169) = 0, "", SUM($Q$162:$Q$169))), "", (IF(SUM($Q$162:$Q$169) = 0, "", SUM($Q$162:$Q$169))))</f>
        <v>37.014999999999993</v>
      </c>
      <c r="R161">
        <f ca="1">IF(ISERROR(IF(SUM($R$162:$R$169) = 0, "", SUM($R$162:$R$169))), "", (IF(SUM($R$162:$R$169) = 0, "", SUM($R$162:$R$169))))</f>
        <v>36.928000000000004</v>
      </c>
      <c r="S161">
        <f ca="1">IF(ISERROR(IF(SUM($S$162:$S$169) = 0, "", SUM($S$162:$S$169))), "", (IF(SUM($S$162:$S$169) = 0, "", SUM($S$162:$S$169))))</f>
        <v>36.934999999999995</v>
      </c>
      <c r="T161">
        <f ca="1">IF(ISERROR(IF(SUM($T$162:$T$169) = 0, "", SUM($T$162:$T$169))), "", (IF(SUM($T$162:$T$169) = 0, "", SUM($T$162:$T$169))))</f>
        <v>37.201000000000001</v>
      </c>
      <c r="U161">
        <f ca="1">IF(ISERROR(IF(SUM($U$162:$U$169) = 0, "", SUM($U$162:$U$169))), "", (IF(SUM($U$162:$U$169) = 0, "", SUM($U$162:$U$169))))</f>
        <v>37.01</v>
      </c>
      <c r="V161">
        <f ca="1">IF(ISERROR(IF(SUM($V$162:$V$169) = 0, "", SUM($V$162:$V$169))), "", (IF(SUM($V$162:$V$169) = 0, "", SUM($V$162:$V$169))))</f>
        <v>37.075999999999993</v>
      </c>
      <c r="W161">
        <f ca="1">IF(ISERROR(IF(SUM($W$162:$W$169) = 0, "", SUM($W$162:$W$169))), "", (IF(SUM($W$162:$W$169) = 0, "", SUM($W$162:$W$169))))</f>
        <v>37.106999999999999</v>
      </c>
      <c r="X161">
        <f ca="1">IF(ISERROR(IF(SUM($X$162:$X$169) = 0, "", SUM($X$162:$X$169))), "", (IF(SUM($X$162:$X$169) = 0, "", SUM($X$162:$X$169))))</f>
        <v>34.842999999999996</v>
      </c>
      <c r="Y161">
        <f ca="1">IF(ISERROR(IF(SUM($Y$162:$Y$169) = 0, "", SUM($Y$162:$Y$169))), "", (IF(SUM($Y$162:$Y$169) = 0, "", SUM($Y$162:$Y$169))))</f>
        <v>37.353999999999999</v>
      </c>
      <c r="Z161">
        <f ca="1">IF(ISERROR(IF(SUM($Z$162:$Z$169) = 0, "", SUM($Z$162:$Z$169))), "", (IF(SUM($Z$162:$Z$169) = 0, "", SUM($Z$162:$Z$169))))</f>
        <v>37.431000000000004</v>
      </c>
      <c r="AA161">
        <f ca="1">IF(ISERROR(IF(SUM($AA$162:$AA$169) = 0, "", SUM($AA$162:$AA$169))), "", (IF(SUM($AA$162:$AA$169) = 0, "", SUM($AA$162:$AA$169))))</f>
        <v>31.497</v>
      </c>
      <c r="AB161">
        <f ca="1">IF(ISERROR(IF(SUM($AB$162:$AB$169) = 0, "", SUM($AB$162:$AB$169))), "", (IF(SUM($AB$162:$AB$169) = 0, "", SUM($AB$162:$AB$169))))</f>
        <v>27.15</v>
      </c>
      <c r="AC161">
        <f ca="1">IF(ISERROR(IF(SUM($AC$162:$AC$169) = 0, "", SUM($AC$162:$AC$169))), "", (IF(SUM($AC$162:$AC$169) = 0, "", SUM($AC$162:$AC$169))))</f>
        <v>29.995000000000001</v>
      </c>
      <c r="AD161" t="str">
        <f ca="1">IF(ISERROR(IF(SUM($AD$162:$AD$169) = 0, "", SUM($AD$162:$AD$169))), "", (IF(SUM($AD$162:$AD$169) = 0, "", SUM($AD$162:$AD$169))))</f>
        <v/>
      </c>
      <c r="AE161">
        <f ca="1">IF(ISERROR(IF(SUM($AE$162:$AE$169) = 0, "", SUM($AE$162:$AE$169))), "", (IF(SUM($AE$162:$AE$169) = 0, "", SUM($AE$162:$AE$169))))</f>
        <v>22.88</v>
      </c>
      <c r="AF161">
        <f ca="1">IF(ISERROR(IF(SUM($AF$162:$AF$169) = 0, "", SUM($AF$162:$AF$169))), "", (IF(SUM($AF$162:$AF$169) = 0, "", SUM($AF$162:$AF$169))))</f>
        <v>4.5</v>
      </c>
      <c r="AG161" t="str">
        <f ca="1">IF(ISERROR(IF(SUM($AG$162:$AG$169) = 0, "", SUM($AG$162:$AG$169))), "", (IF(SUM($AG$162:$AG$169) = 0, "", SUM($AG$162:$AG$169))))</f>
        <v/>
      </c>
      <c r="AH161" t="str">
        <f ca="1">IF(ISERROR(IF(SUM($AH$162:$AH$169) = 0, "", SUM($AH$162:$AH$169))), "", (IF(SUM($AH$162:$AH$169) = 0, "", SUM($AH$162:$AH$169))))</f>
        <v/>
      </c>
      <c r="AI161" t="str">
        <f ca="1">IF(ISERROR(IF(SUM($AI$162:$AI$169) = 0, "", SUM($AI$162:$AI$169))), "", (IF(SUM($AI$162:$AI$169) = 0, "", SUM($AI$162:$AI$169))))</f>
        <v/>
      </c>
      <c r="AJ161" t="str">
        <f ca="1">IF(ISERROR(IF(SUM($AJ$162:$AJ$169) = 0, "", SUM($AJ$162:$AJ$169))), "", (IF(SUM($AJ$162:$AJ$169) = 0, "", SUM($AJ$162:$AJ$169))))</f>
        <v/>
      </c>
      <c r="AK161" t="str">
        <f ca="1">IF(ISERROR(IF(SUM($AK$162:$AK$169) = 0, "", SUM($AK$162:$AK$169))), "", (IF(SUM($AK$162:$AK$169) = 0, "", SUM($AK$162:$AK$169))))</f>
        <v/>
      </c>
      <c r="AL161" t="str">
        <f ca="1">IF(ISERROR(IF(SUM($AL$162:$AL$169) = 0, "", SUM($AL$162:$AL$169))), "", (IF(SUM($AL$162:$AL$169) = 0, "", SUM($AL$162:$AL$169))))</f>
        <v/>
      </c>
      <c r="AM161" t="str">
        <f ca="1">IF(ISERROR(IF(SUM($AM$162:$AM$169) = 0, "", SUM($AM$162:$AM$169))), "", (IF(SUM($AM$162:$AM$169) = 0, "", SUM($AM$162:$AM$169))))</f>
        <v/>
      </c>
      <c r="AN161" t="str">
        <f ca="1">IF(ISERROR(IF(SUM($AN$162:$AN$169) = 0, "", SUM($AN$162:$AN$169))), "", (IF(SUM($AN$162:$AN$169) = 0, "", SUM($AN$162:$AN$169))))</f>
        <v/>
      </c>
      <c r="AO161" t="str">
        <f ca="1">IF(ISERROR(IF(SUM($AO$162:$AO$169) = 0, "", SUM($AO$162:$AO$169))), "", (IF(SUM($AO$162:$AO$169) = 0, "", SUM($AO$162:$AO$169))))</f>
        <v/>
      </c>
      <c r="AP161" t="str">
        <f ca="1">IF(ISERROR(IF(SUM($AP$162:$AP$169) = 0, "", SUM($AP$162:$AP$169))), "", (IF(SUM($AP$162:$AP$169) = 0, "", SUM($AP$162:$AP$169))))</f>
        <v/>
      </c>
      <c r="AQ161" t="str">
        <f ca="1">IF(ISERROR(IF(SUM($AQ$162:$AQ$169) = 0, "", SUM($AQ$162:$AQ$169))), "", (IF(SUM($AQ$162:$AQ$169) = 0, "", SUM($AQ$162:$AQ$169))))</f>
        <v/>
      </c>
      <c r="AR161" t="str">
        <f ca="1">IF(ISERROR(IF(SUM($AR$162:$AR$169) = 0, "", SUM($AR$162:$AR$169))), "", (IF(SUM($AR$162:$AR$169) = 0, "", SUM($AR$162:$AR$169))))</f>
        <v/>
      </c>
      <c r="AS161" t="str">
        <f ca="1">IF(ISERROR(IF(SUM($AS$162:$AS$169) = 0, "", SUM($AS$162:$AS$169))), "", (IF(SUM($AS$162:$AS$169) = 0, "", SUM($AS$162:$AS$169))))</f>
        <v/>
      </c>
      <c r="AT161" t="str">
        <f ca="1">IF(ISERROR(IF(SUM($AT$162:$AT$169) = 0, "", SUM($AT$162:$AT$169))), "", (IF(SUM($AT$162:$AT$169) = 0, "", SUM($AT$162:$AT$169))))</f>
        <v/>
      </c>
      <c r="AU161" t="str">
        <f ca="1">IF(ISERROR(IF(SUM($AU$162:$AU$169) = 0, "", SUM($AU$162:$AU$169))), "", (IF(SUM($AU$162:$AU$169) = 0, "", SUM($AU$162:$AU$169))))</f>
        <v/>
      </c>
      <c r="AV161" t="str">
        <f ca="1">IF(ISERROR(IF(SUM($AV$162:$AV$169) = 0, "", SUM($AV$162:$AV$169))), "", (IF(SUM($AV$162:$AV$169) = 0, "", SUM($AV$162:$AV$169))))</f>
        <v/>
      </c>
      <c r="AW161" t="str">
        <f ca="1">IF(ISERROR(IF(SUM($AW$162:$AW$169) = 0, "", SUM($AW$162:$AW$169))), "", (IF(SUM($AW$162:$AW$169) = 0, "", SUM($AW$162:$AW$169))))</f>
        <v/>
      </c>
      <c r="AX161" t="str">
        <f ca="1">IF(ISERROR(IF(SUM($AX$162:$AX$169) = 0, "", SUM($AX$162:$AX$169))), "", (IF(SUM($AX$162:$AX$169) = 0, "", SUM($AX$162:$AX$169))))</f>
        <v/>
      </c>
      <c r="AY161" t="str">
        <f ca="1">IF(ISERROR(IF(SUM($AY$162:$AY$169) = 0, "", SUM($AY$162:$AY$169))), "", (IF(SUM($AY$162:$AY$169) = 0, "", SUM($AY$162:$AY$169))))</f>
        <v/>
      </c>
      <c r="AZ161" t="str">
        <f ca="1">IF(ISERROR(IF(SUM($AZ$162:$AZ$169) = 0, "", SUM($AZ$162:$AZ$169))), "", (IF(SUM($AZ$162:$AZ$169) = 0, "", SUM($AZ$162:$AZ$169))))</f>
        <v/>
      </c>
      <c r="BA161" t="str">
        <f ca="1">IF(ISERROR(IF(SUM($BA$162:$BA$169) = 0, "", SUM($BA$162:$BA$169))), "", (IF(SUM($BA$162:$BA$169) = 0, "", SUM($BA$162:$BA$169))))</f>
        <v/>
      </c>
      <c r="BB161" t="str">
        <f ca="1">IF(ISERROR(IF(SUM($BB$162:$BB$169) = 0, "", SUM($BB$162:$BB$169))), "", (IF(SUM($BB$162:$BB$169) = 0, "", SUM($BB$162:$BB$169))))</f>
        <v/>
      </c>
      <c r="BC161" t="str">
        <f ca="1">IF(ISERROR(IF(SUM($BC$162:$BC$169) = 0, "", SUM($BC$162:$BC$169))), "", (IF(SUM($BC$162:$BC$169) = 0, "", SUM($BC$162:$BC$169))))</f>
        <v/>
      </c>
      <c r="BD161" t="str">
        <f ca="1">IF(ISERROR(IF(SUM($BD$162:$BD$169) = 0, "", SUM($BD$162:$BD$169))), "", (IF(SUM($BD$162:$BD$169) = 0, "", SUM($BD$162:$BD$169))))</f>
        <v/>
      </c>
      <c r="BE161" t="str">
        <f ca="1">IF(ISERROR(IF(SUM($BE$162:$BE$169) = 0, "", SUM($BE$162:$BE$169))), "", (IF(SUM($BE$162:$BE$169) = 0, "", SUM($BE$162:$BE$169))))</f>
        <v/>
      </c>
      <c r="BF161" t="str">
        <f ca="1">IF(ISERROR(IF(SUM($BF$162:$BF$169) = 0, "", SUM($BF$162:$BF$169))), "", (IF(SUM($BF$162:$BF$169) = 0, "", SUM($BF$162:$BF$169))))</f>
        <v/>
      </c>
      <c r="BG161" t="str">
        <f ca="1">IF(ISERROR(IF(SUM($BG$162:$BG$169) = 0, "", SUM($BG$162:$BG$169))), "", (IF(SUM($BG$162:$BG$169) = 0, "", SUM($BG$162:$BG$169))))</f>
        <v/>
      </c>
      <c r="BH161" t="str">
        <f ca="1">IF(ISERROR(IF(SUM($BH$162:$BH$169) = 0, "", SUM($BH$162:$BH$169))), "", (IF(SUM($BH$162:$BH$169) = 0, "", SUM($BH$162:$BH$169))))</f>
        <v/>
      </c>
      <c r="BI161" t="str">
        <f ca="1">IF(ISERROR(IF(SUM($BI$162:$BI$169) = 0, "", SUM($BI$162:$BI$169))), "", (IF(SUM($BI$162:$BI$169) = 0, "", SUM($BI$162:$BI$169))))</f>
        <v/>
      </c>
      <c r="BJ161" t="str">
        <f ca="1">IF(ISERROR(IF(SUM($BJ$162:$BJ$169) = 0, "", SUM($BJ$162:$BJ$169))), "", (IF(SUM($BJ$162:$BJ$169) = 0, "", SUM($BJ$162:$BJ$169))))</f>
        <v/>
      </c>
      <c r="BK161" t="str">
        <f ca="1">IF(ISERROR(IF(SUM($BK$162:$BK$169) = 0, "", SUM($BK$162:$BK$169))), "", (IF(SUM($BK$162:$BK$169) = 0, "", SUM($BK$162:$BK$169))))</f>
        <v/>
      </c>
      <c r="BL161" t="str">
        <f ca="1">IF(ISERROR(IF(SUM($BL$162:$BL$169) = 0, "", SUM($BL$162:$BL$169))), "", (IF(SUM($BL$162:$BL$169) = 0, "", SUM($BL$162:$BL$169))))</f>
        <v/>
      </c>
      <c r="BM161" t="str">
        <f ca="1">IF(ISERROR(IF(SUM($BM$162:$BM$169) = 0, "", SUM($BM$162:$BM$169))), "", (IF(SUM($BM$162:$BM$169) = 0, "", SUM($BM$162:$BM$169))))</f>
        <v/>
      </c>
      <c r="BN161" t="str">
        <f ca="1">IF(ISERROR(IF(SUM($BN$162:$BN$169) = 0, "", SUM($BN$162:$BN$169))), "", (IF(SUM($BN$162:$BN$169) = 0, "", SUM($BN$162:$BN$169))))</f>
        <v/>
      </c>
      <c r="BO161" t="str">
        <f ca="1">IF(ISERROR(IF(SUM($BO$162:$BO$169) = 0, "", SUM($BO$162:$BO$169))), "", (IF(SUM($BO$162:$BO$169) = 0, "", SUM($BO$162:$BO$169))))</f>
        <v/>
      </c>
      <c r="BP161" t="str">
        <f ca="1">IF(ISERROR(IF(SUM($BP$162:$BP$169) = 0, "", SUM($BP$162:$BP$169))), "", (IF(SUM($BP$162:$BP$169) = 0, "", SUM($BP$162:$BP$169))))</f>
        <v/>
      </c>
      <c r="BQ161" t="str">
        <f ca="1">IF(ISERROR(IF(SUM($BQ$162:$BQ$169) = 0, "", SUM($BQ$162:$BQ$169))), "", (IF(SUM($BQ$162:$BQ$169) = 0, "", SUM($BQ$162:$BQ$169))))</f>
        <v/>
      </c>
      <c r="BR161" t="str">
        <f ca="1">IF(ISERROR(IF(SUM($BR$162:$BR$169) = 0, "", SUM($BR$162:$BR$169))), "", (IF(SUM($BR$162:$BR$169) = 0, "", SUM($BR$162:$BR$169))))</f>
        <v/>
      </c>
      <c r="BS161" t="str">
        <f ca="1">IF(ISERROR(IF(SUM($BS$162:$BS$169) = 0, "", SUM($BS$162:$BS$169))), "", (IF(SUM($BS$162:$BS$169) = 0, "", SUM($BS$162:$BS$169))))</f>
        <v/>
      </c>
      <c r="BT161" t="str">
        <f ca="1">IF(ISERROR(IF(SUM($BT$162:$BT$169) = 0, "", SUM($BT$162:$BT$169))), "", (IF(SUM($BT$162:$BT$169) = 0, "", SUM($BT$162:$BT$169))))</f>
        <v/>
      </c>
      <c r="BU161" t="str">
        <f ca="1">IF(ISERROR(IF(SUM($BU$162:$BU$169) = 0, "", SUM($BU$162:$BU$169))), "", (IF(SUM($BU$162:$BU$169) = 0, "", SUM($BU$162:$BU$169))))</f>
        <v/>
      </c>
      <c r="BV161" t="str">
        <f ca="1">IF(ISERROR(IF(SUM($BV$162:$BV$169) = 0, "", SUM($BV$162:$BV$169))), "", (IF(SUM($BV$162:$BV$169) = 0, "", SUM($BV$162:$BV$169))))</f>
        <v/>
      </c>
      <c r="BW161" t="str">
        <f ca="1">IF(ISERROR(IF(SUM($BW$162:$BW$169) = 0, "", SUM($BW$162:$BW$169))), "", (IF(SUM($BW$162:$BW$169) = 0, "", SUM($BW$162:$BW$169))))</f>
        <v/>
      </c>
      <c r="BX161" t="str">
        <f ca="1">IF(ISERROR(IF(SUM($BX$162:$BX$169) = 0, "", SUM($BX$162:$BX$169))), "", (IF(SUM($BX$162:$BX$169) = 0, "", SUM($BX$162:$BX$169))))</f>
        <v/>
      </c>
      <c r="BY161" t="str">
        <f ca="1">IF(ISERROR(IF(SUM($BY$162:$BY$169) = 0, "", SUM($BY$162:$BY$169))), "", (IF(SUM($BY$162:$BY$169) = 0, "", SUM($BY$162:$BY$169))))</f>
        <v/>
      </c>
      <c r="BZ161" t="str">
        <f ca="1">IF(ISERROR(IF(SUM($BZ$162:$BZ$169) = 0, "", SUM($BZ$162:$BZ$169))), "", (IF(SUM($BZ$162:$BZ$169) = 0, "", SUM($BZ$162:$BZ$169))))</f>
        <v/>
      </c>
      <c r="CA161" t="str">
        <f ca="1">IF(ISERROR(IF(SUM($CA$162:$CA$169) = 0, "", SUM($CA$162:$CA$169))), "", (IF(SUM($CA$162:$CA$169) = 0, "", SUM($CA$162:$CA$169))))</f>
        <v/>
      </c>
      <c r="CB161" t="str">
        <f ca="1">IF(ISERROR(IF(SUM($CB$162:$CB$169) = 0, "", SUM($CB$162:$CB$169))), "", (IF(SUM($CB$162:$CB$169) = 0, "", SUM($CB$162:$CB$169))))</f>
        <v/>
      </c>
      <c r="CC161" t="str">
        <f ca="1">IF(ISERROR(IF(SUM($CC$162:$CC$169) = 0, "", SUM($CC$162:$CC$169))), "", (IF(SUM($CC$162:$CC$169) = 0, "", SUM($CC$162:$CC$169))))</f>
        <v/>
      </c>
      <c r="CD161" t="str">
        <f ca="1">IF(ISERROR(IF(SUM($CD$162:$CD$169) = 0, "", SUM($CD$162:$CD$169))), "", (IF(SUM($CD$162:$CD$169) = 0, "", SUM($CD$162:$CD$169))))</f>
        <v/>
      </c>
      <c r="CE161" t="str">
        <f ca="1">IF(ISERROR(IF(SUM($CE$162:$CE$169) = 0, "", SUM($CE$162:$CE$169))), "", (IF(SUM($CE$162:$CE$169) = 0, "", SUM($CE$162:$CE$169))))</f>
        <v/>
      </c>
      <c r="CF161" t="str">
        <f ca="1">IF(ISERROR(IF(SUM($CF$162:$CF$169) = 0, "", SUM($CF$162:$CF$169))), "", (IF(SUM($CF$162:$CF$169) = 0, "", SUM($CF$162:$CF$169))))</f>
        <v/>
      </c>
      <c r="CG161" t="str">
        <f ca="1">IF(ISERROR(IF(SUM($CG$162:$CG$169) = 0, "", SUM($CG$162:$CG$169))), "", (IF(SUM($CG$162:$CG$169) = 0, "", SUM($CG$162:$CG$169))))</f>
        <v/>
      </c>
      <c r="CH161" t="str">
        <f ca="1">IF(ISERROR(IF(SUM($CH$162:$CH$169) = 0, "", SUM($CH$162:$CH$169))), "", (IF(SUM($CH$162:$CH$169) = 0, "", SUM($CH$162:$CH$169))))</f>
        <v/>
      </c>
      <c r="CI161" t="str">
        <f ca="1">IF(ISERROR(IF(SUM($CI$162:$CI$169) = 0, "", SUM($CI$162:$CI$169))), "", (IF(SUM($CI$162:$CI$169) = 0, "", SUM($CI$162:$CI$169))))</f>
        <v/>
      </c>
      <c r="CJ161" t="str">
        <f ca="1">IF(ISERROR(IF(SUM($CJ$162:$CJ$169) = 0, "", SUM($CJ$162:$CJ$169))), "", (IF(SUM($CJ$162:$CJ$169) = 0, "", SUM($CJ$162:$CJ$169))))</f>
        <v/>
      </c>
      <c r="CK161" t="str">
        <f ca="1">IF(ISERROR(IF(SUM($CK$162:$CK$169) = 0, "", SUM($CK$162:$CK$169))), "", (IF(SUM($CK$162:$CK$169) = 0, "", SUM($CK$162:$CK$169))))</f>
        <v/>
      </c>
      <c r="CL161">
        <f>36.021</f>
        <v>36.021000000000001</v>
      </c>
      <c r="CM161">
        <f>36.115</f>
        <v>36.115000000000002</v>
      </c>
      <c r="CN161">
        <f>36.426</f>
        <v>36.426000000000002</v>
      </c>
      <c r="CO161">
        <f>36.41</f>
        <v>36.409999999999997</v>
      </c>
      <c r="CP161">
        <f>36.546</f>
        <v>36.545999999999999</v>
      </c>
      <c r="CQ161">
        <f>36.641</f>
        <v>36.640999999999998</v>
      </c>
      <c r="CR161">
        <f>37.205</f>
        <v>37.204999999999998</v>
      </c>
      <c r="CS161">
        <f>37.155</f>
        <v>37.155000000000001</v>
      </c>
      <c r="CT161">
        <f>37.154</f>
        <v>37.154000000000003</v>
      </c>
      <c r="CU161">
        <f>37.041</f>
        <v>37.040999999999997</v>
      </c>
      <c r="CV161">
        <f>36.973</f>
        <v>36.972999999999999</v>
      </c>
      <c r="CW161">
        <f>37.015</f>
        <v>37.015000000000001</v>
      </c>
      <c r="CX161">
        <f>36.928</f>
        <v>36.927999999999997</v>
      </c>
      <c r="CY161">
        <f>36.935</f>
        <v>36.935000000000002</v>
      </c>
      <c r="CZ161">
        <f>37.201</f>
        <v>37.201000000000001</v>
      </c>
      <c r="DA161">
        <f>37.01</f>
        <v>37.01</v>
      </c>
      <c r="DB161">
        <f>37.076</f>
        <v>37.076000000000001</v>
      </c>
      <c r="DC161">
        <f>37.107</f>
        <v>37.106999999999999</v>
      </c>
      <c r="DD161">
        <f>34.843</f>
        <v>34.843000000000004</v>
      </c>
      <c r="DE161">
        <f>37.354</f>
        <v>37.353999999999999</v>
      </c>
      <c r="DF161">
        <f>37.431</f>
        <v>37.430999999999997</v>
      </c>
      <c r="DG161">
        <f>31.497</f>
        <v>31.497</v>
      </c>
      <c r="DH161">
        <f>27.15</f>
        <v>27.15</v>
      </c>
      <c r="DI161">
        <f>29.995</f>
        <v>29.995000000000001</v>
      </c>
      <c r="DJ161" t="str">
        <f>""</f>
        <v/>
      </c>
      <c r="DK161">
        <f>22.88</f>
        <v>22.88</v>
      </c>
      <c r="DL161">
        <f>4.5</f>
        <v>4.5</v>
      </c>
      <c r="DM161" t="str">
        <f>""</f>
        <v/>
      </c>
      <c r="DN161" t="str">
        <f>""</f>
        <v/>
      </c>
      <c r="DO161" t="str">
        <f>""</f>
        <v/>
      </c>
      <c r="DP161" t="str">
        <f>""</f>
        <v/>
      </c>
      <c r="DQ161" t="str">
        <f>""</f>
        <v/>
      </c>
      <c r="DR161" t="str">
        <f>""</f>
        <v/>
      </c>
      <c r="DS161" t="str">
        <f>""</f>
        <v/>
      </c>
      <c r="DT161" t="str">
        <f>""</f>
        <v/>
      </c>
      <c r="DU161" t="str">
        <f>""</f>
        <v/>
      </c>
      <c r="DV161" t="str">
        <f>""</f>
        <v/>
      </c>
      <c r="DW161" t="str">
        <f>""</f>
        <v/>
      </c>
      <c r="DX161" t="str">
        <f>""</f>
        <v/>
      </c>
      <c r="DY161" t="str">
        <f>""</f>
        <v/>
      </c>
      <c r="DZ161" t="str">
        <f>""</f>
        <v/>
      </c>
      <c r="EA161" t="str">
        <f>""</f>
        <v/>
      </c>
      <c r="EB161" t="str">
        <f>""</f>
        <v/>
      </c>
      <c r="EC161" t="str">
        <f>""</f>
        <v/>
      </c>
      <c r="ED161" t="str">
        <f>""</f>
        <v/>
      </c>
      <c r="EE161" t="str">
        <f>""</f>
        <v/>
      </c>
      <c r="EF161" t="str">
        <f>""</f>
        <v/>
      </c>
      <c r="EG161" t="str">
        <f>""</f>
        <v/>
      </c>
      <c r="EH161" t="str">
        <f>""</f>
        <v/>
      </c>
      <c r="EI161" t="str">
        <f>""</f>
        <v/>
      </c>
      <c r="EJ161" t="str">
        <f>""</f>
        <v/>
      </c>
      <c r="EK161" t="str">
        <f>""</f>
        <v/>
      </c>
      <c r="EL161" t="str">
        <f>""</f>
        <v/>
      </c>
      <c r="EM161" t="str">
        <f>""</f>
        <v/>
      </c>
      <c r="EN161" t="str">
        <f>""</f>
        <v/>
      </c>
      <c r="EO161" t="str">
        <f>""</f>
        <v/>
      </c>
      <c r="EP161" t="str">
        <f>""</f>
        <v/>
      </c>
      <c r="EQ161" t="str">
        <f>""</f>
        <v/>
      </c>
      <c r="ER161" t="str">
        <f>""</f>
        <v/>
      </c>
      <c r="ES161" t="str">
        <f>""</f>
        <v/>
      </c>
      <c r="ET161" t="str">
        <f>""</f>
        <v/>
      </c>
      <c r="EU161" t="str">
        <f>""</f>
        <v/>
      </c>
      <c r="EV161" t="str">
        <f>""</f>
        <v/>
      </c>
      <c r="EW161" t="str">
        <f>""</f>
        <v/>
      </c>
      <c r="EX161" t="str">
        <f>""</f>
        <v/>
      </c>
      <c r="EY161" t="str">
        <f>""</f>
        <v/>
      </c>
      <c r="EZ161" t="str">
        <f>""</f>
        <v/>
      </c>
      <c r="FA161" t="str">
        <f>""</f>
        <v/>
      </c>
      <c r="FB161" t="str">
        <f>""</f>
        <v/>
      </c>
      <c r="FC161" t="str">
        <f>""</f>
        <v/>
      </c>
      <c r="FD161" t="str">
        <f>""</f>
        <v/>
      </c>
      <c r="FE161" t="str">
        <f>""</f>
        <v/>
      </c>
      <c r="FF161" t="str">
        <f>""</f>
        <v/>
      </c>
      <c r="FG161" t="str">
        <f>""</f>
        <v/>
      </c>
      <c r="FH161" t="str">
        <f>""</f>
        <v/>
      </c>
      <c r="FI161" t="str">
        <f>""</f>
        <v/>
      </c>
      <c r="FJ161" t="str">
        <f>""</f>
        <v/>
      </c>
      <c r="FK161" t="str">
        <f>""</f>
        <v/>
      </c>
      <c r="FL161" t="str">
        <f>""</f>
        <v/>
      </c>
      <c r="FM161" t="str">
        <f>""</f>
        <v/>
      </c>
      <c r="FN161" t="str">
        <f>""</f>
        <v/>
      </c>
      <c r="FO161" t="str">
        <f>""</f>
        <v/>
      </c>
      <c r="FP161" t="str">
        <f>""</f>
        <v/>
      </c>
      <c r="FQ161" t="str">
        <f>""</f>
        <v/>
      </c>
    </row>
    <row r="162" spans="1:173">
      <c r="A162" t="str">
        <f>"    Apartment Investment &amp; Managem"</f>
        <v xml:space="preserve">    Apartment Investment &amp; Managem</v>
      </c>
      <c r="B162" t="str">
        <f>"AIV US Equity"</f>
        <v>AIV US Equity</v>
      </c>
      <c r="C162" t="str">
        <f t="shared" ref="C162:C169" si="51">"BE895"</f>
        <v>BE895</v>
      </c>
      <c r="D162" t="str">
        <f t="shared" ref="D162:D169" si="52">"BEST_AFFOPS"</f>
        <v>BEST_AFFOPS</v>
      </c>
      <c r="E162" t="str">
        <f t="shared" ref="E162:E169" si="53">"动态"</f>
        <v>动态</v>
      </c>
      <c r="F162">
        <f ca="1">IF(AND(ISNUMBER($F$370),$B$252=1),$F$370,HLOOKUP(INDIRECT(ADDRESS(2,COLUMN())),OFFSET($CL$2,0,0,ROW()-1,84),ROW()-1,FALSE))</f>
        <v>2.11</v>
      </c>
      <c r="G162">
        <f ca="1">IF(AND(ISNUMBER($G$370),$B$252=1),$G$370,HLOOKUP(INDIRECT(ADDRESS(2,COLUMN())),OFFSET($CL$2,0,0,ROW()-1,84),ROW()-1,FALSE))</f>
        <v>2.121</v>
      </c>
      <c r="H162">
        <f ca="1">IF(AND(ISNUMBER($H$370),$B$252=1),$H$370,HLOOKUP(INDIRECT(ADDRESS(2,COLUMN())),OFFSET($CL$2,0,0,ROW()-1,84),ROW()-1,FALSE))</f>
        <v>2.2280000000000002</v>
      </c>
      <c r="I162">
        <f ca="1">IF(AND(ISNUMBER($I$370),$B$252=1),$I$370,HLOOKUP(INDIRECT(ADDRESS(2,COLUMN())),OFFSET($CL$2,0,0,ROW()-1,84),ROW()-1,FALSE))</f>
        <v>2.238</v>
      </c>
      <c r="J162">
        <f ca="1">IF(AND(ISNUMBER($J$370),$B$252=1),$J$370,HLOOKUP(INDIRECT(ADDRESS(2,COLUMN())),OFFSET($CL$2,0,0,ROW()-1,84),ROW()-1,FALSE))</f>
        <v>2.2429999999999999</v>
      </c>
      <c r="K162">
        <f ca="1">IF(AND(ISNUMBER($K$370),$B$252=1),$K$370,HLOOKUP(INDIRECT(ADDRESS(2,COLUMN())),OFFSET($CL$2,0,0,ROW()-1,84),ROW()-1,FALSE))</f>
        <v>2.246</v>
      </c>
      <c r="L162">
        <f ca="1">IF(AND(ISNUMBER($L$370),$B$252=1),$L$370,HLOOKUP(INDIRECT(ADDRESS(2,COLUMN())),OFFSET($CL$2,0,0,ROW()-1,84),ROW()-1,FALSE))</f>
        <v>2.2480000000000002</v>
      </c>
      <c r="M162">
        <f ca="1">IF(AND(ISNUMBER($M$370),$B$252=1),$M$370,HLOOKUP(INDIRECT(ADDRESS(2,COLUMN())),OFFSET($CL$2,0,0,ROW()-1,84),ROW()-1,FALSE))</f>
        <v>2.25</v>
      </c>
      <c r="N162">
        <f ca="1">IF(AND(ISNUMBER($N$370),$B$252=1),$N$370,HLOOKUP(INDIRECT(ADDRESS(2,COLUMN())),OFFSET($CL$2,0,0,ROW()-1,84),ROW()-1,FALSE))</f>
        <v>2.2949999999999999</v>
      </c>
      <c r="O162">
        <f ca="1">IF(AND(ISNUMBER($O$370),$B$252=1),$O$370,HLOOKUP(INDIRECT(ADDRESS(2,COLUMN())),OFFSET($CL$2,0,0,ROW()-1,84),ROW()-1,FALSE))</f>
        <v>2.246</v>
      </c>
      <c r="P162">
        <f ca="1">IF(AND(ISNUMBER($P$370),$B$252=1),$P$370,HLOOKUP(INDIRECT(ADDRESS(2,COLUMN())),OFFSET($CL$2,0,0,ROW()-1,84),ROW()-1,FALSE))</f>
        <v>2.246</v>
      </c>
      <c r="Q162">
        <f ca="1">IF(AND(ISNUMBER($Q$370),$B$252=1),$Q$370,HLOOKUP(INDIRECT(ADDRESS(2,COLUMN())),OFFSET($CL$2,0,0,ROW()-1,84),ROW()-1,FALSE))</f>
        <v>2.2530000000000001</v>
      </c>
      <c r="R162">
        <f ca="1">IF(AND(ISNUMBER($R$370),$B$252=1),$R$370,HLOOKUP(INDIRECT(ADDRESS(2,COLUMN())),OFFSET($CL$2,0,0,ROW()-1,84),ROW()-1,FALSE))</f>
        <v>2.2629999999999999</v>
      </c>
      <c r="S162">
        <f ca="1">IF(AND(ISNUMBER($S$370),$B$252=1),$S$370,HLOOKUP(INDIRECT(ADDRESS(2,COLUMN())),OFFSET($CL$2,0,0,ROW()-1,84),ROW()-1,FALSE))</f>
        <v>2.2629999999999999</v>
      </c>
      <c r="T162">
        <f ca="1">IF(AND(ISNUMBER($T$370),$B$252=1),$T$370,HLOOKUP(INDIRECT(ADDRESS(2,COLUMN())),OFFSET($CL$2,0,0,ROW()-1,84),ROW()-1,FALSE))</f>
        <v>2.2320000000000002</v>
      </c>
      <c r="U162">
        <f ca="1">IF(AND(ISNUMBER($U$370),$B$252=1),$U$370,HLOOKUP(INDIRECT(ADDRESS(2,COLUMN())),OFFSET($CL$2,0,0,ROW()-1,84),ROW()-1,FALSE))</f>
        <v>2.2200000000000002</v>
      </c>
      <c r="V162">
        <f ca="1">IF(AND(ISNUMBER($V$370),$B$252=1),$V$370,HLOOKUP(INDIRECT(ADDRESS(2,COLUMN())),OFFSET($CL$2,0,0,ROW()-1,84),ROW()-1,FALSE))</f>
        <v>2.2650000000000001</v>
      </c>
      <c r="W162">
        <f ca="1">IF(AND(ISNUMBER($W$370),$B$252=1),$W$370,HLOOKUP(INDIRECT(ADDRESS(2,COLUMN())),OFFSET($CL$2,0,0,ROW()-1,84),ROW()-1,FALSE))</f>
        <v>2.2599999999999998</v>
      </c>
      <c r="X162" t="str">
        <f ca="1">IF(AND(ISNUMBER($X$370),$B$252=1),$X$370,HLOOKUP(INDIRECT(ADDRESS(2,COLUMN())),OFFSET($CL$2,0,0,ROW()-1,84),ROW()-1,FALSE))</f>
        <v/>
      </c>
      <c r="Y162">
        <f ca="1">IF(AND(ISNUMBER($Y$370),$B$252=1),$Y$370,HLOOKUP(INDIRECT(ADDRESS(2,COLUMN())),OFFSET($CL$2,0,0,ROW()-1,84),ROW()-1,FALSE))</f>
        <v>2.343</v>
      </c>
      <c r="Z162">
        <f ca="1">IF(AND(ISNUMBER($Z$370),$B$252=1),$Z$370,HLOOKUP(INDIRECT(ADDRESS(2,COLUMN())),OFFSET($CL$2,0,0,ROW()-1,84),ROW()-1,FALSE))</f>
        <v>2.35</v>
      </c>
      <c r="AA162">
        <f ca="1">IF(AND(ISNUMBER($AA$370),$B$252=1),$AA$370,HLOOKUP(INDIRECT(ADDRESS(2,COLUMN())),OFFSET($CL$2,0,0,ROW()-1,84),ROW()-1,FALSE))</f>
        <v>2.35</v>
      </c>
      <c r="AB162">
        <f ca="1">IF(AND(ISNUMBER($AB$370),$B$252=1),$AB$370,HLOOKUP(INDIRECT(ADDRESS(2,COLUMN())),OFFSET($CL$2,0,0,ROW()-1,84),ROW()-1,FALSE))</f>
        <v>2.35</v>
      </c>
      <c r="AC162" t="str">
        <f ca="1">IF(AND(ISNUMBER($AC$370),$B$252=1),$AC$370,HLOOKUP(INDIRECT(ADDRESS(2,COLUMN())),OFFSET($CL$2,0,0,ROW()-1,84),ROW()-1,FALSE))</f>
        <v/>
      </c>
      <c r="AD162" t="str">
        <f ca="1">IF(AND(ISNUMBER($AD$370),$B$252=1),$AD$370,HLOOKUP(INDIRECT(ADDRESS(2,COLUMN())),OFFSET($CL$2,0,0,ROW()-1,84),ROW()-1,FALSE))</f>
        <v/>
      </c>
      <c r="AE162" t="str">
        <f ca="1">IF(AND(ISNUMBER($AE$370),$B$252=1),$AE$370,HLOOKUP(INDIRECT(ADDRESS(2,COLUMN())),OFFSET($CL$2,0,0,ROW()-1,84),ROW()-1,FALSE))</f>
        <v/>
      </c>
      <c r="AF162" t="str">
        <f ca="1">IF(AND(ISNUMBER($AF$370),$B$252=1),$AF$370,HLOOKUP(INDIRECT(ADDRESS(2,COLUMN())),OFFSET($CL$2,0,0,ROW()-1,84),ROW()-1,FALSE))</f>
        <v/>
      </c>
      <c r="AG162" t="str">
        <f ca="1">IF(AND(ISNUMBER($AG$370),$B$252=1),$AG$370,HLOOKUP(INDIRECT(ADDRESS(2,COLUMN())),OFFSET($CL$2,0,0,ROW()-1,84),ROW()-1,FALSE))</f>
        <v/>
      </c>
      <c r="AH162" t="str">
        <f ca="1">IF(AND(ISNUMBER($AH$370),$B$252=1),$AH$370,HLOOKUP(INDIRECT(ADDRESS(2,COLUMN())),OFFSET($CL$2,0,0,ROW()-1,84),ROW()-1,FALSE))</f>
        <v/>
      </c>
      <c r="AI162" t="str">
        <f ca="1">IF(AND(ISNUMBER($AI$370),$B$252=1),$AI$370,HLOOKUP(INDIRECT(ADDRESS(2,COLUMN())),OFFSET($CL$2,0,0,ROW()-1,84),ROW()-1,FALSE))</f>
        <v/>
      </c>
      <c r="AJ162" t="str">
        <f ca="1">IF(AND(ISNUMBER($AJ$370),$B$252=1),$AJ$370,HLOOKUP(INDIRECT(ADDRESS(2,COLUMN())),OFFSET($CL$2,0,0,ROW()-1,84),ROW()-1,FALSE))</f>
        <v/>
      </c>
      <c r="AK162" t="str">
        <f ca="1">IF(AND(ISNUMBER($AK$370),$B$252=1),$AK$370,HLOOKUP(INDIRECT(ADDRESS(2,COLUMN())),OFFSET($CL$2,0,0,ROW()-1,84),ROW()-1,FALSE))</f>
        <v/>
      </c>
      <c r="AL162" t="str">
        <f ca="1">IF(AND(ISNUMBER($AL$370),$B$252=1),$AL$370,HLOOKUP(INDIRECT(ADDRESS(2,COLUMN())),OFFSET($CL$2,0,0,ROW()-1,84),ROW()-1,FALSE))</f>
        <v/>
      </c>
      <c r="AM162" t="str">
        <f ca="1">IF(AND(ISNUMBER($AM$370),$B$252=1),$AM$370,HLOOKUP(INDIRECT(ADDRESS(2,COLUMN())),OFFSET($CL$2,0,0,ROW()-1,84),ROW()-1,FALSE))</f>
        <v/>
      </c>
      <c r="AN162" t="str">
        <f ca="1">IF(AND(ISNUMBER($AN$370),$B$252=1),$AN$370,HLOOKUP(INDIRECT(ADDRESS(2,COLUMN())),OFFSET($CL$2,0,0,ROW()-1,84),ROW()-1,FALSE))</f>
        <v/>
      </c>
      <c r="AO162" t="str">
        <f ca="1">IF(AND(ISNUMBER($AO$370),$B$252=1),$AO$370,HLOOKUP(INDIRECT(ADDRESS(2,COLUMN())),OFFSET($CL$2,0,0,ROW()-1,84),ROW()-1,FALSE))</f>
        <v/>
      </c>
      <c r="AP162" t="str">
        <f ca="1">IF(AND(ISNUMBER($AP$370),$B$252=1),$AP$370,HLOOKUP(INDIRECT(ADDRESS(2,COLUMN())),OFFSET($CL$2,0,0,ROW()-1,84),ROW()-1,FALSE))</f>
        <v/>
      </c>
      <c r="AQ162" t="str">
        <f ca="1">IF(AND(ISNUMBER($AQ$370),$B$252=1),$AQ$370,HLOOKUP(INDIRECT(ADDRESS(2,COLUMN())),OFFSET($CL$2,0,0,ROW()-1,84),ROW()-1,FALSE))</f>
        <v/>
      </c>
      <c r="AR162" t="str">
        <f ca="1">IF(AND(ISNUMBER($AR$370),$B$252=1),$AR$370,HLOOKUP(INDIRECT(ADDRESS(2,COLUMN())),OFFSET($CL$2,0,0,ROW()-1,84),ROW()-1,FALSE))</f>
        <v/>
      </c>
      <c r="AS162" t="str">
        <f ca="1">IF(AND(ISNUMBER($AS$370),$B$252=1),$AS$370,HLOOKUP(INDIRECT(ADDRESS(2,COLUMN())),OFFSET($CL$2,0,0,ROW()-1,84),ROW()-1,FALSE))</f>
        <v/>
      </c>
      <c r="AT162" t="str">
        <f ca="1">IF(AND(ISNUMBER($AT$370),$B$252=1),$AT$370,HLOOKUP(INDIRECT(ADDRESS(2,COLUMN())),OFFSET($CL$2,0,0,ROW()-1,84),ROW()-1,FALSE))</f>
        <v/>
      </c>
      <c r="AU162" t="str">
        <f ca="1">IF(AND(ISNUMBER($AU$370),$B$252=1),$AU$370,HLOOKUP(INDIRECT(ADDRESS(2,COLUMN())),OFFSET($CL$2,0,0,ROW()-1,84),ROW()-1,FALSE))</f>
        <v/>
      </c>
      <c r="AV162" t="str">
        <f ca="1">IF(AND(ISNUMBER($AV$370),$B$252=1),$AV$370,HLOOKUP(INDIRECT(ADDRESS(2,COLUMN())),OFFSET($CL$2,0,0,ROW()-1,84),ROW()-1,FALSE))</f>
        <v/>
      </c>
      <c r="AW162" t="str">
        <f ca="1">IF(AND(ISNUMBER($AW$370),$B$252=1),$AW$370,HLOOKUP(INDIRECT(ADDRESS(2,COLUMN())),OFFSET($CL$2,0,0,ROW()-1,84),ROW()-1,FALSE))</f>
        <v/>
      </c>
      <c r="AX162" t="str">
        <f ca="1">IF(AND(ISNUMBER($AX$370),$B$252=1),$AX$370,HLOOKUP(INDIRECT(ADDRESS(2,COLUMN())),OFFSET($CL$2,0,0,ROW()-1,84),ROW()-1,FALSE))</f>
        <v/>
      </c>
      <c r="AY162" t="str">
        <f ca="1">IF(AND(ISNUMBER($AY$370),$B$252=1),$AY$370,HLOOKUP(INDIRECT(ADDRESS(2,COLUMN())),OFFSET($CL$2,0,0,ROW()-1,84),ROW()-1,FALSE))</f>
        <v/>
      </c>
      <c r="AZ162" t="str">
        <f ca="1">IF(AND(ISNUMBER($AZ$370),$B$252=1),$AZ$370,HLOOKUP(INDIRECT(ADDRESS(2,COLUMN())),OFFSET($CL$2,0,0,ROW()-1,84),ROW()-1,FALSE))</f>
        <v/>
      </c>
      <c r="BA162" t="str">
        <f ca="1">IF(AND(ISNUMBER($BA$370),$B$252=1),$BA$370,HLOOKUP(INDIRECT(ADDRESS(2,COLUMN())),OFFSET($CL$2,0,0,ROW()-1,84),ROW()-1,FALSE))</f>
        <v/>
      </c>
      <c r="BB162" t="str">
        <f ca="1">IF(AND(ISNUMBER($BB$370),$B$252=1),$BB$370,HLOOKUP(INDIRECT(ADDRESS(2,COLUMN())),OFFSET($CL$2,0,0,ROW()-1,84),ROW()-1,FALSE))</f>
        <v/>
      </c>
      <c r="BC162" t="str">
        <f ca="1">IF(AND(ISNUMBER($BC$370),$B$252=1),$BC$370,HLOOKUP(INDIRECT(ADDRESS(2,COLUMN())),OFFSET($CL$2,0,0,ROW()-1,84),ROW()-1,FALSE))</f>
        <v/>
      </c>
      <c r="BD162" t="str">
        <f ca="1">IF(AND(ISNUMBER($BD$370),$B$252=1),$BD$370,HLOOKUP(INDIRECT(ADDRESS(2,COLUMN())),OFFSET($CL$2,0,0,ROW()-1,84),ROW()-1,FALSE))</f>
        <v/>
      </c>
      <c r="BE162" t="str">
        <f ca="1">IF(AND(ISNUMBER($BE$370),$B$252=1),$BE$370,HLOOKUP(INDIRECT(ADDRESS(2,COLUMN())),OFFSET($CL$2,0,0,ROW()-1,84),ROW()-1,FALSE))</f>
        <v/>
      </c>
      <c r="BF162" t="str">
        <f ca="1">IF(AND(ISNUMBER($BF$370),$B$252=1),$BF$370,HLOOKUP(INDIRECT(ADDRESS(2,COLUMN())),OFFSET($CL$2,0,0,ROW()-1,84),ROW()-1,FALSE))</f>
        <v/>
      </c>
      <c r="BG162" t="str">
        <f ca="1">IF(AND(ISNUMBER($BG$370),$B$252=1),$BG$370,HLOOKUP(INDIRECT(ADDRESS(2,COLUMN())),OFFSET($CL$2,0,0,ROW()-1,84),ROW()-1,FALSE))</f>
        <v/>
      </c>
      <c r="BH162" t="str">
        <f ca="1">IF(AND(ISNUMBER($BH$370),$B$252=1),$BH$370,HLOOKUP(INDIRECT(ADDRESS(2,COLUMN())),OFFSET($CL$2,0,0,ROW()-1,84),ROW()-1,FALSE))</f>
        <v/>
      </c>
      <c r="BI162" t="str">
        <f ca="1">IF(AND(ISNUMBER($BI$370),$B$252=1),$BI$370,HLOOKUP(INDIRECT(ADDRESS(2,COLUMN())),OFFSET($CL$2,0,0,ROW()-1,84),ROW()-1,FALSE))</f>
        <v/>
      </c>
      <c r="BJ162" t="str">
        <f ca="1">IF(AND(ISNUMBER($BJ$370),$B$252=1),$BJ$370,HLOOKUP(INDIRECT(ADDRESS(2,COLUMN())),OFFSET($CL$2,0,0,ROW()-1,84),ROW()-1,FALSE))</f>
        <v/>
      </c>
      <c r="BK162" t="str">
        <f ca="1">IF(AND(ISNUMBER($BK$370),$B$252=1),$BK$370,HLOOKUP(INDIRECT(ADDRESS(2,COLUMN())),OFFSET($CL$2,0,0,ROW()-1,84),ROW()-1,FALSE))</f>
        <v/>
      </c>
      <c r="BL162" t="str">
        <f ca="1">IF(AND(ISNUMBER($BL$370),$B$252=1),$BL$370,HLOOKUP(INDIRECT(ADDRESS(2,COLUMN())),OFFSET($CL$2,0,0,ROW()-1,84),ROW()-1,FALSE))</f>
        <v/>
      </c>
      <c r="BM162" t="str">
        <f ca="1">IF(AND(ISNUMBER($BM$370),$B$252=1),$BM$370,HLOOKUP(INDIRECT(ADDRESS(2,COLUMN())),OFFSET($CL$2,0,0,ROW()-1,84),ROW()-1,FALSE))</f>
        <v/>
      </c>
      <c r="BN162" t="str">
        <f ca="1">IF(AND(ISNUMBER($BN$370),$B$252=1),$BN$370,HLOOKUP(INDIRECT(ADDRESS(2,COLUMN())),OFFSET($CL$2,0,0,ROW()-1,84),ROW()-1,FALSE))</f>
        <v/>
      </c>
      <c r="BO162" t="str">
        <f ca="1">IF(AND(ISNUMBER($BO$370),$B$252=1),$BO$370,HLOOKUP(INDIRECT(ADDRESS(2,COLUMN())),OFFSET($CL$2,0,0,ROW()-1,84),ROW()-1,FALSE))</f>
        <v/>
      </c>
      <c r="BP162" t="str">
        <f ca="1">IF(AND(ISNUMBER($BP$370),$B$252=1),$BP$370,HLOOKUP(INDIRECT(ADDRESS(2,COLUMN())),OFFSET($CL$2,0,0,ROW()-1,84),ROW()-1,FALSE))</f>
        <v/>
      </c>
      <c r="BQ162" t="str">
        <f ca="1">IF(AND(ISNUMBER($BQ$370),$B$252=1),$BQ$370,HLOOKUP(INDIRECT(ADDRESS(2,COLUMN())),OFFSET($CL$2,0,0,ROW()-1,84),ROW()-1,FALSE))</f>
        <v/>
      </c>
      <c r="BR162" t="str">
        <f ca="1">IF(AND(ISNUMBER($BR$370),$B$252=1),$BR$370,HLOOKUP(INDIRECT(ADDRESS(2,COLUMN())),OFFSET($CL$2,0,0,ROW()-1,84),ROW()-1,FALSE))</f>
        <v/>
      </c>
      <c r="BS162" t="str">
        <f ca="1">IF(AND(ISNUMBER($BS$370),$B$252=1),$BS$370,HLOOKUP(INDIRECT(ADDRESS(2,COLUMN())),OFFSET($CL$2,0,0,ROW()-1,84),ROW()-1,FALSE))</f>
        <v/>
      </c>
      <c r="BT162" t="str">
        <f ca="1">IF(AND(ISNUMBER($BT$370),$B$252=1),$BT$370,HLOOKUP(INDIRECT(ADDRESS(2,COLUMN())),OFFSET($CL$2,0,0,ROW()-1,84),ROW()-1,FALSE))</f>
        <v/>
      </c>
      <c r="BU162" t="str">
        <f ca="1">IF(AND(ISNUMBER($BU$370),$B$252=1),$BU$370,HLOOKUP(INDIRECT(ADDRESS(2,COLUMN())),OFFSET($CL$2,0,0,ROW()-1,84),ROW()-1,FALSE))</f>
        <v/>
      </c>
      <c r="BV162" t="str">
        <f ca="1">IF(AND(ISNUMBER($BV$370),$B$252=1),$BV$370,HLOOKUP(INDIRECT(ADDRESS(2,COLUMN())),OFFSET($CL$2,0,0,ROW()-1,84),ROW()-1,FALSE))</f>
        <v/>
      </c>
      <c r="BW162" t="str">
        <f ca="1">IF(AND(ISNUMBER($BW$370),$B$252=1),$BW$370,HLOOKUP(INDIRECT(ADDRESS(2,COLUMN())),OFFSET($CL$2,0,0,ROW()-1,84),ROW()-1,FALSE))</f>
        <v/>
      </c>
      <c r="BX162" t="str">
        <f ca="1">IF(AND(ISNUMBER($BX$370),$B$252=1),$BX$370,HLOOKUP(INDIRECT(ADDRESS(2,COLUMN())),OFFSET($CL$2,0,0,ROW()-1,84),ROW()-1,FALSE))</f>
        <v/>
      </c>
      <c r="BY162" t="str">
        <f ca="1">IF(AND(ISNUMBER($BY$370),$B$252=1),$BY$370,HLOOKUP(INDIRECT(ADDRESS(2,COLUMN())),OFFSET($CL$2,0,0,ROW()-1,84),ROW()-1,FALSE))</f>
        <v/>
      </c>
      <c r="BZ162" t="str">
        <f ca="1">IF(AND(ISNUMBER($BZ$370),$B$252=1),$BZ$370,HLOOKUP(INDIRECT(ADDRESS(2,COLUMN())),OFFSET($CL$2,0,0,ROW()-1,84),ROW()-1,FALSE))</f>
        <v/>
      </c>
      <c r="CA162" t="str">
        <f ca="1">IF(AND(ISNUMBER($CA$370),$B$252=1),$CA$370,HLOOKUP(INDIRECT(ADDRESS(2,COLUMN())),OFFSET($CL$2,0,0,ROW()-1,84),ROW()-1,FALSE))</f>
        <v/>
      </c>
      <c r="CB162" t="str">
        <f ca="1">IF(AND(ISNUMBER($CB$370),$B$252=1),$CB$370,HLOOKUP(INDIRECT(ADDRESS(2,COLUMN())),OFFSET($CL$2,0,0,ROW()-1,84),ROW()-1,FALSE))</f>
        <v/>
      </c>
      <c r="CC162" t="str">
        <f ca="1">IF(AND(ISNUMBER($CC$370),$B$252=1),$CC$370,HLOOKUP(INDIRECT(ADDRESS(2,COLUMN())),OFFSET($CL$2,0,0,ROW()-1,84),ROW()-1,FALSE))</f>
        <v/>
      </c>
      <c r="CD162" t="str">
        <f ca="1">IF(AND(ISNUMBER($CD$370),$B$252=1),$CD$370,HLOOKUP(INDIRECT(ADDRESS(2,COLUMN())),OFFSET($CL$2,0,0,ROW()-1,84),ROW()-1,FALSE))</f>
        <v/>
      </c>
      <c r="CE162" t="str">
        <f ca="1">IF(AND(ISNUMBER($CE$370),$B$252=1),$CE$370,HLOOKUP(INDIRECT(ADDRESS(2,COLUMN())),OFFSET($CL$2,0,0,ROW()-1,84),ROW()-1,FALSE))</f>
        <v/>
      </c>
      <c r="CF162" t="str">
        <f ca="1">IF(AND(ISNUMBER($CF$370),$B$252=1),$CF$370,HLOOKUP(INDIRECT(ADDRESS(2,COLUMN())),OFFSET($CL$2,0,0,ROW()-1,84),ROW()-1,FALSE))</f>
        <v/>
      </c>
      <c r="CG162" t="str">
        <f ca="1">IF(AND(ISNUMBER($CG$370),$B$252=1),$CG$370,HLOOKUP(INDIRECT(ADDRESS(2,COLUMN())),OFFSET($CL$2,0,0,ROW()-1,84),ROW()-1,FALSE))</f>
        <v/>
      </c>
      <c r="CH162" t="str">
        <f ca="1">IF(AND(ISNUMBER($CH$370),$B$252=1),$CH$370,HLOOKUP(INDIRECT(ADDRESS(2,COLUMN())),OFFSET($CL$2,0,0,ROW()-1,84),ROW()-1,FALSE))</f>
        <v/>
      </c>
      <c r="CI162" t="str">
        <f ca="1">IF(AND(ISNUMBER($CI$370),$B$252=1),$CI$370,HLOOKUP(INDIRECT(ADDRESS(2,COLUMN())),OFFSET($CL$2,0,0,ROW()-1,84),ROW()-1,FALSE))</f>
        <v/>
      </c>
      <c r="CJ162" t="str">
        <f ca="1">IF(AND(ISNUMBER($CJ$370),$B$252=1),$CJ$370,HLOOKUP(INDIRECT(ADDRESS(2,COLUMN())),OFFSET($CL$2,0,0,ROW()-1,84),ROW()-1,FALSE))</f>
        <v/>
      </c>
      <c r="CK162" t="str">
        <f ca="1">IF(AND(ISNUMBER($CK$370),$B$252=1),$CK$370,HLOOKUP(INDIRECT(ADDRESS(2,COLUMN())),OFFSET($CL$2,0,0,ROW()-1,84),ROW()-1,FALSE))</f>
        <v/>
      </c>
      <c r="CL162">
        <f>2.11</f>
        <v>2.11</v>
      </c>
      <c r="CM162">
        <f>2.121</f>
        <v>2.121</v>
      </c>
      <c r="CN162">
        <f>2.228</f>
        <v>2.2280000000000002</v>
      </c>
      <c r="CO162">
        <f>2.238</f>
        <v>2.238</v>
      </c>
      <c r="CP162">
        <f>2.243</f>
        <v>2.2429999999999999</v>
      </c>
      <c r="CQ162">
        <f>2.246</f>
        <v>2.246</v>
      </c>
      <c r="CR162">
        <f>2.248</f>
        <v>2.2480000000000002</v>
      </c>
      <c r="CS162">
        <f>2.25</f>
        <v>2.25</v>
      </c>
      <c r="CT162">
        <f>2.295</f>
        <v>2.2949999999999999</v>
      </c>
      <c r="CU162">
        <f>2.246</f>
        <v>2.246</v>
      </c>
      <c r="CV162">
        <f>2.246</f>
        <v>2.246</v>
      </c>
      <c r="CW162">
        <f>2.253</f>
        <v>2.2530000000000001</v>
      </c>
      <c r="CX162">
        <f>2.263</f>
        <v>2.2629999999999999</v>
      </c>
      <c r="CY162">
        <f>2.263</f>
        <v>2.2629999999999999</v>
      </c>
      <c r="CZ162">
        <f>2.232</f>
        <v>2.2320000000000002</v>
      </c>
      <c r="DA162">
        <f>2.22</f>
        <v>2.2200000000000002</v>
      </c>
      <c r="DB162">
        <f>2.265</f>
        <v>2.2650000000000001</v>
      </c>
      <c r="DC162">
        <f>2.26</f>
        <v>2.2599999999999998</v>
      </c>
      <c r="DD162" t="str">
        <f>""</f>
        <v/>
      </c>
      <c r="DE162">
        <f>2.343</f>
        <v>2.343</v>
      </c>
      <c r="DF162">
        <f>2.35</f>
        <v>2.35</v>
      </c>
      <c r="DG162">
        <f>2.35</f>
        <v>2.35</v>
      </c>
      <c r="DH162">
        <f>2.35</f>
        <v>2.35</v>
      </c>
      <c r="DI162" t="str">
        <f>""</f>
        <v/>
      </c>
      <c r="DJ162" t="str">
        <f>""</f>
        <v/>
      </c>
      <c r="DK162" t="str">
        <f>""</f>
        <v/>
      </c>
      <c r="DL162" t="str">
        <f>""</f>
        <v/>
      </c>
      <c r="DM162" t="str">
        <f>""</f>
        <v/>
      </c>
      <c r="DN162" t="str">
        <f>""</f>
        <v/>
      </c>
      <c r="DO162" t="str">
        <f>""</f>
        <v/>
      </c>
      <c r="DP162" t="str">
        <f>""</f>
        <v/>
      </c>
      <c r="DQ162" t="str">
        <f>""</f>
        <v/>
      </c>
      <c r="DR162" t="str">
        <f>""</f>
        <v/>
      </c>
      <c r="DS162" t="str">
        <f>""</f>
        <v/>
      </c>
      <c r="DT162" t="str">
        <f>""</f>
        <v/>
      </c>
      <c r="DU162" t="str">
        <f>""</f>
        <v/>
      </c>
      <c r="DV162" t="str">
        <f>""</f>
        <v/>
      </c>
      <c r="DW162" t="str">
        <f>""</f>
        <v/>
      </c>
      <c r="DX162" t="str">
        <f>""</f>
        <v/>
      </c>
      <c r="DY162" t="str">
        <f>""</f>
        <v/>
      </c>
      <c r="DZ162" t="str">
        <f>""</f>
        <v/>
      </c>
      <c r="EA162" t="str">
        <f>""</f>
        <v/>
      </c>
      <c r="EB162" t="str">
        <f>""</f>
        <v/>
      </c>
      <c r="EC162" t="str">
        <f>""</f>
        <v/>
      </c>
      <c r="ED162" t="str">
        <f>""</f>
        <v/>
      </c>
      <c r="EE162" t="str">
        <f>""</f>
        <v/>
      </c>
      <c r="EF162" t="str">
        <f>""</f>
        <v/>
      </c>
      <c r="EG162" t="str">
        <f>""</f>
        <v/>
      </c>
      <c r="EH162" t="str">
        <f>""</f>
        <v/>
      </c>
      <c r="EI162" t="str">
        <f>""</f>
        <v/>
      </c>
      <c r="EJ162" t="str">
        <f>""</f>
        <v/>
      </c>
      <c r="EK162" t="str">
        <f>""</f>
        <v/>
      </c>
      <c r="EL162" t="str">
        <f>""</f>
        <v/>
      </c>
      <c r="EM162" t="str">
        <f>""</f>
        <v/>
      </c>
      <c r="EN162" t="str">
        <f>""</f>
        <v/>
      </c>
      <c r="EO162" t="str">
        <f>""</f>
        <v/>
      </c>
      <c r="EP162" t="str">
        <f>""</f>
        <v/>
      </c>
      <c r="EQ162" t="str">
        <f>""</f>
        <v/>
      </c>
      <c r="ER162" t="str">
        <f>""</f>
        <v/>
      </c>
      <c r="ES162" t="str">
        <f>""</f>
        <v/>
      </c>
      <c r="ET162" t="str">
        <f>""</f>
        <v/>
      </c>
      <c r="EU162" t="str">
        <f>""</f>
        <v/>
      </c>
      <c r="EV162" t="str">
        <f>""</f>
        <v/>
      </c>
      <c r="EW162" t="str">
        <f>""</f>
        <v/>
      </c>
      <c r="EX162" t="str">
        <f>""</f>
        <v/>
      </c>
      <c r="EY162" t="str">
        <f>""</f>
        <v/>
      </c>
      <c r="EZ162" t="str">
        <f>""</f>
        <v/>
      </c>
      <c r="FA162" t="str">
        <f>""</f>
        <v/>
      </c>
      <c r="FB162" t="str">
        <f>""</f>
        <v/>
      </c>
      <c r="FC162" t="str">
        <f>""</f>
        <v/>
      </c>
      <c r="FD162" t="str">
        <f>""</f>
        <v/>
      </c>
      <c r="FE162" t="str">
        <f>""</f>
        <v/>
      </c>
      <c r="FF162" t="str">
        <f>""</f>
        <v/>
      </c>
      <c r="FG162" t="str">
        <f>""</f>
        <v/>
      </c>
      <c r="FH162" t="str">
        <f>""</f>
        <v/>
      </c>
      <c r="FI162" t="str">
        <f>""</f>
        <v/>
      </c>
      <c r="FJ162" t="str">
        <f>""</f>
        <v/>
      </c>
      <c r="FK162" t="str">
        <f>""</f>
        <v/>
      </c>
      <c r="FL162" t="str">
        <f>""</f>
        <v/>
      </c>
      <c r="FM162" t="str">
        <f>""</f>
        <v/>
      </c>
      <c r="FN162" t="str">
        <f>""</f>
        <v/>
      </c>
      <c r="FO162" t="str">
        <f>""</f>
        <v/>
      </c>
      <c r="FP162" t="str">
        <f>""</f>
        <v/>
      </c>
      <c r="FQ162" t="str">
        <f>""</f>
        <v/>
      </c>
    </row>
    <row r="163" spans="1:173">
      <c r="A163" t="str">
        <f>"    AvalonBay Communities Inc"</f>
        <v xml:space="preserve">    AvalonBay Communities Inc</v>
      </c>
      <c r="B163" t="str">
        <f>"AVB US Equity"</f>
        <v>AVB US Equity</v>
      </c>
      <c r="C163" t="str">
        <f t="shared" si="51"/>
        <v>BE895</v>
      </c>
      <c r="D163" t="str">
        <f t="shared" si="52"/>
        <v>BEST_AFFOPS</v>
      </c>
      <c r="E163" t="str">
        <f t="shared" si="53"/>
        <v>动态</v>
      </c>
      <c r="F163">
        <f ca="1">IF(AND(ISNUMBER($F$371),$B$252=1),$F$371,HLOOKUP(INDIRECT(ADDRESS(2,COLUMN())),OFFSET($CL$2,0,0,ROW()-1,84),ROW()-1,FALSE))</f>
        <v>8.4450000000000003</v>
      </c>
      <c r="G163">
        <f ca="1">IF(AND(ISNUMBER($G$371),$B$252=1),$G$371,HLOOKUP(INDIRECT(ADDRESS(2,COLUMN())),OFFSET($CL$2,0,0,ROW()-1,84),ROW()-1,FALSE))</f>
        <v>8.4730000000000008</v>
      </c>
      <c r="H163">
        <f ca="1">IF(AND(ISNUMBER($H$371),$B$252=1),$H$371,HLOOKUP(INDIRECT(ADDRESS(2,COLUMN())),OFFSET($CL$2,0,0,ROW()-1,84),ROW()-1,FALSE))</f>
        <v>8.5399999999999991</v>
      </c>
      <c r="I163">
        <f ca="1">IF(AND(ISNUMBER($I$371),$B$252=1),$I$371,HLOOKUP(INDIRECT(ADDRESS(2,COLUMN())),OFFSET($CL$2,0,0,ROW()-1,84),ROW()-1,FALSE))</f>
        <v>8.5340000000000007</v>
      </c>
      <c r="J163">
        <f ca="1">IF(AND(ISNUMBER($J$371),$B$252=1),$J$371,HLOOKUP(INDIRECT(ADDRESS(2,COLUMN())),OFFSET($CL$2,0,0,ROW()-1,84),ROW()-1,FALSE))</f>
        <v>8.5380000000000003</v>
      </c>
      <c r="K163">
        <f ca="1">IF(AND(ISNUMBER($K$371),$B$252=1),$K$371,HLOOKUP(INDIRECT(ADDRESS(2,COLUMN())),OFFSET($CL$2,0,0,ROW()-1,84),ROW()-1,FALSE))</f>
        <v>8.5500000000000007</v>
      </c>
      <c r="L163">
        <f ca="1">IF(AND(ISNUMBER($L$371),$B$252=1),$L$371,HLOOKUP(INDIRECT(ADDRESS(2,COLUMN())),OFFSET($CL$2,0,0,ROW()-1,84),ROW()-1,FALSE))</f>
        <v>8.5579999999999998</v>
      </c>
      <c r="M163">
        <f ca="1">IF(AND(ISNUMBER($M$371),$B$252=1),$M$371,HLOOKUP(INDIRECT(ADDRESS(2,COLUMN())),OFFSET($CL$2,0,0,ROW()-1,84),ROW()-1,FALSE))</f>
        <v>8.5739999999999998</v>
      </c>
      <c r="N163">
        <f ca="1">IF(AND(ISNUMBER($N$371),$B$252=1),$N$371,HLOOKUP(INDIRECT(ADDRESS(2,COLUMN())),OFFSET($CL$2,0,0,ROW()-1,84),ROW()-1,FALSE))</f>
        <v>8.6189999999999998</v>
      </c>
      <c r="O163">
        <f ca="1">IF(AND(ISNUMBER($O$371),$B$252=1),$O$371,HLOOKUP(INDIRECT(ADDRESS(2,COLUMN())),OFFSET($CL$2,0,0,ROW()-1,84),ROW()-1,FALSE))</f>
        <v>8.6300000000000008</v>
      </c>
      <c r="P163">
        <f ca="1">IF(AND(ISNUMBER($P$371),$B$252=1),$P$371,HLOOKUP(INDIRECT(ADDRESS(2,COLUMN())),OFFSET($CL$2,0,0,ROW()-1,84),ROW()-1,FALSE))</f>
        <v>8.609</v>
      </c>
      <c r="Q163">
        <f ca="1">IF(AND(ISNUMBER($Q$371),$B$252=1),$Q$371,HLOOKUP(INDIRECT(ADDRESS(2,COLUMN())),OFFSET($CL$2,0,0,ROW()-1,84),ROW()-1,FALSE))</f>
        <v>8.5660000000000007</v>
      </c>
      <c r="R163">
        <f ca="1">IF(AND(ISNUMBER($R$371),$B$252=1),$R$371,HLOOKUP(INDIRECT(ADDRESS(2,COLUMN())),OFFSET($CL$2,0,0,ROW()-1,84),ROW()-1,FALSE))</f>
        <v>8.6059999999999999</v>
      </c>
      <c r="S163">
        <f ca="1">IF(AND(ISNUMBER($S$371),$B$252=1),$S$371,HLOOKUP(INDIRECT(ADDRESS(2,COLUMN())),OFFSET($CL$2,0,0,ROW()-1,84),ROW()-1,FALSE))</f>
        <v>8.5839999999999996</v>
      </c>
      <c r="T163">
        <f ca="1">IF(AND(ISNUMBER($T$371),$B$252=1),$T$371,HLOOKUP(INDIRECT(ADDRESS(2,COLUMN())),OFFSET($CL$2,0,0,ROW()-1,84),ROW()-1,FALSE))</f>
        <v>8.58</v>
      </c>
      <c r="U163">
        <f ca="1">IF(AND(ISNUMBER($U$371),$B$252=1),$U$371,HLOOKUP(INDIRECT(ADDRESS(2,COLUMN())),OFFSET($CL$2,0,0,ROW()-1,84),ROW()-1,FALSE))</f>
        <v>8.6</v>
      </c>
      <c r="V163">
        <f ca="1">IF(AND(ISNUMBER($V$371),$B$252=1),$V$371,HLOOKUP(INDIRECT(ADDRESS(2,COLUMN())),OFFSET($CL$2,0,0,ROW()-1,84),ROW()-1,FALSE))</f>
        <v>8.6229999999999993</v>
      </c>
      <c r="W163">
        <f ca="1">IF(AND(ISNUMBER($W$371),$B$252=1),$W$371,HLOOKUP(INDIRECT(ADDRESS(2,COLUMN())),OFFSET($CL$2,0,0,ROW()-1,84),ROW()-1,FALSE))</f>
        <v>8.6129999999999995</v>
      </c>
      <c r="X163">
        <f ca="1">IF(AND(ISNUMBER($X$371),$B$252=1),$X$371,HLOOKUP(INDIRECT(ADDRESS(2,COLUMN())),OFFSET($CL$2,0,0,ROW()-1,84),ROW()-1,FALSE))</f>
        <v>8.76</v>
      </c>
      <c r="Y163">
        <f ca="1">IF(AND(ISNUMBER($Y$371),$B$252=1),$Y$371,HLOOKUP(INDIRECT(ADDRESS(2,COLUMN())),OFFSET($CL$2,0,0,ROW()-1,84),ROW()-1,FALSE))</f>
        <v>8.7970000000000006</v>
      </c>
      <c r="Z163">
        <f ca="1">IF(AND(ISNUMBER($Z$371),$B$252=1),$Z$371,HLOOKUP(INDIRECT(ADDRESS(2,COLUMN())),OFFSET($CL$2,0,0,ROW()-1,84),ROW()-1,FALSE))</f>
        <v>8.7970000000000006</v>
      </c>
      <c r="AA163">
        <f ca="1">IF(AND(ISNUMBER($AA$371),$B$252=1),$AA$371,HLOOKUP(INDIRECT(ADDRESS(2,COLUMN())),OFFSET($CL$2,0,0,ROW()-1,84),ROW()-1,FALSE))</f>
        <v>8.67</v>
      </c>
      <c r="AB163" t="str">
        <f ca="1">IF(AND(ISNUMBER($AB$371),$B$252=1),$AB$371,HLOOKUP(INDIRECT(ADDRESS(2,COLUMN())),OFFSET($CL$2,0,0,ROW()-1,84),ROW()-1,FALSE))</f>
        <v/>
      </c>
      <c r="AC163">
        <f ca="1">IF(AND(ISNUMBER($AC$371),$B$252=1),$AC$371,HLOOKUP(INDIRECT(ADDRESS(2,COLUMN())),OFFSET($CL$2,0,0,ROW()-1,84),ROW()-1,FALSE))</f>
        <v>8.7200000000000006</v>
      </c>
      <c r="AD163" t="str">
        <f ca="1">IF(AND(ISNUMBER($AD$371),$B$252=1),$AD$371,HLOOKUP(INDIRECT(ADDRESS(2,COLUMN())),OFFSET($CL$2,0,0,ROW()-1,84),ROW()-1,FALSE))</f>
        <v/>
      </c>
      <c r="AE163">
        <f ca="1">IF(AND(ISNUMBER($AE$371),$B$252=1),$AE$371,HLOOKUP(INDIRECT(ADDRESS(2,COLUMN())),OFFSET($CL$2,0,0,ROW()-1,84),ROW()-1,FALSE))</f>
        <v>8.98</v>
      </c>
      <c r="AF163" t="str">
        <f ca="1">IF(AND(ISNUMBER($AF$371),$B$252=1),$AF$371,HLOOKUP(INDIRECT(ADDRESS(2,COLUMN())),OFFSET($CL$2,0,0,ROW()-1,84),ROW()-1,FALSE))</f>
        <v/>
      </c>
      <c r="AG163" t="str">
        <f ca="1">IF(AND(ISNUMBER($AG$371),$B$252=1),$AG$371,HLOOKUP(INDIRECT(ADDRESS(2,COLUMN())),OFFSET($CL$2,0,0,ROW()-1,84),ROW()-1,FALSE))</f>
        <v/>
      </c>
      <c r="AH163" t="str">
        <f ca="1">IF(AND(ISNUMBER($AH$371),$B$252=1),$AH$371,HLOOKUP(INDIRECT(ADDRESS(2,COLUMN())),OFFSET($CL$2,0,0,ROW()-1,84),ROW()-1,FALSE))</f>
        <v/>
      </c>
      <c r="AI163" t="str">
        <f ca="1">IF(AND(ISNUMBER($AI$371),$B$252=1),$AI$371,HLOOKUP(INDIRECT(ADDRESS(2,COLUMN())),OFFSET($CL$2,0,0,ROW()-1,84),ROW()-1,FALSE))</f>
        <v/>
      </c>
      <c r="AJ163" t="str">
        <f ca="1">IF(AND(ISNUMBER($AJ$371),$B$252=1),$AJ$371,HLOOKUP(INDIRECT(ADDRESS(2,COLUMN())),OFFSET($CL$2,0,0,ROW()-1,84),ROW()-1,FALSE))</f>
        <v/>
      </c>
      <c r="AK163" t="str">
        <f ca="1">IF(AND(ISNUMBER($AK$371),$B$252=1),$AK$371,HLOOKUP(INDIRECT(ADDRESS(2,COLUMN())),OFFSET($CL$2,0,0,ROW()-1,84),ROW()-1,FALSE))</f>
        <v/>
      </c>
      <c r="AL163" t="str">
        <f ca="1">IF(AND(ISNUMBER($AL$371),$B$252=1),$AL$371,HLOOKUP(INDIRECT(ADDRESS(2,COLUMN())),OFFSET($CL$2,0,0,ROW()-1,84),ROW()-1,FALSE))</f>
        <v/>
      </c>
      <c r="AM163" t="str">
        <f ca="1">IF(AND(ISNUMBER($AM$371),$B$252=1),$AM$371,HLOOKUP(INDIRECT(ADDRESS(2,COLUMN())),OFFSET($CL$2,0,0,ROW()-1,84),ROW()-1,FALSE))</f>
        <v/>
      </c>
      <c r="AN163" t="str">
        <f ca="1">IF(AND(ISNUMBER($AN$371),$B$252=1),$AN$371,HLOOKUP(INDIRECT(ADDRESS(2,COLUMN())),OFFSET($CL$2,0,0,ROW()-1,84),ROW()-1,FALSE))</f>
        <v/>
      </c>
      <c r="AO163" t="str">
        <f ca="1">IF(AND(ISNUMBER($AO$371),$B$252=1),$AO$371,HLOOKUP(INDIRECT(ADDRESS(2,COLUMN())),OFFSET($CL$2,0,0,ROW()-1,84),ROW()-1,FALSE))</f>
        <v/>
      </c>
      <c r="AP163" t="str">
        <f ca="1">IF(AND(ISNUMBER($AP$371),$B$252=1),$AP$371,HLOOKUP(INDIRECT(ADDRESS(2,COLUMN())),OFFSET($CL$2,0,0,ROW()-1,84),ROW()-1,FALSE))</f>
        <v/>
      </c>
      <c r="AQ163" t="str">
        <f ca="1">IF(AND(ISNUMBER($AQ$371),$B$252=1),$AQ$371,HLOOKUP(INDIRECT(ADDRESS(2,COLUMN())),OFFSET($CL$2,0,0,ROW()-1,84),ROW()-1,FALSE))</f>
        <v/>
      </c>
      <c r="AR163" t="str">
        <f ca="1">IF(AND(ISNUMBER($AR$371),$B$252=1),$AR$371,HLOOKUP(INDIRECT(ADDRESS(2,COLUMN())),OFFSET($CL$2,0,0,ROW()-1,84),ROW()-1,FALSE))</f>
        <v/>
      </c>
      <c r="AS163" t="str">
        <f ca="1">IF(AND(ISNUMBER($AS$371),$B$252=1),$AS$371,HLOOKUP(INDIRECT(ADDRESS(2,COLUMN())),OFFSET($CL$2,0,0,ROW()-1,84),ROW()-1,FALSE))</f>
        <v/>
      </c>
      <c r="AT163" t="str">
        <f ca="1">IF(AND(ISNUMBER($AT$371),$B$252=1),$AT$371,HLOOKUP(INDIRECT(ADDRESS(2,COLUMN())),OFFSET($CL$2,0,0,ROW()-1,84),ROW()-1,FALSE))</f>
        <v/>
      </c>
      <c r="AU163" t="str">
        <f ca="1">IF(AND(ISNUMBER($AU$371),$B$252=1),$AU$371,HLOOKUP(INDIRECT(ADDRESS(2,COLUMN())),OFFSET($CL$2,0,0,ROW()-1,84),ROW()-1,FALSE))</f>
        <v/>
      </c>
      <c r="AV163" t="str">
        <f ca="1">IF(AND(ISNUMBER($AV$371),$B$252=1),$AV$371,HLOOKUP(INDIRECT(ADDRESS(2,COLUMN())),OFFSET($CL$2,0,0,ROW()-1,84),ROW()-1,FALSE))</f>
        <v/>
      </c>
      <c r="AW163" t="str">
        <f ca="1">IF(AND(ISNUMBER($AW$371),$B$252=1),$AW$371,HLOOKUP(INDIRECT(ADDRESS(2,COLUMN())),OFFSET($CL$2,0,0,ROW()-1,84),ROW()-1,FALSE))</f>
        <v/>
      </c>
      <c r="AX163" t="str">
        <f ca="1">IF(AND(ISNUMBER($AX$371),$B$252=1),$AX$371,HLOOKUP(INDIRECT(ADDRESS(2,COLUMN())),OFFSET($CL$2,0,0,ROW()-1,84),ROW()-1,FALSE))</f>
        <v/>
      </c>
      <c r="AY163" t="str">
        <f ca="1">IF(AND(ISNUMBER($AY$371),$B$252=1),$AY$371,HLOOKUP(INDIRECT(ADDRESS(2,COLUMN())),OFFSET($CL$2,0,0,ROW()-1,84),ROW()-1,FALSE))</f>
        <v/>
      </c>
      <c r="AZ163" t="str">
        <f ca="1">IF(AND(ISNUMBER($AZ$371),$B$252=1),$AZ$371,HLOOKUP(INDIRECT(ADDRESS(2,COLUMN())),OFFSET($CL$2,0,0,ROW()-1,84),ROW()-1,FALSE))</f>
        <v/>
      </c>
      <c r="BA163" t="str">
        <f ca="1">IF(AND(ISNUMBER($BA$371),$B$252=1),$BA$371,HLOOKUP(INDIRECT(ADDRESS(2,COLUMN())),OFFSET($CL$2,0,0,ROW()-1,84),ROW()-1,FALSE))</f>
        <v/>
      </c>
      <c r="BB163" t="str">
        <f ca="1">IF(AND(ISNUMBER($BB$371),$B$252=1),$BB$371,HLOOKUP(INDIRECT(ADDRESS(2,COLUMN())),OFFSET($CL$2,0,0,ROW()-1,84),ROW()-1,FALSE))</f>
        <v/>
      </c>
      <c r="BC163" t="str">
        <f ca="1">IF(AND(ISNUMBER($BC$371),$B$252=1),$BC$371,HLOOKUP(INDIRECT(ADDRESS(2,COLUMN())),OFFSET($CL$2,0,0,ROW()-1,84),ROW()-1,FALSE))</f>
        <v/>
      </c>
      <c r="BD163" t="str">
        <f ca="1">IF(AND(ISNUMBER($BD$371),$B$252=1),$BD$371,HLOOKUP(INDIRECT(ADDRESS(2,COLUMN())),OFFSET($CL$2,0,0,ROW()-1,84),ROW()-1,FALSE))</f>
        <v/>
      </c>
      <c r="BE163" t="str">
        <f ca="1">IF(AND(ISNUMBER($BE$371),$B$252=1),$BE$371,HLOOKUP(INDIRECT(ADDRESS(2,COLUMN())),OFFSET($CL$2,0,0,ROW()-1,84),ROW()-1,FALSE))</f>
        <v/>
      </c>
      <c r="BF163" t="str">
        <f ca="1">IF(AND(ISNUMBER($BF$371),$B$252=1),$BF$371,HLOOKUP(INDIRECT(ADDRESS(2,COLUMN())),OFFSET($CL$2,0,0,ROW()-1,84),ROW()-1,FALSE))</f>
        <v/>
      </c>
      <c r="BG163" t="str">
        <f ca="1">IF(AND(ISNUMBER($BG$371),$B$252=1),$BG$371,HLOOKUP(INDIRECT(ADDRESS(2,COLUMN())),OFFSET($CL$2,0,0,ROW()-1,84),ROW()-1,FALSE))</f>
        <v/>
      </c>
      <c r="BH163" t="str">
        <f ca="1">IF(AND(ISNUMBER($BH$371),$B$252=1),$BH$371,HLOOKUP(INDIRECT(ADDRESS(2,COLUMN())),OFFSET($CL$2,0,0,ROW()-1,84),ROW()-1,FALSE))</f>
        <v/>
      </c>
      <c r="BI163" t="str">
        <f ca="1">IF(AND(ISNUMBER($BI$371),$B$252=1),$BI$371,HLOOKUP(INDIRECT(ADDRESS(2,COLUMN())),OFFSET($CL$2,0,0,ROW()-1,84),ROW()-1,FALSE))</f>
        <v/>
      </c>
      <c r="BJ163" t="str">
        <f ca="1">IF(AND(ISNUMBER($BJ$371),$B$252=1),$BJ$371,HLOOKUP(INDIRECT(ADDRESS(2,COLUMN())),OFFSET($CL$2,0,0,ROW()-1,84),ROW()-1,FALSE))</f>
        <v/>
      </c>
      <c r="BK163" t="str">
        <f ca="1">IF(AND(ISNUMBER($BK$371),$B$252=1),$BK$371,HLOOKUP(INDIRECT(ADDRESS(2,COLUMN())),OFFSET($CL$2,0,0,ROW()-1,84),ROW()-1,FALSE))</f>
        <v/>
      </c>
      <c r="BL163" t="str">
        <f ca="1">IF(AND(ISNUMBER($BL$371),$B$252=1),$BL$371,HLOOKUP(INDIRECT(ADDRESS(2,COLUMN())),OFFSET($CL$2,0,0,ROW()-1,84),ROW()-1,FALSE))</f>
        <v/>
      </c>
      <c r="BM163" t="str">
        <f ca="1">IF(AND(ISNUMBER($BM$371),$B$252=1),$BM$371,HLOOKUP(INDIRECT(ADDRESS(2,COLUMN())),OFFSET($CL$2,0,0,ROW()-1,84),ROW()-1,FALSE))</f>
        <v/>
      </c>
      <c r="BN163" t="str">
        <f ca="1">IF(AND(ISNUMBER($BN$371),$B$252=1),$BN$371,HLOOKUP(INDIRECT(ADDRESS(2,COLUMN())),OFFSET($CL$2,0,0,ROW()-1,84),ROW()-1,FALSE))</f>
        <v/>
      </c>
      <c r="BO163" t="str">
        <f ca="1">IF(AND(ISNUMBER($BO$371),$B$252=1),$BO$371,HLOOKUP(INDIRECT(ADDRESS(2,COLUMN())),OFFSET($CL$2,0,0,ROW()-1,84),ROW()-1,FALSE))</f>
        <v/>
      </c>
      <c r="BP163" t="str">
        <f ca="1">IF(AND(ISNUMBER($BP$371),$B$252=1),$BP$371,HLOOKUP(INDIRECT(ADDRESS(2,COLUMN())),OFFSET($CL$2,0,0,ROW()-1,84),ROW()-1,FALSE))</f>
        <v/>
      </c>
      <c r="BQ163" t="str">
        <f ca="1">IF(AND(ISNUMBER($BQ$371),$B$252=1),$BQ$371,HLOOKUP(INDIRECT(ADDRESS(2,COLUMN())),OFFSET($CL$2,0,0,ROW()-1,84),ROW()-1,FALSE))</f>
        <v/>
      </c>
      <c r="BR163" t="str">
        <f ca="1">IF(AND(ISNUMBER($BR$371),$B$252=1),$BR$371,HLOOKUP(INDIRECT(ADDRESS(2,COLUMN())),OFFSET($CL$2,0,0,ROW()-1,84),ROW()-1,FALSE))</f>
        <v/>
      </c>
      <c r="BS163" t="str">
        <f ca="1">IF(AND(ISNUMBER($BS$371),$B$252=1),$BS$371,HLOOKUP(INDIRECT(ADDRESS(2,COLUMN())),OFFSET($CL$2,0,0,ROW()-1,84),ROW()-1,FALSE))</f>
        <v/>
      </c>
      <c r="BT163" t="str">
        <f ca="1">IF(AND(ISNUMBER($BT$371),$B$252=1),$BT$371,HLOOKUP(INDIRECT(ADDRESS(2,COLUMN())),OFFSET($CL$2,0,0,ROW()-1,84),ROW()-1,FALSE))</f>
        <v/>
      </c>
      <c r="BU163" t="str">
        <f ca="1">IF(AND(ISNUMBER($BU$371),$B$252=1),$BU$371,HLOOKUP(INDIRECT(ADDRESS(2,COLUMN())),OFFSET($CL$2,0,0,ROW()-1,84),ROW()-1,FALSE))</f>
        <v/>
      </c>
      <c r="BV163" t="str">
        <f ca="1">IF(AND(ISNUMBER($BV$371),$B$252=1),$BV$371,HLOOKUP(INDIRECT(ADDRESS(2,COLUMN())),OFFSET($CL$2,0,0,ROW()-1,84),ROW()-1,FALSE))</f>
        <v/>
      </c>
      <c r="BW163" t="str">
        <f ca="1">IF(AND(ISNUMBER($BW$371),$B$252=1),$BW$371,HLOOKUP(INDIRECT(ADDRESS(2,COLUMN())),OFFSET($CL$2,0,0,ROW()-1,84),ROW()-1,FALSE))</f>
        <v/>
      </c>
      <c r="BX163" t="str">
        <f ca="1">IF(AND(ISNUMBER($BX$371),$B$252=1),$BX$371,HLOOKUP(INDIRECT(ADDRESS(2,COLUMN())),OFFSET($CL$2,0,0,ROW()-1,84),ROW()-1,FALSE))</f>
        <v/>
      </c>
      <c r="BY163" t="str">
        <f ca="1">IF(AND(ISNUMBER($BY$371),$B$252=1),$BY$371,HLOOKUP(INDIRECT(ADDRESS(2,COLUMN())),OFFSET($CL$2,0,0,ROW()-1,84),ROW()-1,FALSE))</f>
        <v/>
      </c>
      <c r="BZ163" t="str">
        <f ca="1">IF(AND(ISNUMBER($BZ$371),$B$252=1),$BZ$371,HLOOKUP(INDIRECT(ADDRESS(2,COLUMN())),OFFSET($CL$2,0,0,ROW()-1,84),ROW()-1,FALSE))</f>
        <v/>
      </c>
      <c r="CA163" t="str">
        <f ca="1">IF(AND(ISNUMBER($CA$371),$B$252=1),$CA$371,HLOOKUP(INDIRECT(ADDRESS(2,COLUMN())),OFFSET($CL$2,0,0,ROW()-1,84),ROW()-1,FALSE))</f>
        <v/>
      </c>
      <c r="CB163" t="str">
        <f ca="1">IF(AND(ISNUMBER($CB$371),$B$252=1),$CB$371,HLOOKUP(INDIRECT(ADDRESS(2,COLUMN())),OFFSET($CL$2,0,0,ROW()-1,84),ROW()-1,FALSE))</f>
        <v/>
      </c>
      <c r="CC163" t="str">
        <f ca="1">IF(AND(ISNUMBER($CC$371),$B$252=1),$CC$371,HLOOKUP(INDIRECT(ADDRESS(2,COLUMN())),OFFSET($CL$2,0,0,ROW()-1,84),ROW()-1,FALSE))</f>
        <v/>
      </c>
      <c r="CD163" t="str">
        <f ca="1">IF(AND(ISNUMBER($CD$371),$B$252=1),$CD$371,HLOOKUP(INDIRECT(ADDRESS(2,COLUMN())),OFFSET($CL$2,0,0,ROW()-1,84),ROW()-1,FALSE))</f>
        <v/>
      </c>
      <c r="CE163" t="str">
        <f ca="1">IF(AND(ISNUMBER($CE$371),$B$252=1),$CE$371,HLOOKUP(INDIRECT(ADDRESS(2,COLUMN())),OFFSET($CL$2,0,0,ROW()-1,84),ROW()-1,FALSE))</f>
        <v/>
      </c>
      <c r="CF163" t="str">
        <f ca="1">IF(AND(ISNUMBER($CF$371),$B$252=1),$CF$371,HLOOKUP(INDIRECT(ADDRESS(2,COLUMN())),OFFSET($CL$2,0,0,ROW()-1,84),ROW()-1,FALSE))</f>
        <v/>
      </c>
      <c r="CG163" t="str">
        <f ca="1">IF(AND(ISNUMBER($CG$371),$B$252=1),$CG$371,HLOOKUP(INDIRECT(ADDRESS(2,COLUMN())),OFFSET($CL$2,0,0,ROW()-1,84),ROW()-1,FALSE))</f>
        <v/>
      </c>
      <c r="CH163" t="str">
        <f ca="1">IF(AND(ISNUMBER($CH$371),$B$252=1),$CH$371,HLOOKUP(INDIRECT(ADDRESS(2,COLUMN())),OFFSET($CL$2,0,0,ROW()-1,84),ROW()-1,FALSE))</f>
        <v/>
      </c>
      <c r="CI163" t="str">
        <f ca="1">IF(AND(ISNUMBER($CI$371),$B$252=1),$CI$371,HLOOKUP(INDIRECT(ADDRESS(2,COLUMN())),OFFSET($CL$2,0,0,ROW()-1,84),ROW()-1,FALSE))</f>
        <v/>
      </c>
      <c r="CJ163" t="str">
        <f ca="1">IF(AND(ISNUMBER($CJ$371),$B$252=1),$CJ$371,HLOOKUP(INDIRECT(ADDRESS(2,COLUMN())),OFFSET($CL$2,0,0,ROW()-1,84),ROW()-1,FALSE))</f>
        <v/>
      </c>
      <c r="CK163" t="str">
        <f ca="1">IF(AND(ISNUMBER($CK$371),$B$252=1),$CK$371,HLOOKUP(INDIRECT(ADDRESS(2,COLUMN())),OFFSET($CL$2,0,0,ROW()-1,84),ROW()-1,FALSE))</f>
        <v/>
      </c>
      <c r="CL163">
        <f>8.445</f>
        <v>8.4450000000000003</v>
      </c>
      <c r="CM163">
        <f>8.473</f>
        <v>8.4730000000000008</v>
      </c>
      <c r="CN163">
        <f>8.54</f>
        <v>8.5399999999999991</v>
      </c>
      <c r="CO163">
        <f>8.534</f>
        <v>8.5340000000000007</v>
      </c>
      <c r="CP163">
        <f>8.538</f>
        <v>8.5380000000000003</v>
      </c>
      <c r="CQ163">
        <f>8.55</f>
        <v>8.5500000000000007</v>
      </c>
      <c r="CR163">
        <f>8.558</f>
        <v>8.5579999999999998</v>
      </c>
      <c r="CS163">
        <f>8.574</f>
        <v>8.5739999999999998</v>
      </c>
      <c r="CT163">
        <f>8.619</f>
        <v>8.6189999999999998</v>
      </c>
      <c r="CU163">
        <f>8.63</f>
        <v>8.6300000000000008</v>
      </c>
      <c r="CV163">
        <f>8.609</f>
        <v>8.609</v>
      </c>
      <c r="CW163">
        <f>8.566</f>
        <v>8.5660000000000007</v>
      </c>
      <c r="CX163">
        <f>8.606</f>
        <v>8.6059999999999999</v>
      </c>
      <c r="CY163">
        <f>8.584</f>
        <v>8.5839999999999996</v>
      </c>
      <c r="CZ163">
        <f>8.58</f>
        <v>8.58</v>
      </c>
      <c r="DA163">
        <f>8.6</f>
        <v>8.6</v>
      </c>
      <c r="DB163">
        <f>8.623</f>
        <v>8.6229999999999993</v>
      </c>
      <c r="DC163">
        <f>8.613</f>
        <v>8.6129999999999995</v>
      </c>
      <c r="DD163">
        <f>8.76</f>
        <v>8.76</v>
      </c>
      <c r="DE163">
        <f>8.797</f>
        <v>8.7970000000000006</v>
      </c>
      <c r="DF163">
        <f>8.797</f>
        <v>8.7970000000000006</v>
      </c>
      <c r="DG163">
        <f>8.67</f>
        <v>8.67</v>
      </c>
      <c r="DH163" t="str">
        <f>""</f>
        <v/>
      </c>
      <c r="DI163">
        <f>8.72</f>
        <v>8.7200000000000006</v>
      </c>
      <c r="DJ163" t="str">
        <f>""</f>
        <v/>
      </c>
      <c r="DK163">
        <f>8.98</f>
        <v>8.98</v>
      </c>
      <c r="DL163" t="str">
        <f>""</f>
        <v/>
      </c>
      <c r="DM163" t="str">
        <f>""</f>
        <v/>
      </c>
      <c r="DN163" t="str">
        <f>""</f>
        <v/>
      </c>
      <c r="DO163" t="str">
        <f>""</f>
        <v/>
      </c>
      <c r="DP163" t="str">
        <f>""</f>
        <v/>
      </c>
      <c r="DQ163" t="str">
        <f>""</f>
        <v/>
      </c>
      <c r="DR163" t="str">
        <f>""</f>
        <v/>
      </c>
      <c r="DS163" t="str">
        <f>""</f>
        <v/>
      </c>
      <c r="DT163" t="str">
        <f>""</f>
        <v/>
      </c>
      <c r="DU163" t="str">
        <f>""</f>
        <v/>
      </c>
      <c r="DV163" t="str">
        <f>""</f>
        <v/>
      </c>
      <c r="DW163" t="str">
        <f>""</f>
        <v/>
      </c>
      <c r="DX163" t="str">
        <f>""</f>
        <v/>
      </c>
      <c r="DY163" t="str">
        <f>""</f>
        <v/>
      </c>
      <c r="DZ163" t="str">
        <f>""</f>
        <v/>
      </c>
      <c r="EA163" t="str">
        <f>""</f>
        <v/>
      </c>
      <c r="EB163" t="str">
        <f>""</f>
        <v/>
      </c>
      <c r="EC163" t="str">
        <f>""</f>
        <v/>
      </c>
      <c r="ED163" t="str">
        <f>""</f>
        <v/>
      </c>
      <c r="EE163" t="str">
        <f>""</f>
        <v/>
      </c>
      <c r="EF163" t="str">
        <f>""</f>
        <v/>
      </c>
      <c r="EG163" t="str">
        <f>""</f>
        <v/>
      </c>
      <c r="EH163" t="str">
        <f>""</f>
        <v/>
      </c>
      <c r="EI163" t="str">
        <f>""</f>
        <v/>
      </c>
      <c r="EJ163" t="str">
        <f>""</f>
        <v/>
      </c>
      <c r="EK163" t="str">
        <f>""</f>
        <v/>
      </c>
      <c r="EL163" t="str">
        <f>""</f>
        <v/>
      </c>
      <c r="EM163" t="str">
        <f>""</f>
        <v/>
      </c>
      <c r="EN163" t="str">
        <f>""</f>
        <v/>
      </c>
      <c r="EO163" t="str">
        <f>""</f>
        <v/>
      </c>
      <c r="EP163" t="str">
        <f>""</f>
        <v/>
      </c>
      <c r="EQ163" t="str">
        <f>""</f>
        <v/>
      </c>
      <c r="ER163" t="str">
        <f>""</f>
        <v/>
      </c>
      <c r="ES163" t="str">
        <f>""</f>
        <v/>
      </c>
      <c r="ET163" t="str">
        <f>""</f>
        <v/>
      </c>
      <c r="EU163" t="str">
        <f>""</f>
        <v/>
      </c>
      <c r="EV163" t="str">
        <f>""</f>
        <v/>
      </c>
      <c r="EW163" t="str">
        <f>""</f>
        <v/>
      </c>
      <c r="EX163" t="str">
        <f>""</f>
        <v/>
      </c>
      <c r="EY163" t="str">
        <f>""</f>
        <v/>
      </c>
      <c r="EZ163" t="str">
        <f>""</f>
        <v/>
      </c>
      <c r="FA163" t="str">
        <f>""</f>
        <v/>
      </c>
      <c r="FB163" t="str">
        <f>""</f>
        <v/>
      </c>
      <c r="FC163" t="str">
        <f>""</f>
        <v/>
      </c>
      <c r="FD163" t="str">
        <f>""</f>
        <v/>
      </c>
      <c r="FE163" t="str">
        <f>""</f>
        <v/>
      </c>
      <c r="FF163" t="str">
        <f>""</f>
        <v/>
      </c>
      <c r="FG163" t="str">
        <f>""</f>
        <v/>
      </c>
      <c r="FH163" t="str">
        <f>""</f>
        <v/>
      </c>
      <c r="FI163" t="str">
        <f>""</f>
        <v/>
      </c>
      <c r="FJ163" t="str">
        <f>""</f>
        <v/>
      </c>
      <c r="FK163" t="str">
        <f>""</f>
        <v/>
      </c>
      <c r="FL163" t="str">
        <f>""</f>
        <v/>
      </c>
      <c r="FM163" t="str">
        <f>""</f>
        <v/>
      </c>
      <c r="FN163" t="str">
        <f>""</f>
        <v/>
      </c>
      <c r="FO163" t="str">
        <f>""</f>
        <v/>
      </c>
      <c r="FP163" t="str">
        <f>""</f>
        <v/>
      </c>
      <c r="FQ163" t="str">
        <f>""</f>
        <v/>
      </c>
    </row>
    <row r="164" spans="1:173">
      <c r="A164" t="str">
        <f>"    Camden Property Trust"</f>
        <v xml:space="preserve">    Camden Property Trust</v>
      </c>
      <c r="B164" t="str">
        <f>"CPT US Equity"</f>
        <v>CPT US Equity</v>
      </c>
      <c r="C164" t="str">
        <f t="shared" si="51"/>
        <v>BE895</v>
      </c>
      <c r="D164" t="str">
        <f t="shared" si="52"/>
        <v>BEST_AFFOPS</v>
      </c>
      <c r="E164" t="str">
        <f t="shared" si="53"/>
        <v>动态</v>
      </c>
      <c r="F164">
        <f ca="1">IF(AND(ISNUMBER($F$372),$B$252=1),$F$372,HLOOKUP(INDIRECT(ADDRESS(2,COLUMN())),OFFSET($CL$2,0,0,ROW()-1,84),ROW()-1,FALSE))</f>
        <v>4.0709999999999997</v>
      </c>
      <c r="G164">
        <f ca="1">IF(AND(ISNUMBER($G$372),$B$252=1),$G$372,HLOOKUP(INDIRECT(ADDRESS(2,COLUMN())),OFFSET($CL$2,0,0,ROW()-1,84),ROW()-1,FALSE))</f>
        <v>4.08</v>
      </c>
      <c r="H164">
        <f ca="1">IF(AND(ISNUMBER($H$372),$B$252=1),$H$372,HLOOKUP(INDIRECT(ADDRESS(2,COLUMN())),OFFSET($CL$2,0,0,ROW()-1,84),ROW()-1,FALSE))</f>
        <v>4.1280000000000001</v>
      </c>
      <c r="I164">
        <f ca="1">IF(AND(ISNUMBER($I$372),$B$252=1),$I$372,HLOOKUP(INDIRECT(ADDRESS(2,COLUMN())),OFFSET($CL$2,0,0,ROW()-1,84),ROW()-1,FALSE))</f>
        <v>4.1079999999999997</v>
      </c>
      <c r="J164">
        <f ca="1">IF(AND(ISNUMBER($J$372),$B$252=1),$J$372,HLOOKUP(INDIRECT(ADDRESS(2,COLUMN())),OFFSET($CL$2,0,0,ROW()-1,84),ROW()-1,FALSE))</f>
        <v>4.12</v>
      </c>
      <c r="K164">
        <f ca="1">IF(AND(ISNUMBER($K$372),$B$252=1),$K$372,HLOOKUP(INDIRECT(ADDRESS(2,COLUMN())),OFFSET($CL$2,0,0,ROW()-1,84),ROW()-1,FALSE))</f>
        <v>4.0739999999999998</v>
      </c>
      <c r="L164">
        <f ca="1">IF(AND(ISNUMBER($L$372),$B$252=1),$L$372,HLOOKUP(INDIRECT(ADDRESS(2,COLUMN())),OFFSET($CL$2,0,0,ROW()-1,84),ROW()-1,FALSE))</f>
        <v>4.1120000000000001</v>
      </c>
      <c r="M164">
        <f ca="1">IF(AND(ISNUMBER($M$372),$B$252=1),$M$372,HLOOKUP(INDIRECT(ADDRESS(2,COLUMN())),OFFSET($CL$2,0,0,ROW()-1,84),ROW()-1,FALSE))</f>
        <v>4.0579999999999998</v>
      </c>
      <c r="N164">
        <f ca="1">IF(AND(ISNUMBER($N$372),$B$252=1),$N$372,HLOOKUP(INDIRECT(ADDRESS(2,COLUMN())),OFFSET($CL$2,0,0,ROW()-1,84),ROW()-1,FALSE))</f>
        <v>4.0599999999999996</v>
      </c>
      <c r="O164">
        <f ca="1">IF(AND(ISNUMBER($O$372),$B$252=1),$O$372,HLOOKUP(INDIRECT(ADDRESS(2,COLUMN())),OFFSET($CL$2,0,0,ROW()-1,84),ROW()-1,FALSE))</f>
        <v>4.0359999999999996</v>
      </c>
      <c r="P164">
        <f ca="1">IF(AND(ISNUMBER($P$372),$B$252=1),$P$372,HLOOKUP(INDIRECT(ADDRESS(2,COLUMN())),OFFSET($CL$2,0,0,ROW()-1,84),ROW()-1,FALSE))</f>
        <v>4.0199999999999996</v>
      </c>
      <c r="Q164">
        <f ca="1">IF(AND(ISNUMBER($Q$372),$B$252=1),$Q$372,HLOOKUP(INDIRECT(ADDRESS(2,COLUMN())),OFFSET($CL$2,0,0,ROW()-1,84),ROW()-1,FALSE))</f>
        <v>4.1470000000000002</v>
      </c>
      <c r="R164">
        <f ca="1">IF(AND(ISNUMBER($R$372),$B$252=1),$R$372,HLOOKUP(INDIRECT(ADDRESS(2,COLUMN())),OFFSET($CL$2,0,0,ROW()-1,84),ROW()-1,FALSE))</f>
        <v>4</v>
      </c>
      <c r="S164">
        <f ca="1">IF(AND(ISNUMBER($S$372),$B$252=1),$S$372,HLOOKUP(INDIRECT(ADDRESS(2,COLUMN())),OFFSET($CL$2,0,0,ROW()-1,84),ROW()-1,FALSE))</f>
        <v>4.0049999999999999</v>
      </c>
      <c r="T164">
        <f ca="1">IF(AND(ISNUMBER($T$372),$B$252=1),$T$372,HLOOKUP(INDIRECT(ADDRESS(2,COLUMN())),OFFSET($CL$2,0,0,ROW()-1,84),ROW()-1,FALSE))</f>
        <v>4.0819999999999999</v>
      </c>
      <c r="U164">
        <f ca="1">IF(AND(ISNUMBER($U$372),$B$252=1),$U$372,HLOOKUP(INDIRECT(ADDRESS(2,COLUMN())),OFFSET($CL$2,0,0,ROW()-1,84),ROW()-1,FALSE))</f>
        <v>4.05</v>
      </c>
      <c r="V164">
        <f ca="1">IF(AND(ISNUMBER($V$372),$B$252=1),$V$372,HLOOKUP(INDIRECT(ADDRESS(2,COLUMN())),OFFSET($CL$2,0,0,ROW()-1,84),ROW()-1,FALSE))</f>
        <v>3.9529999999999998</v>
      </c>
      <c r="W164">
        <f ca="1">IF(AND(ISNUMBER($W$372),$B$252=1),$W$372,HLOOKUP(INDIRECT(ADDRESS(2,COLUMN())),OFFSET($CL$2,0,0,ROW()-1,84),ROW()-1,FALSE))</f>
        <v>3.9630000000000001</v>
      </c>
      <c r="X164">
        <f ca="1">IF(AND(ISNUMBER($X$372),$B$252=1),$X$372,HLOOKUP(INDIRECT(ADDRESS(2,COLUMN())),OFFSET($CL$2,0,0,ROW()-1,84),ROW()-1,FALSE))</f>
        <v>3.94</v>
      </c>
      <c r="Y164">
        <f ca="1">IF(AND(ISNUMBER($Y$372),$B$252=1),$Y$372,HLOOKUP(INDIRECT(ADDRESS(2,COLUMN())),OFFSET($CL$2,0,0,ROW()-1,84),ROW()-1,FALSE))</f>
        <v>3.968</v>
      </c>
      <c r="Z164">
        <f ca="1">IF(AND(ISNUMBER($Z$372),$B$252=1),$Z$372,HLOOKUP(INDIRECT(ADDRESS(2,COLUMN())),OFFSET($CL$2,0,0,ROW()-1,84),ROW()-1,FALSE))</f>
        <v>3.968</v>
      </c>
      <c r="AA164">
        <f ca="1">IF(AND(ISNUMBER($AA$372),$B$252=1),$AA$372,HLOOKUP(INDIRECT(ADDRESS(2,COLUMN())),OFFSET($CL$2,0,0,ROW()-1,84),ROW()-1,FALSE))</f>
        <v>3.907</v>
      </c>
      <c r="AB164">
        <f ca="1">IF(AND(ISNUMBER($AB$372),$B$252=1),$AB$372,HLOOKUP(INDIRECT(ADDRESS(2,COLUMN())),OFFSET($CL$2,0,0,ROW()-1,84),ROW()-1,FALSE))</f>
        <v>3.94</v>
      </c>
      <c r="AC164">
        <f ca="1">IF(AND(ISNUMBER($AC$372),$B$252=1),$AC$372,HLOOKUP(INDIRECT(ADDRESS(2,COLUMN())),OFFSET($CL$2,0,0,ROW()-1,84),ROW()-1,FALSE))</f>
        <v>4.3449999999999998</v>
      </c>
      <c r="AD164" t="str">
        <f ca="1">IF(AND(ISNUMBER($AD$372),$B$252=1),$AD$372,HLOOKUP(INDIRECT(ADDRESS(2,COLUMN())),OFFSET($CL$2,0,0,ROW()-1,84),ROW()-1,FALSE))</f>
        <v/>
      </c>
      <c r="AE164" t="str">
        <f ca="1">IF(AND(ISNUMBER($AE$372),$B$252=1),$AE$372,HLOOKUP(INDIRECT(ADDRESS(2,COLUMN())),OFFSET($CL$2,0,0,ROW()-1,84),ROW()-1,FALSE))</f>
        <v/>
      </c>
      <c r="AF164">
        <f ca="1">IF(AND(ISNUMBER($AF$372),$B$252=1),$AF$372,HLOOKUP(INDIRECT(ADDRESS(2,COLUMN())),OFFSET($CL$2,0,0,ROW()-1,84),ROW()-1,FALSE))</f>
        <v>4.5</v>
      </c>
      <c r="AG164" t="str">
        <f ca="1">IF(AND(ISNUMBER($AG$372),$B$252=1),$AG$372,HLOOKUP(INDIRECT(ADDRESS(2,COLUMN())),OFFSET($CL$2,0,0,ROW()-1,84),ROW()-1,FALSE))</f>
        <v/>
      </c>
      <c r="AH164" t="str">
        <f ca="1">IF(AND(ISNUMBER($AH$372),$B$252=1),$AH$372,HLOOKUP(INDIRECT(ADDRESS(2,COLUMN())),OFFSET($CL$2,0,0,ROW()-1,84),ROW()-1,FALSE))</f>
        <v/>
      </c>
      <c r="AI164" t="str">
        <f ca="1">IF(AND(ISNUMBER($AI$372),$B$252=1),$AI$372,HLOOKUP(INDIRECT(ADDRESS(2,COLUMN())),OFFSET($CL$2,0,0,ROW()-1,84),ROW()-1,FALSE))</f>
        <v/>
      </c>
      <c r="AJ164" t="str">
        <f ca="1">IF(AND(ISNUMBER($AJ$372),$B$252=1),$AJ$372,HLOOKUP(INDIRECT(ADDRESS(2,COLUMN())),OFFSET($CL$2,0,0,ROW()-1,84),ROW()-1,FALSE))</f>
        <v/>
      </c>
      <c r="AK164" t="str">
        <f ca="1">IF(AND(ISNUMBER($AK$372),$B$252=1),$AK$372,HLOOKUP(INDIRECT(ADDRESS(2,COLUMN())),OFFSET($CL$2,0,0,ROW()-1,84),ROW()-1,FALSE))</f>
        <v/>
      </c>
      <c r="AL164" t="str">
        <f ca="1">IF(AND(ISNUMBER($AL$372),$B$252=1),$AL$372,HLOOKUP(INDIRECT(ADDRESS(2,COLUMN())),OFFSET($CL$2,0,0,ROW()-1,84),ROW()-1,FALSE))</f>
        <v/>
      </c>
      <c r="AM164" t="str">
        <f ca="1">IF(AND(ISNUMBER($AM$372),$B$252=1),$AM$372,HLOOKUP(INDIRECT(ADDRESS(2,COLUMN())),OFFSET($CL$2,0,0,ROW()-1,84),ROW()-1,FALSE))</f>
        <v/>
      </c>
      <c r="AN164" t="str">
        <f ca="1">IF(AND(ISNUMBER($AN$372),$B$252=1),$AN$372,HLOOKUP(INDIRECT(ADDRESS(2,COLUMN())),OFFSET($CL$2,0,0,ROW()-1,84),ROW()-1,FALSE))</f>
        <v/>
      </c>
      <c r="AO164" t="str">
        <f ca="1">IF(AND(ISNUMBER($AO$372),$B$252=1),$AO$372,HLOOKUP(INDIRECT(ADDRESS(2,COLUMN())),OFFSET($CL$2,0,0,ROW()-1,84),ROW()-1,FALSE))</f>
        <v/>
      </c>
      <c r="AP164" t="str">
        <f ca="1">IF(AND(ISNUMBER($AP$372),$B$252=1),$AP$372,HLOOKUP(INDIRECT(ADDRESS(2,COLUMN())),OFFSET($CL$2,0,0,ROW()-1,84),ROW()-1,FALSE))</f>
        <v/>
      </c>
      <c r="AQ164" t="str">
        <f ca="1">IF(AND(ISNUMBER($AQ$372),$B$252=1),$AQ$372,HLOOKUP(INDIRECT(ADDRESS(2,COLUMN())),OFFSET($CL$2,0,0,ROW()-1,84),ROW()-1,FALSE))</f>
        <v/>
      </c>
      <c r="AR164" t="str">
        <f ca="1">IF(AND(ISNUMBER($AR$372),$B$252=1),$AR$372,HLOOKUP(INDIRECT(ADDRESS(2,COLUMN())),OFFSET($CL$2,0,0,ROW()-1,84),ROW()-1,FALSE))</f>
        <v/>
      </c>
      <c r="AS164" t="str">
        <f ca="1">IF(AND(ISNUMBER($AS$372),$B$252=1),$AS$372,HLOOKUP(INDIRECT(ADDRESS(2,COLUMN())),OFFSET($CL$2,0,0,ROW()-1,84),ROW()-1,FALSE))</f>
        <v/>
      </c>
      <c r="AT164" t="str">
        <f ca="1">IF(AND(ISNUMBER($AT$372),$B$252=1),$AT$372,HLOOKUP(INDIRECT(ADDRESS(2,COLUMN())),OFFSET($CL$2,0,0,ROW()-1,84),ROW()-1,FALSE))</f>
        <v/>
      </c>
      <c r="AU164" t="str">
        <f ca="1">IF(AND(ISNUMBER($AU$372),$B$252=1),$AU$372,HLOOKUP(INDIRECT(ADDRESS(2,COLUMN())),OFFSET($CL$2,0,0,ROW()-1,84),ROW()-1,FALSE))</f>
        <v/>
      </c>
      <c r="AV164" t="str">
        <f ca="1">IF(AND(ISNUMBER($AV$372),$B$252=1),$AV$372,HLOOKUP(INDIRECT(ADDRESS(2,COLUMN())),OFFSET($CL$2,0,0,ROW()-1,84),ROW()-1,FALSE))</f>
        <v/>
      </c>
      <c r="AW164" t="str">
        <f ca="1">IF(AND(ISNUMBER($AW$372),$B$252=1),$AW$372,HLOOKUP(INDIRECT(ADDRESS(2,COLUMN())),OFFSET($CL$2,0,0,ROW()-1,84),ROW()-1,FALSE))</f>
        <v/>
      </c>
      <c r="AX164" t="str">
        <f ca="1">IF(AND(ISNUMBER($AX$372),$B$252=1),$AX$372,HLOOKUP(INDIRECT(ADDRESS(2,COLUMN())),OFFSET($CL$2,0,0,ROW()-1,84),ROW()-1,FALSE))</f>
        <v/>
      </c>
      <c r="AY164" t="str">
        <f ca="1">IF(AND(ISNUMBER($AY$372),$B$252=1),$AY$372,HLOOKUP(INDIRECT(ADDRESS(2,COLUMN())),OFFSET($CL$2,0,0,ROW()-1,84),ROW()-1,FALSE))</f>
        <v/>
      </c>
      <c r="AZ164" t="str">
        <f ca="1">IF(AND(ISNUMBER($AZ$372),$B$252=1),$AZ$372,HLOOKUP(INDIRECT(ADDRESS(2,COLUMN())),OFFSET($CL$2,0,0,ROW()-1,84),ROW()-1,FALSE))</f>
        <v/>
      </c>
      <c r="BA164" t="str">
        <f ca="1">IF(AND(ISNUMBER($BA$372),$B$252=1),$BA$372,HLOOKUP(INDIRECT(ADDRESS(2,COLUMN())),OFFSET($CL$2,0,0,ROW()-1,84),ROW()-1,FALSE))</f>
        <v/>
      </c>
      <c r="BB164" t="str">
        <f ca="1">IF(AND(ISNUMBER($BB$372),$B$252=1),$BB$372,HLOOKUP(INDIRECT(ADDRESS(2,COLUMN())),OFFSET($CL$2,0,0,ROW()-1,84),ROW()-1,FALSE))</f>
        <v/>
      </c>
      <c r="BC164" t="str">
        <f ca="1">IF(AND(ISNUMBER($BC$372),$B$252=1),$BC$372,HLOOKUP(INDIRECT(ADDRESS(2,COLUMN())),OFFSET($CL$2,0,0,ROW()-1,84),ROW()-1,FALSE))</f>
        <v/>
      </c>
      <c r="BD164" t="str">
        <f ca="1">IF(AND(ISNUMBER($BD$372),$B$252=1),$BD$372,HLOOKUP(INDIRECT(ADDRESS(2,COLUMN())),OFFSET($CL$2,0,0,ROW()-1,84),ROW()-1,FALSE))</f>
        <v/>
      </c>
      <c r="BE164" t="str">
        <f ca="1">IF(AND(ISNUMBER($BE$372),$B$252=1),$BE$372,HLOOKUP(INDIRECT(ADDRESS(2,COLUMN())),OFFSET($CL$2,0,0,ROW()-1,84),ROW()-1,FALSE))</f>
        <v/>
      </c>
      <c r="BF164" t="str">
        <f ca="1">IF(AND(ISNUMBER($BF$372),$B$252=1),$BF$372,HLOOKUP(INDIRECT(ADDRESS(2,COLUMN())),OFFSET($CL$2,0,0,ROW()-1,84),ROW()-1,FALSE))</f>
        <v/>
      </c>
      <c r="BG164" t="str">
        <f ca="1">IF(AND(ISNUMBER($BG$372),$B$252=1),$BG$372,HLOOKUP(INDIRECT(ADDRESS(2,COLUMN())),OFFSET($CL$2,0,0,ROW()-1,84),ROW()-1,FALSE))</f>
        <v/>
      </c>
      <c r="BH164" t="str">
        <f ca="1">IF(AND(ISNUMBER($BH$372),$B$252=1),$BH$372,HLOOKUP(INDIRECT(ADDRESS(2,COLUMN())),OFFSET($CL$2,0,0,ROW()-1,84),ROW()-1,FALSE))</f>
        <v/>
      </c>
      <c r="BI164" t="str">
        <f ca="1">IF(AND(ISNUMBER($BI$372),$B$252=1),$BI$372,HLOOKUP(INDIRECT(ADDRESS(2,COLUMN())),OFFSET($CL$2,0,0,ROW()-1,84),ROW()-1,FALSE))</f>
        <v/>
      </c>
      <c r="BJ164" t="str">
        <f ca="1">IF(AND(ISNUMBER($BJ$372),$B$252=1),$BJ$372,HLOOKUP(INDIRECT(ADDRESS(2,COLUMN())),OFFSET($CL$2,0,0,ROW()-1,84),ROW()-1,FALSE))</f>
        <v/>
      </c>
      <c r="BK164" t="str">
        <f ca="1">IF(AND(ISNUMBER($BK$372),$B$252=1),$BK$372,HLOOKUP(INDIRECT(ADDRESS(2,COLUMN())),OFFSET($CL$2,0,0,ROW()-1,84),ROW()-1,FALSE))</f>
        <v/>
      </c>
      <c r="BL164" t="str">
        <f ca="1">IF(AND(ISNUMBER($BL$372),$B$252=1),$BL$372,HLOOKUP(INDIRECT(ADDRESS(2,COLUMN())),OFFSET($CL$2,0,0,ROW()-1,84),ROW()-1,FALSE))</f>
        <v/>
      </c>
      <c r="BM164" t="str">
        <f ca="1">IF(AND(ISNUMBER($BM$372),$B$252=1),$BM$372,HLOOKUP(INDIRECT(ADDRESS(2,COLUMN())),OFFSET($CL$2,0,0,ROW()-1,84),ROW()-1,FALSE))</f>
        <v/>
      </c>
      <c r="BN164" t="str">
        <f ca="1">IF(AND(ISNUMBER($BN$372),$B$252=1),$BN$372,HLOOKUP(INDIRECT(ADDRESS(2,COLUMN())),OFFSET($CL$2,0,0,ROW()-1,84),ROW()-1,FALSE))</f>
        <v/>
      </c>
      <c r="BO164" t="str">
        <f ca="1">IF(AND(ISNUMBER($BO$372),$B$252=1),$BO$372,HLOOKUP(INDIRECT(ADDRESS(2,COLUMN())),OFFSET($CL$2,0,0,ROW()-1,84),ROW()-1,FALSE))</f>
        <v/>
      </c>
      <c r="BP164" t="str">
        <f ca="1">IF(AND(ISNUMBER($BP$372),$B$252=1),$BP$372,HLOOKUP(INDIRECT(ADDRESS(2,COLUMN())),OFFSET($CL$2,0,0,ROW()-1,84),ROW()-1,FALSE))</f>
        <v/>
      </c>
      <c r="BQ164" t="str">
        <f ca="1">IF(AND(ISNUMBER($BQ$372),$B$252=1),$BQ$372,HLOOKUP(INDIRECT(ADDRESS(2,COLUMN())),OFFSET($CL$2,0,0,ROW()-1,84),ROW()-1,FALSE))</f>
        <v/>
      </c>
      <c r="BR164" t="str">
        <f ca="1">IF(AND(ISNUMBER($BR$372),$B$252=1),$BR$372,HLOOKUP(INDIRECT(ADDRESS(2,COLUMN())),OFFSET($CL$2,0,0,ROW()-1,84),ROW()-1,FALSE))</f>
        <v/>
      </c>
      <c r="BS164" t="str">
        <f ca="1">IF(AND(ISNUMBER($BS$372),$B$252=1),$BS$372,HLOOKUP(INDIRECT(ADDRESS(2,COLUMN())),OFFSET($CL$2,0,0,ROW()-1,84),ROW()-1,FALSE))</f>
        <v/>
      </c>
      <c r="BT164" t="str">
        <f ca="1">IF(AND(ISNUMBER($BT$372),$B$252=1),$BT$372,HLOOKUP(INDIRECT(ADDRESS(2,COLUMN())),OFFSET($CL$2,0,0,ROW()-1,84),ROW()-1,FALSE))</f>
        <v/>
      </c>
      <c r="BU164" t="str">
        <f ca="1">IF(AND(ISNUMBER($BU$372),$B$252=1),$BU$372,HLOOKUP(INDIRECT(ADDRESS(2,COLUMN())),OFFSET($CL$2,0,0,ROW()-1,84),ROW()-1,FALSE))</f>
        <v/>
      </c>
      <c r="BV164" t="str">
        <f ca="1">IF(AND(ISNUMBER($BV$372),$B$252=1),$BV$372,HLOOKUP(INDIRECT(ADDRESS(2,COLUMN())),OFFSET($CL$2,0,0,ROW()-1,84),ROW()-1,FALSE))</f>
        <v/>
      </c>
      <c r="BW164" t="str">
        <f ca="1">IF(AND(ISNUMBER($BW$372),$B$252=1),$BW$372,HLOOKUP(INDIRECT(ADDRESS(2,COLUMN())),OFFSET($CL$2,0,0,ROW()-1,84),ROW()-1,FALSE))</f>
        <v/>
      </c>
      <c r="BX164" t="str">
        <f ca="1">IF(AND(ISNUMBER($BX$372),$B$252=1),$BX$372,HLOOKUP(INDIRECT(ADDRESS(2,COLUMN())),OFFSET($CL$2,0,0,ROW()-1,84),ROW()-1,FALSE))</f>
        <v/>
      </c>
      <c r="BY164" t="str">
        <f ca="1">IF(AND(ISNUMBER($BY$372),$B$252=1),$BY$372,HLOOKUP(INDIRECT(ADDRESS(2,COLUMN())),OFFSET($CL$2,0,0,ROW()-1,84),ROW()-1,FALSE))</f>
        <v/>
      </c>
      <c r="BZ164" t="str">
        <f ca="1">IF(AND(ISNUMBER($BZ$372),$B$252=1),$BZ$372,HLOOKUP(INDIRECT(ADDRESS(2,COLUMN())),OFFSET($CL$2,0,0,ROW()-1,84),ROW()-1,FALSE))</f>
        <v/>
      </c>
      <c r="CA164" t="str">
        <f ca="1">IF(AND(ISNUMBER($CA$372),$B$252=1),$CA$372,HLOOKUP(INDIRECT(ADDRESS(2,COLUMN())),OFFSET($CL$2,0,0,ROW()-1,84),ROW()-1,FALSE))</f>
        <v/>
      </c>
      <c r="CB164" t="str">
        <f ca="1">IF(AND(ISNUMBER($CB$372),$B$252=1),$CB$372,HLOOKUP(INDIRECT(ADDRESS(2,COLUMN())),OFFSET($CL$2,0,0,ROW()-1,84),ROW()-1,FALSE))</f>
        <v/>
      </c>
      <c r="CC164" t="str">
        <f ca="1">IF(AND(ISNUMBER($CC$372),$B$252=1),$CC$372,HLOOKUP(INDIRECT(ADDRESS(2,COLUMN())),OFFSET($CL$2,0,0,ROW()-1,84),ROW()-1,FALSE))</f>
        <v/>
      </c>
      <c r="CD164" t="str">
        <f ca="1">IF(AND(ISNUMBER($CD$372),$B$252=1),$CD$372,HLOOKUP(INDIRECT(ADDRESS(2,COLUMN())),OFFSET($CL$2,0,0,ROW()-1,84),ROW()-1,FALSE))</f>
        <v/>
      </c>
      <c r="CE164" t="str">
        <f ca="1">IF(AND(ISNUMBER($CE$372),$B$252=1),$CE$372,HLOOKUP(INDIRECT(ADDRESS(2,COLUMN())),OFFSET($CL$2,0,0,ROW()-1,84),ROW()-1,FALSE))</f>
        <v/>
      </c>
      <c r="CF164" t="str">
        <f ca="1">IF(AND(ISNUMBER($CF$372),$B$252=1),$CF$372,HLOOKUP(INDIRECT(ADDRESS(2,COLUMN())),OFFSET($CL$2,0,0,ROW()-1,84),ROW()-1,FALSE))</f>
        <v/>
      </c>
      <c r="CG164" t="str">
        <f ca="1">IF(AND(ISNUMBER($CG$372),$B$252=1),$CG$372,HLOOKUP(INDIRECT(ADDRESS(2,COLUMN())),OFFSET($CL$2,0,0,ROW()-1,84),ROW()-1,FALSE))</f>
        <v/>
      </c>
      <c r="CH164" t="str">
        <f ca="1">IF(AND(ISNUMBER($CH$372),$B$252=1),$CH$372,HLOOKUP(INDIRECT(ADDRESS(2,COLUMN())),OFFSET($CL$2,0,0,ROW()-1,84),ROW()-1,FALSE))</f>
        <v/>
      </c>
      <c r="CI164" t="str">
        <f ca="1">IF(AND(ISNUMBER($CI$372),$B$252=1),$CI$372,HLOOKUP(INDIRECT(ADDRESS(2,COLUMN())),OFFSET($CL$2,0,0,ROW()-1,84),ROW()-1,FALSE))</f>
        <v/>
      </c>
      <c r="CJ164" t="str">
        <f ca="1">IF(AND(ISNUMBER($CJ$372),$B$252=1),$CJ$372,HLOOKUP(INDIRECT(ADDRESS(2,COLUMN())),OFFSET($CL$2,0,0,ROW()-1,84),ROW()-1,FALSE))</f>
        <v/>
      </c>
      <c r="CK164" t="str">
        <f ca="1">IF(AND(ISNUMBER($CK$372),$B$252=1),$CK$372,HLOOKUP(INDIRECT(ADDRESS(2,COLUMN())),OFFSET($CL$2,0,0,ROW()-1,84),ROW()-1,FALSE))</f>
        <v/>
      </c>
      <c r="CL164">
        <f>4.071</f>
        <v>4.0709999999999997</v>
      </c>
      <c r="CM164">
        <f>4.08</f>
        <v>4.08</v>
      </c>
      <c r="CN164">
        <f>4.128</f>
        <v>4.1280000000000001</v>
      </c>
      <c r="CO164">
        <f>4.108</f>
        <v>4.1079999999999997</v>
      </c>
      <c r="CP164">
        <f>4.12</f>
        <v>4.12</v>
      </c>
      <c r="CQ164">
        <f>4.074</f>
        <v>4.0739999999999998</v>
      </c>
      <c r="CR164">
        <f>4.112</f>
        <v>4.1120000000000001</v>
      </c>
      <c r="CS164">
        <f>4.058</f>
        <v>4.0579999999999998</v>
      </c>
      <c r="CT164">
        <f>4.06</f>
        <v>4.0599999999999996</v>
      </c>
      <c r="CU164">
        <f>4.036</f>
        <v>4.0359999999999996</v>
      </c>
      <c r="CV164">
        <f>4.02</f>
        <v>4.0199999999999996</v>
      </c>
      <c r="CW164">
        <f>4.147</f>
        <v>4.1470000000000002</v>
      </c>
      <c r="CX164">
        <f>4</f>
        <v>4</v>
      </c>
      <c r="CY164">
        <f>4.005</f>
        <v>4.0049999999999999</v>
      </c>
      <c r="CZ164">
        <f>4.082</f>
        <v>4.0819999999999999</v>
      </c>
      <c r="DA164">
        <f>4.05</f>
        <v>4.05</v>
      </c>
      <c r="DB164">
        <f>3.953</f>
        <v>3.9529999999999998</v>
      </c>
      <c r="DC164">
        <f>3.963</f>
        <v>3.9630000000000001</v>
      </c>
      <c r="DD164">
        <f>3.94</f>
        <v>3.94</v>
      </c>
      <c r="DE164">
        <f>3.968</f>
        <v>3.968</v>
      </c>
      <c r="DF164">
        <f>3.968</f>
        <v>3.968</v>
      </c>
      <c r="DG164">
        <f>3.907</f>
        <v>3.907</v>
      </c>
      <c r="DH164">
        <f>3.94</f>
        <v>3.94</v>
      </c>
      <c r="DI164">
        <f>4.345</f>
        <v>4.3449999999999998</v>
      </c>
      <c r="DJ164" t="str">
        <f>""</f>
        <v/>
      </c>
      <c r="DK164" t="str">
        <f>""</f>
        <v/>
      </c>
      <c r="DL164">
        <f>4.5</f>
        <v>4.5</v>
      </c>
      <c r="DM164" t="str">
        <f>""</f>
        <v/>
      </c>
      <c r="DN164" t="str">
        <f>""</f>
        <v/>
      </c>
      <c r="DO164" t="str">
        <f>""</f>
        <v/>
      </c>
      <c r="DP164" t="str">
        <f>""</f>
        <v/>
      </c>
      <c r="DQ164" t="str">
        <f>""</f>
        <v/>
      </c>
      <c r="DR164" t="str">
        <f>""</f>
        <v/>
      </c>
      <c r="DS164" t="str">
        <f>""</f>
        <v/>
      </c>
      <c r="DT164" t="str">
        <f>""</f>
        <v/>
      </c>
      <c r="DU164" t="str">
        <f>""</f>
        <v/>
      </c>
      <c r="DV164" t="str">
        <f>""</f>
        <v/>
      </c>
      <c r="DW164" t="str">
        <f>""</f>
        <v/>
      </c>
      <c r="DX164" t="str">
        <f>""</f>
        <v/>
      </c>
      <c r="DY164" t="str">
        <f>""</f>
        <v/>
      </c>
      <c r="DZ164" t="str">
        <f>""</f>
        <v/>
      </c>
      <c r="EA164" t="str">
        <f>""</f>
        <v/>
      </c>
      <c r="EB164" t="str">
        <f>""</f>
        <v/>
      </c>
      <c r="EC164" t="str">
        <f>""</f>
        <v/>
      </c>
      <c r="ED164" t="str">
        <f>""</f>
        <v/>
      </c>
      <c r="EE164" t="str">
        <f>""</f>
        <v/>
      </c>
      <c r="EF164" t="str">
        <f>""</f>
        <v/>
      </c>
      <c r="EG164" t="str">
        <f>""</f>
        <v/>
      </c>
      <c r="EH164" t="str">
        <f>""</f>
        <v/>
      </c>
      <c r="EI164" t="str">
        <f>""</f>
        <v/>
      </c>
      <c r="EJ164" t="str">
        <f>""</f>
        <v/>
      </c>
      <c r="EK164" t="str">
        <f>""</f>
        <v/>
      </c>
      <c r="EL164" t="str">
        <f>""</f>
        <v/>
      </c>
      <c r="EM164" t="str">
        <f>""</f>
        <v/>
      </c>
      <c r="EN164" t="str">
        <f>""</f>
        <v/>
      </c>
      <c r="EO164" t="str">
        <f>""</f>
        <v/>
      </c>
      <c r="EP164" t="str">
        <f>""</f>
        <v/>
      </c>
      <c r="EQ164" t="str">
        <f>""</f>
        <v/>
      </c>
      <c r="ER164" t="str">
        <f>""</f>
        <v/>
      </c>
      <c r="ES164" t="str">
        <f>""</f>
        <v/>
      </c>
      <c r="ET164" t="str">
        <f>""</f>
        <v/>
      </c>
      <c r="EU164" t="str">
        <f>""</f>
        <v/>
      </c>
      <c r="EV164" t="str">
        <f>""</f>
        <v/>
      </c>
      <c r="EW164" t="str">
        <f>""</f>
        <v/>
      </c>
      <c r="EX164" t="str">
        <f>""</f>
        <v/>
      </c>
      <c r="EY164" t="str">
        <f>""</f>
        <v/>
      </c>
      <c r="EZ164" t="str">
        <f>""</f>
        <v/>
      </c>
      <c r="FA164" t="str">
        <f>""</f>
        <v/>
      </c>
      <c r="FB164" t="str">
        <f>""</f>
        <v/>
      </c>
      <c r="FC164" t="str">
        <f>""</f>
        <v/>
      </c>
      <c r="FD164" t="str">
        <f>""</f>
        <v/>
      </c>
      <c r="FE164" t="str">
        <f>""</f>
        <v/>
      </c>
      <c r="FF164" t="str">
        <f>""</f>
        <v/>
      </c>
      <c r="FG164" t="str">
        <f>""</f>
        <v/>
      </c>
      <c r="FH164" t="str">
        <f>""</f>
        <v/>
      </c>
      <c r="FI164" t="str">
        <f>""</f>
        <v/>
      </c>
      <c r="FJ164" t="str">
        <f>""</f>
        <v/>
      </c>
      <c r="FK164" t="str">
        <f>""</f>
        <v/>
      </c>
      <c r="FL164" t="str">
        <f>""</f>
        <v/>
      </c>
      <c r="FM164" t="str">
        <f>""</f>
        <v/>
      </c>
      <c r="FN164" t="str">
        <f>""</f>
        <v/>
      </c>
      <c r="FO164" t="str">
        <f>""</f>
        <v/>
      </c>
      <c r="FP164" t="str">
        <f>""</f>
        <v/>
      </c>
      <c r="FQ164" t="str">
        <f>""</f>
        <v/>
      </c>
    </row>
    <row r="165" spans="1:173">
      <c r="A165" t="str">
        <f>"    Equity Residential"</f>
        <v xml:space="preserve">    Equity Residential</v>
      </c>
      <c r="B165" t="str">
        <f>"EQR US Equity"</f>
        <v>EQR US Equity</v>
      </c>
      <c r="C165" t="str">
        <f t="shared" si="51"/>
        <v>BE895</v>
      </c>
      <c r="D165" t="str">
        <f t="shared" si="52"/>
        <v>BEST_AFFOPS</v>
      </c>
      <c r="E165" t="str">
        <f t="shared" si="53"/>
        <v>动态</v>
      </c>
      <c r="F165">
        <f ca="1">IF(AND(ISNUMBER($F$373),$B$252=1),$F$373,HLOOKUP(INDIRECT(ADDRESS(2,COLUMN())),OFFSET($CL$2,0,0,ROW()-1,84),ROW()-1,FALSE))</f>
        <v>2.81</v>
      </c>
      <c r="G165">
        <f ca="1">IF(AND(ISNUMBER($G$373),$B$252=1),$G$373,HLOOKUP(INDIRECT(ADDRESS(2,COLUMN())),OFFSET($CL$2,0,0,ROW()-1,84),ROW()-1,FALSE))</f>
        <v>2.8330000000000002</v>
      </c>
      <c r="H165">
        <f ca="1">IF(AND(ISNUMBER($H$373),$B$252=1),$H$373,HLOOKUP(INDIRECT(ADDRESS(2,COLUMN())),OFFSET($CL$2,0,0,ROW()-1,84),ROW()-1,FALSE))</f>
        <v>2.85</v>
      </c>
      <c r="I165">
        <f ca="1">IF(AND(ISNUMBER($I$373),$B$252=1),$I$373,HLOOKUP(INDIRECT(ADDRESS(2,COLUMN())),OFFSET($CL$2,0,0,ROW()-1,84),ROW()-1,FALSE))</f>
        <v>2.863</v>
      </c>
      <c r="J165">
        <f ca="1">IF(AND(ISNUMBER($J$373),$B$252=1),$J$373,HLOOKUP(INDIRECT(ADDRESS(2,COLUMN())),OFFSET($CL$2,0,0,ROW()-1,84),ROW()-1,FALSE))</f>
        <v>2.8460000000000001</v>
      </c>
      <c r="K165">
        <f ca="1">IF(AND(ISNUMBER($K$373),$B$252=1),$K$373,HLOOKUP(INDIRECT(ADDRESS(2,COLUMN())),OFFSET($CL$2,0,0,ROW()-1,84),ROW()-1,FALSE))</f>
        <v>2.87</v>
      </c>
      <c r="L165">
        <f ca="1">IF(AND(ISNUMBER($L$373),$B$252=1),$L$373,HLOOKUP(INDIRECT(ADDRESS(2,COLUMN())),OFFSET($CL$2,0,0,ROW()-1,84),ROW()-1,FALSE))</f>
        <v>2.903</v>
      </c>
      <c r="M165">
        <f ca="1">IF(AND(ISNUMBER($M$373),$B$252=1),$M$373,HLOOKUP(INDIRECT(ADDRESS(2,COLUMN())),OFFSET($CL$2,0,0,ROW()-1,84),ROW()-1,FALSE))</f>
        <v>2.9009999999999998</v>
      </c>
      <c r="N165">
        <f ca="1">IF(AND(ISNUMBER($N$373),$B$252=1),$N$373,HLOOKUP(INDIRECT(ADDRESS(2,COLUMN())),OFFSET($CL$2,0,0,ROW()-1,84),ROW()-1,FALSE))</f>
        <v>2.89</v>
      </c>
      <c r="O165">
        <f ca="1">IF(AND(ISNUMBER($O$373),$B$252=1),$O$373,HLOOKUP(INDIRECT(ADDRESS(2,COLUMN())),OFFSET($CL$2,0,0,ROW()-1,84),ROW()-1,FALSE))</f>
        <v>2.8820000000000001</v>
      </c>
      <c r="P165">
        <f ca="1">IF(AND(ISNUMBER($P$373),$B$252=1),$P$373,HLOOKUP(INDIRECT(ADDRESS(2,COLUMN())),OFFSET($CL$2,0,0,ROW()-1,84),ROW()-1,FALSE))</f>
        <v>2.8809999999999998</v>
      </c>
      <c r="Q165">
        <f ca="1">IF(AND(ISNUMBER($Q$373),$B$252=1),$Q$373,HLOOKUP(INDIRECT(ADDRESS(2,COLUMN())),OFFSET($CL$2,0,0,ROW()-1,84),ROW()-1,FALSE))</f>
        <v>2.9</v>
      </c>
      <c r="R165">
        <f ca="1">IF(AND(ISNUMBER($R$373),$B$252=1),$R$373,HLOOKUP(INDIRECT(ADDRESS(2,COLUMN())),OFFSET($CL$2,0,0,ROW()-1,84),ROW()-1,FALSE))</f>
        <v>2.9020000000000001</v>
      </c>
      <c r="S165">
        <f ca="1">IF(AND(ISNUMBER($S$373),$B$252=1),$S$373,HLOOKUP(INDIRECT(ADDRESS(2,COLUMN())),OFFSET($CL$2,0,0,ROW()-1,84),ROW()-1,FALSE))</f>
        <v>2.9260000000000002</v>
      </c>
      <c r="T165">
        <f ca="1">IF(AND(ISNUMBER($T$373),$B$252=1),$T$373,HLOOKUP(INDIRECT(ADDRESS(2,COLUMN())),OFFSET($CL$2,0,0,ROW()-1,84),ROW()-1,FALSE))</f>
        <v>2.97</v>
      </c>
      <c r="U165">
        <f ca="1">IF(AND(ISNUMBER($U$373),$B$252=1),$U$373,HLOOKUP(INDIRECT(ADDRESS(2,COLUMN())),OFFSET($CL$2,0,0,ROW()-1,84),ROW()-1,FALSE))</f>
        <v>2.93</v>
      </c>
      <c r="V165">
        <f ca="1">IF(AND(ISNUMBER($V$373),$B$252=1),$V$373,HLOOKUP(INDIRECT(ADDRESS(2,COLUMN())),OFFSET($CL$2,0,0,ROW()-1,84),ROW()-1,FALSE))</f>
        <v>2.93</v>
      </c>
      <c r="W165">
        <f ca="1">IF(AND(ISNUMBER($W$373),$B$252=1),$W$373,HLOOKUP(INDIRECT(ADDRESS(2,COLUMN())),OFFSET($CL$2,0,0,ROW()-1,84),ROW()-1,FALSE))</f>
        <v>2.86</v>
      </c>
      <c r="X165">
        <f ca="1">IF(AND(ISNUMBER($X$373),$B$252=1),$X$373,HLOOKUP(INDIRECT(ADDRESS(2,COLUMN())),OFFSET($CL$2,0,0,ROW()-1,84),ROW()-1,FALSE))</f>
        <v>3.02</v>
      </c>
      <c r="Y165">
        <f ca="1">IF(AND(ISNUMBER($Y$373),$B$252=1),$Y$373,HLOOKUP(INDIRECT(ADDRESS(2,COLUMN())),OFFSET($CL$2,0,0,ROW()-1,84),ROW()-1,FALSE))</f>
        <v>3.0430000000000001</v>
      </c>
      <c r="Z165">
        <f ca="1">IF(AND(ISNUMBER($Z$373),$B$252=1),$Z$373,HLOOKUP(INDIRECT(ADDRESS(2,COLUMN())),OFFSET($CL$2,0,0,ROW()-1,84),ROW()-1,FALSE))</f>
        <v>3.0430000000000001</v>
      </c>
      <c r="AA165">
        <f ca="1">IF(AND(ISNUMBER($AA$373),$B$252=1),$AA$373,HLOOKUP(INDIRECT(ADDRESS(2,COLUMN())),OFFSET($CL$2,0,0,ROW()-1,84),ROW()-1,FALSE))</f>
        <v>3.16</v>
      </c>
      <c r="AB165">
        <f ca="1">IF(AND(ISNUMBER($AB$373),$B$252=1),$AB$373,HLOOKUP(INDIRECT(ADDRESS(2,COLUMN())),OFFSET($CL$2,0,0,ROW()-1,84),ROW()-1,FALSE))</f>
        <v>3.1970000000000001</v>
      </c>
      <c r="AC165">
        <f ca="1">IF(AND(ISNUMBER($AC$373),$B$252=1),$AC$373,HLOOKUP(INDIRECT(ADDRESS(2,COLUMN())),OFFSET($CL$2,0,0,ROW()-1,84),ROW()-1,FALSE))</f>
        <v>3.1850000000000001</v>
      </c>
      <c r="AD165" t="str">
        <f ca="1">IF(AND(ISNUMBER($AD$373),$B$252=1),$AD$373,HLOOKUP(INDIRECT(ADDRESS(2,COLUMN())),OFFSET($CL$2,0,0,ROW()-1,84),ROW()-1,FALSE))</f>
        <v/>
      </c>
      <c r="AE165" t="str">
        <f ca="1">IF(AND(ISNUMBER($AE$373),$B$252=1),$AE$373,HLOOKUP(INDIRECT(ADDRESS(2,COLUMN())),OFFSET($CL$2,0,0,ROW()-1,84),ROW()-1,FALSE))</f>
        <v/>
      </c>
      <c r="AF165" t="str">
        <f ca="1">IF(AND(ISNUMBER($AF$373),$B$252=1),$AF$373,HLOOKUP(INDIRECT(ADDRESS(2,COLUMN())),OFFSET($CL$2,0,0,ROW()-1,84),ROW()-1,FALSE))</f>
        <v/>
      </c>
      <c r="AG165" t="str">
        <f ca="1">IF(AND(ISNUMBER($AG$373),$B$252=1),$AG$373,HLOOKUP(INDIRECT(ADDRESS(2,COLUMN())),OFFSET($CL$2,0,0,ROW()-1,84),ROW()-1,FALSE))</f>
        <v/>
      </c>
      <c r="AH165" t="str">
        <f ca="1">IF(AND(ISNUMBER($AH$373),$B$252=1),$AH$373,HLOOKUP(INDIRECT(ADDRESS(2,COLUMN())),OFFSET($CL$2,0,0,ROW()-1,84),ROW()-1,FALSE))</f>
        <v/>
      </c>
      <c r="AI165" t="str">
        <f ca="1">IF(AND(ISNUMBER($AI$373),$B$252=1),$AI$373,HLOOKUP(INDIRECT(ADDRESS(2,COLUMN())),OFFSET($CL$2,0,0,ROW()-1,84),ROW()-1,FALSE))</f>
        <v/>
      </c>
      <c r="AJ165" t="str">
        <f ca="1">IF(AND(ISNUMBER($AJ$373),$B$252=1),$AJ$373,HLOOKUP(INDIRECT(ADDRESS(2,COLUMN())),OFFSET($CL$2,0,0,ROW()-1,84),ROW()-1,FALSE))</f>
        <v/>
      </c>
      <c r="AK165" t="str">
        <f ca="1">IF(AND(ISNUMBER($AK$373),$B$252=1),$AK$373,HLOOKUP(INDIRECT(ADDRESS(2,COLUMN())),OFFSET($CL$2,0,0,ROW()-1,84),ROW()-1,FALSE))</f>
        <v/>
      </c>
      <c r="AL165" t="str">
        <f ca="1">IF(AND(ISNUMBER($AL$373),$B$252=1),$AL$373,HLOOKUP(INDIRECT(ADDRESS(2,COLUMN())),OFFSET($CL$2,0,0,ROW()-1,84),ROW()-1,FALSE))</f>
        <v/>
      </c>
      <c r="AM165" t="str">
        <f ca="1">IF(AND(ISNUMBER($AM$373),$B$252=1),$AM$373,HLOOKUP(INDIRECT(ADDRESS(2,COLUMN())),OFFSET($CL$2,0,0,ROW()-1,84),ROW()-1,FALSE))</f>
        <v/>
      </c>
      <c r="AN165" t="str">
        <f ca="1">IF(AND(ISNUMBER($AN$373),$B$252=1),$AN$373,HLOOKUP(INDIRECT(ADDRESS(2,COLUMN())),OFFSET($CL$2,0,0,ROW()-1,84),ROW()-1,FALSE))</f>
        <v/>
      </c>
      <c r="AO165" t="str">
        <f ca="1">IF(AND(ISNUMBER($AO$373),$B$252=1),$AO$373,HLOOKUP(INDIRECT(ADDRESS(2,COLUMN())),OFFSET($CL$2,0,0,ROW()-1,84),ROW()-1,FALSE))</f>
        <v/>
      </c>
      <c r="AP165" t="str">
        <f ca="1">IF(AND(ISNUMBER($AP$373),$B$252=1),$AP$373,HLOOKUP(INDIRECT(ADDRESS(2,COLUMN())),OFFSET($CL$2,0,0,ROW()-1,84),ROW()-1,FALSE))</f>
        <v/>
      </c>
      <c r="AQ165" t="str">
        <f ca="1">IF(AND(ISNUMBER($AQ$373),$B$252=1),$AQ$373,HLOOKUP(INDIRECT(ADDRESS(2,COLUMN())),OFFSET($CL$2,0,0,ROW()-1,84),ROW()-1,FALSE))</f>
        <v/>
      </c>
      <c r="AR165" t="str">
        <f ca="1">IF(AND(ISNUMBER($AR$373),$B$252=1),$AR$373,HLOOKUP(INDIRECT(ADDRESS(2,COLUMN())),OFFSET($CL$2,0,0,ROW()-1,84),ROW()-1,FALSE))</f>
        <v/>
      </c>
      <c r="AS165" t="str">
        <f ca="1">IF(AND(ISNUMBER($AS$373),$B$252=1),$AS$373,HLOOKUP(INDIRECT(ADDRESS(2,COLUMN())),OFFSET($CL$2,0,0,ROW()-1,84),ROW()-1,FALSE))</f>
        <v/>
      </c>
      <c r="AT165" t="str">
        <f ca="1">IF(AND(ISNUMBER($AT$373),$B$252=1),$AT$373,HLOOKUP(INDIRECT(ADDRESS(2,COLUMN())),OFFSET($CL$2,0,0,ROW()-1,84),ROW()-1,FALSE))</f>
        <v/>
      </c>
      <c r="AU165" t="str">
        <f ca="1">IF(AND(ISNUMBER($AU$373),$B$252=1),$AU$373,HLOOKUP(INDIRECT(ADDRESS(2,COLUMN())),OFFSET($CL$2,0,0,ROW()-1,84),ROW()-1,FALSE))</f>
        <v/>
      </c>
      <c r="AV165" t="str">
        <f ca="1">IF(AND(ISNUMBER($AV$373),$B$252=1),$AV$373,HLOOKUP(INDIRECT(ADDRESS(2,COLUMN())),OFFSET($CL$2,0,0,ROW()-1,84),ROW()-1,FALSE))</f>
        <v/>
      </c>
      <c r="AW165" t="str">
        <f ca="1">IF(AND(ISNUMBER($AW$373),$B$252=1),$AW$373,HLOOKUP(INDIRECT(ADDRESS(2,COLUMN())),OFFSET($CL$2,0,0,ROW()-1,84),ROW()-1,FALSE))</f>
        <v/>
      </c>
      <c r="AX165" t="str">
        <f ca="1">IF(AND(ISNUMBER($AX$373),$B$252=1),$AX$373,HLOOKUP(INDIRECT(ADDRESS(2,COLUMN())),OFFSET($CL$2,0,0,ROW()-1,84),ROW()-1,FALSE))</f>
        <v/>
      </c>
      <c r="AY165" t="str">
        <f ca="1">IF(AND(ISNUMBER($AY$373),$B$252=1),$AY$373,HLOOKUP(INDIRECT(ADDRESS(2,COLUMN())),OFFSET($CL$2,0,0,ROW()-1,84),ROW()-1,FALSE))</f>
        <v/>
      </c>
      <c r="AZ165" t="str">
        <f ca="1">IF(AND(ISNUMBER($AZ$373),$B$252=1),$AZ$373,HLOOKUP(INDIRECT(ADDRESS(2,COLUMN())),OFFSET($CL$2,0,0,ROW()-1,84),ROW()-1,FALSE))</f>
        <v/>
      </c>
      <c r="BA165" t="str">
        <f ca="1">IF(AND(ISNUMBER($BA$373),$B$252=1),$BA$373,HLOOKUP(INDIRECT(ADDRESS(2,COLUMN())),OFFSET($CL$2,0,0,ROW()-1,84),ROW()-1,FALSE))</f>
        <v/>
      </c>
      <c r="BB165" t="str">
        <f ca="1">IF(AND(ISNUMBER($BB$373),$B$252=1),$BB$373,HLOOKUP(INDIRECT(ADDRESS(2,COLUMN())),OFFSET($CL$2,0,0,ROW()-1,84),ROW()-1,FALSE))</f>
        <v/>
      </c>
      <c r="BC165" t="str">
        <f ca="1">IF(AND(ISNUMBER($BC$373),$B$252=1),$BC$373,HLOOKUP(INDIRECT(ADDRESS(2,COLUMN())),OFFSET($CL$2,0,0,ROW()-1,84),ROW()-1,FALSE))</f>
        <v/>
      </c>
      <c r="BD165" t="str">
        <f ca="1">IF(AND(ISNUMBER($BD$373),$B$252=1),$BD$373,HLOOKUP(INDIRECT(ADDRESS(2,COLUMN())),OFFSET($CL$2,0,0,ROW()-1,84),ROW()-1,FALSE))</f>
        <v/>
      </c>
      <c r="BE165" t="str">
        <f ca="1">IF(AND(ISNUMBER($BE$373),$B$252=1),$BE$373,HLOOKUP(INDIRECT(ADDRESS(2,COLUMN())),OFFSET($CL$2,0,0,ROW()-1,84),ROW()-1,FALSE))</f>
        <v/>
      </c>
      <c r="BF165" t="str">
        <f ca="1">IF(AND(ISNUMBER($BF$373),$B$252=1),$BF$373,HLOOKUP(INDIRECT(ADDRESS(2,COLUMN())),OFFSET($CL$2,0,0,ROW()-1,84),ROW()-1,FALSE))</f>
        <v/>
      </c>
      <c r="BG165" t="str">
        <f ca="1">IF(AND(ISNUMBER($BG$373),$B$252=1),$BG$373,HLOOKUP(INDIRECT(ADDRESS(2,COLUMN())),OFFSET($CL$2,0,0,ROW()-1,84),ROW()-1,FALSE))</f>
        <v/>
      </c>
      <c r="BH165" t="str">
        <f ca="1">IF(AND(ISNUMBER($BH$373),$B$252=1),$BH$373,HLOOKUP(INDIRECT(ADDRESS(2,COLUMN())),OFFSET($CL$2,0,0,ROW()-1,84),ROW()-1,FALSE))</f>
        <v/>
      </c>
      <c r="BI165" t="str">
        <f ca="1">IF(AND(ISNUMBER($BI$373),$B$252=1),$BI$373,HLOOKUP(INDIRECT(ADDRESS(2,COLUMN())),OFFSET($CL$2,0,0,ROW()-1,84),ROW()-1,FALSE))</f>
        <v/>
      </c>
      <c r="BJ165" t="str">
        <f ca="1">IF(AND(ISNUMBER($BJ$373),$B$252=1),$BJ$373,HLOOKUP(INDIRECT(ADDRESS(2,COLUMN())),OFFSET($CL$2,0,0,ROW()-1,84),ROW()-1,FALSE))</f>
        <v/>
      </c>
      <c r="BK165" t="str">
        <f ca="1">IF(AND(ISNUMBER($BK$373),$B$252=1),$BK$373,HLOOKUP(INDIRECT(ADDRESS(2,COLUMN())),OFFSET($CL$2,0,0,ROW()-1,84),ROW()-1,FALSE))</f>
        <v/>
      </c>
      <c r="BL165" t="str">
        <f ca="1">IF(AND(ISNUMBER($BL$373),$B$252=1),$BL$373,HLOOKUP(INDIRECT(ADDRESS(2,COLUMN())),OFFSET($CL$2,0,0,ROW()-1,84),ROW()-1,FALSE))</f>
        <v/>
      </c>
      <c r="BM165" t="str">
        <f ca="1">IF(AND(ISNUMBER($BM$373),$B$252=1),$BM$373,HLOOKUP(INDIRECT(ADDRESS(2,COLUMN())),OFFSET($CL$2,0,0,ROW()-1,84),ROW()-1,FALSE))</f>
        <v/>
      </c>
      <c r="BN165" t="str">
        <f ca="1">IF(AND(ISNUMBER($BN$373),$B$252=1),$BN$373,HLOOKUP(INDIRECT(ADDRESS(2,COLUMN())),OFFSET($CL$2,0,0,ROW()-1,84),ROW()-1,FALSE))</f>
        <v/>
      </c>
      <c r="BO165" t="str">
        <f ca="1">IF(AND(ISNUMBER($BO$373),$B$252=1),$BO$373,HLOOKUP(INDIRECT(ADDRESS(2,COLUMN())),OFFSET($CL$2,0,0,ROW()-1,84),ROW()-1,FALSE))</f>
        <v/>
      </c>
      <c r="BP165" t="str">
        <f ca="1">IF(AND(ISNUMBER($BP$373),$B$252=1),$BP$373,HLOOKUP(INDIRECT(ADDRESS(2,COLUMN())),OFFSET($CL$2,0,0,ROW()-1,84),ROW()-1,FALSE))</f>
        <v/>
      </c>
      <c r="BQ165" t="str">
        <f ca="1">IF(AND(ISNUMBER($BQ$373),$B$252=1),$BQ$373,HLOOKUP(INDIRECT(ADDRESS(2,COLUMN())),OFFSET($CL$2,0,0,ROW()-1,84),ROW()-1,FALSE))</f>
        <v/>
      </c>
      <c r="BR165" t="str">
        <f ca="1">IF(AND(ISNUMBER($BR$373),$B$252=1),$BR$373,HLOOKUP(INDIRECT(ADDRESS(2,COLUMN())),OFFSET($CL$2,0,0,ROW()-1,84),ROW()-1,FALSE))</f>
        <v/>
      </c>
      <c r="BS165" t="str">
        <f ca="1">IF(AND(ISNUMBER($BS$373),$B$252=1),$BS$373,HLOOKUP(INDIRECT(ADDRESS(2,COLUMN())),OFFSET($CL$2,0,0,ROW()-1,84),ROW()-1,FALSE))</f>
        <v/>
      </c>
      <c r="BT165" t="str">
        <f ca="1">IF(AND(ISNUMBER($BT$373),$B$252=1),$BT$373,HLOOKUP(INDIRECT(ADDRESS(2,COLUMN())),OFFSET($CL$2,0,0,ROW()-1,84),ROW()-1,FALSE))</f>
        <v/>
      </c>
      <c r="BU165" t="str">
        <f ca="1">IF(AND(ISNUMBER($BU$373),$B$252=1),$BU$373,HLOOKUP(INDIRECT(ADDRESS(2,COLUMN())),OFFSET($CL$2,0,0,ROW()-1,84),ROW()-1,FALSE))</f>
        <v/>
      </c>
      <c r="BV165" t="str">
        <f ca="1">IF(AND(ISNUMBER($BV$373),$B$252=1),$BV$373,HLOOKUP(INDIRECT(ADDRESS(2,COLUMN())),OFFSET($CL$2,0,0,ROW()-1,84),ROW()-1,FALSE))</f>
        <v/>
      </c>
      <c r="BW165" t="str">
        <f ca="1">IF(AND(ISNUMBER($BW$373),$B$252=1),$BW$373,HLOOKUP(INDIRECT(ADDRESS(2,COLUMN())),OFFSET($CL$2,0,0,ROW()-1,84),ROW()-1,FALSE))</f>
        <v/>
      </c>
      <c r="BX165" t="str">
        <f ca="1">IF(AND(ISNUMBER($BX$373),$B$252=1),$BX$373,HLOOKUP(INDIRECT(ADDRESS(2,COLUMN())),OFFSET($CL$2,0,0,ROW()-1,84),ROW()-1,FALSE))</f>
        <v/>
      </c>
      <c r="BY165" t="str">
        <f ca="1">IF(AND(ISNUMBER($BY$373),$B$252=1),$BY$373,HLOOKUP(INDIRECT(ADDRESS(2,COLUMN())),OFFSET($CL$2,0,0,ROW()-1,84),ROW()-1,FALSE))</f>
        <v/>
      </c>
      <c r="BZ165" t="str">
        <f ca="1">IF(AND(ISNUMBER($BZ$373),$B$252=1),$BZ$373,HLOOKUP(INDIRECT(ADDRESS(2,COLUMN())),OFFSET($CL$2,0,0,ROW()-1,84),ROW()-1,FALSE))</f>
        <v/>
      </c>
      <c r="CA165" t="str">
        <f ca="1">IF(AND(ISNUMBER($CA$373),$B$252=1),$CA$373,HLOOKUP(INDIRECT(ADDRESS(2,COLUMN())),OFFSET($CL$2,0,0,ROW()-1,84),ROW()-1,FALSE))</f>
        <v/>
      </c>
      <c r="CB165" t="str">
        <f ca="1">IF(AND(ISNUMBER($CB$373),$B$252=1),$CB$373,HLOOKUP(INDIRECT(ADDRESS(2,COLUMN())),OFFSET($CL$2,0,0,ROW()-1,84),ROW()-1,FALSE))</f>
        <v/>
      </c>
      <c r="CC165" t="str">
        <f ca="1">IF(AND(ISNUMBER($CC$373),$B$252=1),$CC$373,HLOOKUP(INDIRECT(ADDRESS(2,COLUMN())),OFFSET($CL$2,0,0,ROW()-1,84),ROW()-1,FALSE))</f>
        <v/>
      </c>
      <c r="CD165" t="str">
        <f ca="1">IF(AND(ISNUMBER($CD$373),$B$252=1),$CD$373,HLOOKUP(INDIRECT(ADDRESS(2,COLUMN())),OFFSET($CL$2,0,0,ROW()-1,84),ROW()-1,FALSE))</f>
        <v/>
      </c>
      <c r="CE165" t="str">
        <f ca="1">IF(AND(ISNUMBER($CE$373),$B$252=1),$CE$373,HLOOKUP(INDIRECT(ADDRESS(2,COLUMN())),OFFSET($CL$2,0,0,ROW()-1,84),ROW()-1,FALSE))</f>
        <v/>
      </c>
      <c r="CF165" t="str">
        <f ca="1">IF(AND(ISNUMBER($CF$373),$B$252=1),$CF$373,HLOOKUP(INDIRECT(ADDRESS(2,COLUMN())),OFFSET($CL$2,0,0,ROW()-1,84),ROW()-1,FALSE))</f>
        <v/>
      </c>
      <c r="CG165" t="str">
        <f ca="1">IF(AND(ISNUMBER($CG$373),$B$252=1),$CG$373,HLOOKUP(INDIRECT(ADDRESS(2,COLUMN())),OFFSET($CL$2,0,0,ROW()-1,84),ROW()-1,FALSE))</f>
        <v/>
      </c>
      <c r="CH165" t="str">
        <f ca="1">IF(AND(ISNUMBER($CH$373),$B$252=1),$CH$373,HLOOKUP(INDIRECT(ADDRESS(2,COLUMN())),OFFSET($CL$2,0,0,ROW()-1,84),ROW()-1,FALSE))</f>
        <v/>
      </c>
      <c r="CI165" t="str">
        <f ca="1">IF(AND(ISNUMBER($CI$373),$B$252=1),$CI$373,HLOOKUP(INDIRECT(ADDRESS(2,COLUMN())),OFFSET($CL$2,0,0,ROW()-1,84),ROW()-1,FALSE))</f>
        <v/>
      </c>
      <c r="CJ165" t="str">
        <f ca="1">IF(AND(ISNUMBER($CJ$373),$B$252=1),$CJ$373,HLOOKUP(INDIRECT(ADDRESS(2,COLUMN())),OFFSET($CL$2,0,0,ROW()-1,84),ROW()-1,FALSE))</f>
        <v/>
      </c>
      <c r="CK165" t="str">
        <f ca="1">IF(AND(ISNUMBER($CK$373),$B$252=1),$CK$373,HLOOKUP(INDIRECT(ADDRESS(2,COLUMN())),OFFSET($CL$2,0,0,ROW()-1,84),ROW()-1,FALSE))</f>
        <v/>
      </c>
      <c r="CL165">
        <f>2.81</f>
        <v>2.81</v>
      </c>
      <c r="CM165">
        <f>2.833</f>
        <v>2.8330000000000002</v>
      </c>
      <c r="CN165">
        <f>2.85</f>
        <v>2.85</v>
      </c>
      <c r="CO165">
        <f>2.863</f>
        <v>2.863</v>
      </c>
      <c r="CP165">
        <f>2.846</f>
        <v>2.8460000000000001</v>
      </c>
      <c r="CQ165">
        <f>2.87</f>
        <v>2.87</v>
      </c>
      <c r="CR165">
        <f>2.903</f>
        <v>2.903</v>
      </c>
      <c r="CS165">
        <f>2.901</f>
        <v>2.9009999999999998</v>
      </c>
      <c r="CT165">
        <f>2.89</f>
        <v>2.89</v>
      </c>
      <c r="CU165">
        <f>2.882</f>
        <v>2.8820000000000001</v>
      </c>
      <c r="CV165">
        <f>2.881</f>
        <v>2.8809999999999998</v>
      </c>
      <c r="CW165">
        <f>2.9</f>
        <v>2.9</v>
      </c>
      <c r="CX165">
        <f>2.902</f>
        <v>2.9020000000000001</v>
      </c>
      <c r="CY165">
        <f>2.926</f>
        <v>2.9260000000000002</v>
      </c>
      <c r="CZ165">
        <f>2.97</f>
        <v>2.97</v>
      </c>
      <c r="DA165">
        <f>2.93</f>
        <v>2.93</v>
      </c>
      <c r="DB165">
        <f>2.93</f>
        <v>2.93</v>
      </c>
      <c r="DC165">
        <f>2.86</f>
        <v>2.86</v>
      </c>
      <c r="DD165">
        <f>3.02</f>
        <v>3.02</v>
      </c>
      <c r="DE165">
        <f>3.043</f>
        <v>3.0430000000000001</v>
      </c>
      <c r="DF165">
        <f>3.043</f>
        <v>3.0430000000000001</v>
      </c>
      <c r="DG165">
        <f>3.16</f>
        <v>3.16</v>
      </c>
      <c r="DH165">
        <f>3.197</f>
        <v>3.1970000000000001</v>
      </c>
      <c r="DI165">
        <f>3.185</f>
        <v>3.1850000000000001</v>
      </c>
      <c r="DJ165" t="str">
        <f>""</f>
        <v/>
      </c>
      <c r="DK165" t="str">
        <f>""</f>
        <v/>
      </c>
      <c r="DL165" t="str">
        <f>""</f>
        <v/>
      </c>
      <c r="DM165" t="str">
        <f>""</f>
        <v/>
      </c>
      <c r="DN165" t="str">
        <f>""</f>
        <v/>
      </c>
      <c r="DO165" t="str">
        <f>""</f>
        <v/>
      </c>
      <c r="DP165" t="str">
        <f>""</f>
        <v/>
      </c>
      <c r="DQ165" t="str">
        <f>""</f>
        <v/>
      </c>
      <c r="DR165" t="str">
        <f>""</f>
        <v/>
      </c>
      <c r="DS165" t="str">
        <f>""</f>
        <v/>
      </c>
      <c r="DT165" t="str">
        <f>""</f>
        <v/>
      </c>
      <c r="DU165" t="str">
        <f>""</f>
        <v/>
      </c>
      <c r="DV165" t="str">
        <f>""</f>
        <v/>
      </c>
      <c r="DW165" t="str">
        <f>""</f>
        <v/>
      </c>
      <c r="DX165" t="str">
        <f>""</f>
        <v/>
      </c>
      <c r="DY165" t="str">
        <f>""</f>
        <v/>
      </c>
      <c r="DZ165" t="str">
        <f>""</f>
        <v/>
      </c>
      <c r="EA165" t="str">
        <f>""</f>
        <v/>
      </c>
      <c r="EB165" t="str">
        <f>""</f>
        <v/>
      </c>
      <c r="EC165" t="str">
        <f>""</f>
        <v/>
      </c>
      <c r="ED165" t="str">
        <f>""</f>
        <v/>
      </c>
      <c r="EE165" t="str">
        <f>""</f>
        <v/>
      </c>
      <c r="EF165" t="str">
        <f>""</f>
        <v/>
      </c>
      <c r="EG165" t="str">
        <f>""</f>
        <v/>
      </c>
      <c r="EH165" t="str">
        <f>""</f>
        <v/>
      </c>
      <c r="EI165" t="str">
        <f>""</f>
        <v/>
      </c>
      <c r="EJ165" t="str">
        <f>""</f>
        <v/>
      </c>
      <c r="EK165" t="str">
        <f>""</f>
        <v/>
      </c>
      <c r="EL165" t="str">
        <f>""</f>
        <v/>
      </c>
      <c r="EM165" t="str">
        <f>""</f>
        <v/>
      </c>
      <c r="EN165" t="str">
        <f>""</f>
        <v/>
      </c>
      <c r="EO165" t="str">
        <f>""</f>
        <v/>
      </c>
      <c r="EP165" t="str">
        <f>""</f>
        <v/>
      </c>
      <c r="EQ165" t="str">
        <f>""</f>
        <v/>
      </c>
      <c r="ER165" t="str">
        <f>""</f>
        <v/>
      </c>
      <c r="ES165" t="str">
        <f>""</f>
        <v/>
      </c>
      <c r="ET165" t="str">
        <f>""</f>
        <v/>
      </c>
      <c r="EU165" t="str">
        <f>""</f>
        <v/>
      </c>
      <c r="EV165" t="str">
        <f>""</f>
        <v/>
      </c>
      <c r="EW165" t="str">
        <f>""</f>
        <v/>
      </c>
      <c r="EX165" t="str">
        <f>""</f>
        <v/>
      </c>
      <c r="EY165" t="str">
        <f>""</f>
        <v/>
      </c>
      <c r="EZ165" t="str">
        <f>""</f>
        <v/>
      </c>
      <c r="FA165" t="str">
        <f>""</f>
        <v/>
      </c>
      <c r="FB165" t="str">
        <f>""</f>
        <v/>
      </c>
      <c r="FC165" t="str">
        <f>""</f>
        <v/>
      </c>
      <c r="FD165" t="str">
        <f>""</f>
        <v/>
      </c>
      <c r="FE165" t="str">
        <f>""</f>
        <v/>
      </c>
      <c r="FF165" t="str">
        <f>""</f>
        <v/>
      </c>
      <c r="FG165" t="str">
        <f>""</f>
        <v/>
      </c>
      <c r="FH165" t="str">
        <f>""</f>
        <v/>
      </c>
      <c r="FI165" t="str">
        <f>""</f>
        <v/>
      </c>
      <c r="FJ165" t="str">
        <f>""</f>
        <v/>
      </c>
      <c r="FK165" t="str">
        <f>""</f>
        <v/>
      </c>
      <c r="FL165" t="str">
        <f>""</f>
        <v/>
      </c>
      <c r="FM165" t="str">
        <f>""</f>
        <v/>
      </c>
      <c r="FN165" t="str">
        <f>""</f>
        <v/>
      </c>
      <c r="FO165" t="str">
        <f>""</f>
        <v/>
      </c>
      <c r="FP165" t="str">
        <f>""</f>
        <v/>
      </c>
      <c r="FQ165" t="str">
        <f>""</f>
        <v/>
      </c>
    </row>
    <row r="166" spans="1:173">
      <c r="A166" t="str">
        <f>"    Essex Property Trust Inc"</f>
        <v xml:space="preserve">    Essex Property Trust Inc</v>
      </c>
      <c r="B166" t="str">
        <f>"ESS US Equity"</f>
        <v>ESS US Equity</v>
      </c>
      <c r="C166" t="str">
        <f t="shared" si="51"/>
        <v>BE895</v>
      </c>
      <c r="D166" t="str">
        <f t="shared" si="52"/>
        <v>BEST_AFFOPS</v>
      </c>
      <c r="E166" t="str">
        <f t="shared" si="53"/>
        <v>动态</v>
      </c>
      <c r="F166">
        <f ca="1">IF(AND(ISNUMBER($F$374),$B$252=1),$F$374,HLOOKUP(INDIRECT(ADDRESS(2,COLUMN())),OFFSET($CL$2,0,0,ROW()-1,84),ROW()-1,FALSE))</f>
        <v>11.343999999999999</v>
      </c>
      <c r="G166">
        <f ca="1">IF(AND(ISNUMBER($G$374),$B$252=1),$G$374,HLOOKUP(INDIRECT(ADDRESS(2,COLUMN())),OFFSET($CL$2,0,0,ROW()-1,84),ROW()-1,FALSE))</f>
        <v>11.31</v>
      </c>
      <c r="H166">
        <f ca="1">IF(AND(ISNUMBER($H$374),$B$252=1),$H$374,HLOOKUP(INDIRECT(ADDRESS(2,COLUMN())),OFFSET($CL$2,0,0,ROW()-1,84),ROW()-1,FALSE))</f>
        <v>11.318</v>
      </c>
      <c r="I166">
        <f ca="1">IF(AND(ISNUMBER($I$374),$B$252=1),$I$374,HLOOKUP(INDIRECT(ADDRESS(2,COLUMN())),OFFSET($CL$2,0,0,ROW()-1,84),ROW()-1,FALSE))</f>
        <v>11.250999999999999</v>
      </c>
      <c r="J166">
        <f ca="1">IF(AND(ISNUMBER($J$374),$B$252=1),$J$374,HLOOKUP(INDIRECT(ADDRESS(2,COLUMN())),OFFSET($CL$2,0,0,ROW()-1,84),ROW()-1,FALSE))</f>
        <v>11.28</v>
      </c>
      <c r="K166">
        <f ca="1">IF(AND(ISNUMBER($K$374),$B$252=1),$K$374,HLOOKUP(INDIRECT(ADDRESS(2,COLUMN())),OFFSET($CL$2,0,0,ROW()-1,84),ROW()-1,FALSE))</f>
        <v>11.363</v>
      </c>
      <c r="L166">
        <f ca="1">IF(AND(ISNUMBER($L$374),$B$252=1),$L$374,HLOOKUP(INDIRECT(ADDRESS(2,COLUMN())),OFFSET($CL$2,0,0,ROW()-1,84),ROW()-1,FALSE))</f>
        <v>11.361000000000001</v>
      </c>
      <c r="M166">
        <f ca="1">IF(AND(ISNUMBER($M$374),$B$252=1),$M$374,HLOOKUP(INDIRECT(ADDRESS(2,COLUMN())),OFFSET($CL$2,0,0,ROW()-1,84),ROW()-1,FALSE))</f>
        <v>11.371</v>
      </c>
      <c r="N166">
        <f ca="1">IF(AND(ISNUMBER($N$374),$B$252=1),$N$374,HLOOKUP(INDIRECT(ADDRESS(2,COLUMN())),OFFSET($CL$2,0,0,ROW()-1,84),ROW()-1,FALSE))</f>
        <v>11.314</v>
      </c>
      <c r="O166">
        <f ca="1">IF(AND(ISNUMBER($O$374),$B$252=1),$O$374,HLOOKUP(INDIRECT(ADDRESS(2,COLUMN())),OFFSET($CL$2,0,0,ROW()-1,84),ROW()-1,FALSE))</f>
        <v>11.266</v>
      </c>
      <c r="P166">
        <f ca="1">IF(AND(ISNUMBER($P$374),$B$252=1),$P$374,HLOOKUP(INDIRECT(ADDRESS(2,COLUMN())),OFFSET($CL$2,0,0,ROW()-1,84),ROW()-1,FALSE))</f>
        <v>11.241</v>
      </c>
      <c r="Q166">
        <f ca="1">IF(AND(ISNUMBER($Q$374),$B$252=1),$Q$374,HLOOKUP(INDIRECT(ADDRESS(2,COLUMN())),OFFSET($CL$2,0,0,ROW()-1,84),ROW()-1,FALSE))</f>
        <v>11.263</v>
      </c>
      <c r="R166">
        <f ca="1">IF(AND(ISNUMBER($R$374),$B$252=1),$R$374,HLOOKUP(INDIRECT(ADDRESS(2,COLUMN())),OFFSET($CL$2,0,0,ROW()-1,84),ROW()-1,FALSE))</f>
        <v>11.288</v>
      </c>
      <c r="S166">
        <f ca="1">IF(AND(ISNUMBER($S$374),$B$252=1),$S$374,HLOOKUP(INDIRECT(ADDRESS(2,COLUMN())),OFFSET($CL$2,0,0,ROW()-1,84),ROW()-1,FALSE))</f>
        <v>11.291</v>
      </c>
      <c r="T166">
        <f ca="1">IF(AND(ISNUMBER($T$374),$B$252=1),$T$374,HLOOKUP(INDIRECT(ADDRESS(2,COLUMN())),OFFSET($CL$2,0,0,ROW()-1,84),ROW()-1,FALSE))</f>
        <v>11.391</v>
      </c>
      <c r="U166">
        <f ca="1">IF(AND(ISNUMBER($U$374),$B$252=1),$U$374,HLOOKUP(INDIRECT(ADDRESS(2,COLUMN())),OFFSET($CL$2,0,0,ROW()-1,84),ROW()-1,FALSE))</f>
        <v>11.349</v>
      </c>
      <c r="V166">
        <f ca="1">IF(AND(ISNUMBER($V$374),$B$252=1),$V$374,HLOOKUP(INDIRECT(ADDRESS(2,COLUMN())),OFFSET($CL$2,0,0,ROW()-1,84),ROW()-1,FALSE))</f>
        <v>11.292</v>
      </c>
      <c r="W166">
        <f ca="1">IF(AND(ISNUMBER($W$374),$B$252=1),$W$374,HLOOKUP(INDIRECT(ADDRESS(2,COLUMN())),OFFSET($CL$2,0,0,ROW()-1,84),ROW()-1,FALSE))</f>
        <v>11.308</v>
      </c>
      <c r="X166">
        <f ca="1">IF(AND(ISNUMBER($X$374),$B$252=1),$X$374,HLOOKUP(INDIRECT(ADDRESS(2,COLUMN())),OFFSET($CL$2,0,0,ROW()-1,84),ROW()-1,FALSE))</f>
        <v>11.343</v>
      </c>
      <c r="Y166">
        <f ca="1">IF(AND(ISNUMBER($Y$374),$B$252=1),$Y$374,HLOOKUP(INDIRECT(ADDRESS(2,COLUMN())),OFFSET($CL$2,0,0,ROW()-1,84),ROW()-1,FALSE))</f>
        <v>11.42</v>
      </c>
      <c r="Z166">
        <f ca="1">IF(AND(ISNUMBER($Z$374),$B$252=1),$Z$374,HLOOKUP(INDIRECT(ADDRESS(2,COLUMN())),OFFSET($CL$2,0,0,ROW()-1,84),ROW()-1,FALSE))</f>
        <v>11.49</v>
      </c>
      <c r="AA166">
        <f ca="1">IF(AND(ISNUMBER($AA$374),$B$252=1),$AA$374,HLOOKUP(INDIRECT(ADDRESS(2,COLUMN())),OFFSET($CL$2,0,0,ROW()-1,84),ROW()-1,FALSE))</f>
        <v>11.59</v>
      </c>
      <c r="AB166">
        <f ca="1">IF(AND(ISNUMBER($AB$374),$B$252=1),$AB$374,HLOOKUP(INDIRECT(ADDRESS(2,COLUMN())),OFFSET($CL$2,0,0,ROW()-1,84),ROW()-1,FALSE))</f>
        <v>11.702999999999999</v>
      </c>
      <c r="AC166">
        <f ca="1">IF(AND(ISNUMBER($AC$374),$B$252=1),$AC$374,HLOOKUP(INDIRECT(ADDRESS(2,COLUMN())),OFFSET($CL$2,0,0,ROW()-1,84),ROW()-1,FALSE))</f>
        <v>11.904999999999999</v>
      </c>
      <c r="AD166" t="str">
        <f ca="1">IF(AND(ISNUMBER($AD$374),$B$252=1),$AD$374,HLOOKUP(INDIRECT(ADDRESS(2,COLUMN())),OFFSET($CL$2,0,0,ROW()-1,84),ROW()-1,FALSE))</f>
        <v/>
      </c>
      <c r="AE166">
        <f ca="1">IF(AND(ISNUMBER($AE$374),$B$252=1),$AE$374,HLOOKUP(INDIRECT(ADDRESS(2,COLUMN())),OFFSET($CL$2,0,0,ROW()-1,84),ROW()-1,FALSE))</f>
        <v>12.04</v>
      </c>
      <c r="AF166" t="str">
        <f ca="1">IF(AND(ISNUMBER($AF$374),$B$252=1),$AF$374,HLOOKUP(INDIRECT(ADDRESS(2,COLUMN())),OFFSET($CL$2,0,0,ROW()-1,84),ROW()-1,FALSE))</f>
        <v/>
      </c>
      <c r="AG166" t="str">
        <f ca="1">IF(AND(ISNUMBER($AG$374),$B$252=1),$AG$374,HLOOKUP(INDIRECT(ADDRESS(2,COLUMN())),OFFSET($CL$2,0,0,ROW()-1,84),ROW()-1,FALSE))</f>
        <v/>
      </c>
      <c r="AH166" t="str">
        <f ca="1">IF(AND(ISNUMBER($AH$374),$B$252=1),$AH$374,HLOOKUP(INDIRECT(ADDRESS(2,COLUMN())),OFFSET($CL$2,0,0,ROW()-1,84),ROW()-1,FALSE))</f>
        <v/>
      </c>
      <c r="AI166" t="str">
        <f ca="1">IF(AND(ISNUMBER($AI$374),$B$252=1),$AI$374,HLOOKUP(INDIRECT(ADDRESS(2,COLUMN())),OFFSET($CL$2,0,0,ROW()-1,84),ROW()-1,FALSE))</f>
        <v/>
      </c>
      <c r="AJ166" t="str">
        <f ca="1">IF(AND(ISNUMBER($AJ$374),$B$252=1),$AJ$374,HLOOKUP(INDIRECT(ADDRESS(2,COLUMN())),OFFSET($CL$2,0,0,ROW()-1,84),ROW()-1,FALSE))</f>
        <v/>
      </c>
      <c r="AK166" t="str">
        <f ca="1">IF(AND(ISNUMBER($AK$374),$B$252=1),$AK$374,HLOOKUP(INDIRECT(ADDRESS(2,COLUMN())),OFFSET($CL$2,0,0,ROW()-1,84),ROW()-1,FALSE))</f>
        <v/>
      </c>
      <c r="AL166" t="str">
        <f ca="1">IF(AND(ISNUMBER($AL$374),$B$252=1),$AL$374,HLOOKUP(INDIRECT(ADDRESS(2,COLUMN())),OFFSET($CL$2,0,0,ROW()-1,84),ROW()-1,FALSE))</f>
        <v/>
      </c>
      <c r="AM166" t="str">
        <f ca="1">IF(AND(ISNUMBER($AM$374),$B$252=1),$AM$374,HLOOKUP(INDIRECT(ADDRESS(2,COLUMN())),OFFSET($CL$2,0,0,ROW()-1,84),ROW()-1,FALSE))</f>
        <v/>
      </c>
      <c r="AN166" t="str">
        <f ca="1">IF(AND(ISNUMBER($AN$374),$B$252=1),$AN$374,HLOOKUP(INDIRECT(ADDRESS(2,COLUMN())),OFFSET($CL$2,0,0,ROW()-1,84),ROW()-1,FALSE))</f>
        <v/>
      </c>
      <c r="AO166" t="str">
        <f ca="1">IF(AND(ISNUMBER($AO$374),$B$252=1),$AO$374,HLOOKUP(INDIRECT(ADDRESS(2,COLUMN())),OFFSET($CL$2,0,0,ROW()-1,84),ROW()-1,FALSE))</f>
        <v/>
      </c>
      <c r="AP166" t="str">
        <f ca="1">IF(AND(ISNUMBER($AP$374),$B$252=1),$AP$374,HLOOKUP(INDIRECT(ADDRESS(2,COLUMN())),OFFSET($CL$2,0,0,ROW()-1,84),ROW()-1,FALSE))</f>
        <v/>
      </c>
      <c r="AQ166" t="str">
        <f ca="1">IF(AND(ISNUMBER($AQ$374),$B$252=1),$AQ$374,HLOOKUP(INDIRECT(ADDRESS(2,COLUMN())),OFFSET($CL$2,0,0,ROW()-1,84),ROW()-1,FALSE))</f>
        <v/>
      </c>
      <c r="AR166" t="str">
        <f ca="1">IF(AND(ISNUMBER($AR$374),$B$252=1),$AR$374,HLOOKUP(INDIRECT(ADDRESS(2,COLUMN())),OFFSET($CL$2,0,0,ROW()-1,84),ROW()-1,FALSE))</f>
        <v/>
      </c>
      <c r="AS166" t="str">
        <f ca="1">IF(AND(ISNUMBER($AS$374),$B$252=1),$AS$374,HLOOKUP(INDIRECT(ADDRESS(2,COLUMN())),OFFSET($CL$2,0,0,ROW()-1,84),ROW()-1,FALSE))</f>
        <v/>
      </c>
      <c r="AT166" t="str">
        <f ca="1">IF(AND(ISNUMBER($AT$374),$B$252=1),$AT$374,HLOOKUP(INDIRECT(ADDRESS(2,COLUMN())),OFFSET($CL$2,0,0,ROW()-1,84),ROW()-1,FALSE))</f>
        <v/>
      </c>
      <c r="AU166" t="str">
        <f ca="1">IF(AND(ISNUMBER($AU$374),$B$252=1),$AU$374,HLOOKUP(INDIRECT(ADDRESS(2,COLUMN())),OFFSET($CL$2,0,0,ROW()-1,84),ROW()-1,FALSE))</f>
        <v/>
      </c>
      <c r="AV166" t="str">
        <f ca="1">IF(AND(ISNUMBER($AV$374),$B$252=1),$AV$374,HLOOKUP(INDIRECT(ADDRESS(2,COLUMN())),OFFSET($CL$2,0,0,ROW()-1,84),ROW()-1,FALSE))</f>
        <v/>
      </c>
      <c r="AW166" t="str">
        <f ca="1">IF(AND(ISNUMBER($AW$374),$B$252=1),$AW$374,HLOOKUP(INDIRECT(ADDRESS(2,COLUMN())),OFFSET($CL$2,0,0,ROW()-1,84),ROW()-1,FALSE))</f>
        <v/>
      </c>
      <c r="AX166" t="str">
        <f ca="1">IF(AND(ISNUMBER($AX$374),$B$252=1),$AX$374,HLOOKUP(INDIRECT(ADDRESS(2,COLUMN())),OFFSET($CL$2,0,0,ROW()-1,84),ROW()-1,FALSE))</f>
        <v/>
      </c>
      <c r="AY166" t="str">
        <f ca="1">IF(AND(ISNUMBER($AY$374),$B$252=1),$AY$374,HLOOKUP(INDIRECT(ADDRESS(2,COLUMN())),OFFSET($CL$2,0,0,ROW()-1,84),ROW()-1,FALSE))</f>
        <v/>
      </c>
      <c r="AZ166" t="str">
        <f ca="1">IF(AND(ISNUMBER($AZ$374),$B$252=1),$AZ$374,HLOOKUP(INDIRECT(ADDRESS(2,COLUMN())),OFFSET($CL$2,0,0,ROW()-1,84),ROW()-1,FALSE))</f>
        <v/>
      </c>
      <c r="BA166" t="str">
        <f ca="1">IF(AND(ISNUMBER($BA$374),$B$252=1),$BA$374,HLOOKUP(INDIRECT(ADDRESS(2,COLUMN())),OFFSET($CL$2,0,0,ROW()-1,84),ROW()-1,FALSE))</f>
        <v/>
      </c>
      <c r="BB166" t="str">
        <f ca="1">IF(AND(ISNUMBER($BB$374),$B$252=1),$BB$374,HLOOKUP(INDIRECT(ADDRESS(2,COLUMN())),OFFSET($CL$2,0,0,ROW()-1,84),ROW()-1,FALSE))</f>
        <v/>
      </c>
      <c r="BC166" t="str">
        <f ca="1">IF(AND(ISNUMBER($BC$374),$B$252=1),$BC$374,HLOOKUP(INDIRECT(ADDRESS(2,COLUMN())),OFFSET($CL$2,0,0,ROW()-1,84),ROW()-1,FALSE))</f>
        <v/>
      </c>
      <c r="BD166" t="str">
        <f ca="1">IF(AND(ISNUMBER($BD$374),$B$252=1),$BD$374,HLOOKUP(INDIRECT(ADDRESS(2,COLUMN())),OFFSET($CL$2,0,0,ROW()-1,84),ROW()-1,FALSE))</f>
        <v/>
      </c>
      <c r="BE166" t="str">
        <f ca="1">IF(AND(ISNUMBER($BE$374),$B$252=1),$BE$374,HLOOKUP(INDIRECT(ADDRESS(2,COLUMN())),OFFSET($CL$2,0,0,ROW()-1,84),ROW()-1,FALSE))</f>
        <v/>
      </c>
      <c r="BF166" t="str">
        <f ca="1">IF(AND(ISNUMBER($BF$374),$B$252=1),$BF$374,HLOOKUP(INDIRECT(ADDRESS(2,COLUMN())),OFFSET($CL$2,0,0,ROW()-1,84),ROW()-1,FALSE))</f>
        <v/>
      </c>
      <c r="BG166" t="str">
        <f ca="1">IF(AND(ISNUMBER($BG$374),$B$252=1),$BG$374,HLOOKUP(INDIRECT(ADDRESS(2,COLUMN())),OFFSET($CL$2,0,0,ROW()-1,84),ROW()-1,FALSE))</f>
        <v/>
      </c>
      <c r="BH166" t="str">
        <f ca="1">IF(AND(ISNUMBER($BH$374),$B$252=1),$BH$374,HLOOKUP(INDIRECT(ADDRESS(2,COLUMN())),OFFSET($CL$2,0,0,ROW()-1,84),ROW()-1,FALSE))</f>
        <v/>
      </c>
      <c r="BI166" t="str">
        <f ca="1">IF(AND(ISNUMBER($BI$374),$B$252=1),$BI$374,HLOOKUP(INDIRECT(ADDRESS(2,COLUMN())),OFFSET($CL$2,0,0,ROW()-1,84),ROW()-1,FALSE))</f>
        <v/>
      </c>
      <c r="BJ166" t="str">
        <f ca="1">IF(AND(ISNUMBER($BJ$374),$B$252=1),$BJ$374,HLOOKUP(INDIRECT(ADDRESS(2,COLUMN())),OFFSET($CL$2,0,0,ROW()-1,84),ROW()-1,FALSE))</f>
        <v/>
      </c>
      <c r="BK166" t="str">
        <f ca="1">IF(AND(ISNUMBER($BK$374),$B$252=1),$BK$374,HLOOKUP(INDIRECT(ADDRESS(2,COLUMN())),OFFSET($CL$2,0,0,ROW()-1,84),ROW()-1,FALSE))</f>
        <v/>
      </c>
      <c r="BL166" t="str">
        <f ca="1">IF(AND(ISNUMBER($BL$374),$B$252=1),$BL$374,HLOOKUP(INDIRECT(ADDRESS(2,COLUMN())),OFFSET($CL$2,0,0,ROW()-1,84),ROW()-1,FALSE))</f>
        <v/>
      </c>
      <c r="BM166" t="str">
        <f ca="1">IF(AND(ISNUMBER($BM$374),$B$252=1),$BM$374,HLOOKUP(INDIRECT(ADDRESS(2,COLUMN())),OFFSET($CL$2,0,0,ROW()-1,84),ROW()-1,FALSE))</f>
        <v/>
      </c>
      <c r="BN166" t="str">
        <f ca="1">IF(AND(ISNUMBER($BN$374),$B$252=1),$BN$374,HLOOKUP(INDIRECT(ADDRESS(2,COLUMN())),OFFSET($CL$2,0,0,ROW()-1,84),ROW()-1,FALSE))</f>
        <v/>
      </c>
      <c r="BO166" t="str">
        <f ca="1">IF(AND(ISNUMBER($BO$374),$B$252=1),$BO$374,HLOOKUP(INDIRECT(ADDRESS(2,COLUMN())),OFFSET($CL$2,0,0,ROW()-1,84),ROW()-1,FALSE))</f>
        <v/>
      </c>
      <c r="BP166" t="str">
        <f ca="1">IF(AND(ISNUMBER($BP$374),$B$252=1),$BP$374,HLOOKUP(INDIRECT(ADDRESS(2,COLUMN())),OFFSET($CL$2,0,0,ROW()-1,84),ROW()-1,FALSE))</f>
        <v/>
      </c>
      <c r="BQ166" t="str">
        <f ca="1">IF(AND(ISNUMBER($BQ$374),$B$252=1),$BQ$374,HLOOKUP(INDIRECT(ADDRESS(2,COLUMN())),OFFSET($CL$2,0,0,ROW()-1,84),ROW()-1,FALSE))</f>
        <v/>
      </c>
      <c r="BR166" t="str">
        <f ca="1">IF(AND(ISNUMBER($BR$374),$B$252=1),$BR$374,HLOOKUP(INDIRECT(ADDRESS(2,COLUMN())),OFFSET($CL$2,0,0,ROW()-1,84),ROW()-1,FALSE))</f>
        <v/>
      </c>
      <c r="BS166" t="str">
        <f ca="1">IF(AND(ISNUMBER($BS$374),$B$252=1),$BS$374,HLOOKUP(INDIRECT(ADDRESS(2,COLUMN())),OFFSET($CL$2,0,0,ROW()-1,84),ROW()-1,FALSE))</f>
        <v/>
      </c>
      <c r="BT166" t="str">
        <f ca="1">IF(AND(ISNUMBER($BT$374),$B$252=1),$BT$374,HLOOKUP(INDIRECT(ADDRESS(2,COLUMN())),OFFSET($CL$2,0,0,ROW()-1,84),ROW()-1,FALSE))</f>
        <v/>
      </c>
      <c r="BU166" t="str">
        <f ca="1">IF(AND(ISNUMBER($BU$374),$B$252=1),$BU$374,HLOOKUP(INDIRECT(ADDRESS(2,COLUMN())),OFFSET($CL$2,0,0,ROW()-1,84),ROW()-1,FALSE))</f>
        <v/>
      </c>
      <c r="BV166" t="str">
        <f ca="1">IF(AND(ISNUMBER($BV$374),$B$252=1),$BV$374,HLOOKUP(INDIRECT(ADDRESS(2,COLUMN())),OFFSET($CL$2,0,0,ROW()-1,84),ROW()-1,FALSE))</f>
        <v/>
      </c>
      <c r="BW166" t="str">
        <f ca="1">IF(AND(ISNUMBER($BW$374),$B$252=1),$BW$374,HLOOKUP(INDIRECT(ADDRESS(2,COLUMN())),OFFSET($CL$2,0,0,ROW()-1,84),ROW()-1,FALSE))</f>
        <v/>
      </c>
      <c r="BX166" t="str">
        <f ca="1">IF(AND(ISNUMBER($BX$374),$B$252=1),$BX$374,HLOOKUP(INDIRECT(ADDRESS(2,COLUMN())),OFFSET($CL$2,0,0,ROW()-1,84),ROW()-1,FALSE))</f>
        <v/>
      </c>
      <c r="BY166" t="str">
        <f ca="1">IF(AND(ISNUMBER($BY$374),$B$252=1),$BY$374,HLOOKUP(INDIRECT(ADDRESS(2,COLUMN())),OFFSET($CL$2,0,0,ROW()-1,84),ROW()-1,FALSE))</f>
        <v/>
      </c>
      <c r="BZ166" t="str">
        <f ca="1">IF(AND(ISNUMBER($BZ$374),$B$252=1),$BZ$374,HLOOKUP(INDIRECT(ADDRESS(2,COLUMN())),OFFSET($CL$2,0,0,ROW()-1,84),ROW()-1,FALSE))</f>
        <v/>
      </c>
      <c r="CA166" t="str">
        <f ca="1">IF(AND(ISNUMBER($CA$374),$B$252=1),$CA$374,HLOOKUP(INDIRECT(ADDRESS(2,COLUMN())),OFFSET($CL$2,0,0,ROW()-1,84),ROW()-1,FALSE))</f>
        <v/>
      </c>
      <c r="CB166" t="str">
        <f ca="1">IF(AND(ISNUMBER($CB$374),$B$252=1),$CB$374,HLOOKUP(INDIRECT(ADDRESS(2,COLUMN())),OFFSET($CL$2,0,0,ROW()-1,84),ROW()-1,FALSE))</f>
        <v/>
      </c>
      <c r="CC166" t="str">
        <f ca="1">IF(AND(ISNUMBER($CC$374),$B$252=1),$CC$374,HLOOKUP(INDIRECT(ADDRESS(2,COLUMN())),OFFSET($CL$2,0,0,ROW()-1,84),ROW()-1,FALSE))</f>
        <v/>
      </c>
      <c r="CD166" t="str">
        <f ca="1">IF(AND(ISNUMBER($CD$374),$B$252=1),$CD$374,HLOOKUP(INDIRECT(ADDRESS(2,COLUMN())),OFFSET($CL$2,0,0,ROW()-1,84),ROW()-1,FALSE))</f>
        <v/>
      </c>
      <c r="CE166" t="str">
        <f ca="1">IF(AND(ISNUMBER($CE$374),$B$252=1),$CE$374,HLOOKUP(INDIRECT(ADDRESS(2,COLUMN())),OFFSET($CL$2,0,0,ROW()-1,84),ROW()-1,FALSE))</f>
        <v/>
      </c>
      <c r="CF166" t="str">
        <f ca="1">IF(AND(ISNUMBER($CF$374),$B$252=1),$CF$374,HLOOKUP(INDIRECT(ADDRESS(2,COLUMN())),OFFSET($CL$2,0,0,ROW()-1,84),ROW()-1,FALSE))</f>
        <v/>
      </c>
      <c r="CG166" t="str">
        <f ca="1">IF(AND(ISNUMBER($CG$374),$B$252=1),$CG$374,HLOOKUP(INDIRECT(ADDRESS(2,COLUMN())),OFFSET($CL$2,0,0,ROW()-1,84),ROW()-1,FALSE))</f>
        <v/>
      </c>
      <c r="CH166" t="str">
        <f ca="1">IF(AND(ISNUMBER($CH$374),$B$252=1),$CH$374,HLOOKUP(INDIRECT(ADDRESS(2,COLUMN())),OFFSET($CL$2,0,0,ROW()-1,84),ROW()-1,FALSE))</f>
        <v/>
      </c>
      <c r="CI166" t="str">
        <f ca="1">IF(AND(ISNUMBER($CI$374),$B$252=1),$CI$374,HLOOKUP(INDIRECT(ADDRESS(2,COLUMN())),OFFSET($CL$2,0,0,ROW()-1,84),ROW()-1,FALSE))</f>
        <v/>
      </c>
      <c r="CJ166" t="str">
        <f ca="1">IF(AND(ISNUMBER($CJ$374),$B$252=1),$CJ$374,HLOOKUP(INDIRECT(ADDRESS(2,COLUMN())),OFFSET($CL$2,0,0,ROW()-1,84),ROW()-1,FALSE))</f>
        <v/>
      </c>
      <c r="CK166" t="str">
        <f ca="1">IF(AND(ISNUMBER($CK$374),$B$252=1),$CK$374,HLOOKUP(INDIRECT(ADDRESS(2,COLUMN())),OFFSET($CL$2,0,0,ROW()-1,84),ROW()-1,FALSE))</f>
        <v/>
      </c>
      <c r="CL166">
        <f>11.344</f>
        <v>11.343999999999999</v>
      </c>
      <c r="CM166">
        <f>11.31</f>
        <v>11.31</v>
      </c>
      <c r="CN166">
        <f>11.318</f>
        <v>11.318</v>
      </c>
      <c r="CO166">
        <f>11.251</f>
        <v>11.250999999999999</v>
      </c>
      <c r="CP166">
        <f>11.28</f>
        <v>11.28</v>
      </c>
      <c r="CQ166">
        <f>11.363</f>
        <v>11.363</v>
      </c>
      <c r="CR166">
        <f>11.361</f>
        <v>11.361000000000001</v>
      </c>
      <c r="CS166">
        <f>11.371</f>
        <v>11.371</v>
      </c>
      <c r="CT166">
        <f>11.314</f>
        <v>11.314</v>
      </c>
      <c r="CU166">
        <f>11.266</f>
        <v>11.266</v>
      </c>
      <c r="CV166">
        <f>11.241</f>
        <v>11.241</v>
      </c>
      <c r="CW166">
        <f>11.263</f>
        <v>11.263</v>
      </c>
      <c r="CX166">
        <f>11.288</f>
        <v>11.288</v>
      </c>
      <c r="CY166">
        <f>11.291</f>
        <v>11.291</v>
      </c>
      <c r="CZ166">
        <f>11.391</f>
        <v>11.391</v>
      </c>
      <c r="DA166">
        <f>11.349</f>
        <v>11.349</v>
      </c>
      <c r="DB166">
        <f>11.292</f>
        <v>11.292</v>
      </c>
      <c r="DC166">
        <f>11.308</f>
        <v>11.308</v>
      </c>
      <c r="DD166">
        <f>11.343</f>
        <v>11.343</v>
      </c>
      <c r="DE166">
        <f>11.42</f>
        <v>11.42</v>
      </c>
      <c r="DF166">
        <f>11.49</f>
        <v>11.49</v>
      </c>
      <c r="DG166">
        <f>11.59</f>
        <v>11.59</v>
      </c>
      <c r="DH166">
        <f>11.703</f>
        <v>11.702999999999999</v>
      </c>
      <c r="DI166">
        <f>11.905</f>
        <v>11.904999999999999</v>
      </c>
      <c r="DJ166" t="str">
        <f>""</f>
        <v/>
      </c>
      <c r="DK166">
        <f>12.04</f>
        <v>12.04</v>
      </c>
      <c r="DL166" t="str">
        <f>""</f>
        <v/>
      </c>
      <c r="DM166" t="str">
        <f>""</f>
        <v/>
      </c>
      <c r="DN166" t="str">
        <f>""</f>
        <v/>
      </c>
      <c r="DO166" t="str">
        <f>""</f>
        <v/>
      </c>
      <c r="DP166" t="str">
        <f>""</f>
        <v/>
      </c>
      <c r="DQ166" t="str">
        <f>""</f>
        <v/>
      </c>
      <c r="DR166" t="str">
        <f>""</f>
        <v/>
      </c>
      <c r="DS166" t="str">
        <f>""</f>
        <v/>
      </c>
      <c r="DT166" t="str">
        <f>""</f>
        <v/>
      </c>
      <c r="DU166" t="str">
        <f>""</f>
        <v/>
      </c>
      <c r="DV166" t="str">
        <f>""</f>
        <v/>
      </c>
      <c r="DW166" t="str">
        <f>""</f>
        <v/>
      </c>
      <c r="DX166" t="str">
        <f>""</f>
        <v/>
      </c>
      <c r="DY166" t="str">
        <f>""</f>
        <v/>
      </c>
      <c r="DZ166" t="str">
        <f>""</f>
        <v/>
      </c>
      <c r="EA166" t="str">
        <f>""</f>
        <v/>
      </c>
      <c r="EB166" t="str">
        <f>""</f>
        <v/>
      </c>
      <c r="EC166" t="str">
        <f>""</f>
        <v/>
      </c>
      <c r="ED166" t="str">
        <f>""</f>
        <v/>
      </c>
      <c r="EE166" t="str">
        <f>""</f>
        <v/>
      </c>
      <c r="EF166" t="str">
        <f>""</f>
        <v/>
      </c>
      <c r="EG166" t="str">
        <f>""</f>
        <v/>
      </c>
      <c r="EH166" t="str">
        <f>""</f>
        <v/>
      </c>
      <c r="EI166" t="str">
        <f>""</f>
        <v/>
      </c>
      <c r="EJ166" t="str">
        <f>""</f>
        <v/>
      </c>
      <c r="EK166" t="str">
        <f>""</f>
        <v/>
      </c>
      <c r="EL166" t="str">
        <f>""</f>
        <v/>
      </c>
      <c r="EM166" t="str">
        <f>""</f>
        <v/>
      </c>
      <c r="EN166" t="str">
        <f>""</f>
        <v/>
      </c>
      <c r="EO166" t="str">
        <f>""</f>
        <v/>
      </c>
      <c r="EP166" t="str">
        <f>""</f>
        <v/>
      </c>
      <c r="EQ166" t="str">
        <f>""</f>
        <v/>
      </c>
      <c r="ER166" t="str">
        <f>""</f>
        <v/>
      </c>
      <c r="ES166" t="str">
        <f>""</f>
        <v/>
      </c>
      <c r="ET166" t="str">
        <f>""</f>
        <v/>
      </c>
      <c r="EU166" t="str">
        <f>""</f>
        <v/>
      </c>
      <c r="EV166" t="str">
        <f>""</f>
        <v/>
      </c>
      <c r="EW166" t="str">
        <f>""</f>
        <v/>
      </c>
      <c r="EX166" t="str">
        <f>""</f>
        <v/>
      </c>
      <c r="EY166" t="str">
        <f>""</f>
        <v/>
      </c>
      <c r="EZ166" t="str">
        <f>""</f>
        <v/>
      </c>
      <c r="FA166" t="str">
        <f>""</f>
        <v/>
      </c>
      <c r="FB166" t="str">
        <f>""</f>
        <v/>
      </c>
      <c r="FC166" t="str">
        <f>""</f>
        <v/>
      </c>
      <c r="FD166" t="str">
        <f>""</f>
        <v/>
      </c>
      <c r="FE166" t="str">
        <f>""</f>
        <v/>
      </c>
      <c r="FF166" t="str">
        <f>""</f>
        <v/>
      </c>
      <c r="FG166" t="str">
        <f>""</f>
        <v/>
      </c>
      <c r="FH166" t="str">
        <f>""</f>
        <v/>
      </c>
      <c r="FI166" t="str">
        <f>""</f>
        <v/>
      </c>
      <c r="FJ166" t="str">
        <f>""</f>
        <v/>
      </c>
      <c r="FK166" t="str">
        <f>""</f>
        <v/>
      </c>
      <c r="FL166" t="str">
        <f>""</f>
        <v/>
      </c>
      <c r="FM166" t="str">
        <f>""</f>
        <v/>
      </c>
      <c r="FN166" t="str">
        <f>""</f>
        <v/>
      </c>
      <c r="FO166" t="str">
        <f>""</f>
        <v/>
      </c>
      <c r="FP166" t="str">
        <f>""</f>
        <v/>
      </c>
      <c r="FQ166" t="str">
        <f>""</f>
        <v/>
      </c>
    </row>
    <row r="167" spans="1:173">
      <c r="A167" t="str">
        <f>"    Mid-America Apartment Communit"</f>
        <v xml:space="preserve">    Mid-America Apartment Communit</v>
      </c>
      <c r="B167" t="str">
        <f>"MAA US Equity"</f>
        <v>MAA US Equity</v>
      </c>
      <c r="C167" t="str">
        <f t="shared" si="51"/>
        <v>BE895</v>
      </c>
      <c r="D167" t="str">
        <f t="shared" si="52"/>
        <v>BEST_AFFOPS</v>
      </c>
      <c r="E167" t="str">
        <f t="shared" si="53"/>
        <v>动态</v>
      </c>
      <c r="F167">
        <f ca="1">IF(AND(ISNUMBER($F$375),$B$252=1),$F$375,HLOOKUP(INDIRECT(ADDRESS(2,COLUMN())),OFFSET($CL$2,0,0,ROW()-1,84),ROW()-1,FALSE))</f>
        <v>5.4550000000000001</v>
      </c>
      <c r="G167">
        <f ca="1">IF(AND(ISNUMBER($G$375),$B$252=1),$G$375,HLOOKUP(INDIRECT(ADDRESS(2,COLUMN())),OFFSET($CL$2,0,0,ROW()-1,84),ROW()-1,FALSE))</f>
        <v>5.5110000000000001</v>
      </c>
      <c r="H167">
        <f ca="1">IF(AND(ISNUMBER($H$375),$B$252=1),$H$375,HLOOKUP(INDIRECT(ADDRESS(2,COLUMN())),OFFSET($CL$2,0,0,ROW()-1,84),ROW()-1,FALSE))</f>
        <v>5.5570000000000004</v>
      </c>
      <c r="I167">
        <f ca="1">IF(AND(ISNUMBER($I$375),$B$252=1),$I$375,HLOOKUP(INDIRECT(ADDRESS(2,COLUMN())),OFFSET($CL$2,0,0,ROW()-1,84),ROW()-1,FALSE))</f>
        <v>5.6159999999999997</v>
      </c>
      <c r="J167">
        <f ca="1">IF(AND(ISNUMBER($J$375),$B$252=1),$J$375,HLOOKUP(INDIRECT(ADDRESS(2,COLUMN())),OFFSET($CL$2,0,0,ROW()-1,84),ROW()-1,FALSE))</f>
        <v>5.7190000000000003</v>
      </c>
      <c r="K167">
        <f ca="1">IF(AND(ISNUMBER($K$375),$B$252=1),$K$375,HLOOKUP(INDIRECT(ADDRESS(2,COLUMN())),OFFSET($CL$2,0,0,ROW()-1,84),ROW()-1,FALSE))</f>
        <v>5.7350000000000003</v>
      </c>
      <c r="L167">
        <f ca="1">IF(AND(ISNUMBER($L$375),$B$252=1),$L$375,HLOOKUP(INDIRECT(ADDRESS(2,COLUMN())),OFFSET($CL$2,0,0,ROW()-1,84),ROW()-1,FALSE))</f>
        <v>5.75</v>
      </c>
      <c r="M167">
        <f ca="1">IF(AND(ISNUMBER($M$375),$B$252=1),$M$375,HLOOKUP(INDIRECT(ADDRESS(2,COLUMN())),OFFSET($CL$2,0,0,ROW()-1,84),ROW()-1,FALSE))</f>
        <v>5.7080000000000002</v>
      </c>
      <c r="N167">
        <f ca="1">IF(AND(ISNUMBER($N$375),$B$252=1),$N$375,HLOOKUP(INDIRECT(ADDRESS(2,COLUMN())),OFFSET($CL$2,0,0,ROW()-1,84),ROW()-1,FALSE))</f>
        <v>5.7210000000000001</v>
      </c>
      <c r="O167">
        <f ca="1">IF(AND(ISNUMBER($O$375),$B$252=1),$O$375,HLOOKUP(INDIRECT(ADDRESS(2,COLUMN())),OFFSET($CL$2,0,0,ROW()-1,84),ROW()-1,FALSE))</f>
        <v>5.718</v>
      </c>
      <c r="P167">
        <f ca="1">IF(AND(ISNUMBER($P$375),$B$252=1),$P$375,HLOOKUP(INDIRECT(ADDRESS(2,COLUMN())),OFFSET($CL$2,0,0,ROW()-1,84),ROW()-1,FALSE))</f>
        <v>5.7130000000000001</v>
      </c>
      <c r="Q167">
        <f ca="1">IF(AND(ISNUMBER($Q$375),$B$252=1),$Q$375,HLOOKUP(INDIRECT(ADDRESS(2,COLUMN())),OFFSET($CL$2,0,0,ROW()-1,84),ROW()-1,FALSE))</f>
        <v>5.6959999999999997</v>
      </c>
      <c r="R167">
        <f ca="1">IF(AND(ISNUMBER($R$375),$B$252=1),$R$375,HLOOKUP(INDIRECT(ADDRESS(2,COLUMN())),OFFSET($CL$2,0,0,ROW()-1,84),ROW()-1,FALSE))</f>
        <v>5.6920000000000002</v>
      </c>
      <c r="S167">
        <f ca="1">IF(AND(ISNUMBER($S$375),$B$252=1),$S$375,HLOOKUP(INDIRECT(ADDRESS(2,COLUMN())),OFFSET($CL$2,0,0,ROW()-1,84),ROW()-1,FALSE))</f>
        <v>5.68</v>
      </c>
      <c r="T167">
        <f ca="1">IF(AND(ISNUMBER($T$375),$B$252=1),$T$375,HLOOKUP(INDIRECT(ADDRESS(2,COLUMN())),OFFSET($CL$2,0,0,ROW()-1,84),ROW()-1,FALSE))</f>
        <v>5.71</v>
      </c>
      <c r="U167">
        <f ca="1">IF(AND(ISNUMBER($U$375),$B$252=1),$U$375,HLOOKUP(INDIRECT(ADDRESS(2,COLUMN())),OFFSET($CL$2,0,0,ROW()-1,84),ROW()-1,FALSE))</f>
        <v>5.6230000000000002</v>
      </c>
      <c r="V167">
        <f ca="1">IF(AND(ISNUMBER($V$375),$B$252=1),$V$375,HLOOKUP(INDIRECT(ADDRESS(2,COLUMN())),OFFSET($CL$2,0,0,ROW()-1,84),ROW()-1,FALSE))</f>
        <v>5.8</v>
      </c>
      <c r="W167">
        <f ca="1">IF(AND(ISNUMBER($W$375),$B$252=1),$W$375,HLOOKUP(INDIRECT(ADDRESS(2,COLUMN())),OFFSET($CL$2,0,0,ROW()-1,84),ROW()-1,FALSE))</f>
        <v>5.9</v>
      </c>
      <c r="X167">
        <f ca="1">IF(AND(ISNUMBER($X$375),$B$252=1),$X$375,HLOOKUP(INDIRECT(ADDRESS(2,COLUMN())),OFFSET($CL$2,0,0,ROW()-1,84),ROW()-1,FALSE))</f>
        <v>5.95</v>
      </c>
      <c r="Y167">
        <f ca="1">IF(AND(ISNUMBER($Y$375),$B$252=1),$Y$375,HLOOKUP(INDIRECT(ADDRESS(2,COLUMN())),OFFSET($CL$2,0,0,ROW()-1,84),ROW()-1,FALSE))</f>
        <v>5.96</v>
      </c>
      <c r="Z167">
        <f ca="1">IF(AND(ISNUMBER($Z$375),$B$252=1),$Z$375,HLOOKUP(INDIRECT(ADDRESS(2,COLUMN())),OFFSET($CL$2,0,0,ROW()-1,84),ROW()-1,FALSE))</f>
        <v>5.96</v>
      </c>
      <c r="AA167" t="str">
        <f ca="1">IF(AND(ISNUMBER($AA$375),$B$252=1),$AA$375,HLOOKUP(INDIRECT(ADDRESS(2,COLUMN())),OFFSET($CL$2,0,0,ROW()-1,84),ROW()-1,FALSE))</f>
        <v/>
      </c>
      <c r="AB167">
        <f ca="1">IF(AND(ISNUMBER($AB$375),$B$252=1),$AB$375,HLOOKUP(INDIRECT(ADDRESS(2,COLUMN())),OFFSET($CL$2,0,0,ROW()-1,84),ROW()-1,FALSE))</f>
        <v>5.96</v>
      </c>
      <c r="AC167" t="str">
        <f ca="1">IF(AND(ISNUMBER($AC$375),$B$252=1),$AC$375,HLOOKUP(INDIRECT(ADDRESS(2,COLUMN())),OFFSET($CL$2,0,0,ROW()-1,84),ROW()-1,FALSE))</f>
        <v/>
      </c>
      <c r="AD167" t="str">
        <f ca="1">IF(AND(ISNUMBER($AD$375),$B$252=1),$AD$375,HLOOKUP(INDIRECT(ADDRESS(2,COLUMN())),OFFSET($CL$2,0,0,ROW()-1,84),ROW()-1,FALSE))</f>
        <v/>
      </c>
      <c r="AE167" t="str">
        <f ca="1">IF(AND(ISNUMBER($AE$375),$B$252=1),$AE$375,HLOOKUP(INDIRECT(ADDRESS(2,COLUMN())),OFFSET($CL$2,0,0,ROW()-1,84),ROW()-1,FALSE))</f>
        <v/>
      </c>
      <c r="AF167" t="str">
        <f ca="1">IF(AND(ISNUMBER($AF$375),$B$252=1),$AF$375,HLOOKUP(INDIRECT(ADDRESS(2,COLUMN())),OFFSET($CL$2,0,0,ROW()-1,84),ROW()-1,FALSE))</f>
        <v/>
      </c>
      <c r="AG167" t="str">
        <f ca="1">IF(AND(ISNUMBER($AG$375),$B$252=1),$AG$375,HLOOKUP(INDIRECT(ADDRESS(2,COLUMN())),OFFSET($CL$2,0,0,ROW()-1,84),ROW()-1,FALSE))</f>
        <v/>
      </c>
      <c r="AH167" t="str">
        <f ca="1">IF(AND(ISNUMBER($AH$375),$B$252=1),$AH$375,HLOOKUP(INDIRECT(ADDRESS(2,COLUMN())),OFFSET($CL$2,0,0,ROW()-1,84),ROW()-1,FALSE))</f>
        <v/>
      </c>
      <c r="AI167" t="str">
        <f ca="1">IF(AND(ISNUMBER($AI$375),$B$252=1),$AI$375,HLOOKUP(INDIRECT(ADDRESS(2,COLUMN())),OFFSET($CL$2,0,0,ROW()-1,84),ROW()-1,FALSE))</f>
        <v/>
      </c>
      <c r="AJ167" t="str">
        <f ca="1">IF(AND(ISNUMBER($AJ$375),$B$252=1),$AJ$375,HLOOKUP(INDIRECT(ADDRESS(2,COLUMN())),OFFSET($CL$2,0,0,ROW()-1,84),ROW()-1,FALSE))</f>
        <v/>
      </c>
      <c r="AK167" t="str">
        <f ca="1">IF(AND(ISNUMBER($AK$375),$B$252=1),$AK$375,HLOOKUP(INDIRECT(ADDRESS(2,COLUMN())),OFFSET($CL$2,0,0,ROW()-1,84),ROW()-1,FALSE))</f>
        <v/>
      </c>
      <c r="AL167" t="str">
        <f ca="1">IF(AND(ISNUMBER($AL$375),$B$252=1),$AL$375,HLOOKUP(INDIRECT(ADDRESS(2,COLUMN())),OFFSET($CL$2,0,0,ROW()-1,84),ROW()-1,FALSE))</f>
        <v/>
      </c>
      <c r="AM167" t="str">
        <f ca="1">IF(AND(ISNUMBER($AM$375),$B$252=1),$AM$375,HLOOKUP(INDIRECT(ADDRESS(2,COLUMN())),OFFSET($CL$2,0,0,ROW()-1,84),ROW()-1,FALSE))</f>
        <v/>
      </c>
      <c r="AN167" t="str">
        <f ca="1">IF(AND(ISNUMBER($AN$375),$B$252=1),$AN$375,HLOOKUP(INDIRECT(ADDRESS(2,COLUMN())),OFFSET($CL$2,0,0,ROW()-1,84),ROW()-1,FALSE))</f>
        <v/>
      </c>
      <c r="AO167" t="str">
        <f ca="1">IF(AND(ISNUMBER($AO$375),$B$252=1),$AO$375,HLOOKUP(INDIRECT(ADDRESS(2,COLUMN())),OFFSET($CL$2,0,0,ROW()-1,84),ROW()-1,FALSE))</f>
        <v/>
      </c>
      <c r="AP167" t="str">
        <f ca="1">IF(AND(ISNUMBER($AP$375),$B$252=1),$AP$375,HLOOKUP(INDIRECT(ADDRESS(2,COLUMN())),OFFSET($CL$2,0,0,ROW()-1,84),ROW()-1,FALSE))</f>
        <v/>
      </c>
      <c r="AQ167" t="str">
        <f ca="1">IF(AND(ISNUMBER($AQ$375),$B$252=1),$AQ$375,HLOOKUP(INDIRECT(ADDRESS(2,COLUMN())),OFFSET($CL$2,0,0,ROW()-1,84),ROW()-1,FALSE))</f>
        <v/>
      </c>
      <c r="AR167" t="str">
        <f ca="1">IF(AND(ISNUMBER($AR$375),$B$252=1),$AR$375,HLOOKUP(INDIRECT(ADDRESS(2,COLUMN())),OFFSET($CL$2,0,0,ROW()-1,84),ROW()-1,FALSE))</f>
        <v/>
      </c>
      <c r="AS167" t="str">
        <f ca="1">IF(AND(ISNUMBER($AS$375),$B$252=1),$AS$375,HLOOKUP(INDIRECT(ADDRESS(2,COLUMN())),OFFSET($CL$2,0,0,ROW()-1,84),ROW()-1,FALSE))</f>
        <v/>
      </c>
      <c r="AT167" t="str">
        <f ca="1">IF(AND(ISNUMBER($AT$375),$B$252=1),$AT$375,HLOOKUP(INDIRECT(ADDRESS(2,COLUMN())),OFFSET($CL$2,0,0,ROW()-1,84),ROW()-1,FALSE))</f>
        <v/>
      </c>
      <c r="AU167" t="str">
        <f ca="1">IF(AND(ISNUMBER($AU$375),$B$252=1),$AU$375,HLOOKUP(INDIRECT(ADDRESS(2,COLUMN())),OFFSET($CL$2,0,0,ROW()-1,84),ROW()-1,FALSE))</f>
        <v/>
      </c>
      <c r="AV167" t="str">
        <f ca="1">IF(AND(ISNUMBER($AV$375),$B$252=1),$AV$375,HLOOKUP(INDIRECT(ADDRESS(2,COLUMN())),OFFSET($CL$2,0,0,ROW()-1,84),ROW()-1,FALSE))</f>
        <v/>
      </c>
      <c r="AW167" t="str">
        <f ca="1">IF(AND(ISNUMBER($AW$375),$B$252=1),$AW$375,HLOOKUP(INDIRECT(ADDRESS(2,COLUMN())),OFFSET($CL$2,0,0,ROW()-1,84),ROW()-1,FALSE))</f>
        <v/>
      </c>
      <c r="AX167" t="str">
        <f ca="1">IF(AND(ISNUMBER($AX$375),$B$252=1),$AX$375,HLOOKUP(INDIRECT(ADDRESS(2,COLUMN())),OFFSET($CL$2,0,0,ROW()-1,84),ROW()-1,FALSE))</f>
        <v/>
      </c>
      <c r="AY167" t="str">
        <f ca="1">IF(AND(ISNUMBER($AY$375),$B$252=1),$AY$375,HLOOKUP(INDIRECT(ADDRESS(2,COLUMN())),OFFSET($CL$2,0,0,ROW()-1,84),ROW()-1,FALSE))</f>
        <v/>
      </c>
      <c r="AZ167" t="str">
        <f ca="1">IF(AND(ISNUMBER($AZ$375),$B$252=1),$AZ$375,HLOOKUP(INDIRECT(ADDRESS(2,COLUMN())),OFFSET($CL$2,0,0,ROW()-1,84),ROW()-1,FALSE))</f>
        <v/>
      </c>
      <c r="BA167" t="str">
        <f ca="1">IF(AND(ISNUMBER($BA$375),$B$252=1),$BA$375,HLOOKUP(INDIRECT(ADDRESS(2,COLUMN())),OFFSET($CL$2,0,0,ROW()-1,84),ROW()-1,FALSE))</f>
        <v/>
      </c>
      <c r="BB167" t="str">
        <f ca="1">IF(AND(ISNUMBER($BB$375),$B$252=1),$BB$375,HLOOKUP(INDIRECT(ADDRESS(2,COLUMN())),OFFSET($CL$2,0,0,ROW()-1,84),ROW()-1,FALSE))</f>
        <v/>
      </c>
      <c r="BC167" t="str">
        <f ca="1">IF(AND(ISNUMBER($BC$375),$B$252=1),$BC$375,HLOOKUP(INDIRECT(ADDRESS(2,COLUMN())),OFFSET($CL$2,0,0,ROW()-1,84),ROW()-1,FALSE))</f>
        <v/>
      </c>
      <c r="BD167" t="str">
        <f ca="1">IF(AND(ISNUMBER($BD$375),$B$252=1),$BD$375,HLOOKUP(INDIRECT(ADDRESS(2,COLUMN())),OFFSET($CL$2,0,0,ROW()-1,84),ROW()-1,FALSE))</f>
        <v/>
      </c>
      <c r="BE167" t="str">
        <f ca="1">IF(AND(ISNUMBER($BE$375),$B$252=1),$BE$375,HLOOKUP(INDIRECT(ADDRESS(2,COLUMN())),OFFSET($CL$2,0,0,ROW()-1,84),ROW()-1,FALSE))</f>
        <v/>
      </c>
      <c r="BF167" t="str">
        <f ca="1">IF(AND(ISNUMBER($BF$375),$B$252=1),$BF$375,HLOOKUP(INDIRECT(ADDRESS(2,COLUMN())),OFFSET($CL$2,0,0,ROW()-1,84),ROW()-1,FALSE))</f>
        <v/>
      </c>
      <c r="BG167" t="str">
        <f ca="1">IF(AND(ISNUMBER($BG$375),$B$252=1),$BG$375,HLOOKUP(INDIRECT(ADDRESS(2,COLUMN())),OFFSET($CL$2,0,0,ROW()-1,84),ROW()-1,FALSE))</f>
        <v/>
      </c>
      <c r="BH167" t="str">
        <f ca="1">IF(AND(ISNUMBER($BH$375),$B$252=1),$BH$375,HLOOKUP(INDIRECT(ADDRESS(2,COLUMN())),OFFSET($CL$2,0,0,ROW()-1,84),ROW()-1,FALSE))</f>
        <v/>
      </c>
      <c r="BI167" t="str">
        <f ca="1">IF(AND(ISNUMBER($BI$375),$B$252=1),$BI$375,HLOOKUP(INDIRECT(ADDRESS(2,COLUMN())),OFFSET($CL$2,0,0,ROW()-1,84),ROW()-1,FALSE))</f>
        <v/>
      </c>
      <c r="BJ167" t="str">
        <f ca="1">IF(AND(ISNUMBER($BJ$375),$B$252=1),$BJ$375,HLOOKUP(INDIRECT(ADDRESS(2,COLUMN())),OFFSET($CL$2,0,0,ROW()-1,84),ROW()-1,FALSE))</f>
        <v/>
      </c>
      <c r="BK167" t="str">
        <f ca="1">IF(AND(ISNUMBER($BK$375),$B$252=1),$BK$375,HLOOKUP(INDIRECT(ADDRESS(2,COLUMN())),OFFSET($CL$2,0,0,ROW()-1,84),ROW()-1,FALSE))</f>
        <v/>
      </c>
      <c r="BL167" t="str">
        <f ca="1">IF(AND(ISNUMBER($BL$375),$B$252=1),$BL$375,HLOOKUP(INDIRECT(ADDRESS(2,COLUMN())),OFFSET($CL$2,0,0,ROW()-1,84),ROW()-1,FALSE))</f>
        <v/>
      </c>
      <c r="BM167" t="str">
        <f ca="1">IF(AND(ISNUMBER($BM$375),$B$252=1),$BM$375,HLOOKUP(INDIRECT(ADDRESS(2,COLUMN())),OFFSET($CL$2,0,0,ROW()-1,84),ROW()-1,FALSE))</f>
        <v/>
      </c>
      <c r="BN167" t="str">
        <f ca="1">IF(AND(ISNUMBER($BN$375),$B$252=1),$BN$375,HLOOKUP(INDIRECT(ADDRESS(2,COLUMN())),OFFSET($CL$2,0,0,ROW()-1,84),ROW()-1,FALSE))</f>
        <v/>
      </c>
      <c r="BO167" t="str">
        <f ca="1">IF(AND(ISNUMBER($BO$375),$B$252=1),$BO$375,HLOOKUP(INDIRECT(ADDRESS(2,COLUMN())),OFFSET($CL$2,0,0,ROW()-1,84),ROW()-1,FALSE))</f>
        <v/>
      </c>
      <c r="BP167" t="str">
        <f ca="1">IF(AND(ISNUMBER($BP$375),$B$252=1),$BP$375,HLOOKUP(INDIRECT(ADDRESS(2,COLUMN())),OFFSET($CL$2,0,0,ROW()-1,84),ROW()-1,FALSE))</f>
        <v/>
      </c>
      <c r="BQ167" t="str">
        <f ca="1">IF(AND(ISNUMBER($BQ$375),$B$252=1),$BQ$375,HLOOKUP(INDIRECT(ADDRESS(2,COLUMN())),OFFSET($CL$2,0,0,ROW()-1,84),ROW()-1,FALSE))</f>
        <v/>
      </c>
      <c r="BR167" t="str">
        <f ca="1">IF(AND(ISNUMBER($BR$375),$B$252=1),$BR$375,HLOOKUP(INDIRECT(ADDRESS(2,COLUMN())),OFFSET($CL$2,0,0,ROW()-1,84),ROW()-1,FALSE))</f>
        <v/>
      </c>
      <c r="BS167" t="str">
        <f ca="1">IF(AND(ISNUMBER($BS$375),$B$252=1),$BS$375,HLOOKUP(INDIRECT(ADDRESS(2,COLUMN())),OFFSET($CL$2,0,0,ROW()-1,84),ROW()-1,FALSE))</f>
        <v/>
      </c>
      <c r="BT167" t="str">
        <f ca="1">IF(AND(ISNUMBER($BT$375),$B$252=1),$BT$375,HLOOKUP(INDIRECT(ADDRESS(2,COLUMN())),OFFSET($CL$2,0,0,ROW()-1,84),ROW()-1,FALSE))</f>
        <v/>
      </c>
      <c r="BU167" t="str">
        <f ca="1">IF(AND(ISNUMBER($BU$375),$B$252=1),$BU$375,HLOOKUP(INDIRECT(ADDRESS(2,COLUMN())),OFFSET($CL$2,0,0,ROW()-1,84),ROW()-1,FALSE))</f>
        <v/>
      </c>
      <c r="BV167" t="str">
        <f ca="1">IF(AND(ISNUMBER($BV$375),$B$252=1),$BV$375,HLOOKUP(INDIRECT(ADDRESS(2,COLUMN())),OFFSET($CL$2,0,0,ROW()-1,84),ROW()-1,FALSE))</f>
        <v/>
      </c>
      <c r="BW167" t="str">
        <f ca="1">IF(AND(ISNUMBER($BW$375),$B$252=1),$BW$375,HLOOKUP(INDIRECT(ADDRESS(2,COLUMN())),OFFSET($CL$2,0,0,ROW()-1,84),ROW()-1,FALSE))</f>
        <v/>
      </c>
      <c r="BX167" t="str">
        <f ca="1">IF(AND(ISNUMBER($BX$375),$B$252=1),$BX$375,HLOOKUP(INDIRECT(ADDRESS(2,COLUMN())),OFFSET($CL$2,0,0,ROW()-1,84),ROW()-1,FALSE))</f>
        <v/>
      </c>
      <c r="BY167" t="str">
        <f ca="1">IF(AND(ISNUMBER($BY$375),$B$252=1),$BY$375,HLOOKUP(INDIRECT(ADDRESS(2,COLUMN())),OFFSET($CL$2,0,0,ROW()-1,84),ROW()-1,FALSE))</f>
        <v/>
      </c>
      <c r="BZ167" t="str">
        <f ca="1">IF(AND(ISNUMBER($BZ$375),$B$252=1),$BZ$375,HLOOKUP(INDIRECT(ADDRESS(2,COLUMN())),OFFSET($CL$2,0,0,ROW()-1,84),ROW()-1,FALSE))</f>
        <v/>
      </c>
      <c r="CA167" t="str">
        <f ca="1">IF(AND(ISNUMBER($CA$375),$B$252=1),$CA$375,HLOOKUP(INDIRECT(ADDRESS(2,COLUMN())),OFFSET($CL$2,0,0,ROW()-1,84),ROW()-1,FALSE))</f>
        <v/>
      </c>
      <c r="CB167" t="str">
        <f ca="1">IF(AND(ISNUMBER($CB$375),$B$252=1),$CB$375,HLOOKUP(INDIRECT(ADDRESS(2,COLUMN())),OFFSET($CL$2,0,0,ROW()-1,84),ROW()-1,FALSE))</f>
        <v/>
      </c>
      <c r="CC167" t="str">
        <f ca="1">IF(AND(ISNUMBER($CC$375),$B$252=1),$CC$375,HLOOKUP(INDIRECT(ADDRESS(2,COLUMN())),OFFSET($CL$2,0,0,ROW()-1,84),ROW()-1,FALSE))</f>
        <v/>
      </c>
      <c r="CD167" t="str">
        <f ca="1">IF(AND(ISNUMBER($CD$375),$B$252=1),$CD$375,HLOOKUP(INDIRECT(ADDRESS(2,COLUMN())),OFFSET($CL$2,0,0,ROW()-1,84),ROW()-1,FALSE))</f>
        <v/>
      </c>
      <c r="CE167" t="str">
        <f ca="1">IF(AND(ISNUMBER($CE$375),$B$252=1),$CE$375,HLOOKUP(INDIRECT(ADDRESS(2,COLUMN())),OFFSET($CL$2,0,0,ROW()-1,84),ROW()-1,FALSE))</f>
        <v/>
      </c>
      <c r="CF167" t="str">
        <f ca="1">IF(AND(ISNUMBER($CF$375),$B$252=1),$CF$375,HLOOKUP(INDIRECT(ADDRESS(2,COLUMN())),OFFSET($CL$2,0,0,ROW()-1,84),ROW()-1,FALSE))</f>
        <v/>
      </c>
      <c r="CG167" t="str">
        <f ca="1">IF(AND(ISNUMBER($CG$375),$B$252=1),$CG$375,HLOOKUP(INDIRECT(ADDRESS(2,COLUMN())),OFFSET($CL$2,0,0,ROW()-1,84),ROW()-1,FALSE))</f>
        <v/>
      </c>
      <c r="CH167" t="str">
        <f ca="1">IF(AND(ISNUMBER($CH$375),$B$252=1),$CH$375,HLOOKUP(INDIRECT(ADDRESS(2,COLUMN())),OFFSET($CL$2,0,0,ROW()-1,84),ROW()-1,FALSE))</f>
        <v/>
      </c>
      <c r="CI167" t="str">
        <f ca="1">IF(AND(ISNUMBER($CI$375),$B$252=1),$CI$375,HLOOKUP(INDIRECT(ADDRESS(2,COLUMN())),OFFSET($CL$2,0,0,ROW()-1,84),ROW()-1,FALSE))</f>
        <v/>
      </c>
      <c r="CJ167" t="str">
        <f ca="1">IF(AND(ISNUMBER($CJ$375),$B$252=1),$CJ$375,HLOOKUP(INDIRECT(ADDRESS(2,COLUMN())),OFFSET($CL$2,0,0,ROW()-1,84),ROW()-1,FALSE))</f>
        <v/>
      </c>
      <c r="CK167" t="str">
        <f ca="1">IF(AND(ISNUMBER($CK$375),$B$252=1),$CK$375,HLOOKUP(INDIRECT(ADDRESS(2,COLUMN())),OFFSET($CL$2,0,0,ROW()-1,84),ROW()-1,FALSE))</f>
        <v/>
      </c>
      <c r="CL167">
        <f>5.455</f>
        <v>5.4550000000000001</v>
      </c>
      <c r="CM167">
        <f>5.511</f>
        <v>5.5110000000000001</v>
      </c>
      <c r="CN167">
        <f>5.557</f>
        <v>5.5570000000000004</v>
      </c>
      <c r="CO167">
        <f>5.616</f>
        <v>5.6159999999999997</v>
      </c>
      <c r="CP167">
        <f>5.719</f>
        <v>5.7190000000000003</v>
      </c>
      <c r="CQ167">
        <f>5.735</f>
        <v>5.7350000000000003</v>
      </c>
      <c r="CR167">
        <f>5.75</f>
        <v>5.75</v>
      </c>
      <c r="CS167">
        <f>5.708</f>
        <v>5.7080000000000002</v>
      </c>
      <c r="CT167">
        <f>5.721</f>
        <v>5.7210000000000001</v>
      </c>
      <c r="CU167">
        <f>5.718</f>
        <v>5.718</v>
      </c>
      <c r="CV167">
        <f>5.713</f>
        <v>5.7130000000000001</v>
      </c>
      <c r="CW167">
        <f>5.696</f>
        <v>5.6959999999999997</v>
      </c>
      <c r="CX167">
        <f>5.692</f>
        <v>5.6920000000000002</v>
      </c>
      <c r="CY167">
        <f>5.68</f>
        <v>5.68</v>
      </c>
      <c r="CZ167">
        <f>5.71</f>
        <v>5.71</v>
      </c>
      <c r="DA167">
        <f>5.623</f>
        <v>5.6230000000000002</v>
      </c>
      <c r="DB167">
        <f>5.8</f>
        <v>5.8</v>
      </c>
      <c r="DC167">
        <f>5.9</f>
        <v>5.9</v>
      </c>
      <c r="DD167">
        <f>5.95</f>
        <v>5.95</v>
      </c>
      <c r="DE167">
        <f>5.96</f>
        <v>5.96</v>
      </c>
      <c r="DF167">
        <f>5.96</f>
        <v>5.96</v>
      </c>
      <c r="DG167" t="str">
        <f>""</f>
        <v/>
      </c>
      <c r="DH167">
        <f>5.96</f>
        <v>5.96</v>
      </c>
      <c r="DI167" t="str">
        <f>""</f>
        <v/>
      </c>
      <c r="DJ167" t="str">
        <f>""</f>
        <v/>
      </c>
      <c r="DK167" t="str">
        <f>""</f>
        <v/>
      </c>
      <c r="DL167" t="str">
        <f>""</f>
        <v/>
      </c>
      <c r="DM167" t="str">
        <f>""</f>
        <v/>
      </c>
      <c r="DN167" t="str">
        <f>""</f>
        <v/>
      </c>
      <c r="DO167" t="str">
        <f>""</f>
        <v/>
      </c>
      <c r="DP167" t="str">
        <f>""</f>
        <v/>
      </c>
      <c r="DQ167" t="str">
        <f>""</f>
        <v/>
      </c>
      <c r="DR167" t="str">
        <f>""</f>
        <v/>
      </c>
      <c r="DS167" t="str">
        <f>""</f>
        <v/>
      </c>
      <c r="DT167" t="str">
        <f>""</f>
        <v/>
      </c>
      <c r="DU167" t="str">
        <f>""</f>
        <v/>
      </c>
      <c r="DV167" t="str">
        <f>""</f>
        <v/>
      </c>
      <c r="DW167" t="str">
        <f>""</f>
        <v/>
      </c>
      <c r="DX167" t="str">
        <f>""</f>
        <v/>
      </c>
      <c r="DY167" t="str">
        <f>""</f>
        <v/>
      </c>
      <c r="DZ167" t="str">
        <f>""</f>
        <v/>
      </c>
      <c r="EA167" t="str">
        <f>""</f>
        <v/>
      </c>
      <c r="EB167" t="str">
        <f>""</f>
        <v/>
      </c>
      <c r="EC167" t="str">
        <f>""</f>
        <v/>
      </c>
      <c r="ED167" t="str">
        <f>""</f>
        <v/>
      </c>
      <c r="EE167" t="str">
        <f>""</f>
        <v/>
      </c>
      <c r="EF167" t="str">
        <f>""</f>
        <v/>
      </c>
      <c r="EG167" t="str">
        <f>""</f>
        <v/>
      </c>
      <c r="EH167" t="str">
        <f>""</f>
        <v/>
      </c>
      <c r="EI167" t="str">
        <f>""</f>
        <v/>
      </c>
      <c r="EJ167" t="str">
        <f>""</f>
        <v/>
      </c>
      <c r="EK167" t="str">
        <f>""</f>
        <v/>
      </c>
      <c r="EL167" t="str">
        <f>""</f>
        <v/>
      </c>
      <c r="EM167" t="str">
        <f>""</f>
        <v/>
      </c>
      <c r="EN167" t="str">
        <f>""</f>
        <v/>
      </c>
      <c r="EO167" t="str">
        <f>""</f>
        <v/>
      </c>
      <c r="EP167" t="str">
        <f>""</f>
        <v/>
      </c>
      <c r="EQ167" t="str">
        <f>""</f>
        <v/>
      </c>
      <c r="ER167" t="str">
        <f>""</f>
        <v/>
      </c>
      <c r="ES167" t="str">
        <f>""</f>
        <v/>
      </c>
      <c r="ET167" t="str">
        <f>""</f>
        <v/>
      </c>
      <c r="EU167" t="str">
        <f>""</f>
        <v/>
      </c>
      <c r="EV167" t="str">
        <f>""</f>
        <v/>
      </c>
      <c r="EW167" t="str">
        <f>""</f>
        <v/>
      </c>
      <c r="EX167" t="str">
        <f>""</f>
        <v/>
      </c>
      <c r="EY167" t="str">
        <f>""</f>
        <v/>
      </c>
      <c r="EZ167" t="str">
        <f>""</f>
        <v/>
      </c>
      <c r="FA167" t="str">
        <f>""</f>
        <v/>
      </c>
      <c r="FB167" t="str">
        <f>""</f>
        <v/>
      </c>
      <c r="FC167" t="str">
        <f>""</f>
        <v/>
      </c>
      <c r="FD167" t="str">
        <f>""</f>
        <v/>
      </c>
      <c r="FE167" t="str">
        <f>""</f>
        <v/>
      </c>
      <c r="FF167" t="str">
        <f>""</f>
        <v/>
      </c>
      <c r="FG167" t="str">
        <f>""</f>
        <v/>
      </c>
      <c r="FH167" t="str">
        <f>""</f>
        <v/>
      </c>
      <c r="FI167" t="str">
        <f>""</f>
        <v/>
      </c>
      <c r="FJ167" t="str">
        <f>""</f>
        <v/>
      </c>
      <c r="FK167" t="str">
        <f>""</f>
        <v/>
      </c>
      <c r="FL167" t="str">
        <f>""</f>
        <v/>
      </c>
      <c r="FM167" t="str">
        <f>""</f>
        <v/>
      </c>
      <c r="FN167" t="str">
        <f>""</f>
        <v/>
      </c>
      <c r="FO167" t="str">
        <f>""</f>
        <v/>
      </c>
      <c r="FP167" t="str">
        <f>""</f>
        <v/>
      </c>
      <c r="FQ167" t="str">
        <f>""</f>
        <v/>
      </c>
    </row>
    <row r="168" spans="1:173">
      <c r="A168" t="str">
        <f>"    Monogram Residential Trust Inc"</f>
        <v xml:space="preserve">    Monogram Residential Trust Inc</v>
      </c>
      <c r="B168" t="str">
        <f>"MORE US Equity"</f>
        <v>MORE US Equity</v>
      </c>
      <c r="C168" t="str">
        <f t="shared" si="51"/>
        <v>BE895</v>
      </c>
      <c r="D168" t="str">
        <f t="shared" si="52"/>
        <v>BEST_AFFOPS</v>
      </c>
      <c r="E168" t="str">
        <f t="shared" si="53"/>
        <v>动态</v>
      </c>
      <c r="F168" t="str">
        <f ca="1">IF(AND(ISNUMBER($F$376),$B$252=1),$F$376,HLOOKUP(INDIRECT(ADDRESS(2,COLUMN())),OFFSET($CL$2,0,0,ROW()-1,84),ROW()-1,FALSE))</f>
        <v/>
      </c>
      <c r="G168" t="str">
        <f ca="1">IF(AND(ISNUMBER($G$376),$B$252=1),$G$376,HLOOKUP(INDIRECT(ADDRESS(2,COLUMN())),OFFSET($CL$2,0,0,ROW()-1,84),ROW()-1,FALSE))</f>
        <v/>
      </c>
      <c r="H168" t="str">
        <f ca="1">IF(AND(ISNUMBER($H$376),$B$252=1),$H$376,HLOOKUP(INDIRECT(ADDRESS(2,COLUMN())),OFFSET($CL$2,0,0,ROW()-1,84),ROW()-1,FALSE))</f>
        <v/>
      </c>
      <c r="I168" t="str">
        <f ca="1">IF(AND(ISNUMBER($I$376),$B$252=1),$I$376,HLOOKUP(INDIRECT(ADDRESS(2,COLUMN())),OFFSET($CL$2,0,0,ROW()-1,84),ROW()-1,FALSE))</f>
        <v/>
      </c>
      <c r="J168" t="str">
        <f ca="1">IF(AND(ISNUMBER($J$376),$B$252=1),$J$376,HLOOKUP(INDIRECT(ADDRESS(2,COLUMN())),OFFSET($CL$2,0,0,ROW()-1,84),ROW()-1,FALSE))</f>
        <v/>
      </c>
      <c r="K168" t="str">
        <f ca="1">IF(AND(ISNUMBER($K$376),$B$252=1),$K$376,HLOOKUP(INDIRECT(ADDRESS(2,COLUMN())),OFFSET($CL$2,0,0,ROW()-1,84),ROW()-1,FALSE))</f>
        <v/>
      </c>
      <c r="L168">
        <f ca="1">IF(AND(ISNUMBER($L$376),$B$252=1),$L$376,HLOOKUP(INDIRECT(ADDRESS(2,COLUMN())),OFFSET($CL$2,0,0,ROW()-1,84),ROW()-1,FALSE))</f>
        <v>0.47</v>
      </c>
      <c r="M168">
        <f ca="1">IF(AND(ISNUMBER($M$376),$B$252=1),$M$376,HLOOKUP(INDIRECT(ADDRESS(2,COLUMN())),OFFSET($CL$2,0,0,ROW()-1,84),ROW()-1,FALSE))</f>
        <v>0.47799999999999998</v>
      </c>
      <c r="N168">
        <f ca="1">IF(AND(ISNUMBER($N$376),$B$252=1),$N$376,HLOOKUP(INDIRECT(ADDRESS(2,COLUMN())),OFFSET($CL$2,0,0,ROW()-1,84),ROW()-1,FALSE))</f>
        <v>0.46500000000000002</v>
      </c>
      <c r="O168">
        <f ca="1">IF(AND(ISNUMBER($O$376),$B$252=1),$O$376,HLOOKUP(INDIRECT(ADDRESS(2,COLUMN())),OFFSET($CL$2,0,0,ROW()-1,84),ROW()-1,FALSE))</f>
        <v>0.46300000000000002</v>
      </c>
      <c r="P168">
        <f ca="1">IF(AND(ISNUMBER($P$376),$B$252=1),$P$376,HLOOKUP(INDIRECT(ADDRESS(2,COLUMN())),OFFSET($CL$2,0,0,ROW()-1,84),ROW()-1,FALSE))</f>
        <v>0.46300000000000002</v>
      </c>
      <c r="Q168">
        <f ca="1">IF(AND(ISNUMBER($Q$376),$B$252=1),$Q$376,HLOOKUP(INDIRECT(ADDRESS(2,COLUMN())),OFFSET($CL$2,0,0,ROW()-1,84),ROW()-1,FALSE))</f>
        <v>0.437</v>
      </c>
      <c r="R168">
        <f ca="1">IF(AND(ISNUMBER($R$376),$B$252=1),$R$376,HLOOKUP(INDIRECT(ADDRESS(2,COLUMN())),OFFSET($CL$2,0,0,ROW()-1,84),ROW()-1,FALSE))</f>
        <v>0.437</v>
      </c>
      <c r="S168">
        <f ca="1">IF(AND(ISNUMBER($S$376),$B$252=1),$S$376,HLOOKUP(INDIRECT(ADDRESS(2,COLUMN())),OFFSET($CL$2,0,0,ROW()-1,84),ROW()-1,FALSE))</f>
        <v>0.437</v>
      </c>
      <c r="T168">
        <f ca="1">IF(AND(ISNUMBER($T$376),$B$252=1),$T$376,HLOOKUP(INDIRECT(ADDRESS(2,COLUMN())),OFFSET($CL$2,0,0,ROW()-1,84),ROW()-1,FALSE))</f>
        <v>0.44</v>
      </c>
      <c r="U168">
        <f ca="1">IF(AND(ISNUMBER($U$376),$B$252=1),$U$376,HLOOKUP(INDIRECT(ADDRESS(2,COLUMN())),OFFSET($CL$2,0,0,ROW()-1,84),ROW()-1,FALSE))</f>
        <v>0.44</v>
      </c>
      <c r="V168">
        <f ca="1">IF(AND(ISNUMBER($V$376),$B$252=1),$V$376,HLOOKUP(INDIRECT(ADDRESS(2,COLUMN())),OFFSET($CL$2,0,0,ROW()-1,84),ROW()-1,FALSE))</f>
        <v>0.42499999999999999</v>
      </c>
      <c r="W168">
        <f ca="1">IF(AND(ISNUMBER($W$376),$B$252=1),$W$376,HLOOKUP(INDIRECT(ADDRESS(2,COLUMN())),OFFSET($CL$2,0,0,ROW()-1,84),ROW()-1,FALSE))</f>
        <v>0.43</v>
      </c>
      <c r="X168" t="str">
        <f ca="1">IF(AND(ISNUMBER($X$376),$B$252=1),$X$376,HLOOKUP(INDIRECT(ADDRESS(2,COLUMN())),OFFSET($CL$2,0,0,ROW()-1,84),ROW()-1,FALSE))</f>
        <v/>
      </c>
      <c r="Y168" t="str">
        <f ca="1">IF(AND(ISNUMBER($Y$376),$B$252=1),$Y$376,HLOOKUP(INDIRECT(ADDRESS(2,COLUMN())),OFFSET($CL$2,0,0,ROW()-1,84),ROW()-1,FALSE))</f>
        <v/>
      </c>
      <c r="Z168" t="str">
        <f ca="1">IF(AND(ISNUMBER($Z$376),$B$252=1),$Z$376,HLOOKUP(INDIRECT(ADDRESS(2,COLUMN())),OFFSET($CL$2,0,0,ROW()-1,84),ROW()-1,FALSE))</f>
        <v/>
      </c>
      <c r="AA168" t="str">
        <f ca="1">IF(AND(ISNUMBER($AA$376),$B$252=1),$AA$376,HLOOKUP(INDIRECT(ADDRESS(2,COLUMN())),OFFSET($CL$2,0,0,ROW()-1,84),ROW()-1,FALSE))</f>
        <v/>
      </c>
      <c r="AB168" t="str">
        <f ca="1">IF(AND(ISNUMBER($AB$376),$B$252=1),$AB$376,HLOOKUP(INDIRECT(ADDRESS(2,COLUMN())),OFFSET($CL$2,0,0,ROW()-1,84),ROW()-1,FALSE))</f>
        <v/>
      </c>
      <c r="AC168" t="str">
        <f ca="1">IF(AND(ISNUMBER($AC$376),$B$252=1),$AC$376,HLOOKUP(INDIRECT(ADDRESS(2,COLUMN())),OFFSET($CL$2,0,0,ROW()-1,84),ROW()-1,FALSE))</f>
        <v/>
      </c>
      <c r="AD168" t="str">
        <f ca="1">IF(AND(ISNUMBER($AD$376),$B$252=1),$AD$376,HLOOKUP(INDIRECT(ADDRESS(2,COLUMN())),OFFSET($CL$2,0,0,ROW()-1,84),ROW()-1,FALSE))</f>
        <v/>
      </c>
      <c r="AE168" t="str">
        <f ca="1">IF(AND(ISNUMBER($AE$376),$B$252=1),$AE$376,HLOOKUP(INDIRECT(ADDRESS(2,COLUMN())),OFFSET($CL$2,0,0,ROW()-1,84),ROW()-1,FALSE))</f>
        <v/>
      </c>
      <c r="AF168" t="str">
        <f ca="1">IF(AND(ISNUMBER($AF$376),$B$252=1),$AF$376,HLOOKUP(INDIRECT(ADDRESS(2,COLUMN())),OFFSET($CL$2,0,0,ROW()-1,84),ROW()-1,FALSE))</f>
        <v/>
      </c>
      <c r="AG168" t="str">
        <f ca="1">IF(AND(ISNUMBER($AG$376),$B$252=1),$AG$376,HLOOKUP(INDIRECT(ADDRESS(2,COLUMN())),OFFSET($CL$2,0,0,ROW()-1,84),ROW()-1,FALSE))</f>
        <v/>
      </c>
      <c r="AH168" t="str">
        <f ca="1">IF(AND(ISNUMBER($AH$376),$B$252=1),$AH$376,HLOOKUP(INDIRECT(ADDRESS(2,COLUMN())),OFFSET($CL$2,0,0,ROW()-1,84),ROW()-1,FALSE))</f>
        <v/>
      </c>
      <c r="AI168" t="str">
        <f ca="1">IF(AND(ISNUMBER($AI$376),$B$252=1),$AI$376,HLOOKUP(INDIRECT(ADDRESS(2,COLUMN())),OFFSET($CL$2,0,0,ROW()-1,84),ROW()-1,FALSE))</f>
        <v/>
      </c>
      <c r="AJ168" t="str">
        <f ca="1">IF(AND(ISNUMBER($AJ$376),$B$252=1),$AJ$376,HLOOKUP(INDIRECT(ADDRESS(2,COLUMN())),OFFSET($CL$2,0,0,ROW()-1,84),ROW()-1,FALSE))</f>
        <v/>
      </c>
      <c r="AK168" t="str">
        <f ca="1">IF(AND(ISNUMBER($AK$376),$B$252=1),$AK$376,HLOOKUP(INDIRECT(ADDRESS(2,COLUMN())),OFFSET($CL$2,0,0,ROW()-1,84),ROW()-1,FALSE))</f>
        <v/>
      </c>
      <c r="AL168" t="str">
        <f ca="1">IF(AND(ISNUMBER($AL$376),$B$252=1),$AL$376,HLOOKUP(INDIRECT(ADDRESS(2,COLUMN())),OFFSET($CL$2,0,0,ROW()-1,84),ROW()-1,FALSE))</f>
        <v/>
      </c>
      <c r="AM168" t="str">
        <f ca="1">IF(AND(ISNUMBER($AM$376),$B$252=1),$AM$376,HLOOKUP(INDIRECT(ADDRESS(2,COLUMN())),OFFSET($CL$2,0,0,ROW()-1,84),ROW()-1,FALSE))</f>
        <v/>
      </c>
      <c r="AN168" t="str">
        <f ca="1">IF(AND(ISNUMBER($AN$376),$B$252=1),$AN$376,HLOOKUP(INDIRECT(ADDRESS(2,COLUMN())),OFFSET($CL$2,0,0,ROW()-1,84),ROW()-1,FALSE))</f>
        <v/>
      </c>
      <c r="AO168" t="str">
        <f ca="1">IF(AND(ISNUMBER($AO$376),$B$252=1),$AO$376,HLOOKUP(INDIRECT(ADDRESS(2,COLUMN())),OFFSET($CL$2,0,0,ROW()-1,84),ROW()-1,FALSE))</f>
        <v/>
      </c>
      <c r="AP168" t="str">
        <f ca="1">IF(AND(ISNUMBER($AP$376),$B$252=1),$AP$376,HLOOKUP(INDIRECT(ADDRESS(2,COLUMN())),OFFSET($CL$2,0,0,ROW()-1,84),ROW()-1,FALSE))</f>
        <v/>
      </c>
      <c r="AQ168" t="str">
        <f ca="1">IF(AND(ISNUMBER($AQ$376),$B$252=1),$AQ$376,HLOOKUP(INDIRECT(ADDRESS(2,COLUMN())),OFFSET($CL$2,0,0,ROW()-1,84),ROW()-1,FALSE))</f>
        <v/>
      </c>
      <c r="AR168" t="str">
        <f ca="1">IF(AND(ISNUMBER($AR$376),$B$252=1),$AR$376,HLOOKUP(INDIRECT(ADDRESS(2,COLUMN())),OFFSET($CL$2,0,0,ROW()-1,84),ROW()-1,FALSE))</f>
        <v/>
      </c>
      <c r="AS168" t="str">
        <f ca="1">IF(AND(ISNUMBER($AS$376),$B$252=1),$AS$376,HLOOKUP(INDIRECT(ADDRESS(2,COLUMN())),OFFSET($CL$2,0,0,ROW()-1,84),ROW()-1,FALSE))</f>
        <v/>
      </c>
      <c r="AT168" t="str">
        <f ca="1">IF(AND(ISNUMBER($AT$376),$B$252=1),$AT$376,HLOOKUP(INDIRECT(ADDRESS(2,COLUMN())),OFFSET($CL$2,0,0,ROW()-1,84),ROW()-1,FALSE))</f>
        <v/>
      </c>
      <c r="AU168" t="str">
        <f ca="1">IF(AND(ISNUMBER($AU$376),$B$252=1),$AU$376,HLOOKUP(INDIRECT(ADDRESS(2,COLUMN())),OFFSET($CL$2,0,0,ROW()-1,84),ROW()-1,FALSE))</f>
        <v/>
      </c>
      <c r="AV168" t="str">
        <f ca="1">IF(AND(ISNUMBER($AV$376),$B$252=1),$AV$376,HLOOKUP(INDIRECT(ADDRESS(2,COLUMN())),OFFSET($CL$2,0,0,ROW()-1,84),ROW()-1,FALSE))</f>
        <v/>
      </c>
      <c r="AW168" t="str">
        <f ca="1">IF(AND(ISNUMBER($AW$376),$B$252=1),$AW$376,HLOOKUP(INDIRECT(ADDRESS(2,COLUMN())),OFFSET($CL$2,0,0,ROW()-1,84),ROW()-1,FALSE))</f>
        <v/>
      </c>
      <c r="AX168" t="str">
        <f ca="1">IF(AND(ISNUMBER($AX$376),$B$252=1),$AX$376,HLOOKUP(INDIRECT(ADDRESS(2,COLUMN())),OFFSET($CL$2,0,0,ROW()-1,84),ROW()-1,FALSE))</f>
        <v/>
      </c>
      <c r="AY168" t="str">
        <f ca="1">IF(AND(ISNUMBER($AY$376),$B$252=1),$AY$376,HLOOKUP(INDIRECT(ADDRESS(2,COLUMN())),OFFSET($CL$2,0,0,ROW()-1,84),ROW()-1,FALSE))</f>
        <v/>
      </c>
      <c r="AZ168" t="str">
        <f ca="1">IF(AND(ISNUMBER($AZ$376),$B$252=1),$AZ$376,HLOOKUP(INDIRECT(ADDRESS(2,COLUMN())),OFFSET($CL$2,0,0,ROW()-1,84),ROW()-1,FALSE))</f>
        <v/>
      </c>
      <c r="BA168" t="str">
        <f ca="1">IF(AND(ISNUMBER($BA$376),$B$252=1),$BA$376,HLOOKUP(INDIRECT(ADDRESS(2,COLUMN())),OFFSET($CL$2,0,0,ROW()-1,84),ROW()-1,FALSE))</f>
        <v/>
      </c>
      <c r="BB168" t="str">
        <f ca="1">IF(AND(ISNUMBER($BB$376),$B$252=1),$BB$376,HLOOKUP(INDIRECT(ADDRESS(2,COLUMN())),OFFSET($CL$2,0,0,ROW()-1,84),ROW()-1,FALSE))</f>
        <v/>
      </c>
      <c r="BC168" t="str">
        <f ca="1">IF(AND(ISNUMBER($BC$376),$B$252=1),$BC$376,HLOOKUP(INDIRECT(ADDRESS(2,COLUMN())),OFFSET($CL$2,0,0,ROW()-1,84),ROW()-1,FALSE))</f>
        <v/>
      </c>
      <c r="BD168" t="str">
        <f ca="1">IF(AND(ISNUMBER($BD$376),$B$252=1),$BD$376,HLOOKUP(INDIRECT(ADDRESS(2,COLUMN())),OFFSET($CL$2,0,0,ROW()-1,84),ROW()-1,FALSE))</f>
        <v/>
      </c>
      <c r="BE168" t="str">
        <f ca="1">IF(AND(ISNUMBER($BE$376),$B$252=1),$BE$376,HLOOKUP(INDIRECT(ADDRESS(2,COLUMN())),OFFSET($CL$2,0,0,ROW()-1,84),ROW()-1,FALSE))</f>
        <v/>
      </c>
      <c r="BF168" t="str">
        <f ca="1">IF(AND(ISNUMBER($BF$376),$B$252=1),$BF$376,HLOOKUP(INDIRECT(ADDRESS(2,COLUMN())),OFFSET($CL$2,0,0,ROW()-1,84),ROW()-1,FALSE))</f>
        <v/>
      </c>
      <c r="BG168" t="str">
        <f ca="1">IF(AND(ISNUMBER($BG$376),$B$252=1),$BG$376,HLOOKUP(INDIRECT(ADDRESS(2,COLUMN())),OFFSET($CL$2,0,0,ROW()-1,84),ROW()-1,FALSE))</f>
        <v/>
      </c>
      <c r="BH168" t="str">
        <f ca="1">IF(AND(ISNUMBER($BH$376),$B$252=1),$BH$376,HLOOKUP(INDIRECT(ADDRESS(2,COLUMN())),OFFSET($CL$2,0,0,ROW()-1,84),ROW()-1,FALSE))</f>
        <v/>
      </c>
      <c r="BI168" t="str">
        <f ca="1">IF(AND(ISNUMBER($BI$376),$B$252=1),$BI$376,HLOOKUP(INDIRECT(ADDRESS(2,COLUMN())),OFFSET($CL$2,0,0,ROW()-1,84),ROW()-1,FALSE))</f>
        <v/>
      </c>
      <c r="BJ168" t="str">
        <f ca="1">IF(AND(ISNUMBER($BJ$376),$B$252=1),$BJ$376,HLOOKUP(INDIRECT(ADDRESS(2,COLUMN())),OFFSET($CL$2,0,0,ROW()-1,84),ROW()-1,FALSE))</f>
        <v/>
      </c>
      <c r="BK168" t="str">
        <f ca="1">IF(AND(ISNUMBER($BK$376),$B$252=1),$BK$376,HLOOKUP(INDIRECT(ADDRESS(2,COLUMN())),OFFSET($CL$2,0,0,ROW()-1,84),ROW()-1,FALSE))</f>
        <v/>
      </c>
      <c r="BL168" t="str">
        <f ca="1">IF(AND(ISNUMBER($BL$376),$B$252=1),$BL$376,HLOOKUP(INDIRECT(ADDRESS(2,COLUMN())),OFFSET($CL$2,0,0,ROW()-1,84),ROW()-1,FALSE))</f>
        <v/>
      </c>
      <c r="BM168" t="str">
        <f ca="1">IF(AND(ISNUMBER($BM$376),$B$252=1),$BM$376,HLOOKUP(INDIRECT(ADDRESS(2,COLUMN())),OFFSET($CL$2,0,0,ROW()-1,84),ROW()-1,FALSE))</f>
        <v/>
      </c>
      <c r="BN168" t="str">
        <f ca="1">IF(AND(ISNUMBER($BN$376),$B$252=1),$BN$376,HLOOKUP(INDIRECT(ADDRESS(2,COLUMN())),OFFSET($CL$2,0,0,ROW()-1,84),ROW()-1,FALSE))</f>
        <v/>
      </c>
      <c r="BO168" t="str">
        <f ca="1">IF(AND(ISNUMBER($BO$376),$B$252=1),$BO$376,HLOOKUP(INDIRECT(ADDRESS(2,COLUMN())),OFFSET($CL$2,0,0,ROW()-1,84),ROW()-1,FALSE))</f>
        <v/>
      </c>
      <c r="BP168" t="str">
        <f ca="1">IF(AND(ISNUMBER($BP$376),$B$252=1),$BP$376,HLOOKUP(INDIRECT(ADDRESS(2,COLUMN())),OFFSET($CL$2,0,0,ROW()-1,84),ROW()-1,FALSE))</f>
        <v/>
      </c>
      <c r="BQ168" t="str">
        <f ca="1">IF(AND(ISNUMBER($BQ$376),$B$252=1),$BQ$376,HLOOKUP(INDIRECT(ADDRESS(2,COLUMN())),OFFSET($CL$2,0,0,ROW()-1,84),ROW()-1,FALSE))</f>
        <v/>
      </c>
      <c r="BR168" t="str">
        <f ca="1">IF(AND(ISNUMBER($BR$376),$B$252=1),$BR$376,HLOOKUP(INDIRECT(ADDRESS(2,COLUMN())),OFFSET($CL$2,0,0,ROW()-1,84),ROW()-1,FALSE))</f>
        <v/>
      </c>
      <c r="BS168" t="str">
        <f ca="1">IF(AND(ISNUMBER($BS$376),$B$252=1),$BS$376,HLOOKUP(INDIRECT(ADDRESS(2,COLUMN())),OFFSET($CL$2,0,0,ROW()-1,84),ROW()-1,FALSE))</f>
        <v/>
      </c>
      <c r="BT168" t="str">
        <f ca="1">IF(AND(ISNUMBER($BT$376),$B$252=1),$BT$376,HLOOKUP(INDIRECT(ADDRESS(2,COLUMN())),OFFSET($CL$2,0,0,ROW()-1,84),ROW()-1,FALSE))</f>
        <v/>
      </c>
      <c r="BU168" t="str">
        <f ca="1">IF(AND(ISNUMBER($BU$376),$B$252=1),$BU$376,HLOOKUP(INDIRECT(ADDRESS(2,COLUMN())),OFFSET($CL$2,0,0,ROW()-1,84),ROW()-1,FALSE))</f>
        <v/>
      </c>
      <c r="BV168" t="str">
        <f ca="1">IF(AND(ISNUMBER($BV$376),$B$252=1),$BV$376,HLOOKUP(INDIRECT(ADDRESS(2,COLUMN())),OFFSET($CL$2,0,0,ROW()-1,84),ROW()-1,FALSE))</f>
        <v/>
      </c>
      <c r="BW168" t="str">
        <f ca="1">IF(AND(ISNUMBER($BW$376),$B$252=1),$BW$376,HLOOKUP(INDIRECT(ADDRESS(2,COLUMN())),OFFSET($CL$2,0,0,ROW()-1,84),ROW()-1,FALSE))</f>
        <v/>
      </c>
      <c r="BX168" t="str">
        <f ca="1">IF(AND(ISNUMBER($BX$376),$B$252=1),$BX$376,HLOOKUP(INDIRECT(ADDRESS(2,COLUMN())),OFFSET($CL$2,0,0,ROW()-1,84),ROW()-1,FALSE))</f>
        <v/>
      </c>
      <c r="BY168" t="str">
        <f ca="1">IF(AND(ISNUMBER($BY$376),$B$252=1),$BY$376,HLOOKUP(INDIRECT(ADDRESS(2,COLUMN())),OFFSET($CL$2,0,0,ROW()-1,84),ROW()-1,FALSE))</f>
        <v/>
      </c>
      <c r="BZ168" t="str">
        <f ca="1">IF(AND(ISNUMBER($BZ$376),$B$252=1),$BZ$376,HLOOKUP(INDIRECT(ADDRESS(2,COLUMN())),OFFSET($CL$2,0,0,ROW()-1,84),ROW()-1,FALSE))</f>
        <v/>
      </c>
      <c r="CA168" t="str">
        <f ca="1">IF(AND(ISNUMBER($CA$376),$B$252=1),$CA$376,HLOOKUP(INDIRECT(ADDRESS(2,COLUMN())),OFFSET($CL$2,0,0,ROW()-1,84),ROW()-1,FALSE))</f>
        <v/>
      </c>
      <c r="CB168" t="str">
        <f ca="1">IF(AND(ISNUMBER($CB$376),$B$252=1),$CB$376,HLOOKUP(INDIRECT(ADDRESS(2,COLUMN())),OFFSET($CL$2,0,0,ROW()-1,84),ROW()-1,FALSE))</f>
        <v/>
      </c>
      <c r="CC168" t="str">
        <f ca="1">IF(AND(ISNUMBER($CC$376),$B$252=1),$CC$376,HLOOKUP(INDIRECT(ADDRESS(2,COLUMN())),OFFSET($CL$2,0,0,ROW()-1,84),ROW()-1,FALSE))</f>
        <v/>
      </c>
      <c r="CD168" t="str">
        <f ca="1">IF(AND(ISNUMBER($CD$376),$B$252=1),$CD$376,HLOOKUP(INDIRECT(ADDRESS(2,COLUMN())),OFFSET($CL$2,0,0,ROW()-1,84),ROW()-1,FALSE))</f>
        <v/>
      </c>
      <c r="CE168" t="str">
        <f ca="1">IF(AND(ISNUMBER($CE$376),$B$252=1),$CE$376,HLOOKUP(INDIRECT(ADDRESS(2,COLUMN())),OFFSET($CL$2,0,0,ROW()-1,84),ROW()-1,FALSE))</f>
        <v/>
      </c>
      <c r="CF168" t="str">
        <f ca="1">IF(AND(ISNUMBER($CF$376),$B$252=1),$CF$376,HLOOKUP(INDIRECT(ADDRESS(2,COLUMN())),OFFSET($CL$2,0,0,ROW()-1,84),ROW()-1,FALSE))</f>
        <v/>
      </c>
      <c r="CG168" t="str">
        <f ca="1">IF(AND(ISNUMBER($CG$376),$B$252=1),$CG$376,HLOOKUP(INDIRECT(ADDRESS(2,COLUMN())),OFFSET($CL$2,0,0,ROW()-1,84),ROW()-1,FALSE))</f>
        <v/>
      </c>
      <c r="CH168" t="str">
        <f ca="1">IF(AND(ISNUMBER($CH$376),$B$252=1),$CH$376,HLOOKUP(INDIRECT(ADDRESS(2,COLUMN())),OFFSET($CL$2,0,0,ROW()-1,84),ROW()-1,FALSE))</f>
        <v/>
      </c>
      <c r="CI168" t="str">
        <f ca="1">IF(AND(ISNUMBER($CI$376),$B$252=1),$CI$376,HLOOKUP(INDIRECT(ADDRESS(2,COLUMN())),OFFSET($CL$2,0,0,ROW()-1,84),ROW()-1,FALSE))</f>
        <v/>
      </c>
      <c r="CJ168" t="str">
        <f ca="1">IF(AND(ISNUMBER($CJ$376),$B$252=1),$CJ$376,HLOOKUP(INDIRECT(ADDRESS(2,COLUMN())),OFFSET($CL$2,0,0,ROW()-1,84),ROW()-1,FALSE))</f>
        <v/>
      </c>
      <c r="CK168" t="str">
        <f ca="1">IF(AND(ISNUMBER($CK$376),$B$252=1),$CK$376,HLOOKUP(INDIRECT(ADDRESS(2,COLUMN())),OFFSET($CL$2,0,0,ROW()-1,84),ROW()-1,FALSE))</f>
        <v/>
      </c>
      <c r="CL168" t="str">
        <f>""</f>
        <v/>
      </c>
      <c r="CM168" t="str">
        <f>""</f>
        <v/>
      </c>
      <c r="CN168" t="str">
        <f>""</f>
        <v/>
      </c>
      <c r="CO168" t="str">
        <f>""</f>
        <v/>
      </c>
      <c r="CP168" t="str">
        <f>""</f>
        <v/>
      </c>
      <c r="CQ168" t="str">
        <f>""</f>
        <v/>
      </c>
      <c r="CR168">
        <f>0.47</f>
        <v>0.47</v>
      </c>
      <c r="CS168">
        <f>0.478</f>
        <v>0.47799999999999998</v>
      </c>
      <c r="CT168">
        <f>0.465</f>
        <v>0.46500000000000002</v>
      </c>
      <c r="CU168">
        <f>0.463</f>
        <v>0.46300000000000002</v>
      </c>
      <c r="CV168">
        <f>0.463</f>
        <v>0.46300000000000002</v>
      </c>
      <c r="CW168">
        <f>0.437</f>
        <v>0.437</v>
      </c>
      <c r="CX168">
        <f>0.437</f>
        <v>0.437</v>
      </c>
      <c r="CY168">
        <f>0.437</f>
        <v>0.437</v>
      </c>
      <c r="CZ168">
        <f>0.44</f>
        <v>0.44</v>
      </c>
      <c r="DA168">
        <f>0.44</f>
        <v>0.44</v>
      </c>
      <c r="DB168">
        <f>0.425</f>
        <v>0.42499999999999999</v>
      </c>
      <c r="DC168">
        <f>0.43</f>
        <v>0.43</v>
      </c>
      <c r="DD168" t="str">
        <f>""</f>
        <v/>
      </c>
      <c r="DE168" t="str">
        <f>""</f>
        <v/>
      </c>
      <c r="DF168" t="str">
        <f>""</f>
        <v/>
      </c>
      <c r="DG168" t="str">
        <f>""</f>
        <v/>
      </c>
      <c r="DH168" t="str">
        <f>""</f>
        <v/>
      </c>
      <c r="DI168" t="str">
        <f>""</f>
        <v/>
      </c>
      <c r="DJ168" t="str">
        <f>""</f>
        <v/>
      </c>
      <c r="DK168" t="str">
        <f>""</f>
        <v/>
      </c>
      <c r="DL168" t="str">
        <f>""</f>
        <v/>
      </c>
      <c r="DM168" t="str">
        <f>""</f>
        <v/>
      </c>
      <c r="DN168" t="str">
        <f>""</f>
        <v/>
      </c>
      <c r="DO168" t="str">
        <f>""</f>
        <v/>
      </c>
      <c r="DP168" t="str">
        <f>""</f>
        <v/>
      </c>
      <c r="DQ168" t="str">
        <f>""</f>
        <v/>
      </c>
      <c r="DR168" t="str">
        <f>""</f>
        <v/>
      </c>
      <c r="DS168" t="str">
        <f>""</f>
        <v/>
      </c>
      <c r="DT168" t="str">
        <f>""</f>
        <v/>
      </c>
      <c r="DU168" t="str">
        <f>""</f>
        <v/>
      </c>
      <c r="DV168" t="str">
        <f>""</f>
        <v/>
      </c>
      <c r="DW168" t="str">
        <f>""</f>
        <v/>
      </c>
      <c r="DX168" t="str">
        <f>""</f>
        <v/>
      </c>
      <c r="DY168" t="str">
        <f>""</f>
        <v/>
      </c>
      <c r="DZ168" t="str">
        <f>""</f>
        <v/>
      </c>
      <c r="EA168" t="str">
        <f>""</f>
        <v/>
      </c>
      <c r="EB168" t="str">
        <f>""</f>
        <v/>
      </c>
      <c r="EC168" t="str">
        <f>""</f>
        <v/>
      </c>
      <c r="ED168" t="str">
        <f>""</f>
        <v/>
      </c>
      <c r="EE168" t="str">
        <f>""</f>
        <v/>
      </c>
      <c r="EF168" t="str">
        <f>""</f>
        <v/>
      </c>
      <c r="EG168" t="str">
        <f>""</f>
        <v/>
      </c>
      <c r="EH168" t="str">
        <f>""</f>
        <v/>
      </c>
      <c r="EI168" t="str">
        <f>""</f>
        <v/>
      </c>
      <c r="EJ168" t="str">
        <f>""</f>
        <v/>
      </c>
      <c r="EK168" t="str">
        <f>""</f>
        <v/>
      </c>
      <c r="EL168" t="str">
        <f>""</f>
        <v/>
      </c>
      <c r="EM168" t="str">
        <f>""</f>
        <v/>
      </c>
      <c r="EN168" t="str">
        <f>""</f>
        <v/>
      </c>
      <c r="EO168" t="str">
        <f>""</f>
        <v/>
      </c>
      <c r="EP168" t="str">
        <f>""</f>
        <v/>
      </c>
      <c r="EQ168" t="str">
        <f>""</f>
        <v/>
      </c>
      <c r="ER168" t="str">
        <f>""</f>
        <v/>
      </c>
      <c r="ES168" t="str">
        <f>""</f>
        <v/>
      </c>
      <c r="ET168" t="str">
        <f>""</f>
        <v/>
      </c>
      <c r="EU168" t="str">
        <f>""</f>
        <v/>
      </c>
      <c r="EV168" t="str">
        <f>""</f>
        <v/>
      </c>
      <c r="EW168" t="str">
        <f>""</f>
        <v/>
      </c>
      <c r="EX168" t="str">
        <f>""</f>
        <v/>
      </c>
      <c r="EY168" t="str">
        <f>""</f>
        <v/>
      </c>
      <c r="EZ168" t="str">
        <f>""</f>
        <v/>
      </c>
      <c r="FA168" t="str">
        <f>""</f>
        <v/>
      </c>
      <c r="FB168" t="str">
        <f>""</f>
        <v/>
      </c>
      <c r="FC168" t="str">
        <f>""</f>
        <v/>
      </c>
      <c r="FD168" t="str">
        <f>""</f>
        <v/>
      </c>
      <c r="FE168" t="str">
        <f>""</f>
        <v/>
      </c>
      <c r="FF168" t="str">
        <f>""</f>
        <v/>
      </c>
      <c r="FG168" t="str">
        <f>""</f>
        <v/>
      </c>
      <c r="FH168" t="str">
        <f>""</f>
        <v/>
      </c>
      <c r="FI168" t="str">
        <f>""</f>
        <v/>
      </c>
      <c r="FJ168" t="str">
        <f>""</f>
        <v/>
      </c>
      <c r="FK168" t="str">
        <f>""</f>
        <v/>
      </c>
      <c r="FL168" t="str">
        <f>""</f>
        <v/>
      </c>
      <c r="FM168" t="str">
        <f>""</f>
        <v/>
      </c>
      <c r="FN168" t="str">
        <f>""</f>
        <v/>
      </c>
      <c r="FO168" t="str">
        <f>""</f>
        <v/>
      </c>
      <c r="FP168" t="str">
        <f>""</f>
        <v/>
      </c>
      <c r="FQ168" t="str">
        <f>""</f>
        <v/>
      </c>
    </row>
    <row r="169" spans="1:173">
      <c r="A169" t="str">
        <f>"    UDR Inc"</f>
        <v xml:space="preserve">    UDR Inc</v>
      </c>
      <c r="B169" t="str">
        <f>"UDR US Equity"</f>
        <v>UDR US Equity</v>
      </c>
      <c r="C169" t="str">
        <f t="shared" si="51"/>
        <v>BE895</v>
      </c>
      <c r="D169" t="str">
        <f t="shared" si="52"/>
        <v>BEST_AFFOPS</v>
      </c>
      <c r="E169" t="str">
        <f t="shared" si="53"/>
        <v>动态</v>
      </c>
      <c r="F169">
        <f ca="1">IF(AND(ISNUMBER($F$377),$B$252=1),$F$377,HLOOKUP(INDIRECT(ADDRESS(2,COLUMN())),OFFSET($CL$2,0,0,ROW()-1,84),ROW()-1,FALSE))</f>
        <v>1.786</v>
      </c>
      <c r="G169">
        <f ca="1">IF(AND(ISNUMBER($G$377),$B$252=1),$G$377,HLOOKUP(INDIRECT(ADDRESS(2,COLUMN())),OFFSET($CL$2,0,0,ROW()-1,84),ROW()-1,FALSE))</f>
        <v>1.7869999999999999</v>
      </c>
      <c r="H169">
        <f ca="1">IF(AND(ISNUMBER($H$377),$B$252=1),$H$377,HLOOKUP(INDIRECT(ADDRESS(2,COLUMN())),OFFSET($CL$2,0,0,ROW()-1,84),ROW()-1,FALSE))</f>
        <v>1.8049999999999999</v>
      </c>
      <c r="I169">
        <f ca="1">IF(AND(ISNUMBER($I$377),$B$252=1),$I$377,HLOOKUP(INDIRECT(ADDRESS(2,COLUMN())),OFFSET($CL$2,0,0,ROW()-1,84),ROW()-1,FALSE))</f>
        <v>1.8</v>
      </c>
      <c r="J169">
        <f ca="1">IF(AND(ISNUMBER($J$377),$B$252=1),$J$377,HLOOKUP(INDIRECT(ADDRESS(2,COLUMN())),OFFSET($CL$2,0,0,ROW()-1,84),ROW()-1,FALSE))</f>
        <v>1.8</v>
      </c>
      <c r="K169">
        <f ca="1">IF(AND(ISNUMBER($K$377),$B$252=1),$K$377,HLOOKUP(INDIRECT(ADDRESS(2,COLUMN())),OFFSET($CL$2,0,0,ROW()-1,84),ROW()-1,FALSE))</f>
        <v>1.8029999999999999</v>
      </c>
      <c r="L169">
        <f ca="1">IF(AND(ISNUMBER($L$377),$B$252=1),$L$377,HLOOKUP(INDIRECT(ADDRESS(2,COLUMN())),OFFSET($CL$2,0,0,ROW()-1,84),ROW()-1,FALSE))</f>
        <v>1.8029999999999999</v>
      </c>
      <c r="M169">
        <f ca="1">IF(AND(ISNUMBER($M$377),$B$252=1),$M$377,HLOOKUP(INDIRECT(ADDRESS(2,COLUMN())),OFFSET($CL$2,0,0,ROW()-1,84),ROW()-1,FALSE))</f>
        <v>1.8149999999999999</v>
      </c>
      <c r="N169">
        <f ca="1">IF(AND(ISNUMBER($N$377),$B$252=1),$N$377,HLOOKUP(INDIRECT(ADDRESS(2,COLUMN())),OFFSET($CL$2,0,0,ROW()-1,84),ROW()-1,FALSE))</f>
        <v>1.79</v>
      </c>
      <c r="O169">
        <f ca="1">IF(AND(ISNUMBER($O$377),$B$252=1),$O$377,HLOOKUP(INDIRECT(ADDRESS(2,COLUMN())),OFFSET($CL$2,0,0,ROW()-1,84),ROW()-1,FALSE))</f>
        <v>1.8</v>
      </c>
      <c r="P169">
        <f ca="1">IF(AND(ISNUMBER($P$377),$B$252=1),$P$377,HLOOKUP(INDIRECT(ADDRESS(2,COLUMN())),OFFSET($CL$2,0,0,ROW()-1,84),ROW()-1,FALSE))</f>
        <v>1.8</v>
      </c>
      <c r="Q169">
        <f ca="1">IF(AND(ISNUMBER($Q$377),$B$252=1),$Q$377,HLOOKUP(INDIRECT(ADDRESS(2,COLUMN())),OFFSET($CL$2,0,0,ROW()-1,84),ROW()-1,FALSE))</f>
        <v>1.7529999999999999</v>
      </c>
      <c r="R169">
        <f ca="1">IF(AND(ISNUMBER($R$377),$B$252=1),$R$377,HLOOKUP(INDIRECT(ADDRESS(2,COLUMN())),OFFSET($CL$2,0,0,ROW()-1,84),ROW()-1,FALSE))</f>
        <v>1.74</v>
      </c>
      <c r="S169">
        <f ca="1">IF(AND(ISNUMBER($S$377),$B$252=1),$S$377,HLOOKUP(INDIRECT(ADDRESS(2,COLUMN())),OFFSET($CL$2,0,0,ROW()-1,84),ROW()-1,FALSE))</f>
        <v>1.7490000000000001</v>
      </c>
      <c r="T169">
        <f ca="1">IF(AND(ISNUMBER($T$377),$B$252=1),$T$377,HLOOKUP(INDIRECT(ADDRESS(2,COLUMN())),OFFSET($CL$2,0,0,ROW()-1,84),ROW()-1,FALSE))</f>
        <v>1.796</v>
      </c>
      <c r="U169">
        <f ca="1">IF(AND(ISNUMBER($U$377),$B$252=1),$U$377,HLOOKUP(INDIRECT(ADDRESS(2,COLUMN())),OFFSET($CL$2,0,0,ROW()-1,84),ROW()-1,FALSE))</f>
        <v>1.798</v>
      </c>
      <c r="V169">
        <f ca="1">IF(AND(ISNUMBER($V$377),$B$252=1),$V$377,HLOOKUP(INDIRECT(ADDRESS(2,COLUMN())),OFFSET($CL$2,0,0,ROW()-1,84),ROW()-1,FALSE))</f>
        <v>1.788</v>
      </c>
      <c r="W169">
        <f ca="1">IF(AND(ISNUMBER($W$377),$B$252=1),$W$377,HLOOKUP(INDIRECT(ADDRESS(2,COLUMN())),OFFSET($CL$2,0,0,ROW()-1,84),ROW()-1,FALSE))</f>
        <v>1.7729999999999999</v>
      </c>
      <c r="X169">
        <f ca="1">IF(AND(ISNUMBER($X$377),$B$252=1),$X$377,HLOOKUP(INDIRECT(ADDRESS(2,COLUMN())),OFFSET($CL$2,0,0,ROW()-1,84),ROW()-1,FALSE))</f>
        <v>1.83</v>
      </c>
      <c r="Y169">
        <f ca="1">IF(AND(ISNUMBER($Y$377),$B$252=1),$Y$377,HLOOKUP(INDIRECT(ADDRESS(2,COLUMN())),OFFSET($CL$2,0,0,ROW()-1,84),ROW()-1,FALSE))</f>
        <v>1.823</v>
      </c>
      <c r="Z169">
        <f ca="1">IF(AND(ISNUMBER($Z$377),$B$252=1),$Z$377,HLOOKUP(INDIRECT(ADDRESS(2,COLUMN())),OFFSET($CL$2,0,0,ROW()-1,84),ROW()-1,FALSE))</f>
        <v>1.823</v>
      </c>
      <c r="AA169">
        <f ca="1">IF(AND(ISNUMBER($AA$377),$B$252=1),$AA$377,HLOOKUP(INDIRECT(ADDRESS(2,COLUMN())),OFFSET($CL$2,0,0,ROW()-1,84),ROW()-1,FALSE))</f>
        <v>1.82</v>
      </c>
      <c r="AB169" t="str">
        <f ca="1">IF(AND(ISNUMBER($AB$377),$B$252=1),$AB$377,HLOOKUP(INDIRECT(ADDRESS(2,COLUMN())),OFFSET($CL$2,0,0,ROW()-1,84),ROW()-1,FALSE))</f>
        <v/>
      </c>
      <c r="AC169">
        <f ca="1">IF(AND(ISNUMBER($AC$377),$B$252=1),$AC$377,HLOOKUP(INDIRECT(ADDRESS(2,COLUMN())),OFFSET($CL$2,0,0,ROW()-1,84),ROW()-1,FALSE))</f>
        <v>1.84</v>
      </c>
      <c r="AD169" t="str">
        <f ca="1">IF(AND(ISNUMBER($AD$377),$B$252=1),$AD$377,HLOOKUP(INDIRECT(ADDRESS(2,COLUMN())),OFFSET($CL$2,0,0,ROW()-1,84),ROW()-1,FALSE))</f>
        <v/>
      </c>
      <c r="AE169">
        <f ca="1">IF(AND(ISNUMBER($AE$377),$B$252=1),$AE$377,HLOOKUP(INDIRECT(ADDRESS(2,COLUMN())),OFFSET($CL$2,0,0,ROW()-1,84),ROW()-1,FALSE))</f>
        <v>1.86</v>
      </c>
      <c r="AF169" t="str">
        <f ca="1">IF(AND(ISNUMBER($AF$377),$B$252=1),$AF$377,HLOOKUP(INDIRECT(ADDRESS(2,COLUMN())),OFFSET($CL$2,0,0,ROW()-1,84),ROW()-1,FALSE))</f>
        <v/>
      </c>
      <c r="AG169" t="str">
        <f ca="1">IF(AND(ISNUMBER($AG$377),$B$252=1),$AG$377,HLOOKUP(INDIRECT(ADDRESS(2,COLUMN())),OFFSET($CL$2,0,0,ROW()-1,84),ROW()-1,FALSE))</f>
        <v/>
      </c>
      <c r="AH169" t="str">
        <f ca="1">IF(AND(ISNUMBER($AH$377),$B$252=1),$AH$377,HLOOKUP(INDIRECT(ADDRESS(2,COLUMN())),OFFSET($CL$2,0,0,ROW()-1,84),ROW()-1,FALSE))</f>
        <v/>
      </c>
      <c r="AI169" t="str">
        <f ca="1">IF(AND(ISNUMBER($AI$377),$B$252=1),$AI$377,HLOOKUP(INDIRECT(ADDRESS(2,COLUMN())),OFFSET($CL$2,0,0,ROW()-1,84),ROW()-1,FALSE))</f>
        <v/>
      </c>
      <c r="AJ169" t="str">
        <f ca="1">IF(AND(ISNUMBER($AJ$377),$B$252=1),$AJ$377,HLOOKUP(INDIRECT(ADDRESS(2,COLUMN())),OFFSET($CL$2,0,0,ROW()-1,84),ROW()-1,FALSE))</f>
        <v/>
      </c>
      <c r="AK169" t="str">
        <f ca="1">IF(AND(ISNUMBER($AK$377),$B$252=1),$AK$377,HLOOKUP(INDIRECT(ADDRESS(2,COLUMN())),OFFSET($CL$2,0,0,ROW()-1,84),ROW()-1,FALSE))</f>
        <v/>
      </c>
      <c r="AL169" t="str">
        <f ca="1">IF(AND(ISNUMBER($AL$377),$B$252=1),$AL$377,HLOOKUP(INDIRECT(ADDRESS(2,COLUMN())),OFFSET($CL$2,0,0,ROW()-1,84),ROW()-1,FALSE))</f>
        <v/>
      </c>
      <c r="AM169" t="str">
        <f ca="1">IF(AND(ISNUMBER($AM$377),$B$252=1),$AM$377,HLOOKUP(INDIRECT(ADDRESS(2,COLUMN())),OFFSET($CL$2,0,0,ROW()-1,84),ROW()-1,FALSE))</f>
        <v/>
      </c>
      <c r="AN169" t="str">
        <f ca="1">IF(AND(ISNUMBER($AN$377),$B$252=1),$AN$377,HLOOKUP(INDIRECT(ADDRESS(2,COLUMN())),OFFSET($CL$2,0,0,ROW()-1,84),ROW()-1,FALSE))</f>
        <v/>
      </c>
      <c r="AO169" t="str">
        <f ca="1">IF(AND(ISNUMBER($AO$377),$B$252=1),$AO$377,HLOOKUP(INDIRECT(ADDRESS(2,COLUMN())),OFFSET($CL$2,0,0,ROW()-1,84),ROW()-1,FALSE))</f>
        <v/>
      </c>
      <c r="AP169" t="str">
        <f ca="1">IF(AND(ISNUMBER($AP$377),$B$252=1),$AP$377,HLOOKUP(INDIRECT(ADDRESS(2,COLUMN())),OFFSET($CL$2,0,0,ROW()-1,84),ROW()-1,FALSE))</f>
        <v/>
      </c>
      <c r="AQ169" t="str">
        <f ca="1">IF(AND(ISNUMBER($AQ$377),$B$252=1),$AQ$377,HLOOKUP(INDIRECT(ADDRESS(2,COLUMN())),OFFSET($CL$2,0,0,ROW()-1,84),ROW()-1,FALSE))</f>
        <v/>
      </c>
      <c r="AR169" t="str">
        <f ca="1">IF(AND(ISNUMBER($AR$377),$B$252=1),$AR$377,HLOOKUP(INDIRECT(ADDRESS(2,COLUMN())),OFFSET($CL$2,0,0,ROW()-1,84),ROW()-1,FALSE))</f>
        <v/>
      </c>
      <c r="AS169" t="str">
        <f ca="1">IF(AND(ISNUMBER($AS$377),$B$252=1),$AS$377,HLOOKUP(INDIRECT(ADDRESS(2,COLUMN())),OFFSET($CL$2,0,0,ROW()-1,84),ROW()-1,FALSE))</f>
        <v/>
      </c>
      <c r="AT169" t="str">
        <f ca="1">IF(AND(ISNUMBER($AT$377),$B$252=1),$AT$377,HLOOKUP(INDIRECT(ADDRESS(2,COLUMN())),OFFSET($CL$2,0,0,ROW()-1,84),ROW()-1,FALSE))</f>
        <v/>
      </c>
      <c r="AU169" t="str">
        <f ca="1">IF(AND(ISNUMBER($AU$377),$B$252=1),$AU$377,HLOOKUP(INDIRECT(ADDRESS(2,COLUMN())),OFFSET($CL$2,0,0,ROW()-1,84),ROW()-1,FALSE))</f>
        <v/>
      </c>
      <c r="AV169" t="str">
        <f ca="1">IF(AND(ISNUMBER($AV$377),$B$252=1),$AV$377,HLOOKUP(INDIRECT(ADDRESS(2,COLUMN())),OFFSET($CL$2,0,0,ROW()-1,84),ROW()-1,FALSE))</f>
        <v/>
      </c>
      <c r="AW169" t="str">
        <f ca="1">IF(AND(ISNUMBER($AW$377),$B$252=1),$AW$377,HLOOKUP(INDIRECT(ADDRESS(2,COLUMN())),OFFSET($CL$2,0,0,ROW()-1,84),ROW()-1,FALSE))</f>
        <v/>
      </c>
      <c r="AX169" t="str">
        <f ca="1">IF(AND(ISNUMBER($AX$377),$B$252=1),$AX$377,HLOOKUP(INDIRECT(ADDRESS(2,COLUMN())),OFFSET($CL$2,0,0,ROW()-1,84),ROW()-1,FALSE))</f>
        <v/>
      </c>
      <c r="AY169" t="str">
        <f ca="1">IF(AND(ISNUMBER($AY$377),$B$252=1),$AY$377,HLOOKUP(INDIRECT(ADDRESS(2,COLUMN())),OFFSET($CL$2,0,0,ROW()-1,84),ROW()-1,FALSE))</f>
        <v/>
      </c>
      <c r="AZ169" t="str">
        <f ca="1">IF(AND(ISNUMBER($AZ$377),$B$252=1),$AZ$377,HLOOKUP(INDIRECT(ADDRESS(2,COLUMN())),OFFSET($CL$2,0,0,ROW()-1,84),ROW()-1,FALSE))</f>
        <v/>
      </c>
      <c r="BA169" t="str">
        <f ca="1">IF(AND(ISNUMBER($BA$377),$B$252=1),$BA$377,HLOOKUP(INDIRECT(ADDRESS(2,COLUMN())),OFFSET($CL$2,0,0,ROW()-1,84),ROW()-1,FALSE))</f>
        <v/>
      </c>
      <c r="BB169" t="str">
        <f ca="1">IF(AND(ISNUMBER($BB$377),$B$252=1),$BB$377,HLOOKUP(INDIRECT(ADDRESS(2,COLUMN())),OFFSET($CL$2,0,0,ROW()-1,84),ROW()-1,FALSE))</f>
        <v/>
      </c>
      <c r="BC169" t="str">
        <f ca="1">IF(AND(ISNUMBER($BC$377),$B$252=1),$BC$377,HLOOKUP(INDIRECT(ADDRESS(2,COLUMN())),OFFSET($CL$2,0,0,ROW()-1,84),ROW()-1,FALSE))</f>
        <v/>
      </c>
      <c r="BD169" t="str">
        <f ca="1">IF(AND(ISNUMBER($BD$377),$B$252=1),$BD$377,HLOOKUP(INDIRECT(ADDRESS(2,COLUMN())),OFFSET($CL$2,0,0,ROW()-1,84),ROW()-1,FALSE))</f>
        <v/>
      </c>
      <c r="BE169" t="str">
        <f ca="1">IF(AND(ISNUMBER($BE$377),$B$252=1),$BE$377,HLOOKUP(INDIRECT(ADDRESS(2,COLUMN())),OFFSET($CL$2,0,0,ROW()-1,84),ROW()-1,FALSE))</f>
        <v/>
      </c>
      <c r="BF169" t="str">
        <f ca="1">IF(AND(ISNUMBER($BF$377),$B$252=1),$BF$377,HLOOKUP(INDIRECT(ADDRESS(2,COLUMN())),OFFSET($CL$2,0,0,ROW()-1,84),ROW()-1,FALSE))</f>
        <v/>
      </c>
      <c r="BG169" t="str">
        <f ca="1">IF(AND(ISNUMBER($BG$377),$B$252=1),$BG$377,HLOOKUP(INDIRECT(ADDRESS(2,COLUMN())),OFFSET($CL$2,0,0,ROW()-1,84),ROW()-1,FALSE))</f>
        <v/>
      </c>
      <c r="BH169" t="str">
        <f ca="1">IF(AND(ISNUMBER($BH$377),$B$252=1),$BH$377,HLOOKUP(INDIRECT(ADDRESS(2,COLUMN())),OFFSET($CL$2,0,0,ROW()-1,84),ROW()-1,FALSE))</f>
        <v/>
      </c>
      <c r="BI169" t="str">
        <f ca="1">IF(AND(ISNUMBER($BI$377),$B$252=1),$BI$377,HLOOKUP(INDIRECT(ADDRESS(2,COLUMN())),OFFSET($CL$2,0,0,ROW()-1,84),ROW()-1,FALSE))</f>
        <v/>
      </c>
      <c r="BJ169" t="str">
        <f ca="1">IF(AND(ISNUMBER($BJ$377),$B$252=1),$BJ$377,HLOOKUP(INDIRECT(ADDRESS(2,COLUMN())),OFFSET($CL$2,0,0,ROW()-1,84),ROW()-1,FALSE))</f>
        <v/>
      </c>
      <c r="BK169" t="str">
        <f ca="1">IF(AND(ISNUMBER($BK$377),$B$252=1),$BK$377,HLOOKUP(INDIRECT(ADDRESS(2,COLUMN())),OFFSET($CL$2,0,0,ROW()-1,84),ROW()-1,FALSE))</f>
        <v/>
      </c>
      <c r="BL169" t="str">
        <f ca="1">IF(AND(ISNUMBER($BL$377),$B$252=1),$BL$377,HLOOKUP(INDIRECT(ADDRESS(2,COLUMN())),OFFSET($CL$2,0,0,ROW()-1,84),ROW()-1,FALSE))</f>
        <v/>
      </c>
      <c r="BM169" t="str">
        <f ca="1">IF(AND(ISNUMBER($BM$377),$B$252=1),$BM$377,HLOOKUP(INDIRECT(ADDRESS(2,COLUMN())),OFFSET($CL$2,0,0,ROW()-1,84),ROW()-1,FALSE))</f>
        <v/>
      </c>
      <c r="BN169" t="str">
        <f ca="1">IF(AND(ISNUMBER($BN$377),$B$252=1),$BN$377,HLOOKUP(INDIRECT(ADDRESS(2,COLUMN())),OFFSET($CL$2,0,0,ROW()-1,84),ROW()-1,FALSE))</f>
        <v/>
      </c>
      <c r="BO169" t="str">
        <f ca="1">IF(AND(ISNUMBER($BO$377),$B$252=1),$BO$377,HLOOKUP(INDIRECT(ADDRESS(2,COLUMN())),OFFSET($CL$2,0,0,ROW()-1,84),ROW()-1,FALSE))</f>
        <v/>
      </c>
      <c r="BP169" t="str">
        <f ca="1">IF(AND(ISNUMBER($BP$377),$B$252=1),$BP$377,HLOOKUP(INDIRECT(ADDRESS(2,COLUMN())),OFFSET($CL$2,0,0,ROW()-1,84),ROW()-1,FALSE))</f>
        <v/>
      </c>
      <c r="BQ169" t="str">
        <f ca="1">IF(AND(ISNUMBER($BQ$377),$B$252=1),$BQ$377,HLOOKUP(INDIRECT(ADDRESS(2,COLUMN())),OFFSET($CL$2,0,0,ROW()-1,84),ROW()-1,FALSE))</f>
        <v/>
      </c>
      <c r="BR169" t="str">
        <f ca="1">IF(AND(ISNUMBER($BR$377),$B$252=1),$BR$377,HLOOKUP(INDIRECT(ADDRESS(2,COLUMN())),OFFSET($CL$2,0,0,ROW()-1,84),ROW()-1,FALSE))</f>
        <v/>
      </c>
      <c r="BS169" t="str">
        <f ca="1">IF(AND(ISNUMBER($BS$377),$B$252=1),$BS$377,HLOOKUP(INDIRECT(ADDRESS(2,COLUMN())),OFFSET($CL$2,0,0,ROW()-1,84),ROW()-1,FALSE))</f>
        <v/>
      </c>
      <c r="BT169" t="str">
        <f ca="1">IF(AND(ISNUMBER($BT$377),$B$252=1),$BT$377,HLOOKUP(INDIRECT(ADDRESS(2,COLUMN())),OFFSET($CL$2,0,0,ROW()-1,84),ROW()-1,FALSE))</f>
        <v/>
      </c>
      <c r="BU169" t="str">
        <f ca="1">IF(AND(ISNUMBER($BU$377),$B$252=1),$BU$377,HLOOKUP(INDIRECT(ADDRESS(2,COLUMN())),OFFSET($CL$2,0,0,ROW()-1,84),ROW()-1,FALSE))</f>
        <v/>
      </c>
      <c r="BV169" t="str">
        <f ca="1">IF(AND(ISNUMBER($BV$377),$B$252=1),$BV$377,HLOOKUP(INDIRECT(ADDRESS(2,COLUMN())),OFFSET($CL$2,0,0,ROW()-1,84),ROW()-1,FALSE))</f>
        <v/>
      </c>
      <c r="BW169" t="str">
        <f ca="1">IF(AND(ISNUMBER($BW$377),$B$252=1),$BW$377,HLOOKUP(INDIRECT(ADDRESS(2,COLUMN())),OFFSET($CL$2,0,0,ROW()-1,84),ROW()-1,FALSE))</f>
        <v/>
      </c>
      <c r="BX169" t="str">
        <f ca="1">IF(AND(ISNUMBER($BX$377),$B$252=1),$BX$377,HLOOKUP(INDIRECT(ADDRESS(2,COLUMN())),OFFSET($CL$2,0,0,ROW()-1,84),ROW()-1,FALSE))</f>
        <v/>
      </c>
      <c r="BY169" t="str">
        <f ca="1">IF(AND(ISNUMBER($BY$377),$B$252=1),$BY$377,HLOOKUP(INDIRECT(ADDRESS(2,COLUMN())),OFFSET($CL$2,0,0,ROW()-1,84),ROW()-1,FALSE))</f>
        <v/>
      </c>
      <c r="BZ169" t="str">
        <f ca="1">IF(AND(ISNUMBER($BZ$377),$B$252=1),$BZ$377,HLOOKUP(INDIRECT(ADDRESS(2,COLUMN())),OFFSET($CL$2,0,0,ROW()-1,84),ROW()-1,FALSE))</f>
        <v/>
      </c>
      <c r="CA169" t="str">
        <f ca="1">IF(AND(ISNUMBER($CA$377),$B$252=1),$CA$377,HLOOKUP(INDIRECT(ADDRESS(2,COLUMN())),OFFSET($CL$2,0,0,ROW()-1,84),ROW()-1,FALSE))</f>
        <v/>
      </c>
      <c r="CB169" t="str">
        <f ca="1">IF(AND(ISNUMBER($CB$377),$B$252=1),$CB$377,HLOOKUP(INDIRECT(ADDRESS(2,COLUMN())),OFFSET($CL$2,0,0,ROW()-1,84),ROW()-1,FALSE))</f>
        <v/>
      </c>
      <c r="CC169" t="str">
        <f ca="1">IF(AND(ISNUMBER($CC$377),$B$252=1),$CC$377,HLOOKUP(INDIRECT(ADDRESS(2,COLUMN())),OFFSET($CL$2,0,0,ROW()-1,84),ROW()-1,FALSE))</f>
        <v/>
      </c>
      <c r="CD169" t="str">
        <f ca="1">IF(AND(ISNUMBER($CD$377),$B$252=1),$CD$377,HLOOKUP(INDIRECT(ADDRESS(2,COLUMN())),OFFSET($CL$2,0,0,ROW()-1,84),ROW()-1,FALSE))</f>
        <v/>
      </c>
      <c r="CE169" t="str">
        <f ca="1">IF(AND(ISNUMBER($CE$377),$B$252=1),$CE$377,HLOOKUP(INDIRECT(ADDRESS(2,COLUMN())),OFFSET($CL$2,0,0,ROW()-1,84),ROW()-1,FALSE))</f>
        <v/>
      </c>
      <c r="CF169" t="str">
        <f ca="1">IF(AND(ISNUMBER($CF$377),$B$252=1),$CF$377,HLOOKUP(INDIRECT(ADDRESS(2,COLUMN())),OFFSET($CL$2,0,0,ROW()-1,84),ROW()-1,FALSE))</f>
        <v/>
      </c>
      <c r="CG169" t="str">
        <f ca="1">IF(AND(ISNUMBER($CG$377),$B$252=1),$CG$377,HLOOKUP(INDIRECT(ADDRESS(2,COLUMN())),OFFSET($CL$2,0,0,ROW()-1,84),ROW()-1,FALSE))</f>
        <v/>
      </c>
      <c r="CH169" t="str">
        <f ca="1">IF(AND(ISNUMBER($CH$377),$B$252=1),$CH$377,HLOOKUP(INDIRECT(ADDRESS(2,COLUMN())),OFFSET($CL$2,0,0,ROW()-1,84),ROW()-1,FALSE))</f>
        <v/>
      </c>
      <c r="CI169" t="str">
        <f ca="1">IF(AND(ISNUMBER($CI$377),$B$252=1),$CI$377,HLOOKUP(INDIRECT(ADDRESS(2,COLUMN())),OFFSET($CL$2,0,0,ROW()-1,84),ROW()-1,FALSE))</f>
        <v/>
      </c>
      <c r="CJ169" t="str">
        <f ca="1">IF(AND(ISNUMBER($CJ$377),$B$252=1),$CJ$377,HLOOKUP(INDIRECT(ADDRESS(2,COLUMN())),OFFSET($CL$2,0,0,ROW()-1,84),ROW()-1,FALSE))</f>
        <v/>
      </c>
      <c r="CK169" t="str">
        <f ca="1">IF(AND(ISNUMBER($CK$377),$B$252=1),$CK$377,HLOOKUP(INDIRECT(ADDRESS(2,COLUMN())),OFFSET($CL$2,0,0,ROW()-1,84),ROW()-1,FALSE))</f>
        <v/>
      </c>
      <c r="CL169">
        <f>1.786</f>
        <v>1.786</v>
      </c>
      <c r="CM169">
        <f>1.787</f>
        <v>1.7869999999999999</v>
      </c>
      <c r="CN169">
        <f>1.805</f>
        <v>1.8049999999999999</v>
      </c>
      <c r="CO169">
        <f>1.8</f>
        <v>1.8</v>
      </c>
      <c r="CP169">
        <f>1.8</f>
        <v>1.8</v>
      </c>
      <c r="CQ169">
        <f>1.803</f>
        <v>1.8029999999999999</v>
      </c>
      <c r="CR169">
        <f>1.803</f>
        <v>1.8029999999999999</v>
      </c>
      <c r="CS169">
        <f>1.815</f>
        <v>1.8149999999999999</v>
      </c>
      <c r="CT169">
        <f>1.79</f>
        <v>1.79</v>
      </c>
      <c r="CU169">
        <f>1.8</f>
        <v>1.8</v>
      </c>
      <c r="CV169">
        <f>1.8</f>
        <v>1.8</v>
      </c>
      <c r="CW169">
        <f>1.753</f>
        <v>1.7529999999999999</v>
      </c>
      <c r="CX169">
        <f>1.74</f>
        <v>1.74</v>
      </c>
      <c r="CY169">
        <f>1.749</f>
        <v>1.7490000000000001</v>
      </c>
      <c r="CZ169">
        <f>1.796</f>
        <v>1.796</v>
      </c>
      <c r="DA169">
        <f>1.798</f>
        <v>1.798</v>
      </c>
      <c r="DB169">
        <f>1.788</f>
        <v>1.788</v>
      </c>
      <c r="DC169">
        <f>1.773</f>
        <v>1.7729999999999999</v>
      </c>
      <c r="DD169">
        <f>1.83</f>
        <v>1.83</v>
      </c>
      <c r="DE169">
        <f>1.823</f>
        <v>1.823</v>
      </c>
      <c r="DF169">
        <f>1.823</f>
        <v>1.823</v>
      </c>
      <c r="DG169">
        <f>1.82</f>
        <v>1.82</v>
      </c>
      <c r="DH169" t="str">
        <f>""</f>
        <v/>
      </c>
      <c r="DI169">
        <f>1.84</f>
        <v>1.84</v>
      </c>
      <c r="DJ169" t="str">
        <f>""</f>
        <v/>
      </c>
      <c r="DK169">
        <f>1.86</f>
        <v>1.86</v>
      </c>
      <c r="DL169" t="str">
        <f>""</f>
        <v/>
      </c>
      <c r="DM169" t="str">
        <f>""</f>
        <v/>
      </c>
      <c r="DN169" t="str">
        <f>""</f>
        <v/>
      </c>
      <c r="DO169" t="str">
        <f>""</f>
        <v/>
      </c>
      <c r="DP169" t="str">
        <f>""</f>
        <v/>
      </c>
      <c r="DQ169" t="str">
        <f>""</f>
        <v/>
      </c>
      <c r="DR169" t="str">
        <f>""</f>
        <v/>
      </c>
      <c r="DS169" t="str">
        <f>""</f>
        <v/>
      </c>
      <c r="DT169" t="str">
        <f>""</f>
        <v/>
      </c>
      <c r="DU169" t="str">
        <f>""</f>
        <v/>
      </c>
      <c r="DV169" t="str">
        <f>""</f>
        <v/>
      </c>
      <c r="DW169" t="str">
        <f>""</f>
        <v/>
      </c>
      <c r="DX169" t="str">
        <f>""</f>
        <v/>
      </c>
      <c r="DY169" t="str">
        <f>""</f>
        <v/>
      </c>
      <c r="DZ169" t="str">
        <f>""</f>
        <v/>
      </c>
      <c r="EA169" t="str">
        <f>""</f>
        <v/>
      </c>
      <c r="EB169" t="str">
        <f>""</f>
        <v/>
      </c>
      <c r="EC169" t="str">
        <f>""</f>
        <v/>
      </c>
      <c r="ED169" t="str">
        <f>""</f>
        <v/>
      </c>
      <c r="EE169" t="str">
        <f>""</f>
        <v/>
      </c>
      <c r="EF169" t="str">
        <f>""</f>
        <v/>
      </c>
      <c r="EG169" t="str">
        <f>""</f>
        <v/>
      </c>
      <c r="EH169" t="str">
        <f>""</f>
        <v/>
      </c>
      <c r="EI169" t="str">
        <f>""</f>
        <v/>
      </c>
      <c r="EJ169" t="str">
        <f>""</f>
        <v/>
      </c>
      <c r="EK169" t="str">
        <f>""</f>
        <v/>
      </c>
      <c r="EL169" t="str">
        <f>""</f>
        <v/>
      </c>
      <c r="EM169" t="str">
        <f>""</f>
        <v/>
      </c>
      <c r="EN169" t="str">
        <f>""</f>
        <v/>
      </c>
      <c r="EO169" t="str">
        <f>""</f>
        <v/>
      </c>
      <c r="EP169" t="str">
        <f>""</f>
        <v/>
      </c>
      <c r="EQ169" t="str">
        <f>""</f>
        <v/>
      </c>
      <c r="ER169" t="str">
        <f>""</f>
        <v/>
      </c>
      <c r="ES169" t="str">
        <f>""</f>
        <v/>
      </c>
      <c r="ET169" t="str">
        <f>""</f>
        <v/>
      </c>
      <c r="EU169" t="str">
        <f>""</f>
        <v/>
      </c>
      <c r="EV169" t="str">
        <f>""</f>
        <v/>
      </c>
      <c r="EW169" t="str">
        <f>""</f>
        <v/>
      </c>
      <c r="EX169" t="str">
        <f>""</f>
        <v/>
      </c>
      <c r="EY169" t="str">
        <f>""</f>
        <v/>
      </c>
      <c r="EZ169" t="str">
        <f>""</f>
        <v/>
      </c>
      <c r="FA169" t="str">
        <f>""</f>
        <v/>
      </c>
      <c r="FB169" t="str">
        <f>""</f>
        <v/>
      </c>
      <c r="FC169" t="str">
        <f>""</f>
        <v/>
      </c>
      <c r="FD169" t="str">
        <f>""</f>
        <v/>
      </c>
      <c r="FE169" t="str">
        <f>""</f>
        <v/>
      </c>
      <c r="FF169" t="str">
        <f>""</f>
        <v/>
      </c>
      <c r="FG169" t="str">
        <f>""</f>
        <v/>
      </c>
      <c r="FH169" t="str">
        <f>""</f>
        <v/>
      </c>
      <c r="FI169" t="str">
        <f>""</f>
        <v/>
      </c>
      <c r="FJ169" t="str">
        <f>""</f>
        <v/>
      </c>
      <c r="FK169" t="str">
        <f>""</f>
        <v/>
      </c>
      <c r="FL169" t="str">
        <f>""</f>
        <v/>
      </c>
      <c r="FM169" t="str">
        <f>""</f>
        <v/>
      </c>
      <c r="FN169" t="str">
        <f>""</f>
        <v/>
      </c>
      <c r="FO169" t="str">
        <f>""</f>
        <v/>
      </c>
      <c r="FP169" t="str">
        <f>""</f>
        <v/>
      </c>
      <c r="FQ169" t="str">
        <f>""</f>
        <v/>
      </c>
    </row>
    <row r="170" spans="1:173">
      <c r="A170" t="str">
        <f>"FFO支付"</f>
        <v>FFO支付</v>
      </c>
      <c r="B170" t="str">
        <f>"BRFREITV Index"</f>
        <v>BRFREITV Index</v>
      </c>
      <c r="E170" t="str">
        <f>"Median"</f>
        <v>Median</v>
      </c>
      <c r="F170" t="str">
        <f ca="1">IF(ISERROR(IF(MEDIAN($F$171:$F$177) = 0, "", MEDIAN($F$171:$F$177))), "", (IF(MEDIAN($F$171:$F$177) = 0, "", MEDIAN($F$171:$F$177))))</f>
        <v/>
      </c>
      <c r="G170" t="str">
        <f ca="1">IF(ISERROR(IF(MEDIAN($G$171:$G$177) = 0, "", MEDIAN($G$171:$G$177))), "", (IF(MEDIAN($G$171:$G$177) = 0, "", MEDIAN($G$171:$G$177))))</f>
        <v/>
      </c>
      <c r="H170" t="str">
        <f ca="1">IF(ISERROR(IF(MEDIAN($H$171:$H$177) = 0, "", MEDIAN($H$171:$H$177))), "", (IF(MEDIAN($H$171:$H$177) = 0, "", MEDIAN($H$171:$H$177))))</f>
        <v/>
      </c>
      <c r="I170">
        <f ca="1">IF(ISERROR(IF(MEDIAN($I$171:$I$177) = 0, "", MEDIAN($I$171:$I$177))), "", (IF(MEDIAN($I$171:$I$177) = 0, "", MEDIAN($I$171:$I$177))))</f>
        <v>59.13287485</v>
      </c>
      <c r="J170" t="str">
        <f ca="1">IF(ISERROR(IF(MEDIAN($J$171:$J$177) = 0, "", MEDIAN($J$171:$J$177))), "", (IF(MEDIAN($J$171:$J$177) = 0, "", MEDIAN($J$171:$J$177))))</f>
        <v/>
      </c>
      <c r="K170" t="str">
        <f ca="1">IF(ISERROR(IF(MEDIAN($K$171:$K$177) = 0, "", MEDIAN($K$171:$K$177))), "", (IF(MEDIAN($K$171:$K$177) = 0, "", MEDIAN($K$171:$K$177))))</f>
        <v/>
      </c>
      <c r="L170">
        <f ca="1">IF(ISERROR(IF(MEDIAN($L$171:$L$177) = 0, "", MEDIAN($L$171:$L$177))), "", (IF(MEDIAN($L$171:$L$177) = 0, "", MEDIAN($L$171:$L$177))))</f>
        <v>59.931092329999998</v>
      </c>
      <c r="M170" t="str">
        <f ca="1">IF(ISERROR(IF(MEDIAN($M$171:$M$177) = 0, "", MEDIAN($M$171:$M$177))), "", (IF(MEDIAN($M$171:$M$177) = 0, "", MEDIAN($M$171:$M$177))))</f>
        <v/>
      </c>
      <c r="N170" t="str">
        <f ca="1">IF(ISERROR(IF(MEDIAN($N$171:$N$177) = 0, "", MEDIAN($N$171:$N$177))), "", (IF(MEDIAN($N$171:$N$177) = 0, "", MEDIAN($N$171:$N$177))))</f>
        <v/>
      </c>
      <c r="O170">
        <f ca="1">IF(ISERROR(IF(MEDIAN($O$171:$O$177) = 0, "", MEDIAN($O$171:$O$177))), "", (IF(MEDIAN($O$171:$O$177) = 0, "", MEDIAN($O$171:$O$177))))</f>
        <v>61.895842819999999</v>
      </c>
      <c r="P170" t="str">
        <f ca="1">IF(ISERROR(IF(MEDIAN($P$171:$P$177) = 0, "", MEDIAN($P$171:$P$177))), "", (IF(MEDIAN($P$171:$P$177) = 0, "", MEDIAN($P$171:$P$177))))</f>
        <v/>
      </c>
      <c r="Q170" t="str">
        <f ca="1">IF(ISERROR(IF(MEDIAN($Q$171:$Q$177) = 0, "", MEDIAN($Q$171:$Q$177))), "", (IF(MEDIAN($Q$171:$Q$177) = 0, "", MEDIAN($Q$171:$Q$177))))</f>
        <v/>
      </c>
      <c r="R170">
        <f ca="1">IF(ISERROR(IF(MEDIAN($R$171:$R$177) = 0, "", MEDIAN($R$171:$R$177))), "", (IF(MEDIAN($R$171:$R$177) = 0, "", MEDIAN($R$171:$R$177))))</f>
        <v>61.764485000000001</v>
      </c>
      <c r="S170" t="str">
        <f ca="1">IF(ISERROR(IF(MEDIAN($S$171:$S$177) = 0, "", MEDIAN($S$171:$S$177))), "", (IF(MEDIAN($S$171:$S$177) = 0, "", MEDIAN($S$171:$S$177))))</f>
        <v/>
      </c>
      <c r="T170" t="str">
        <f ca="1">IF(ISERROR(IF(MEDIAN($T$171:$T$177) = 0, "", MEDIAN($T$171:$T$177))), "", (IF(MEDIAN($T$171:$T$177) = 0, "", MEDIAN($T$171:$T$177))))</f>
        <v/>
      </c>
      <c r="U170">
        <f ca="1">IF(ISERROR(IF(MEDIAN($U$171:$U$177) = 0, "", MEDIAN($U$171:$U$177))), "", (IF(MEDIAN($U$171:$U$177) = 0, "", MEDIAN($U$171:$U$177))))</f>
        <v>60.282054729999999</v>
      </c>
      <c r="V170" t="str">
        <f ca="1">IF(ISERROR(IF(MEDIAN($V$171:$V$177) = 0, "", MEDIAN($V$171:$V$177))), "", (IF(MEDIAN($V$171:$V$177) = 0, "", MEDIAN($V$171:$V$177))))</f>
        <v/>
      </c>
      <c r="W170" t="str">
        <f ca="1">IF(ISERROR(IF(MEDIAN($W$171:$W$177) = 0, "", MEDIAN($W$171:$W$177))), "", (IF(MEDIAN($W$171:$W$177) = 0, "", MEDIAN($W$171:$W$177))))</f>
        <v/>
      </c>
      <c r="X170">
        <f ca="1">IF(ISERROR(IF(MEDIAN($X$171:$X$177) = 0, "", MEDIAN($X$171:$X$177))), "", (IF(MEDIAN($X$171:$X$177) = 0, "", MEDIAN($X$171:$X$177))))</f>
        <v>60.86964794</v>
      </c>
      <c r="Y170" t="str">
        <f ca="1">IF(ISERROR(IF(MEDIAN($Y$171:$Y$177) = 0, "", MEDIAN($Y$171:$Y$177))), "", (IF(MEDIAN($Y$171:$Y$177) = 0, "", MEDIAN($Y$171:$Y$177))))</f>
        <v/>
      </c>
      <c r="Z170" t="str">
        <f ca="1">IF(ISERROR(IF(MEDIAN($Z$171:$Z$177) = 0, "", MEDIAN($Z$171:$Z$177))), "", (IF(MEDIAN($Z$171:$Z$177) = 0, "", MEDIAN($Z$171:$Z$177))))</f>
        <v/>
      </c>
      <c r="AA170">
        <f ca="1">IF(ISERROR(IF(MEDIAN($AA$171:$AA$177) = 0, "", MEDIAN($AA$171:$AA$177))), "", (IF(MEDIAN($AA$171:$AA$177) = 0, "", MEDIAN($AA$171:$AA$177))))</f>
        <v>55.69871989</v>
      </c>
      <c r="AB170" t="str">
        <f ca="1">IF(ISERROR(IF(MEDIAN($AB$171:$AB$177) = 0, "", MEDIAN($AB$171:$AB$177))), "", (IF(MEDIAN($AB$171:$AB$177) = 0, "", MEDIAN($AB$171:$AB$177))))</f>
        <v/>
      </c>
      <c r="AC170" t="str">
        <f ca="1">IF(ISERROR(IF(MEDIAN($AC$171:$AC$177) = 0, "", MEDIAN($AC$171:$AC$177))), "", (IF(MEDIAN($AC$171:$AC$177) = 0, "", MEDIAN($AC$171:$AC$177))))</f>
        <v/>
      </c>
      <c r="AD170">
        <f ca="1">IF(ISERROR(IF(MEDIAN($AD$171:$AD$177) = 0, "", MEDIAN($AD$171:$AD$177))), "", (IF(MEDIAN($AD$171:$AD$177) = 0, "", MEDIAN($AD$171:$AD$177))))</f>
        <v>60.855508129999997</v>
      </c>
      <c r="AE170" t="str">
        <f ca="1">IF(ISERROR(IF(MEDIAN($AE$171:$AE$177) = 0, "", MEDIAN($AE$171:$AE$177))), "", (IF(MEDIAN($AE$171:$AE$177) = 0, "", MEDIAN($AE$171:$AE$177))))</f>
        <v/>
      </c>
      <c r="AF170" t="str">
        <f ca="1">IF(ISERROR(IF(MEDIAN($AF$171:$AF$177) = 0, "", MEDIAN($AF$171:$AF$177))), "", (IF(MEDIAN($AF$171:$AF$177) = 0, "", MEDIAN($AF$171:$AF$177))))</f>
        <v/>
      </c>
      <c r="AG170">
        <f ca="1">IF(ISERROR(IF(MEDIAN($AG$171:$AG$177) = 0, "", MEDIAN($AG$171:$AG$177))), "", (IF(MEDIAN($AG$171:$AG$177) = 0, "", MEDIAN($AG$171:$AG$177))))</f>
        <v>56.964191200000002</v>
      </c>
      <c r="AH170" t="str">
        <f ca="1">IF(ISERROR(IF(MEDIAN($AH$171:$AH$177) = 0, "", MEDIAN($AH$171:$AH$177))), "", (IF(MEDIAN($AH$171:$AH$177) = 0, "", MEDIAN($AH$171:$AH$177))))</f>
        <v/>
      </c>
      <c r="AI170" t="str">
        <f ca="1">IF(ISERROR(IF(MEDIAN($AI$171:$AI$177) = 0, "", MEDIAN($AI$171:$AI$177))), "", (IF(MEDIAN($AI$171:$AI$177) = 0, "", MEDIAN($AI$171:$AI$177))))</f>
        <v/>
      </c>
      <c r="AJ170">
        <f ca="1">IF(ISERROR(IF(MEDIAN($AJ$171:$AJ$177) = 0, "", MEDIAN($AJ$171:$AJ$177))), "", (IF(MEDIAN($AJ$171:$AJ$177) = 0, "", MEDIAN($AJ$171:$AJ$177))))</f>
        <v>59.815230100000001</v>
      </c>
      <c r="AK170" t="str">
        <f ca="1">IF(ISERROR(IF(MEDIAN($AK$171:$AK$177) = 0, "", MEDIAN($AK$171:$AK$177))), "", (IF(MEDIAN($AK$171:$AK$177) = 0, "", MEDIAN($AK$171:$AK$177))))</f>
        <v/>
      </c>
      <c r="AL170" t="str">
        <f ca="1">IF(ISERROR(IF(MEDIAN($AL$171:$AL$177) = 0, "", MEDIAN($AL$171:$AL$177))), "", (IF(MEDIAN($AL$171:$AL$177) = 0, "", MEDIAN($AL$171:$AL$177))))</f>
        <v/>
      </c>
      <c r="AM170">
        <f ca="1">IF(ISERROR(IF(MEDIAN($AM$171:$AM$177) = 0, "", MEDIAN($AM$171:$AM$177))), "", (IF(MEDIAN($AM$171:$AM$177) = 0, "", MEDIAN($AM$171:$AM$177))))</f>
        <v>58.304021990000003</v>
      </c>
      <c r="AN170" t="str">
        <f ca="1">IF(ISERROR(IF(MEDIAN($AN$171:$AN$177) = 0, "", MEDIAN($AN$171:$AN$177))), "", (IF(MEDIAN($AN$171:$AN$177) = 0, "", MEDIAN($AN$171:$AN$177))))</f>
        <v/>
      </c>
      <c r="AO170" t="str">
        <f ca="1">IF(ISERROR(IF(MEDIAN($AO$171:$AO$177) = 0, "", MEDIAN($AO$171:$AO$177))), "", (IF(MEDIAN($AO$171:$AO$177) = 0, "", MEDIAN($AO$171:$AO$177))))</f>
        <v/>
      </c>
      <c r="AP170">
        <f ca="1">IF(ISERROR(IF(MEDIAN($AP$171:$AP$177) = 0, "", MEDIAN($AP$171:$AP$177))), "", (IF(MEDIAN($AP$171:$AP$177) = 0, "", MEDIAN($AP$171:$AP$177))))</f>
        <v>62.28367437</v>
      </c>
      <c r="AQ170" t="str">
        <f ca="1">IF(ISERROR(IF(MEDIAN($AQ$171:$AQ$177) = 0, "", MEDIAN($AQ$171:$AQ$177))), "", (IF(MEDIAN($AQ$171:$AQ$177) = 0, "", MEDIAN($AQ$171:$AQ$177))))</f>
        <v/>
      </c>
      <c r="AR170" t="str">
        <f ca="1">IF(ISERROR(IF(MEDIAN($AR$171:$AR$177) = 0, "", MEDIAN($AR$171:$AR$177))), "", (IF(MEDIAN($AR$171:$AR$177) = 0, "", MEDIAN($AR$171:$AR$177))))</f>
        <v/>
      </c>
      <c r="AS170">
        <f ca="1">IF(ISERROR(IF(MEDIAN($AS$171:$AS$177) = 0, "", MEDIAN($AS$171:$AS$177))), "", (IF(MEDIAN($AS$171:$AS$177) = 0, "", MEDIAN($AS$171:$AS$177))))</f>
        <v>55.069655089999998</v>
      </c>
      <c r="AT170" t="str">
        <f ca="1">IF(ISERROR(IF(MEDIAN($AT$171:$AT$177) = 0, "", MEDIAN($AT$171:$AT$177))), "", (IF(MEDIAN($AT$171:$AT$177) = 0, "", MEDIAN($AT$171:$AT$177))))</f>
        <v/>
      </c>
      <c r="AU170" t="str">
        <f ca="1">IF(ISERROR(IF(MEDIAN($AU$171:$AU$177) = 0, "", MEDIAN($AU$171:$AU$177))), "", (IF(MEDIAN($AU$171:$AU$177) = 0, "", MEDIAN($AU$171:$AU$177))))</f>
        <v/>
      </c>
      <c r="AV170">
        <f ca="1">IF(ISERROR(IF(MEDIAN($AV$171:$AV$177) = 0, "", MEDIAN($AV$171:$AV$177))), "", (IF(MEDIAN($AV$171:$AV$177) = 0, "", MEDIAN($AV$171:$AV$177))))</f>
        <v>56.595223660000002</v>
      </c>
      <c r="AW170" t="str">
        <f ca="1">IF(ISERROR(IF(MEDIAN($AW$171:$AW$177) = 0, "", MEDIAN($AW$171:$AW$177))), "", (IF(MEDIAN($AW$171:$AW$177) = 0, "", MEDIAN($AW$171:$AW$177))))</f>
        <v/>
      </c>
      <c r="AX170" t="str">
        <f ca="1">IF(ISERROR(IF(MEDIAN($AX$171:$AX$177) = 0, "", MEDIAN($AX$171:$AX$177))), "", (IF(MEDIAN($AX$171:$AX$177) = 0, "", MEDIAN($AX$171:$AX$177))))</f>
        <v/>
      </c>
      <c r="AY170">
        <f ca="1">IF(ISERROR(IF(MEDIAN($AY$171:$AY$177) = 0, "", MEDIAN($AY$171:$AY$177))), "", (IF(MEDIAN($AY$171:$AY$177) = 0, "", MEDIAN($AY$171:$AY$177))))</f>
        <v>61.805946374999998</v>
      </c>
      <c r="AZ170" t="str">
        <f ca="1">IF(ISERROR(IF(MEDIAN($AZ$171:$AZ$177) = 0, "", MEDIAN($AZ$171:$AZ$177))), "", (IF(MEDIAN($AZ$171:$AZ$177) = 0, "", MEDIAN($AZ$171:$AZ$177))))</f>
        <v/>
      </c>
      <c r="BA170" t="str">
        <f ca="1">IF(ISERROR(IF(MEDIAN($BA$171:$BA$177) = 0, "", MEDIAN($BA$171:$BA$177))), "", (IF(MEDIAN($BA$171:$BA$177) = 0, "", MEDIAN($BA$171:$BA$177))))</f>
        <v/>
      </c>
      <c r="BB170">
        <f ca="1">IF(ISERROR(IF(MEDIAN($BB$171:$BB$177) = 0, "", MEDIAN($BB$171:$BB$177))), "", (IF(MEDIAN($BB$171:$BB$177) = 0, "", MEDIAN($BB$171:$BB$177))))</f>
        <v>61.861145020000002</v>
      </c>
      <c r="BC170" t="str">
        <f ca="1">IF(ISERROR(IF(MEDIAN($BC$171:$BC$177) = 0, "", MEDIAN($BC$171:$BC$177))), "", (IF(MEDIAN($BC$171:$BC$177) = 0, "", MEDIAN($BC$171:$BC$177))))</f>
        <v/>
      </c>
      <c r="BD170" t="str">
        <f ca="1">IF(ISERROR(IF(MEDIAN($BD$171:$BD$177) = 0, "", MEDIAN($BD$171:$BD$177))), "", (IF(MEDIAN($BD$171:$BD$177) = 0, "", MEDIAN($BD$171:$BD$177))))</f>
        <v/>
      </c>
      <c r="BE170">
        <f ca="1">IF(ISERROR(IF(MEDIAN($BE$171:$BE$177) = 0, "", MEDIAN($BE$171:$BE$177))), "", (IF(MEDIAN($BE$171:$BE$177) = 0, "", MEDIAN($BE$171:$BE$177))))</f>
        <v>63.563535639999998</v>
      </c>
      <c r="BF170" t="str">
        <f ca="1">IF(ISERROR(IF(MEDIAN($BF$171:$BF$177) = 0, "", MEDIAN($BF$171:$BF$177))), "", (IF(MEDIAN($BF$171:$BF$177) = 0, "", MEDIAN($BF$171:$BF$177))))</f>
        <v/>
      </c>
      <c r="BG170" t="str">
        <f ca="1">IF(ISERROR(IF(MEDIAN($BG$171:$BG$177) = 0, "", MEDIAN($BG$171:$BG$177))), "", (IF(MEDIAN($BG$171:$BG$177) = 0, "", MEDIAN($BG$171:$BG$177))))</f>
        <v/>
      </c>
      <c r="BH170">
        <f ca="1">IF(ISERROR(IF(MEDIAN($BH$171:$BH$177) = 0, "", MEDIAN($BH$171:$BH$177))), "", (IF(MEDIAN($BH$171:$BH$177) = 0, "", MEDIAN($BH$171:$BH$177))))</f>
        <v>59.294114120000003</v>
      </c>
      <c r="BI170" t="str">
        <f ca="1">IF(ISERROR(IF(MEDIAN($BI$171:$BI$177) = 0, "", MEDIAN($BI$171:$BI$177))), "", (IF(MEDIAN($BI$171:$BI$177) = 0, "", MEDIAN($BI$171:$BI$177))))</f>
        <v/>
      </c>
      <c r="BJ170" t="str">
        <f ca="1">IF(ISERROR(IF(MEDIAN($BJ$171:$BJ$177) = 0, "", MEDIAN($BJ$171:$BJ$177))), "", (IF(MEDIAN($BJ$171:$BJ$177) = 0, "", MEDIAN($BJ$171:$BJ$177))))</f>
        <v/>
      </c>
      <c r="BK170">
        <f ca="1">IF(ISERROR(IF(MEDIAN($BK$171:$BK$177) = 0, "", MEDIAN($BK$171:$BK$177))), "", (IF(MEDIAN($BK$171:$BK$177) = 0, "", MEDIAN($BK$171:$BK$177))))</f>
        <v>59.681768069999997</v>
      </c>
      <c r="BL170" t="str">
        <f ca="1">IF(ISERROR(IF(MEDIAN($BL$171:$BL$177) = 0, "", MEDIAN($BL$171:$BL$177))), "", (IF(MEDIAN($BL$171:$BL$177) = 0, "", MEDIAN($BL$171:$BL$177))))</f>
        <v/>
      </c>
      <c r="BM170" t="str">
        <f ca="1">IF(ISERROR(IF(MEDIAN($BM$171:$BM$177) = 0, "", MEDIAN($BM$171:$BM$177))), "", (IF(MEDIAN($BM$171:$BM$177) = 0, "", MEDIAN($BM$171:$BM$177))))</f>
        <v/>
      </c>
      <c r="BN170">
        <f ca="1">IF(ISERROR(IF(MEDIAN($BN$171:$BN$177) = 0, "", MEDIAN($BN$171:$BN$177))), "", (IF(MEDIAN($BN$171:$BN$177) = 0, "", MEDIAN($BN$171:$BN$177))))</f>
        <v>60.101081909999998</v>
      </c>
      <c r="BO170" t="str">
        <f ca="1">IF(ISERROR(IF(MEDIAN($BO$171:$BO$177) = 0, "", MEDIAN($BO$171:$BO$177))), "", (IF(MEDIAN($BO$171:$BO$177) = 0, "", MEDIAN($BO$171:$BO$177))))</f>
        <v/>
      </c>
      <c r="BP170" t="str">
        <f ca="1">IF(ISERROR(IF(MEDIAN($BP$171:$BP$177) = 0, "", MEDIAN($BP$171:$BP$177))), "", (IF(MEDIAN($BP$171:$BP$177) = 0, "", MEDIAN($BP$171:$BP$177))))</f>
        <v/>
      </c>
      <c r="BQ170">
        <f ca="1">IF(ISERROR(IF(MEDIAN($BQ$171:$BQ$177) = 0, "", MEDIAN($BQ$171:$BQ$177))), "", (IF(MEDIAN($BQ$171:$BQ$177) = 0, "", MEDIAN($BQ$171:$BQ$177))))</f>
        <v>60.291571609999998</v>
      </c>
      <c r="BR170" t="str">
        <f ca="1">IF(ISERROR(IF(MEDIAN($BR$171:$BR$177) = 0, "", MEDIAN($BR$171:$BR$177))), "", (IF(MEDIAN($BR$171:$BR$177) = 0, "", MEDIAN($BR$171:$BR$177))))</f>
        <v/>
      </c>
      <c r="BS170" t="str">
        <f ca="1">IF(ISERROR(IF(MEDIAN($BS$171:$BS$177) = 0, "", MEDIAN($BS$171:$BS$177))), "", (IF(MEDIAN($BS$171:$BS$177) = 0, "", MEDIAN($BS$171:$BS$177))))</f>
        <v/>
      </c>
      <c r="BT170">
        <f ca="1">IF(ISERROR(IF(MEDIAN($BT$171:$BT$177) = 0, "", MEDIAN($BT$171:$BT$177))), "", (IF(MEDIAN($BT$171:$BT$177) = 0, "", MEDIAN($BT$171:$BT$177))))</f>
        <v>58.399230330000002</v>
      </c>
      <c r="BU170" t="str">
        <f ca="1">IF(ISERROR(IF(MEDIAN($BU$171:$BU$177) = 0, "", MEDIAN($BU$171:$BU$177))), "", (IF(MEDIAN($BU$171:$BU$177) = 0, "", MEDIAN($BU$171:$BU$177))))</f>
        <v/>
      </c>
      <c r="BV170" t="str">
        <f ca="1">IF(ISERROR(IF(MEDIAN($BV$171:$BV$177) = 0, "", MEDIAN($BV$171:$BV$177))), "", (IF(MEDIAN($BV$171:$BV$177) = 0, "", MEDIAN($BV$171:$BV$177))))</f>
        <v/>
      </c>
      <c r="BW170">
        <f ca="1">IF(ISERROR(IF(MEDIAN($BW$171:$BW$177) = 0, "", MEDIAN($BW$171:$BW$177))), "", (IF(MEDIAN($BW$171:$BW$177) = 0, "", MEDIAN($BW$171:$BW$177))))</f>
        <v>60.757010440000002</v>
      </c>
      <c r="BX170" t="str">
        <f ca="1">IF(ISERROR(IF(MEDIAN($BX$171:$BX$177) = 0, "", MEDIAN($BX$171:$BX$177))), "", (IF(MEDIAN($BX$171:$BX$177) = 0, "", MEDIAN($BX$171:$BX$177))))</f>
        <v/>
      </c>
      <c r="BY170" t="str">
        <f ca="1">IF(ISERROR(IF(MEDIAN($BY$171:$BY$177) = 0, "", MEDIAN($BY$171:$BY$177))), "", (IF(MEDIAN($BY$171:$BY$177) = 0, "", MEDIAN($BY$171:$BY$177))))</f>
        <v/>
      </c>
      <c r="BZ170">
        <f ca="1">IF(ISERROR(IF(MEDIAN($BZ$171:$BZ$177) = 0, "", MEDIAN($BZ$171:$BZ$177))), "", (IF(MEDIAN($BZ$171:$BZ$177) = 0, "", MEDIAN($BZ$171:$BZ$177))))</f>
        <v>58.34530651</v>
      </c>
      <c r="CA170" t="str">
        <f ca="1">IF(ISERROR(IF(MEDIAN($CA$171:$CA$177) = 0, "", MEDIAN($CA$171:$CA$177))), "", (IF(MEDIAN($CA$171:$CA$177) = 0, "", MEDIAN($CA$171:$CA$177))))</f>
        <v/>
      </c>
      <c r="CB170" t="str">
        <f ca="1">IF(ISERROR(IF(MEDIAN($CB$171:$CB$177) = 0, "", MEDIAN($CB$171:$CB$177))), "", (IF(MEDIAN($CB$171:$CB$177) = 0, "", MEDIAN($CB$171:$CB$177))))</f>
        <v/>
      </c>
      <c r="CC170">
        <f ca="1">IF(ISERROR(IF(MEDIAN($CC$171:$CC$177) = 0, "", MEDIAN($CC$171:$CC$177))), "", (IF(MEDIAN($CC$171:$CC$177) = 0, "", MEDIAN($CC$171:$CC$177))))</f>
        <v>58.399771800000003</v>
      </c>
      <c r="CD170" t="str">
        <f ca="1">IF(ISERROR(IF(MEDIAN($CD$171:$CD$177) = 0, "", MEDIAN($CD$171:$CD$177))), "", (IF(MEDIAN($CD$171:$CD$177) = 0, "", MEDIAN($CD$171:$CD$177))))</f>
        <v/>
      </c>
      <c r="CE170" t="str">
        <f ca="1">IF(ISERROR(IF(MEDIAN($CE$171:$CE$177) = 0, "", MEDIAN($CE$171:$CE$177))), "", (IF(MEDIAN($CE$171:$CE$177) = 0, "", MEDIAN($CE$171:$CE$177))))</f>
        <v/>
      </c>
      <c r="CF170">
        <f ca="1">IF(ISERROR(IF(MEDIAN($CF$171:$CF$177) = 0, "", MEDIAN($CF$171:$CF$177))), "", (IF(MEDIAN($CF$171:$CF$177) = 0, "", MEDIAN($CF$171:$CF$177))))</f>
        <v>59.593953829999997</v>
      </c>
      <c r="CG170" t="str">
        <f ca="1">IF(ISERROR(IF(MEDIAN($CG$171:$CG$177) = 0, "", MEDIAN($CG$171:$CG$177))), "", (IF(MEDIAN($CG$171:$CG$177) = 0, "", MEDIAN($CG$171:$CG$177))))</f>
        <v/>
      </c>
      <c r="CH170" t="str">
        <f ca="1">IF(ISERROR(IF(MEDIAN($CH$171:$CH$177) = 0, "", MEDIAN($CH$171:$CH$177))), "", (IF(MEDIAN($CH$171:$CH$177) = 0, "", MEDIAN($CH$171:$CH$177))))</f>
        <v/>
      </c>
      <c r="CI170">
        <f ca="1">IF(ISERROR(IF(MEDIAN($CI$171:$CI$177) = 0, "", MEDIAN($CI$171:$CI$177))), "", (IF(MEDIAN($CI$171:$CI$177) = 0, "", MEDIAN($CI$171:$CI$177))))</f>
        <v>63.896586040000003</v>
      </c>
      <c r="CJ170" t="str">
        <f ca="1">IF(ISERROR(IF(MEDIAN($CJ$171:$CJ$177) = 0, "", MEDIAN($CJ$171:$CJ$177))), "", (IF(MEDIAN($CJ$171:$CJ$177) = 0, "", MEDIAN($CJ$171:$CJ$177))))</f>
        <v/>
      </c>
      <c r="CK170" t="str">
        <f ca="1">IF(ISERROR(IF(MEDIAN($CK$171:$CK$177) = 0, "", MEDIAN($CK$171:$CK$177))), "", (IF(MEDIAN($CK$171:$CK$177) = 0, "", MEDIAN($CK$171:$CK$177))))</f>
        <v/>
      </c>
      <c r="CL170" t="str">
        <f>""</f>
        <v/>
      </c>
      <c r="CM170" t="str">
        <f>""</f>
        <v/>
      </c>
      <c r="CN170" t="str">
        <f>""</f>
        <v/>
      </c>
      <c r="CO170">
        <f>59.13287485</f>
        <v>59.13287485</v>
      </c>
      <c r="CP170" t="str">
        <f>""</f>
        <v/>
      </c>
      <c r="CQ170" t="str">
        <f>""</f>
        <v/>
      </c>
      <c r="CR170">
        <f>59.93109233</f>
        <v>59.931092329999998</v>
      </c>
      <c r="CS170" t="str">
        <f>""</f>
        <v/>
      </c>
      <c r="CT170" t="str">
        <f>""</f>
        <v/>
      </c>
      <c r="CU170">
        <f>61.89584282</f>
        <v>61.895842819999999</v>
      </c>
      <c r="CV170" t="str">
        <f>""</f>
        <v/>
      </c>
      <c r="CW170" t="str">
        <f>""</f>
        <v/>
      </c>
      <c r="CX170">
        <f>61.764485</f>
        <v>61.764485000000001</v>
      </c>
      <c r="CY170" t="str">
        <f>""</f>
        <v/>
      </c>
      <c r="CZ170" t="str">
        <f>""</f>
        <v/>
      </c>
      <c r="DA170">
        <f>60.28205473</f>
        <v>60.282054729999999</v>
      </c>
      <c r="DB170" t="str">
        <f>""</f>
        <v/>
      </c>
      <c r="DC170" t="str">
        <f>""</f>
        <v/>
      </c>
      <c r="DD170">
        <f>60.86964794</f>
        <v>60.86964794</v>
      </c>
      <c r="DE170" t="str">
        <f>""</f>
        <v/>
      </c>
      <c r="DF170" t="str">
        <f>""</f>
        <v/>
      </c>
      <c r="DG170">
        <f>55.69871989</f>
        <v>55.69871989</v>
      </c>
      <c r="DH170" t="str">
        <f>""</f>
        <v/>
      </c>
      <c r="DI170" t="str">
        <f>""</f>
        <v/>
      </c>
      <c r="DJ170">
        <f>60.85550813</f>
        <v>60.855508129999997</v>
      </c>
      <c r="DK170" t="str">
        <f>""</f>
        <v/>
      </c>
      <c r="DL170" t="str">
        <f>""</f>
        <v/>
      </c>
      <c r="DM170">
        <f>56.9641912</f>
        <v>56.964191200000002</v>
      </c>
      <c r="DN170" t="str">
        <f>""</f>
        <v/>
      </c>
      <c r="DO170" t="str">
        <f>""</f>
        <v/>
      </c>
      <c r="DP170">
        <f>59.8152301</f>
        <v>59.815230100000001</v>
      </c>
      <c r="DQ170" t="str">
        <f>""</f>
        <v/>
      </c>
      <c r="DR170" t="str">
        <f>""</f>
        <v/>
      </c>
      <c r="DS170">
        <f>58.30402199</f>
        <v>58.304021990000003</v>
      </c>
      <c r="DT170" t="str">
        <f>""</f>
        <v/>
      </c>
      <c r="DU170" t="str">
        <f>""</f>
        <v/>
      </c>
      <c r="DV170">
        <f>62.28367437</f>
        <v>62.28367437</v>
      </c>
      <c r="DW170" t="str">
        <f>""</f>
        <v/>
      </c>
      <c r="DX170" t="str">
        <f>""</f>
        <v/>
      </c>
      <c r="DY170">
        <f>55.06965509</f>
        <v>55.069655089999998</v>
      </c>
      <c r="DZ170" t="str">
        <f>""</f>
        <v/>
      </c>
      <c r="EA170" t="str">
        <f>""</f>
        <v/>
      </c>
      <c r="EB170">
        <f>56.59522366</f>
        <v>56.595223660000002</v>
      </c>
      <c r="EC170" t="str">
        <f>""</f>
        <v/>
      </c>
      <c r="ED170" t="str">
        <f>""</f>
        <v/>
      </c>
      <c r="EE170">
        <f>61.80594637</f>
        <v>61.805946370000001</v>
      </c>
      <c r="EF170" t="str">
        <f>""</f>
        <v/>
      </c>
      <c r="EG170" t="str">
        <f>""</f>
        <v/>
      </c>
      <c r="EH170">
        <f>61.86114502</f>
        <v>61.861145020000002</v>
      </c>
      <c r="EI170" t="str">
        <f>""</f>
        <v/>
      </c>
      <c r="EJ170" t="str">
        <f>""</f>
        <v/>
      </c>
      <c r="EK170">
        <f>63.56353564</f>
        <v>63.563535639999998</v>
      </c>
      <c r="EL170" t="str">
        <f>""</f>
        <v/>
      </c>
      <c r="EM170" t="str">
        <f>""</f>
        <v/>
      </c>
      <c r="EN170">
        <f>59.29411412</f>
        <v>59.294114120000003</v>
      </c>
      <c r="EO170" t="str">
        <f>""</f>
        <v/>
      </c>
      <c r="EP170" t="str">
        <f>""</f>
        <v/>
      </c>
      <c r="EQ170">
        <f>59.68176807</f>
        <v>59.681768069999997</v>
      </c>
      <c r="ER170" t="str">
        <f>""</f>
        <v/>
      </c>
      <c r="ES170" t="str">
        <f>""</f>
        <v/>
      </c>
      <c r="ET170">
        <f>60.10108191</f>
        <v>60.101081909999998</v>
      </c>
      <c r="EU170" t="str">
        <f>""</f>
        <v/>
      </c>
      <c r="EV170" t="str">
        <f>""</f>
        <v/>
      </c>
      <c r="EW170">
        <f>60.29157161</f>
        <v>60.291571609999998</v>
      </c>
      <c r="EX170" t="str">
        <f>""</f>
        <v/>
      </c>
      <c r="EY170" t="str">
        <f>""</f>
        <v/>
      </c>
      <c r="EZ170">
        <f>58.39923033</f>
        <v>58.399230330000002</v>
      </c>
      <c r="FA170" t="str">
        <f>""</f>
        <v/>
      </c>
      <c r="FB170" t="str">
        <f>""</f>
        <v/>
      </c>
      <c r="FC170">
        <f>60.75701044</f>
        <v>60.757010440000002</v>
      </c>
      <c r="FD170" t="str">
        <f>""</f>
        <v/>
      </c>
      <c r="FE170" t="str">
        <f>""</f>
        <v/>
      </c>
      <c r="FF170">
        <f>58.34530651</f>
        <v>58.34530651</v>
      </c>
      <c r="FG170" t="str">
        <f>""</f>
        <v/>
      </c>
      <c r="FH170" t="str">
        <f>""</f>
        <v/>
      </c>
      <c r="FI170">
        <f>58.3997718</f>
        <v>58.399771800000003</v>
      </c>
      <c r="FJ170" t="str">
        <f>""</f>
        <v/>
      </c>
      <c r="FK170" t="str">
        <f>""</f>
        <v/>
      </c>
      <c r="FL170">
        <f>59.59395383</f>
        <v>59.593953829999997</v>
      </c>
      <c r="FM170" t="str">
        <f>""</f>
        <v/>
      </c>
      <c r="FN170" t="str">
        <f>""</f>
        <v/>
      </c>
      <c r="FO170">
        <f>63.89658604</f>
        <v>63.896586040000003</v>
      </c>
      <c r="FP170" t="str">
        <f>""</f>
        <v/>
      </c>
      <c r="FQ170" t="str">
        <f>""</f>
        <v/>
      </c>
    </row>
    <row r="171" spans="1:173">
      <c r="A171" t="str">
        <f>"    公寓投资与管理"</f>
        <v xml:space="preserve">    公寓投资与管理</v>
      </c>
      <c r="B171" t="str">
        <f>"AIV US Equity"</f>
        <v>AIV US Equity</v>
      </c>
      <c r="C171" t="str">
        <f t="shared" ref="C171:C177" si="54">"RR106"</f>
        <v>RR106</v>
      </c>
      <c r="D171" t="str">
        <f t="shared" ref="D171:D177" si="55">"FFO_PAYOUT_RATIO"</f>
        <v>FFO_PAYOUT_RATIO</v>
      </c>
      <c r="E171" t="str">
        <f t="shared" ref="E171:E177" si="56">"动态"</f>
        <v>动态</v>
      </c>
      <c r="F171" t="str">
        <f ca="1">IF(AND(ISNUMBER($F$378),$B$252=1),$F$378,HLOOKUP(INDIRECT(ADDRESS(2,COLUMN())),OFFSET($CL$2,0,0,ROW()-1,84),ROW()-1,FALSE))</f>
        <v/>
      </c>
      <c r="G171" t="str">
        <f ca="1">IF(AND(ISNUMBER($G$378),$B$252=1),$G$378,HLOOKUP(INDIRECT(ADDRESS(2,COLUMN())),OFFSET($CL$2,0,0,ROW()-1,84),ROW()-1,FALSE))</f>
        <v/>
      </c>
      <c r="H171" t="str">
        <f ca="1">IF(AND(ISNUMBER($H$378),$B$252=1),$H$378,HLOOKUP(INDIRECT(ADDRESS(2,COLUMN())),OFFSET($CL$2,0,0,ROW()-1,84),ROW()-1,FALSE))</f>
        <v/>
      </c>
      <c r="I171">
        <f ca="1">IF(AND(ISNUMBER($I$378),$B$252=1),$I$378,HLOOKUP(INDIRECT(ADDRESS(2,COLUMN())),OFFSET($CL$2,0,0,ROW()-1,84),ROW()-1,FALSE))</f>
        <v>56.649913480000002</v>
      </c>
      <c r="J171" t="str">
        <f ca="1">IF(AND(ISNUMBER($J$378),$B$252=1),$J$378,HLOOKUP(INDIRECT(ADDRESS(2,COLUMN())),OFFSET($CL$2,0,0,ROW()-1,84),ROW()-1,FALSE))</f>
        <v/>
      </c>
      <c r="K171" t="str">
        <f ca="1">IF(AND(ISNUMBER($K$378),$B$252=1),$K$378,HLOOKUP(INDIRECT(ADDRESS(2,COLUMN())),OFFSET($CL$2,0,0,ROW()-1,84),ROW()-1,FALSE))</f>
        <v/>
      </c>
      <c r="L171">
        <f ca="1">IF(AND(ISNUMBER($L$378),$B$252=1),$L$378,HLOOKUP(INDIRECT(ADDRESS(2,COLUMN())),OFFSET($CL$2,0,0,ROW()-1,84),ROW()-1,FALSE))</f>
        <v>57.177568000000001</v>
      </c>
      <c r="M171" t="str">
        <f ca="1">IF(AND(ISNUMBER($M$378),$B$252=1),$M$378,HLOOKUP(INDIRECT(ADDRESS(2,COLUMN())),OFFSET($CL$2,0,0,ROW()-1,84),ROW()-1,FALSE))</f>
        <v/>
      </c>
      <c r="N171" t="str">
        <f ca="1">IF(AND(ISNUMBER($N$378),$B$252=1),$N$378,HLOOKUP(INDIRECT(ADDRESS(2,COLUMN())),OFFSET($CL$2,0,0,ROW()-1,84),ROW()-1,FALSE))</f>
        <v/>
      </c>
      <c r="O171">
        <f ca="1">IF(AND(ISNUMBER($O$378),$B$252=1),$O$378,HLOOKUP(INDIRECT(ADDRESS(2,COLUMN())),OFFSET($CL$2,0,0,ROW()-1,84),ROW()-1,FALSE))</f>
        <v>59.021995660000002</v>
      </c>
      <c r="P171" t="str">
        <f ca="1">IF(AND(ISNUMBER($P$378),$B$252=1),$P$378,HLOOKUP(INDIRECT(ADDRESS(2,COLUMN())),OFFSET($CL$2,0,0,ROW()-1,84),ROW()-1,FALSE))</f>
        <v/>
      </c>
      <c r="Q171" t="str">
        <f ca="1">IF(AND(ISNUMBER($Q$378),$B$252=1),$Q$378,HLOOKUP(INDIRECT(ADDRESS(2,COLUMN())),OFFSET($CL$2,0,0,ROW()-1,84),ROW()-1,FALSE))</f>
        <v/>
      </c>
      <c r="R171">
        <f ca="1">IF(AND(ISNUMBER($R$378),$B$252=1),$R$378,HLOOKUP(INDIRECT(ADDRESS(2,COLUMN())),OFFSET($CL$2,0,0,ROW()-1,84),ROW()-1,FALSE))</f>
        <v>61.764485000000001</v>
      </c>
      <c r="S171" t="str">
        <f ca="1">IF(AND(ISNUMBER($S$378),$B$252=1),$S$378,HLOOKUP(INDIRECT(ADDRESS(2,COLUMN())),OFFSET($CL$2,0,0,ROW()-1,84),ROW()-1,FALSE))</f>
        <v/>
      </c>
      <c r="T171" t="str">
        <f ca="1">IF(AND(ISNUMBER($T$378),$B$252=1),$T$378,HLOOKUP(INDIRECT(ADDRESS(2,COLUMN())),OFFSET($CL$2,0,0,ROW()-1,84),ROW()-1,FALSE))</f>
        <v/>
      </c>
      <c r="U171">
        <f ca="1">IF(AND(ISNUMBER($U$378),$B$252=1),$U$378,HLOOKUP(INDIRECT(ADDRESS(2,COLUMN())),OFFSET($CL$2,0,0,ROW()-1,84),ROW()-1,FALSE))</f>
        <v>54.715394420000003</v>
      </c>
      <c r="V171" t="str">
        <f ca="1">IF(AND(ISNUMBER($V$378),$B$252=1),$V$378,HLOOKUP(INDIRECT(ADDRESS(2,COLUMN())),OFFSET($CL$2,0,0,ROW()-1,84),ROW()-1,FALSE))</f>
        <v/>
      </c>
      <c r="W171" t="str">
        <f ca="1">IF(AND(ISNUMBER($W$378),$B$252=1),$W$378,HLOOKUP(INDIRECT(ADDRESS(2,COLUMN())),OFFSET($CL$2,0,0,ROW()-1,84),ROW()-1,FALSE))</f>
        <v/>
      </c>
      <c r="X171">
        <f ca="1">IF(AND(ISNUMBER($X$378),$B$252=1),$X$378,HLOOKUP(INDIRECT(ADDRESS(2,COLUMN())),OFFSET($CL$2,0,0,ROW()-1,84),ROW()-1,FALSE))</f>
        <v>60.86964794</v>
      </c>
      <c r="Y171" t="str">
        <f ca="1">IF(AND(ISNUMBER($Y$378),$B$252=1),$Y$378,HLOOKUP(INDIRECT(ADDRESS(2,COLUMN())),OFFSET($CL$2,0,0,ROW()-1,84),ROW()-1,FALSE))</f>
        <v/>
      </c>
      <c r="Z171" t="str">
        <f ca="1">IF(AND(ISNUMBER($Z$378),$B$252=1),$Z$378,HLOOKUP(INDIRECT(ADDRESS(2,COLUMN())),OFFSET($CL$2,0,0,ROW()-1,84),ROW()-1,FALSE))</f>
        <v/>
      </c>
      <c r="AA171">
        <f ca="1">IF(AND(ISNUMBER($AA$378),$B$252=1),$AA$378,HLOOKUP(INDIRECT(ADDRESS(2,COLUMN())),OFFSET($CL$2,0,0,ROW()-1,84),ROW()-1,FALSE))</f>
        <v>55.69871989</v>
      </c>
      <c r="AB171" t="str">
        <f ca="1">IF(AND(ISNUMBER($AB$378),$B$252=1),$AB$378,HLOOKUP(INDIRECT(ADDRESS(2,COLUMN())),OFFSET($CL$2,0,0,ROW()-1,84),ROW()-1,FALSE))</f>
        <v/>
      </c>
      <c r="AC171" t="str">
        <f ca="1">IF(AND(ISNUMBER($AC$378),$B$252=1),$AC$378,HLOOKUP(INDIRECT(ADDRESS(2,COLUMN())),OFFSET($CL$2,0,0,ROW()-1,84),ROW()-1,FALSE))</f>
        <v/>
      </c>
      <c r="AD171">
        <f ca="1">IF(AND(ISNUMBER($AD$378),$B$252=1),$AD$378,HLOOKUP(INDIRECT(ADDRESS(2,COLUMN())),OFFSET($CL$2,0,0,ROW()-1,84),ROW()-1,FALSE))</f>
        <v>57.58468397</v>
      </c>
      <c r="AE171" t="str">
        <f ca="1">IF(AND(ISNUMBER($AE$378),$B$252=1),$AE$378,HLOOKUP(INDIRECT(ADDRESS(2,COLUMN())),OFFSET($CL$2,0,0,ROW()-1,84),ROW()-1,FALSE))</f>
        <v/>
      </c>
      <c r="AF171" t="str">
        <f ca="1">IF(AND(ISNUMBER($AF$378),$B$252=1),$AF$378,HLOOKUP(INDIRECT(ADDRESS(2,COLUMN())),OFFSET($CL$2,0,0,ROW()-1,84),ROW()-1,FALSE))</f>
        <v/>
      </c>
      <c r="AG171">
        <f ca="1">IF(AND(ISNUMBER($AG$378),$B$252=1),$AG$378,HLOOKUP(INDIRECT(ADDRESS(2,COLUMN())),OFFSET($CL$2,0,0,ROW()-1,84),ROW()-1,FALSE))</f>
        <v>51.339938199999999</v>
      </c>
      <c r="AH171" t="str">
        <f ca="1">IF(AND(ISNUMBER($AH$378),$B$252=1),$AH$378,HLOOKUP(INDIRECT(ADDRESS(2,COLUMN())),OFFSET($CL$2,0,0,ROW()-1,84),ROW()-1,FALSE))</f>
        <v/>
      </c>
      <c r="AI171" t="str">
        <f ca="1">IF(AND(ISNUMBER($AI$378),$B$252=1),$AI$378,HLOOKUP(INDIRECT(ADDRESS(2,COLUMN())),OFFSET($CL$2,0,0,ROW()-1,84),ROW()-1,FALSE))</f>
        <v/>
      </c>
      <c r="AJ171">
        <f ca="1">IF(AND(ISNUMBER($AJ$378),$B$252=1),$AJ$378,HLOOKUP(INDIRECT(ADDRESS(2,COLUMN())),OFFSET($CL$2,0,0,ROW()-1,84),ROW()-1,FALSE))</f>
        <v>52.946839629999999</v>
      </c>
      <c r="AK171" t="str">
        <f ca="1">IF(AND(ISNUMBER($AK$378),$B$252=1),$AK$378,HLOOKUP(INDIRECT(ADDRESS(2,COLUMN())),OFFSET($CL$2,0,0,ROW()-1,84),ROW()-1,FALSE))</f>
        <v/>
      </c>
      <c r="AL171" t="str">
        <f ca="1">IF(AND(ISNUMBER($AL$378),$B$252=1),$AL$378,HLOOKUP(INDIRECT(ADDRESS(2,COLUMN())),OFFSET($CL$2,0,0,ROW()-1,84),ROW()-1,FALSE))</f>
        <v/>
      </c>
      <c r="AM171">
        <f ca="1">IF(AND(ISNUMBER($AM$378),$B$252=1),$AM$378,HLOOKUP(INDIRECT(ADDRESS(2,COLUMN())),OFFSET($CL$2,0,0,ROW()-1,84),ROW()-1,FALSE))</f>
        <v>53.577235770000001</v>
      </c>
      <c r="AN171" t="str">
        <f ca="1">IF(AND(ISNUMBER($AN$378),$B$252=1),$AN$378,HLOOKUP(INDIRECT(ADDRESS(2,COLUMN())),OFFSET($CL$2,0,0,ROW()-1,84),ROW()-1,FALSE))</f>
        <v/>
      </c>
      <c r="AO171" t="str">
        <f ca="1">IF(AND(ISNUMBER($AO$378),$B$252=1),$AO$378,HLOOKUP(INDIRECT(ADDRESS(2,COLUMN())),OFFSET($CL$2,0,0,ROW()-1,84),ROW()-1,FALSE))</f>
        <v/>
      </c>
      <c r="AP171">
        <f ca="1">IF(AND(ISNUMBER($AP$378),$B$252=1),$AP$378,HLOOKUP(INDIRECT(ADDRESS(2,COLUMN())),OFFSET($CL$2,0,0,ROW()-1,84),ROW()-1,FALSE))</f>
        <v>54.308476030000001</v>
      </c>
      <c r="AQ171" t="str">
        <f ca="1">IF(AND(ISNUMBER($AQ$378),$B$252=1),$AQ$378,HLOOKUP(INDIRECT(ADDRESS(2,COLUMN())),OFFSET($CL$2,0,0,ROW()-1,84),ROW()-1,FALSE))</f>
        <v/>
      </c>
      <c r="AR171" t="str">
        <f ca="1">IF(AND(ISNUMBER($AR$378),$B$252=1),$AR$378,HLOOKUP(INDIRECT(ADDRESS(2,COLUMN())),OFFSET($CL$2,0,0,ROW()-1,84),ROW()-1,FALSE))</f>
        <v/>
      </c>
      <c r="AS171">
        <f ca="1">IF(AND(ISNUMBER($AS$378),$B$252=1),$AS$378,HLOOKUP(INDIRECT(ADDRESS(2,COLUMN())),OFFSET($CL$2,0,0,ROW()-1,84),ROW()-1,FALSE))</f>
        <v>51.786462960000001</v>
      </c>
      <c r="AT171" t="str">
        <f ca="1">IF(AND(ISNUMBER($AT$378),$B$252=1),$AT$378,HLOOKUP(INDIRECT(ADDRESS(2,COLUMN())),OFFSET($CL$2,0,0,ROW()-1,84),ROW()-1,FALSE))</f>
        <v/>
      </c>
      <c r="AU171" t="str">
        <f ca="1">IF(AND(ISNUMBER($AU$378),$B$252=1),$AU$378,HLOOKUP(INDIRECT(ADDRESS(2,COLUMN())),OFFSET($CL$2,0,0,ROW()-1,84),ROW()-1,FALSE))</f>
        <v/>
      </c>
      <c r="AV171">
        <f ca="1">IF(AND(ISNUMBER($AV$378),$B$252=1),$AV$378,HLOOKUP(INDIRECT(ADDRESS(2,COLUMN())),OFFSET($CL$2,0,0,ROW()-1,84),ROW()-1,FALSE))</f>
        <v>51.326322640000001</v>
      </c>
      <c r="AW171" t="str">
        <f ca="1">IF(AND(ISNUMBER($AW$378),$B$252=1),$AW$378,HLOOKUP(INDIRECT(ADDRESS(2,COLUMN())),OFFSET($CL$2,0,0,ROW()-1,84),ROW()-1,FALSE))</f>
        <v/>
      </c>
      <c r="AX171" t="str">
        <f ca="1">IF(AND(ISNUMBER($AX$378),$B$252=1),$AX$378,HLOOKUP(INDIRECT(ADDRESS(2,COLUMN())),OFFSET($CL$2,0,0,ROW()-1,84),ROW()-1,FALSE))</f>
        <v/>
      </c>
      <c r="AY171">
        <f ca="1">IF(AND(ISNUMBER($AY$378),$B$252=1),$AY$378,HLOOKUP(INDIRECT(ADDRESS(2,COLUMN())),OFFSET($CL$2,0,0,ROW()-1,84),ROW()-1,FALSE))</f>
        <v>49.831993369999999</v>
      </c>
      <c r="AZ171" t="str">
        <f ca="1">IF(AND(ISNUMBER($AZ$378),$B$252=1),$AZ$378,HLOOKUP(INDIRECT(ADDRESS(2,COLUMN())),OFFSET($CL$2,0,0,ROW()-1,84),ROW()-1,FALSE))</f>
        <v/>
      </c>
      <c r="BA171" t="str">
        <f ca="1">IF(AND(ISNUMBER($BA$378),$B$252=1),$BA$378,HLOOKUP(INDIRECT(ADDRESS(2,COLUMN())),OFFSET($CL$2,0,0,ROW()-1,84),ROW()-1,FALSE))</f>
        <v/>
      </c>
      <c r="BB171">
        <f ca="1">IF(AND(ISNUMBER($BB$378),$B$252=1),$BB$378,HLOOKUP(INDIRECT(ADDRESS(2,COLUMN())),OFFSET($CL$2,0,0,ROW()-1,84),ROW()-1,FALSE))</f>
        <v>51.648864549999999</v>
      </c>
      <c r="BC171" t="str">
        <f ca="1">IF(AND(ISNUMBER($BC$378),$B$252=1),$BC$378,HLOOKUP(INDIRECT(ADDRESS(2,COLUMN())),OFFSET($CL$2,0,0,ROW()-1,84),ROW()-1,FALSE))</f>
        <v/>
      </c>
      <c r="BD171" t="str">
        <f ca="1">IF(AND(ISNUMBER($BD$378),$B$252=1),$BD$378,HLOOKUP(INDIRECT(ADDRESS(2,COLUMN())),OFFSET($CL$2,0,0,ROW()-1,84),ROW()-1,FALSE))</f>
        <v/>
      </c>
      <c r="BE171">
        <f ca="1">IF(AND(ISNUMBER($BE$378),$B$252=1),$BE$378,HLOOKUP(INDIRECT(ADDRESS(2,COLUMN())),OFFSET($CL$2,0,0,ROW()-1,84),ROW()-1,FALSE))</f>
        <v>42.34980453</v>
      </c>
      <c r="BF171" t="str">
        <f ca="1">IF(AND(ISNUMBER($BF$378),$B$252=1),$BF$378,HLOOKUP(INDIRECT(ADDRESS(2,COLUMN())),OFFSET($CL$2,0,0,ROW()-1,84),ROW()-1,FALSE))</f>
        <v/>
      </c>
      <c r="BG171" t="str">
        <f ca="1">IF(AND(ISNUMBER($BG$378),$B$252=1),$BG$378,HLOOKUP(INDIRECT(ADDRESS(2,COLUMN())),OFFSET($CL$2,0,0,ROW()-1,84),ROW()-1,FALSE))</f>
        <v/>
      </c>
      <c r="BH171">
        <f ca="1">IF(AND(ISNUMBER($BH$378),$B$252=1),$BH$378,HLOOKUP(INDIRECT(ADDRESS(2,COLUMN())),OFFSET($CL$2,0,0,ROW()-1,84),ROW()-1,FALSE))</f>
        <v>47.503180030000003</v>
      </c>
      <c r="BI171" t="str">
        <f ca="1">IF(AND(ISNUMBER($BI$378),$B$252=1),$BI$378,HLOOKUP(INDIRECT(ADDRESS(2,COLUMN())),OFFSET($CL$2,0,0,ROW()-1,84),ROW()-1,FALSE))</f>
        <v/>
      </c>
      <c r="BJ171" t="str">
        <f ca="1">IF(AND(ISNUMBER($BJ$378),$B$252=1),$BJ$378,HLOOKUP(INDIRECT(ADDRESS(2,COLUMN())),OFFSET($CL$2,0,0,ROW()-1,84),ROW()-1,FALSE))</f>
        <v/>
      </c>
      <c r="BK171">
        <f ca="1">IF(AND(ISNUMBER($BK$378),$B$252=1),$BK$378,HLOOKUP(INDIRECT(ADDRESS(2,COLUMN())),OFFSET($CL$2,0,0,ROW()-1,84),ROW()-1,FALSE))</f>
        <v>49.063162929999997</v>
      </c>
      <c r="BL171" t="str">
        <f ca="1">IF(AND(ISNUMBER($BL$378),$B$252=1),$BL$378,HLOOKUP(INDIRECT(ADDRESS(2,COLUMN())),OFFSET($CL$2,0,0,ROW()-1,84),ROW()-1,FALSE))</f>
        <v/>
      </c>
      <c r="BM171" t="str">
        <f ca="1">IF(AND(ISNUMBER($BM$378),$B$252=1),$BM$378,HLOOKUP(INDIRECT(ADDRESS(2,COLUMN())),OFFSET($CL$2,0,0,ROW()-1,84),ROW()-1,FALSE))</f>
        <v/>
      </c>
      <c r="BN171">
        <f ca="1">IF(AND(ISNUMBER($BN$378),$B$252=1),$BN$378,HLOOKUP(INDIRECT(ADDRESS(2,COLUMN())),OFFSET($CL$2,0,0,ROW()-1,84),ROW()-1,FALSE))</f>
        <v>49.670050179999997</v>
      </c>
      <c r="BO171" t="str">
        <f ca="1">IF(AND(ISNUMBER($BO$378),$B$252=1),$BO$378,HLOOKUP(INDIRECT(ADDRESS(2,COLUMN())),OFFSET($CL$2,0,0,ROW()-1,84),ROW()-1,FALSE))</f>
        <v/>
      </c>
      <c r="BP171" t="str">
        <f ca="1">IF(AND(ISNUMBER($BP$378),$B$252=1),$BP$378,HLOOKUP(INDIRECT(ADDRESS(2,COLUMN())),OFFSET($CL$2,0,0,ROW()-1,84),ROW()-1,FALSE))</f>
        <v/>
      </c>
      <c r="BQ171">
        <f ca="1">IF(AND(ISNUMBER($BQ$378),$B$252=1),$BQ$378,HLOOKUP(INDIRECT(ADDRESS(2,COLUMN())),OFFSET($CL$2,0,0,ROW()-1,84),ROW()-1,FALSE))</f>
        <v>38.71626492</v>
      </c>
      <c r="BR171" t="str">
        <f ca="1">IF(AND(ISNUMBER($BR$378),$B$252=1),$BR$378,HLOOKUP(INDIRECT(ADDRESS(2,COLUMN())),OFFSET($CL$2,0,0,ROW()-1,84),ROW()-1,FALSE))</f>
        <v/>
      </c>
      <c r="BS171" t="str">
        <f ca="1">IF(AND(ISNUMBER($BS$378),$B$252=1),$BS$378,HLOOKUP(INDIRECT(ADDRESS(2,COLUMN())),OFFSET($CL$2,0,0,ROW()-1,84),ROW()-1,FALSE))</f>
        <v/>
      </c>
      <c r="BT171">
        <f ca="1">IF(AND(ISNUMBER($BT$378),$B$252=1),$BT$378,HLOOKUP(INDIRECT(ADDRESS(2,COLUMN())),OFFSET($CL$2,0,0,ROW()-1,84),ROW()-1,FALSE))</f>
        <v>52.946289970000002</v>
      </c>
      <c r="BU171" t="str">
        <f ca="1">IF(AND(ISNUMBER($BU$378),$B$252=1),$BU$378,HLOOKUP(INDIRECT(ADDRESS(2,COLUMN())),OFFSET($CL$2,0,0,ROW()-1,84),ROW()-1,FALSE))</f>
        <v/>
      </c>
      <c r="BV171" t="str">
        <f ca="1">IF(AND(ISNUMBER($BV$378),$B$252=1),$BV$378,HLOOKUP(INDIRECT(ADDRESS(2,COLUMN())),OFFSET($CL$2,0,0,ROW()-1,84),ROW()-1,FALSE))</f>
        <v/>
      </c>
      <c r="BW171">
        <f ca="1">IF(AND(ISNUMBER($BW$378),$B$252=1),$BW$378,HLOOKUP(INDIRECT(ADDRESS(2,COLUMN())),OFFSET($CL$2,0,0,ROW()-1,84),ROW()-1,FALSE))</f>
        <v>47.374390550000001</v>
      </c>
      <c r="BX171" t="str">
        <f ca="1">IF(AND(ISNUMBER($BX$378),$B$252=1),$BX$378,HLOOKUP(INDIRECT(ADDRESS(2,COLUMN())),OFFSET($CL$2,0,0,ROW()-1,84),ROW()-1,FALSE))</f>
        <v/>
      </c>
      <c r="BY171" t="str">
        <f ca="1">IF(AND(ISNUMBER($BY$378),$B$252=1),$BY$378,HLOOKUP(INDIRECT(ADDRESS(2,COLUMN())),OFFSET($CL$2,0,0,ROW()-1,84),ROW()-1,FALSE))</f>
        <v/>
      </c>
      <c r="BZ171">
        <f ca="1">IF(AND(ISNUMBER($BZ$378),$B$252=1),$BZ$378,HLOOKUP(INDIRECT(ADDRESS(2,COLUMN())),OFFSET($CL$2,0,0,ROW()-1,84),ROW()-1,FALSE))</f>
        <v>44.843175760000001</v>
      </c>
      <c r="CA171" t="str">
        <f ca="1">IF(AND(ISNUMBER($CA$378),$B$252=1),$CA$378,HLOOKUP(INDIRECT(ADDRESS(2,COLUMN())),OFFSET($CL$2,0,0,ROW()-1,84),ROW()-1,FALSE))</f>
        <v/>
      </c>
      <c r="CB171" t="str">
        <f ca="1">IF(AND(ISNUMBER($CB$378),$B$252=1),$CB$378,HLOOKUP(INDIRECT(ADDRESS(2,COLUMN())),OFFSET($CL$2,0,0,ROW()-1,84),ROW()-1,FALSE))</f>
        <v/>
      </c>
      <c r="CC171">
        <f ca="1">IF(AND(ISNUMBER($CC$378),$B$252=1),$CC$378,HLOOKUP(INDIRECT(ADDRESS(2,COLUMN())),OFFSET($CL$2,0,0,ROW()-1,84),ROW()-1,FALSE))</f>
        <v>27.659782960000001</v>
      </c>
      <c r="CD171" t="str">
        <f ca="1">IF(AND(ISNUMBER($CD$378),$B$252=1),$CD$378,HLOOKUP(INDIRECT(ADDRESS(2,COLUMN())),OFFSET($CL$2,0,0,ROW()-1,84),ROW()-1,FALSE))</f>
        <v/>
      </c>
      <c r="CE171" t="str">
        <f ca="1">IF(AND(ISNUMBER($CE$378),$B$252=1),$CE$378,HLOOKUP(INDIRECT(ADDRESS(2,COLUMN())),OFFSET($CL$2,0,0,ROW()-1,84),ROW()-1,FALSE))</f>
        <v/>
      </c>
      <c r="CF171">
        <f ca="1">IF(AND(ISNUMBER($CF$378),$B$252=1),$CF$378,HLOOKUP(INDIRECT(ADDRESS(2,COLUMN())),OFFSET($CL$2,0,0,ROW()-1,84),ROW()-1,FALSE))</f>
        <v>29.470775509999999</v>
      </c>
      <c r="CG171" t="str">
        <f ca="1">IF(AND(ISNUMBER($CG$378),$B$252=1),$CG$378,HLOOKUP(INDIRECT(ADDRESS(2,COLUMN())),OFFSET($CL$2,0,0,ROW()-1,84),ROW()-1,FALSE))</f>
        <v/>
      </c>
      <c r="CH171" t="str">
        <f ca="1">IF(AND(ISNUMBER($CH$378),$B$252=1),$CH$378,HLOOKUP(INDIRECT(ADDRESS(2,COLUMN())),OFFSET($CL$2,0,0,ROW()-1,84),ROW()-1,FALSE))</f>
        <v/>
      </c>
      <c r="CI171">
        <f ca="1">IF(AND(ISNUMBER($CI$378),$B$252=1),$CI$378,HLOOKUP(INDIRECT(ADDRESS(2,COLUMN())),OFFSET($CL$2,0,0,ROW()-1,84),ROW()-1,FALSE))</f>
        <v>41.07883245</v>
      </c>
      <c r="CJ171" t="str">
        <f ca="1">IF(AND(ISNUMBER($CJ$378),$B$252=1),$CJ$378,HLOOKUP(INDIRECT(ADDRESS(2,COLUMN())),OFFSET($CL$2,0,0,ROW()-1,84),ROW()-1,FALSE))</f>
        <v/>
      </c>
      <c r="CK171" t="str">
        <f ca="1">IF(AND(ISNUMBER($CK$378),$B$252=1),$CK$378,HLOOKUP(INDIRECT(ADDRESS(2,COLUMN())),OFFSET($CL$2,0,0,ROW()-1,84),ROW()-1,FALSE))</f>
        <v/>
      </c>
      <c r="CL171" t="str">
        <f>""</f>
        <v/>
      </c>
      <c r="CM171" t="str">
        <f>""</f>
        <v/>
      </c>
      <c r="CN171" t="str">
        <f>""</f>
        <v/>
      </c>
      <c r="CO171">
        <f>56.64991348</f>
        <v>56.649913480000002</v>
      </c>
      <c r="CP171" t="str">
        <f>""</f>
        <v/>
      </c>
      <c r="CQ171" t="str">
        <f>""</f>
        <v/>
      </c>
      <c r="CR171">
        <f>57.177568</f>
        <v>57.177568000000001</v>
      </c>
      <c r="CS171" t="str">
        <f>""</f>
        <v/>
      </c>
      <c r="CT171" t="str">
        <f>""</f>
        <v/>
      </c>
      <c r="CU171">
        <f>59.02199566</f>
        <v>59.021995660000002</v>
      </c>
      <c r="CV171" t="str">
        <f>""</f>
        <v/>
      </c>
      <c r="CW171" t="str">
        <f>""</f>
        <v/>
      </c>
      <c r="CX171">
        <f>61.764485</f>
        <v>61.764485000000001</v>
      </c>
      <c r="CY171" t="str">
        <f>""</f>
        <v/>
      </c>
      <c r="CZ171" t="str">
        <f>""</f>
        <v/>
      </c>
      <c r="DA171">
        <f>54.71539442</f>
        <v>54.715394420000003</v>
      </c>
      <c r="DB171" t="str">
        <f>""</f>
        <v/>
      </c>
      <c r="DC171" t="str">
        <f>""</f>
        <v/>
      </c>
      <c r="DD171">
        <f>60.86964794</f>
        <v>60.86964794</v>
      </c>
      <c r="DE171" t="str">
        <f>""</f>
        <v/>
      </c>
      <c r="DF171" t="str">
        <f>""</f>
        <v/>
      </c>
      <c r="DG171">
        <f>55.69871989</f>
        <v>55.69871989</v>
      </c>
      <c r="DH171" t="str">
        <f>""</f>
        <v/>
      </c>
      <c r="DI171" t="str">
        <f>""</f>
        <v/>
      </c>
      <c r="DJ171">
        <f>57.58468397</f>
        <v>57.58468397</v>
      </c>
      <c r="DK171" t="str">
        <f>""</f>
        <v/>
      </c>
      <c r="DL171" t="str">
        <f>""</f>
        <v/>
      </c>
      <c r="DM171">
        <f>51.3399382</f>
        <v>51.339938199999999</v>
      </c>
      <c r="DN171" t="str">
        <f>""</f>
        <v/>
      </c>
      <c r="DO171" t="str">
        <f>""</f>
        <v/>
      </c>
      <c r="DP171">
        <f>52.94683963</f>
        <v>52.946839629999999</v>
      </c>
      <c r="DQ171" t="str">
        <f>""</f>
        <v/>
      </c>
      <c r="DR171" t="str">
        <f>""</f>
        <v/>
      </c>
      <c r="DS171">
        <f>53.57723577</f>
        <v>53.577235770000001</v>
      </c>
      <c r="DT171" t="str">
        <f>""</f>
        <v/>
      </c>
      <c r="DU171" t="str">
        <f>""</f>
        <v/>
      </c>
      <c r="DV171">
        <f>54.30847603</f>
        <v>54.308476030000001</v>
      </c>
      <c r="DW171" t="str">
        <f>""</f>
        <v/>
      </c>
      <c r="DX171" t="str">
        <f>""</f>
        <v/>
      </c>
      <c r="DY171">
        <f>51.78646296</f>
        <v>51.786462960000001</v>
      </c>
      <c r="DZ171" t="str">
        <f>""</f>
        <v/>
      </c>
      <c r="EA171" t="str">
        <f>""</f>
        <v/>
      </c>
      <c r="EB171">
        <f>51.32632264</f>
        <v>51.326322640000001</v>
      </c>
      <c r="EC171" t="str">
        <f>""</f>
        <v/>
      </c>
      <c r="ED171" t="str">
        <f>""</f>
        <v/>
      </c>
      <c r="EE171">
        <f>49.83199337</f>
        <v>49.831993369999999</v>
      </c>
      <c r="EF171" t="str">
        <f>""</f>
        <v/>
      </c>
      <c r="EG171" t="str">
        <f>""</f>
        <v/>
      </c>
      <c r="EH171">
        <f>51.64886455</f>
        <v>51.648864549999999</v>
      </c>
      <c r="EI171" t="str">
        <f>""</f>
        <v/>
      </c>
      <c r="EJ171" t="str">
        <f>""</f>
        <v/>
      </c>
      <c r="EK171">
        <f>42.34980453</f>
        <v>42.34980453</v>
      </c>
      <c r="EL171" t="str">
        <f>""</f>
        <v/>
      </c>
      <c r="EM171" t="str">
        <f>""</f>
        <v/>
      </c>
      <c r="EN171">
        <f>47.50318003</f>
        <v>47.503180030000003</v>
      </c>
      <c r="EO171" t="str">
        <f>""</f>
        <v/>
      </c>
      <c r="EP171" t="str">
        <f>""</f>
        <v/>
      </c>
      <c r="EQ171">
        <f>49.06316293</f>
        <v>49.063162929999997</v>
      </c>
      <c r="ER171" t="str">
        <f>""</f>
        <v/>
      </c>
      <c r="ES171" t="str">
        <f>""</f>
        <v/>
      </c>
      <c r="ET171">
        <f>49.67005018</f>
        <v>49.670050179999997</v>
      </c>
      <c r="EU171" t="str">
        <f>""</f>
        <v/>
      </c>
      <c r="EV171" t="str">
        <f>""</f>
        <v/>
      </c>
      <c r="EW171">
        <f>38.71626492</f>
        <v>38.71626492</v>
      </c>
      <c r="EX171" t="str">
        <f>""</f>
        <v/>
      </c>
      <c r="EY171" t="str">
        <f>""</f>
        <v/>
      </c>
      <c r="EZ171">
        <f>52.94628997</f>
        <v>52.946289970000002</v>
      </c>
      <c r="FA171" t="str">
        <f>""</f>
        <v/>
      </c>
      <c r="FB171" t="str">
        <f>""</f>
        <v/>
      </c>
      <c r="FC171">
        <f>47.37439055</f>
        <v>47.374390550000001</v>
      </c>
      <c r="FD171" t="str">
        <f>""</f>
        <v/>
      </c>
      <c r="FE171" t="str">
        <f>""</f>
        <v/>
      </c>
      <c r="FF171">
        <f>44.84317576</f>
        <v>44.843175760000001</v>
      </c>
      <c r="FG171" t="str">
        <f>""</f>
        <v/>
      </c>
      <c r="FH171" t="str">
        <f>""</f>
        <v/>
      </c>
      <c r="FI171">
        <f>27.65978296</f>
        <v>27.659782960000001</v>
      </c>
      <c r="FJ171" t="str">
        <f>""</f>
        <v/>
      </c>
      <c r="FK171" t="str">
        <f>""</f>
        <v/>
      </c>
      <c r="FL171">
        <f>29.47077551</f>
        <v>29.470775509999999</v>
      </c>
      <c r="FM171" t="str">
        <f>""</f>
        <v/>
      </c>
      <c r="FN171" t="str">
        <f>""</f>
        <v/>
      </c>
      <c r="FO171">
        <f>41.07883245</f>
        <v>41.07883245</v>
      </c>
      <c r="FP171" t="str">
        <f>""</f>
        <v/>
      </c>
      <c r="FQ171" t="str">
        <f>""</f>
        <v/>
      </c>
    </row>
    <row r="172" spans="1:173">
      <c r="A172" t="str">
        <f>"    AvalonBay社区股份有限公司"</f>
        <v xml:space="preserve">    AvalonBay社区股份有限公司</v>
      </c>
      <c r="B172" t="str">
        <f>"AVB US Equity"</f>
        <v>AVB US Equity</v>
      </c>
      <c r="C172" t="str">
        <f t="shared" si="54"/>
        <v>RR106</v>
      </c>
      <c r="D172" t="str">
        <f t="shared" si="55"/>
        <v>FFO_PAYOUT_RATIO</v>
      </c>
      <c r="E172" t="str">
        <f t="shared" si="56"/>
        <v>动态</v>
      </c>
      <c r="F172" t="str">
        <f ca="1">IF(AND(ISNUMBER($F$379),$B$252=1),$F$379,HLOOKUP(INDIRECT(ADDRESS(2,COLUMN())),OFFSET($CL$2,0,0,ROW()-1,84),ROW()-1,FALSE))</f>
        <v/>
      </c>
      <c r="G172" t="str">
        <f ca="1">IF(AND(ISNUMBER($G$379),$B$252=1),$G$379,HLOOKUP(INDIRECT(ADDRESS(2,COLUMN())),OFFSET($CL$2,0,0,ROW()-1,84),ROW()-1,FALSE))</f>
        <v/>
      </c>
      <c r="H172" t="str">
        <f ca="1">IF(AND(ISNUMBER($H$379),$B$252=1),$H$379,HLOOKUP(INDIRECT(ADDRESS(2,COLUMN())),OFFSET($CL$2,0,0,ROW()-1,84),ROW()-1,FALSE))</f>
        <v/>
      </c>
      <c r="I172">
        <f ca="1">IF(AND(ISNUMBER($I$379),$B$252=1),$I$379,HLOOKUP(INDIRECT(ADDRESS(2,COLUMN())),OFFSET($CL$2,0,0,ROW()-1,84),ROW()-1,FALSE))</f>
        <v>65.102520519999999</v>
      </c>
      <c r="J172" t="str">
        <f ca="1">IF(AND(ISNUMBER($J$379),$B$252=1),$J$379,HLOOKUP(INDIRECT(ADDRESS(2,COLUMN())),OFFSET($CL$2,0,0,ROW()-1,84),ROW()-1,FALSE))</f>
        <v/>
      </c>
      <c r="K172" t="str">
        <f ca="1">IF(AND(ISNUMBER($K$379),$B$252=1),$K$379,HLOOKUP(INDIRECT(ADDRESS(2,COLUMN())),OFFSET($CL$2,0,0,ROW()-1,84),ROW()-1,FALSE))</f>
        <v/>
      </c>
      <c r="L172">
        <f ca="1">IF(AND(ISNUMBER($L$379),$B$252=1),$L$379,HLOOKUP(INDIRECT(ADDRESS(2,COLUMN())),OFFSET($CL$2,0,0,ROW()-1,84),ROW()-1,FALSE))</f>
        <v>60.610107040000003</v>
      </c>
      <c r="M172" t="str">
        <f ca="1">IF(AND(ISNUMBER($M$379),$B$252=1),$M$379,HLOOKUP(INDIRECT(ADDRESS(2,COLUMN())),OFFSET($CL$2,0,0,ROW()-1,84),ROW()-1,FALSE))</f>
        <v/>
      </c>
      <c r="N172" t="str">
        <f ca="1">IF(AND(ISNUMBER($N$379),$B$252=1),$N$379,HLOOKUP(INDIRECT(ADDRESS(2,COLUMN())),OFFSET($CL$2,0,0,ROW()-1,84),ROW()-1,FALSE))</f>
        <v/>
      </c>
      <c r="O172">
        <f ca="1">IF(AND(ISNUMBER($O$379),$B$252=1),$O$379,HLOOKUP(INDIRECT(ADDRESS(2,COLUMN())),OFFSET($CL$2,0,0,ROW()-1,84),ROW()-1,FALSE))</f>
        <v>74.754475859999999</v>
      </c>
      <c r="P172" t="str">
        <f ca="1">IF(AND(ISNUMBER($P$379),$B$252=1),$P$379,HLOOKUP(INDIRECT(ADDRESS(2,COLUMN())),OFFSET($CL$2,0,0,ROW()-1,84),ROW()-1,FALSE))</f>
        <v/>
      </c>
      <c r="Q172" t="str">
        <f ca="1">IF(AND(ISNUMBER($Q$379),$B$252=1),$Q$379,HLOOKUP(INDIRECT(ADDRESS(2,COLUMN())),OFFSET($CL$2,0,0,ROW()-1,84),ROW()-1,FALSE))</f>
        <v/>
      </c>
      <c r="R172">
        <f ca="1">IF(AND(ISNUMBER($R$379),$B$252=1),$R$379,HLOOKUP(INDIRECT(ADDRESS(2,COLUMN())),OFFSET($CL$2,0,0,ROW()-1,84),ROW()-1,FALSE))</f>
        <v>69.828370750000005</v>
      </c>
      <c r="S172" t="str">
        <f ca="1">IF(AND(ISNUMBER($S$379),$B$252=1),$S$379,HLOOKUP(INDIRECT(ADDRESS(2,COLUMN())),OFFSET($CL$2,0,0,ROW()-1,84),ROW()-1,FALSE))</f>
        <v/>
      </c>
      <c r="T172" t="str">
        <f ca="1">IF(AND(ISNUMBER($T$379),$B$252=1),$T$379,HLOOKUP(INDIRECT(ADDRESS(2,COLUMN())),OFFSET($CL$2,0,0,ROW()-1,84),ROW()-1,FALSE))</f>
        <v/>
      </c>
      <c r="U172">
        <f ca="1">IF(AND(ISNUMBER($U$379),$B$252=1),$U$379,HLOOKUP(INDIRECT(ADDRESS(2,COLUMN())),OFFSET($CL$2,0,0,ROW()-1,84),ROW()-1,FALSE))</f>
        <v>64.356081639999999</v>
      </c>
      <c r="V172" t="str">
        <f ca="1">IF(AND(ISNUMBER($V$379),$B$252=1),$V$379,HLOOKUP(INDIRECT(ADDRESS(2,COLUMN())),OFFSET($CL$2,0,0,ROW()-1,84),ROW()-1,FALSE))</f>
        <v/>
      </c>
      <c r="W172" t="str">
        <f ca="1">IF(AND(ISNUMBER($W$379),$B$252=1),$W$379,HLOOKUP(INDIRECT(ADDRESS(2,COLUMN())),OFFSET($CL$2,0,0,ROW()-1,84),ROW()-1,FALSE))</f>
        <v/>
      </c>
      <c r="X172">
        <f ca="1">IF(AND(ISNUMBER($X$379),$B$252=1),$X$379,HLOOKUP(INDIRECT(ADDRESS(2,COLUMN())),OFFSET($CL$2,0,0,ROW()-1,84),ROW()-1,FALSE))</f>
        <v>64.03226085</v>
      </c>
      <c r="Y172" t="str">
        <f ca="1">IF(AND(ISNUMBER($Y$379),$B$252=1),$Y$379,HLOOKUP(INDIRECT(ADDRESS(2,COLUMN())),OFFSET($CL$2,0,0,ROW()-1,84),ROW()-1,FALSE))</f>
        <v/>
      </c>
      <c r="Z172" t="str">
        <f ca="1">IF(AND(ISNUMBER($Z$379),$B$252=1),$Z$379,HLOOKUP(INDIRECT(ADDRESS(2,COLUMN())),OFFSET($CL$2,0,0,ROW()-1,84),ROW()-1,FALSE))</f>
        <v/>
      </c>
      <c r="AA172">
        <f ca="1">IF(AND(ISNUMBER($AA$379),$B$252=1),$AA$379,HLOOKUP(INDIRECT(ADDRESS(2,COLUMN())),OFFSET($CL$2,0,0,ROW()-1,84),ROW()-1,FALSE))</f>
        <v>67.755318369999998</v>
      </c>
      <c r="AB172" t="str">
        <f ca="1">IF(AND(ISNUMBER($AB$379),$B$252=1),$AB$379,HLOOKUP(INDIRECT(ADDRESS(2,COLUMN())),OFFSET($CL$2,0,0,ROW()-1,84),ROW()-1,FALSE))</f>
        <v/>
      </c>
      <c r="AC172" t="str">
        <f ca="1">IF(AND(ISNUMBER($AC$379),$B$252=1),$AC$379,HLOOKUP(INDIRECT(ADDRESS(2,COLUMN())),OFFSET($CL$2,0,0,ROW()-1,84),ROW()-1,FALSE))</f>
        <v/>
      </c>
      <c r="AD172">
        <f ca="1">IF(AND(ISNUMBER($AD$379),$B$252=1),$AD$379,HLOOKUP(INDIRECT(ADDRESS(2,COLUMN())),OFFSET($CL$2,0,0,ROW()-1,84),ROW()-1,FALSE))</f>
        <v>65.065515989999994</v>
      </c>
      <c r="AE172" t="str">
        <f ca="1">IF(AND(ISNUMBER($AE$379),$B$252=1),$AE$379,HLOOKUP(INDIRECT(ADDRESS(2,COLUMN())),OFFSET($CL$2,0,0,ROW()-1,84),ROW()-1,FALSE))</f>
        <v/>
      </c>
      <c r="AF172" t="str">
        <f ca="1">IF(AND(ISNUMBER($AF$379),$B$252=1),$AF$379,HLOOKUP(INDIRECT(ADDRESS(2,COLUMN())),OFFSET($CL$2,0,0,ROW()-1,84),ROW()-1,FALSE))</f>
        <v/>
      </c>
      <c r="AG172">
        <f ca="1">IF(AND(ISNUMBER($AG$379),$B$252=1),$AG$379,HLOOKUP(INDIRECT(ADDRESS(2,COLUMN())),OFFSET($CL$2,0,0,ROW()-1,84),ROW()-1,FALSE))</f>
        <v>63.390275950000003</v>
      </c>
      <c r="AH172" t="str">
        <f ca="1">IF(AND(ISNUMBER($AH$379),$B$252=1),$AH$379,HLOOKUP(INDIRECT(ADDRESS(2,COLUMN())),OFFSET($CL$2,0,0,ROW()-1,84),ROW()-1,FALSE))</f>
        <v/>
      </c>
      <c r="AI172" t="str">
        <f ca="1">IF(AND(ISNUMBER($AI$379),$B$252=1),$AI$379,HLOOKUP(INDIRECT(ADDRESS(2,COLUMN())),OFFSET($CL$2,0,0,ROW()-1,84),ROW()-1,FALSE))</f>
        <v/>
      </c>
      <c r="AJ172">
        <f ca="1">IF(AND(ISNUMBER($AJ$379),$B$252=1),$AJ$379,HLOOKUP(INDIRECT(ADDRESS(2,COLUMN())),OFFSET($CL$2,0,0,ROW()-1,84),ROW()-1,FALSE))</f>
        <v>62.930200569999997</v>
      </c>
      <c r="AK172" t="str">
        <f ca="1">IF(AND(ISNUMBER($AK$379),$B$252=1),$AK$379,HLOOKUP(INDIRECT(ADDRESS(2,COLUMN())),OFFSET($CL$2,0,0,ROW()-1,84),ROW()-1,FALSE))</f>
        <v/>
      </c>
      <c r="AL172" t="str">
        <f ca="1">IF(AND(ISNUMBER($AL$379),$B$252=1),$AL$379,HLOOKUP(INDIRECT(ADDRESS(2,COLUMN())),OFFSET($CL$2,0,0,ROW()-1,84),ROW()-1,FALSE))</f>
        <v/>
      </c>
      <c r="AM172">
        <f ca="1">IF(AND(ISNUMBER($AM$379),$B$252=1),$AM$379,HLOOKUP(INDIRECT(ADDRESS(2,COLUMN())),OFFSET($CL$2,0,0,ROW()-1,84),ROW()-1,FALSE))</f>
        <v>57.185496809999997</v>
      </c>
      <c r="AN172" t="str">
        <f ca="1">IF(AND(ISNUMBER($AN$379),$B$252=1),$AN$379,HLOOKUP(INDIRECT(ADDRESS(2,COLUMN())),OFFSET($CL$2,0,0,ROW()-1,84),ROW()-1,FALSE))</f>
        <v/>
      </c>
      <c r="AO172" t="str">
        <f ca="1">IF(AND(ISNUMBER($AO$379),$B$252=1),$AO$379,HLOOKUP(INDIRECT(ADDRESS(2,COLUMN())),OFFSET($CL$2,0,0,ROW()-1,84),ROW()-1,FALSE))</f>
        <v/>
      </c>
      <c r="AP172">
        <f ca="1">IF(AND(ISNUMBER($AP$379),$B$252=1),$AP$379,HLOOKUP(INDIRECT(ADDRESS(2,COLUMN())),OFFSET($CL$2,0,0,ROW()-1,84),ROW()-1,FALSE))</f>
        <v>65.933824729999998</v>
      </c>
      <c r="AQ172" t="str">
        <f ca="1">IF(AND(ISNUMBER($AQ$379),$B$252=1),$AQ$379,HLOOKUP(INDIRECT(ADDRESS(2,COLUMN())),OFFSET($CL$2,0,0,ROW()-1,84),ROW()-1,FALSE))</f>
        <v/>
      </c>
      <c r="AR172" t="str">
        <f ca="1">IF(AND(ISNUMBER($AR$379),$B$252=1),$AR$379,HLOOKUP(INDIRECT(ADDRESS(2,COLUMN())),OFFSET($CL$2,0,0,ROW()-1,84),ROW()-1,FALSE))</f>
        <v/>
      </c>
      <c r="AS172">
        <f ca="1">IF(AND(ISNUMBER($AS$379),$B$252=1),$AS$379,HLOOKUP(INDIRECT(ADDRESS(2,COLUMN())),OFFSET($CL$2,0,0,ROW()-1,84),ROW()-1,FALSE))</f>
        <v>65.605351970000001</v>
      </c>
      <c r="AT172" t="str">
        <f ca="1">IF(AND(ISNUMBER($AT$379),$B$252=1),$AT$379,HLOOKUP(INDIRECT(ADDRESS(2,COLUMN())),OFFSET($CL$2,0,0,ROW()-1,84),ROW()-1,FALSE))</f>
        <v/>
      </c>
      <c r="AU172" t="str">
        <f ca="1">IF(AND(ISNUMBER($AU$379),$B$252=1),$AU$379,HLOOKUP(INDIRECT(ADDRESS(2,COLUMN())),OFFSET($CL$2,0,0,ROW()-1,84),ROW()-1,FALSE))</f>
        <v/>
      </c>
      <c r="AV172">
        <f ca="1">IF(AND(ISNUMBER($AV$379),$B$252=1),$AV$379,HLOOKUP(INDIRECT(ADDRESS(2,COLUMN())),OFFSET($CL$2,0,0,ROW()-1,84),ROW()-1,FALSE))</f>
        <v>54.254998739999998</v>
      </c>
      <c r="AW172" t="str">
        <f ca="1">IF(AND(ISNUMBER($AW$379),$B$252=1),$AW$379,HLOOKUP(INDIRECT(ADDRESS(2,COLUMN())),OFFSET($CL$2,0,0,ROW()-1,84),ROW()-1,FALSE))</f>
        <v/>
      </c>
      <c r="AX172" t="str">
        <f ca="1">IF(AND(ISNUMBER($AX$379),$B$252=1),$AX$379,HLOOKUP(INDIRECT(ADDRESS(2,COLUMN())),OFFSET($CL$2,0,0,ROW()-1,84),ROW()-1,FALSE))</f>
        <v/>
      </c>
      <c r="AY172">
        <f ca="1">IF(AND(ISNUMBER($AY$379),$B$252=1),$AY$379,HLOOKUP(INDIRECT(ADDRESS(2,COLUMN())),OFFSET($CL$2,0,0,ROW()-1,84),ROW()-1,FALSE))</f>
        <v>68.366998370000005</v>
      </c>
      <c r="AZ172" t="str">
        <f ca="1">IF(AND(ISNUMBER($AZ$379),$B$252=1),$AZ$379,HLOOKUP(INDIRECT(ADDRESS(2,COLUMN())),OFFSET($CL$2,0,0,ROW()-1,84),ROW()-1,FALSE))</f>
        <v/>
      </c>
      <c r="BA172" t="str">
        <f ca="1">IF(AND(ISNUMBER($BA$379),$B$252=1),$BA$379,HLOOKUP(INDIRECT(ADDRESS(2,COLUMN())),OFFSET($CL$2,0,0,ROW()-1,84),ROW()-1,FALSE))</f>
        <v/>
      </c>
      <c r="BB172">
        <f ca="1">IF(AND(ISNUMBER($BB$379),$B$252=1),$BB$379,HLOOKUP(INDIRECT(ADDRESS(2,COLUMN())),OFFSET($CL$2,0,0,ROW()-1,84),ROW()-1,FALSE))</f>
        <v>70.617115740000003</v>
      </c>
      <c r="BC172" t="str">
        <f ca="1">IF(AND(ISNUMBER($BC$379),$B$252=1),$BC$379,HLOOKUP(INDIRECT(ADDRESS(2,COLUMN())),OFFSET($CL$2,0,0,ROW()-1,84),ROW()-1,FALSE))</f>
        <v/>
      </c>
      <c r="BD172" t="str">
        <f ca="1">IF(AND(ISNUMBER($BD$379),$B$252=1),$BD$379,HLOOKUP(INDIRECT(ADDRESS(2,COLUMN())),OFFSET($CL$2,0,0,ROW()-1,84),ROW()-1,FALSE))</f>
        <v/>
      </c>
      <c r="BE172">
        <f ca="1">IF(AND(ISNUMBER($BE$379),$B$252=1),$BE$379,HLOOKUP(INDIRECT(ADDRESS(2,COLUMN())),OFFSET($CL$2,0,0,ROW()-1,84),ROW()-1,FALSE))</f>
        <v>70.888279139999995</v>
      </c>
      <c r="BF172" t="str">
        <f ca="1">IF(AND(ISNUMBER($BF$379),$B$252=1),$BF$379,HLOOKUP(INDIRECT(ADDRESS(2,COLUMN())),OFFSET($CL$2,0,0,ROW()-1,84),ROW()-1,FALSE))</f>
        <v/>
      </c>
      <c r="BG172" t="str">
        <f ca="1">IF(AND(ISNUMBER($BG$379),$B$252=1),$BG$379,HLOOKUP(INDIRECT(ADDRESS(2,COLUMN())),OFFSET($CL$2,0,0,ROW()-1,84),ROW()-1,FALSE))</f>
        <v/>
      </c>
      <c r="BH172">
        <f ca="1">IF(AND(ISNUMBER($BH$379),$B$252=1),$BH$379,HLOOKUP(INDIRECT(ADDRESS(2,COLUMN())),OFFSET($CL$2,0,0,ROW()-1,84),ROW()-1,FALSE))</f>
        <v>90.283057619999994</v>
      </c>
      <c r="BI172" t="str">
        <f ca="1">IF(AND(ISNUMBER($BI$379),$B$252=1),$BI$379,HLOOKUP(INDIRECT(ADDRESS(2,COLUMN())),OFFSET($CL$2,0,0,ROW()-1,84),ROW()-1,FALSE))</f>
        <v/>
      </c>
      <c r="BJ172" t="str">
        <f ca="1">IF(AND(ISNUMBER($BJ$379),$B$252=1),$BJ$379,HLOOKUP(INDIRECT(ADDRESS(2,COLUMN())),OFFSET($CL$2,0,0,ROW()-1,84),ROW()-1,FALSE))</f>
        <v/>
      </c>
      <c r="BK172">
        <f ca="1">IF(AND(ISNUMBER($BK$379),$B$252=1),$BK$379,HLOOKUP(INDIRECT(ADDRESS(2,COLUMN())),OFFSET($CL$2,0,0,ROW()-1,84),ROW()-1,FALSE))</f>
        <v>69.030382799999998</v>
      </c>
      <c r="BL172" t="str">
        <f ca="1">IF(AND(ISNUMBER($BL$379),$B$252=1),$BL$379,HLOOKUP(INDIRECT(ADDRESS(2,COLUMN())),OFFSET($CL$2,0,0,ROW()-1,84),ROW()-1,FALSE))</f>
        <v/>
      </c>
      <c r="BM172" t="str">
        <f ca="1">IF(AND(ISNUMBER($BM$379),$B$252=1),$BM$379,HLOOKUP(INDIRECT(ADDRESS(2,COLUMN())),OFFSET($CL$2,0,0,ROW()-1,84),ROW()-1,FALSE))</f>
        <v/>
      </c>
      <c r="BN172">
        <f ca="1">IF(AND(ISNUMBER($BN$379),$B$252=1),$BN$379,HLOOKUP(INDIRECT(ADDRESS(2,COLUMN())),OFFSET($CL$2,0,0,ROW()-1,84),ROW()-1,FALSE))</f>
        <v>148.0061153</v>
      </c>
      <c r="BO172" t="str">
        <f ca="1">IF(AND(ISNUMBER($BO$379),$B$252=1),$BO$379,HLOOKUP(INDIRECT(ADDRESS(2,COLUMN())),OFFSET($CL$2,0,0,ROW()-1,84),ROW()-1,FALSE))</f>
        <v/>
      </c>
      <c r="BP172" t="str">
        <f ca="1">IF(AND(ISNUMBER($BP$379),$B$252=1),$BP$379,HLOOKUP(INDIRECT(ADDRESS(2,COLUMN())),OFFSET($CL$2,0,0,ROW()-1,84),ROW()-1,FALSE))</f>
        <v/>
      </c>
      <c r="BQ172">
        <f ca="1">IF(AND(ISNUMBER($BQ$379),$B$252=1),$BQ$379,HLOOKUP(INDIRECT(ADDRESS(2,COLUMN())),OFFSET($CL$2,0,0,ROW()-1,84),ROW()-1,FALSE))</f>
        <v>84.947372450000003</v>
      </c>
      <c r="BR172" t="str">
        <f ca="1">IF(AND(ISNUMBER($BR$379),$B$252=1),$BR$379,HLOOKUP(INDIRECT(ADDRESS(2,COLUMN())),OFFSET($CL$2,0,0,ROW()-1,84),ROW()-1,FALSE))</f>
        <v/>
      </c>
      <c r="BS172" t="str">
        <f ca="1">IF(AND(ISNUMBER($BS$379),$B$252=1),$BS$379,HLOOKUP(INDIRECT(ADDRESS(2,COLUMN())),OFFSET($CL$2,0,0,ROW()-1,84),ROW()-1,FALSE))</f>
        <v/>
      </c>
      <c r="BT172">
        <f ca="1">IF(AND(ISNUMBER($BT$379),$B$252=1),$BT$379,HLOOKUP(INDIRECT(ADDRESS(2,COLUMN())),OFFSET($CL$2,0,0,ROW()-1,84),ROW()-1,FALSE))</f>
        <v>67.576721239999998</v>
      </c>
      <c r="BU172" t="str">
        <f ca="1">IF(AND(ISNUMBER($BU$379),$B$252=1),$BU$379,HLOOKUP(INDIRECT(ADDRESS(2,COLUMN())),OFFSET($CL$2,0,0,ROW()-1,84),ROW()-1,FALSE))</f>
        <v/>
      </c>
      <c r="BV172" t="str">
        <f ca="1">IF(AND(ISNUMBER($BV$379),$B$252=1),$BV$379,HLOOKUP(INDIRECT(ADDRESS(2,COLUMN())),OFFSET($CL$2,0,0,ROW()-1,84),ROW()-1,FALSE))</f>
        <v/>
      </c>
      <c r="BW172">
        <f ca="1">IF(AND(ISNUMBER($BW$379),$B$252=1),$BW$379,HLOOKUP(INDIRECT(ADDRESS(2,COLUMN())),OFFSET($CL$2,0,0,ROW()-1,84),ROW()-1,FALSE))</f>
        <v>73.084333779999994</v>
      </c>
      <c r="BX172" t="str">
        <f ca="1">IF(AND(ISNUMBER($BX$379),$B$252=1),$BX$379,HLOOKUP(INDIRECT(ADDRESS(2,COLUMN())),OFFSET($CL$2,0,0,ROW()-1,84),ROW()-1,FALSE))</f>
        <v/>
      </c>
      <c r="BY172" t="str">
        <f ca="1">IF(AND(ISNUMBER($BY$379),$B$252=1),$BY$379,HLOOKUP(INDIRECT(ADDRESS(2,COLUMN())),OFFSET($CL$2,0,0,ROW()-1,84),ROW()-1,FALSE))</f>
        <v/>
      </c>
      <c r="BZ172">
        <f ca="1">IF(AND(ISNUMBER($BZ$379),$B$252=1),$BZ$379,HLOOKUP(INDIRECT(ADDRESS(2,COLUMN())),OFFSET($CL$2,0,0,ROW()-1,84),ROW()-1,FALSE))</f>
        <v>75.82212165</v>
      </c>
      <c r="CA172" t="str">
        <f ca="1">IF(AND(ISNUMBER($CA$379),$B$252=1),$CA$379,HLOOKUP(INDIRECT(ADDRESS(2,COLUMN())),OFFSET($CL$2,0,0,ROW()-1,84),ROW()-1,FALSE))</f>
        <v/>
      </c>
      <c r="CB172" t="str">
        <f ca="1">IF(AND(ISNUMBER($CB$379),$B$252=1),$CB$379,HLOOKUP(INDIRECT(ADDRESS(2,COLUMN())),OFFSET($CL$2,0,0,ROW()-1,84),ROW()-1,FALSE))</f>
        <v/>
      </c>
      <c r="CC172">
        <f ca="1">IF(AND(ISNUMBER($CC$379),$B$252=1),$CC$379,HLOOKUP(INDIRECT(ADDRESS(2,COLUMN())),OFFSET($CL$2,0,0,ROW()-1,84),ROW()-1,FALSE))</f>
        <v>74.899920640000005</v>
      </c>
      <c r="CD172" t="str">
        <f ca="1">IF(AND(ISNUMBER($CD$379),$B$252=1),$CD$379,HLOOKUP(INDIRECT(ADDRESS(2,COLUMN())),OFFSET($CL$2,0,0,ROW()-1,84),ROW()-1,FALSE))</f>
        <v/>
      </c>
      <c r="CE172" t="str">
        <f ca="1">IF(AND(ISNUMBER($CE$379),$B$252=1),$CE$379,HLOOKUP(INDIRECT(ADDRESS(2,COLUMN())),OFFSET($CL$2,0,0,ROW()-1,84),ROW()-1,FALSE))</f>
        <v/>
      </c>
      <c r="CF172">
        <f ca="1">IF(AND(ISNUMBER($CF$379),$B$252=1),$CF$379,HLOOKUP(INDIRECT(ADDRESS(2,COLUMN())),OFFSET($CL$2,0,0,ROW()-1,84),ROW()-1,FALSE))</f>
        <v>78.820861260000001</v>
      </c>
      <c r="CG172" t="str">
        <f ca="1">IF(AND(ISNUMBER($CG$379),$B$252=1),$CG$379,HLOOKUP(INDIRECT(ADDRESS(2,COLUMN())),OFFSET($CL$2,0,0,ROW()-1,84),ROW()-1,FALSE))</f>
        <v/>
      </c>
      <c r="CH172" t="str">
        <f ca="1">IF(AND(ISNUMBER($CH$379),$B$252=1),$CH$379,HLOOKUP(INDIRECT(ADDRESS(2,COLUMN())),OFFSET($CL$2,0,0,ROW()-1,84),ROW()-1,FALSE))</f>
        <v/>
      </c>
      <c r="CI172">
        <f ca="1">IF(AND(ISNUMBER($CI$379),$B$252=1),$CI$379,HLOOKUP(INDIRECT(ADDRESS(2,COLUMN())),OFFSET($CL$2,0,0,ROW()-1,84),ROW()-1,FALSE))</f>
        <v>79.18955425</v>
      </c>
      <c r="CJ172" t="str">
        <f ca="1">IF(AND(ISNUMBER($CJ$379),$B$252=1),$CJ$379,HLOOKUP(INDIRECT(ADDRESS(2,COLUMN())),OFFSET($CL$2,0,0,ROW()-1,84),ROW()-1,FALSE))</f>
        <v/>
      </c>
      <c r="CK172" t="str">
        <f ca="1">IF(AND(ISNUMBER($CK$379),$B$252=1),$CK$379,HLOOKUP(INDIRECT(ADDRESS(2,COLUMN())),OFFSET($CL$2,0,0,ROW()-1,84),ROW()-1,FALSE))</f>
        <v/>
      </c>
      <c r="CL172" t="str">
        <f>""</f>
        <v/>
      </c>
      <c r="CM172" t="str">
        <f>""</f>
        <v/>
      </c>
      <c r="CN172" t="str">
        <f>""</f>
        <v/>
      </c>
      <c r="CO172">
        <f>65.10252052</f>
        <v>65.102520519999999</v>
      </c>
      <c r="CP172" t="str">
        <f>""</f>
        <v/>
      </c>
      <c r="CQ172" t="str">
        <f>""</f>
        <v/>
      </c>
      <c r="CR172">
        <f>60.61010704</f>
        <v>60.610107040000003</v>
      </c>
      <c r="CS172" t="str">
        <f>""</f>
        <v/>
      </c>
      <c r="CT172" t="str">
        <f>""</f>
        <v/>
      </c>
      <c r="CU172">
        <f>74.75447586</f>
        <v>74.754475859999999</v>
      </c>
      <c r="CV172" t="str">
        <f>""</f>
        <v/>
      </c>
      <c r="CW172" t="str">
        <f>""</f>
        <v/>
      </c>
      <c r="CX172">
        <f>69.82837075</f>
        <v>69.828370750000005</v>
      </c>
      <c r="CY172" t="str">
        <f>""</f>
        <v/>
      </c>
      <c r="CZ172" t="str">
        <f>""</f>
        <v/>
      </c>
      <c r="DA172">
        <f>64.35608164</f>
        <v>64.356081639999999</v>
      </c>
      <c r="DB172" t="str">
        <f>""</f>
        <v/>
      </c>
      <c r="DC172" t="str">
        <f>""</f>
        <v/>
      </c>
      <c r="DD172">
        <f>64.03226085</f>
        <v>64.03226085</v>
      </c>
      <c r="DE172" t="str">
        <f>""</f>
        <v/>
      </c>
      <c r="DF172" t="str">
        <f>""</f>
        <v/>
      </c>
      <c r="DG172">
        <f>67.75531837</f>
        <v>67.755318369999998</v>
      </c>
      <c r="DH172" t="str">
        <f>""</f>
        <v/>
      </c>
      <c r="DI172" t="str">
        <f>""</f>
        <v/>
      </c>
      <c r="DJ172">
        <f>65.06551599</f>
        <v>65.065515989999994</v>
      </c>
      <c r="DK172" t="str">
        <f>""</f>
        <v/>
      </c>
      <c r="DL172" t="str">
        <f>""</f>
        <v/>
      </c>
      <c r="DM172">
        <f>63.39027595</f>
        <v>63.390275950000003</v>
      </c>
      <c r="DN172" t="str">
        <f>""</f>
        <v/>
      </c>
      <c r="DO172" t="str">
        <f>""</f>
        <v/>
      </c>
      <c r="DP172">
        <f>62.93020057</f>
        <v>62.930200569999997</v>
      </c>
      <c r="DQ172" t="str">
        <f>""</f>
        <v/>
      </c>
      <c r="DR172" t="str">
        <f>""</f>
        <v/>
      </c>
      <c r="DS172">
        <f>57.18549681</f>
        <v>57.185496809999997</v>
      </c>
      <c r="DT172" t="str">
        <f>""</f>
        <v/>
      </c>
      <c r="DU172" t="str">
        <f>""</f>
        <v/>
      </c>
      <c r="DV172">
        <f>65.93382473</f>
        <v>65.933824729999998</v>
      </c>
      <c r="DW172" t="str">
        <f>""</f>
        <v/>
      </c>
      <c r="DX172" t="str">
        <f>""</f>
        <v/>
      </c>
      <c r="DY172">
        <f>65.60535197</f>
        <v>65.605351970000001</v>
      </c>
      <c r="DZ172" t="str">
        <f>""</f>
        <v/>
      </c>
      <c r="EA172" t="str">
        <f>""</f>
        <v/>
      </c>
      <c r="EB172">
        <f>54.25499874</f>
        <v>54.254998739999998</v>
      </c>
      <c r="EC172" t="str">
        <f>""</f>
        <v/>
      </c>
      <c r="ED172" t="str">
        <f>""</f>
        <v/>
      </c>
      <c r="EE172">
        <f>68.36699837</f>
        <v>68.366998370000005</v>
      </c>
      <c r="EF172" t="str">
        <f>""</f>
        <v/>
      </c>
      <c r="EG172" t="str">
        <f>""</f>
        <v/>
      </c>
      <c r="EH172">
        <f>70.61711574</f>
        <v>70.617115740000003</v>
      </c>
      <c r="EI172" t="str">
        <f>""</f>
        <v/>
      </c>
      <c r="EJ172" t="str">
        <f>""</f>
        <v/>
      </c>
      <c r="EK172">
        <f>70.88827914</f>
        <v>70.888279139999995</v>
      </c>
      <c r="EL172" t="str">
        <f>""</f>
        <v/>
      </c>
      <c r="EM172" t="str">
        <f>""</f>
        <v/>
      </c>
      <c r="EN172">
        <f>90.28305762</f>
        <v>90.283057619999994</v>
      </c>
      <c r="EO172" t="str">
        <f>""</f>
        <v/>
      </c>
      <c r="EP172" t="str">
        <f>""</f>
        <v/>
      </c>
      <c r="EQ172">
        <f>69.0303828</f>
        <v>69.030382799999998</v>
      </c>
      <c r="ER172" t="str">
        <f>""</f>
        <v/>
      </c>
      <c r="ES172" t="str">
        <f>""</f>
        <v/>
      </c>
      <c r="ET172">
        <f>148.0061153</f>
        <v>148.0061153</v>
      </c>
      <c r="EU172" t="str">
        <f>""</f>
        <v/>
      </c>
      <c r="EV172" t="str">
        <f>""</f>
        <v/>
      </c>
      <c r="EW172">
        <f>84.94737245</f>
        <v>84.947372450000003</v>
      </c>
      <c r="EX172" t="str">
        <f>""</f>
        <v/>
      </c>
      <c r="EY172" t="str">
        <f>""</f>
        <v/>
      </c>
      <c r="EZ172">
        <f>67.57672124</f>
        <v>67.576721239999998</v>
      </c>
      <c r="FA172" t="str">
        <f>""</f>
        <v/>
      </c>
      <c r="FB172" t="str">
        <f>""</f>
        <v/>
      </c>
      <c r="FC172">
        <f>73.08433378</f>
        <v>73.084333779999994</v>
      </c>
      <c r="FD172" t="str">
        <f>""</f>
        <v/>
      </c>
      <c r="FE172" t="str">
        <f>""</f>
        <v/>
      </c>
      <c r="FF172">
        <f>75.82212165</f>
        <v>75.82212165</v>
      </c>
      <c r="FG172" t="str">
        <f>""</f>
        <v/>
      </c>
      <c r="FH172" t="str">
        <f>""</f>
        <v/>
      </c>
      <c r="FI172">
        <f>74.89992064</f>
        <v>74.899920640000005</v>
      </c>
      <c r="FJ172" t="str">
        <f>""</f>
        <v/>
      </c>
      <c r="FK172" t="str">
        <f>""</f>
        <v/>
      </c>
      <c r="FL172">
        <f>78.82086126</f>
        <v>78.820861260000001</v>
      </c>
      <c r="FM172" t="str">
        <f>""</f>
        <v/>
      </c>
      <c r="FN172" t="str">
        <f>""</f>
        <v/>
      </c>
      <c r="FO172">
        <f>79.18955425</f>
        <v>79.18955425</v>
      </c>
      <c r="FP172" t="str">
        <f>""</f>
        <v/>
      </c>
      <c r="FQ172" t="str">
        <f>""</f>
        <v/>
      </c>
    </row>
    <row r="173" spans="1:173">
      <c r="A173" t="str">
        <f>"    Camden 房地产信托公司"</f>
        <v xml:space="preserve">    Camden 房地产信托公司</v>
      </c>
      <c r="B173" t="str">
        <f>"CPT US Equity"</f>
        <v>CPT US Equity</v>
      </c>
      <c r="C173" t="str">
        <f t="shared" si="54"/>
        <v>RR106</v>
      </c>
      <c r="D173" t="str">
        <f t="shared" si="55"/>
        <v>FFO_PAYOUT_RATIO</v>
      </c>
      <c r="E173" t="str">
        <f t="shared" si="56"/>
        <v>动态</v>
      </c>
      <c r="F173" t="str">
        <f ca="1">IF(AND(ISNUMBER($F$380),$B$252=1),$F$380,HLOOKUP(INDIRECT(ADDRESS(2,COLUMN())),OFFSET($CL$2,0,0,ROW()-1,84),ROW()-1,FALSE))</f>
        <v/>
      </c>
      <c r="G173" t="str">
        <f ca="1">IF(AND(ISNUMBER($G$380),$B$252=1),$G$380,HLOOKUP(INDIRECT(ADDRESS(2,COLUMN())),OFFSET($CL$2,0,0,ROW()-1,84),ROW()-1,FALSE))</f>
        <v/>
      </c>
      <c r="H173" t="str">
        <f ca="1">IF(AND(ISNUMBER($H$380),$B$252=1),$H$380,HLOOKUP(INDIRECT(ADDRESS(2,COLUMN())),OFFSET($CL$2,0,0,ROW()-1,84),ROW()-1,FALSE))</f>
        <v/>
      </c>
      <c r="I173">
        <f ca="1">IF(AND(ISNUMBER($I$380),$B$252=1),$I$380,HLOOKUP(INDIRECT(ADDRESS(2,COLUMN())),OFFSET($CL$2,0,0,ROW()-1,84),ROW()-1,FALSE))</f>
        <v>62.136627910000001</v>
      </c>
      <c r="J173" t="str">
        <f ca="1">IF(AND(ISNUMBER($J$380),$B$252=1),$J$380,HLOOKUP(INDIRECT(ADDRESS(2,COLUMN())),OFFSET($CL$2,0,0,ROW()-1,84),ROW()-1,FALSE))</f>
        <v/>
      </c>
      <c r="K173" t="str">
        <f ca="1">IF(AND(ISNUMBER($K$380),$B$252=1),$K$380,HLOOKUP(INDIRECT(ADDRESS(2,COLUMN())),OFFSET($CL$2,0,0,ROW()-1,84),ROW()-1,FALSE))</f>
        <v/>
      </c>
      <c r="L173">
        <f ca="1">IF(AND(ISNUMBER($L$380),$B$252=1),$L$380,HLOOKUP(INDIRECT(ADDRESS(2,COLUMN())),OFFSET($CL$2,0,0,ROW()-1,84),ROW()-1,FALSE))</f>
        <v>66.150047970000003</v>
      </c>
      <c r="M173" t="str">
        <f ca="1">IF(AND(ISNUMBER($M$380),$B$252=1),$M$380,HLOOKUP(INDIRECT(ADDRESS(2,COLUMN())),OFFSET($CL$2,0,0,ROW()-1,84),ROW()-1,FALSE))</f>
        <v/>
      </c>
      <c r="N173" t="str">
        <f ca="1">IF(AND(ISNUMBER($N$380),$B$252=1),$N$380,HLOOKUP(INDIRECT(ADDRESS(2,COLUMN())),OFFSET($CL$2,0,0,ROW()-1,84),ROW()-1,FALSE))</f>
        <v/>
      </c>
      <c r="O173">
        <f ca="1">IF(AND(ISNUMBER($O$380),$B$252=1),$O$380,HLOOKUP(INDIRECT(ADDRESS(2,COLUMN())),OFFSET($CL$2,0,0,ROW()-1,84),ROW()-1,FALSE))</f>
        <v>63.766772349999997</v>
      </c>
      <c r="P173" t="str">
        <f ca="1">IF(AND(ISNUMBER($P$380),$B$252=1),$P$380,HLOOKUP(INDIRECT(ADDRESS(2,COLUMN())),OFFSET($CL$2,0,0,ROW()-1,84),ROW()-1,FALSE))</f>
        <v/>
      </c>
      <c r="Q173" t="str">
        <f ca="1">IF(AND(ISNUMBER($Q$380),$B$252=1),$Q$380,HLOOKUP(INDIRECT(ADDRESS(2,COLUMN())),OFFSET($CL$2,0,0,ROW()-1,84),ROW()-1,FALSE))</f>
        <v/>
      </c>
      <c r="R173">
        <f ca="1">IF(AND(ISNUMBER($R$380),$B$252=1),$R$380,HLOOKUP(INDIRECT(ADDRESS(2,COLUMN())),OFFSET($CL$2,0,0,ROW()-1,84),ROW()-1,FALSE))</f>
        <v>67.205171640000003</v>
      </c>
      <c r="S173" t="str">
        <f ca="1">IF(AND(ISNUMBER($S$380),$B$252=1),$S$380,HLOOKUP(INDIRECT(ADDRESS(2,COLUMN())),OFFSET($CL$2,0,0,ROW()-1,84),ROW()-1,FALSE))</f>
        <v/>
      </c>
      <c r="T173" t="str">
        <f ca="1">IF(AND(ISNUMBER($T$380),$B$252=1),$T$380,HLOOKUP(INDIRECT(ADDRESS(2,COLUMN())),OFFSET($CL$2,0,0,ROW()-1,84),ROW()-1,FALSE))</f>
        <v/>
      </c>
      <c r="U173">
        <f ca="1">IF(AND(ISNUMBER($U$380),$B$252=1),$U$380,HLOOKUP(INDIRECT(ADDRESS(2,COLUMN())),OFFSET($CL$2,0,0,ROW()-1,84),ROW()-1,FALSE))</f>
        <v>63.773165689999999</v>
      </c>
      <c r="V173" t="str">
        <f ca="1">IF(AND(ISNUMBER($V$380),$B$252=1),$V$380,HLOOKUP(INDIRECT(ADDRESS(2,COLUMN())),OFFSET($CL$2,0,0,ROW()-1,84),ROW()-1,FALSE))</f>
        <v/>
      </c>
      <c r="W173" t="str">
        <f ca="1">IF(AND(ISNUMBER($W$380),$B$252=1),$W$380,HLOOKUP(INDIRECT(ADDRESS(2,COLUMN())),OFFSET($CL$2,0,0,ROW()-1,84),ROW()-1,FALSE))</f>
        <v/>
      </c>
      <c r="X173">
        <f ca="1">IF(AND(ISNUMBER($X$380),$B$252=1),$X$380,HLOOKUP(INDIRECT(ADDRESS(2,COLUMN())),OFFSET($CL$2,0,0,ROW()-1,84),ROW()-1,FALSE))</f>
        <v>430.14141530000001</v>
      </c>
      <c r="Y173" t="str">
        <f ca="1">IF(AND(ISNUMBER($Y$380),$B$252=1),$Y$380,HLOOKUP(INDIRECT(ADDRESS(2,COLUMN())),OFFSET($CL$2,0,0,ROW()-1,84),ROW()-1,FALSE))</f>
        <v/>
      </c>
      <c r="Z173" t="str">
        <f ca="1">IF(AND(ISNUMBER($Z$380),$B$252=1),$Z$380,HLOOKUP(INDIRECT(ADDRESS(2,COLUMN())),OFFSET($CL$2,0,0,ROW()-1,84),ROW()-1,FALSE))</f>
        <v/>
      </c>
      <c r="AA173">
        <f ca="1">IF(AND(ISNUMBER($AA$380),$B$252=1),$AA$380,HLOOKUP(INDIRECT(ADDRESS(2,COLUMN())),OFFSET($CL$2,0,0,ROW()-1,84),ROW()-1,FALSE))</f>
        <v>63.620498589999997</v>
      </c>
      <c r="AB173" t="str">
        <f ca="1">IF(AND(ISNUMBER($AB$380),$B$252=1),$AB$380,HLOOKUP(INDIRECT(ADDRESS(2,COLUMN())),OFFSET($CL$2,0,0,ROW()-1,84),ROW()-1,FALSE))</f>
        <v/>
      </c>
      <c r="AC173" t="str">
        <f ca="1">IF(AND(ISNUMBER($AC$380),$B$252=1),$AC$380,HLOOKUP(INDIRECT(ADDRESS(2,COLUMN())),OFFSET($CL$2,0,0,ROW()-1,84),ROW()-1,FALSE))</f>
        <v/>
      </c>
      <c r="AD173">
        <f ca="1">IF(AND(ISNUMBER($AD$380),$B$252=1),$AD$380,HLOOKUP(INDIRECT(ADDRESS(2,COLUMN())),OFFSET($CL$2,0,0,ROW()-1,84),ROW()-1,FALSE))</f>
        <v>60.855508129999997</v>
      </c>
      <c r="AE173" t="str">
        <f ca="1">IF(AND(ISNUMBER($AE$380),$B$252=1),$AE$380,HLOOKUP(INDIRECT(ADDRESS(2,COLUMN())),OFFSET($CL$2,0,0,ROW()-1,84),ROW()-1,FALSE))</f>
        <v/>
      </c>
      <c r="AF173" t="str">
        <f ca="1">IF(AND(ISNUMBER($AF$380),$B$252=1),$AF$380,HLOOKUP(INDIRECT(ADDRESS(2,COLUMN())),OFFSET($CL$2,0,0,ROW()-1,84),ROW()-1,FALSE))</f>
        <v/>
      </c>
      <c r="AG173">
        <f ca="1">IF(AND(ISNUMBER($AG$380),$B$252=1),$AG$380,HLOOKUP(INDIRECT(ADDRESS(2,COLUMN())),OFFSET($CL$2,0,0,ROW()-1,84),ROW()-1,FALSE))</f>
        <v>56.964191200000002</v>
      </c>
      <c r="AH173" t="str">
        <f ca="1">IF(AND(ISNUMBER($AH$380),$B$252=1),$AH$380,HLOOKUP(INDIRECT(ADDRESS(2,COLUMN())),OFFSET($CL$2,0,0,ROW()-1,84),ROW()-1,FALSE))</f>
        <v/>
      </c>
      <c r="AI173" t="str">
        <f ca="1">IF(AND(ISNUMBER($AI$380),$B$252=1),$AI$380,HLOOKUP(INDIRECT(ADDRESS(2,COLUMN())),OFFSET($CL$2,0,0,ROW()-1,84),ROW()-1,FALSE))</f>
        <v/>
      </c>
      <c r="AJ173">
        <f ca="1">IF(AND(ISNUMBER($AJ$380),$B$252=1),$AJ$380,HLOOKUP(INDIRECT(ADDRESS(2,COLUMN())),OFFSET($CL$2,0,0,ROW()-1,84),ROW()-1,FALSE))</f>
        <v>59.815230100000001</v>
      </c>
      <c r="AK173" t="str">
        <f ca="1">IF(AND(ISNUMBER($AK$380),$B$252=1),$AK$380,HLOOKUP(INDIRECT(ADDRESS(2,COLUMN())),OFFSET($CL$2,0,0,ROW()-1,84),ROW()-1,FALSE))</f>
        <v/>
      </c>
      <c r="AL173" t="str">
        <f ca="1">IF(AND(ISNUMBER($AL$380),$B$252=1),$AL$380,HLOOKUP(INDIRECT(ADDRESS(2,COLUMN())),OFFSET($CL$2,0,0,ROW()-1,84),ROW()-1,FALSE))</f>
        <v/>
      </c>
      <c r="AM173">
        <f ca="1">IF(AND(ISNUMBER($AM$380),$B$252=1),$AM$380,HLOOKUP(INDIRECT(ADDRESS(2,COLUMN())),OFFSET($CL$2,0,0,ROW()-1,84),ROW()-1,FALSE))</f>
        <v>61.158847909999999</v>
      </c>
      <c r="AN173" t="str">
        <f ca="1">IF(AND(ISNUMBER($AN$380),$B$252=1),$AN$380,HLOOKUP(INDIRECT(ADDRESS(2,COLUMN())),OFFSET($CL$2,0,0,ROW()-1,84),ROW()-1,FALSE))</f>
        <v/>
      </c>
      <c r="AO173" t="str">
        <f ca="1">IF(AND(ISNUMBER($AO$380),$B$252=1),$AO$380,HLOOKUP(INDIRECT(ADDRESS(2,COLUMN())),OFFSET($CL$2,0,0,ROW()-1,84),ROW()-1,FALSE))</f>
        <v/>
      </c>
      <c r="AP173">
        <f ca="1">IF(AND(ISNUMBER($AP$380),$B$252=1),$AP$380,HLOOKUP(INDIRECT(ADDRESS(2,COLUMN())),OFFSET($CL$2,0,0,ROW()-1,84),ROW()-1,FALSE))</f>
        <v>63.22152079</v>
      </c>
      <c r="AQ173" t="str">
        <f ca="1">IF(AND(ISNUMBER($AQ$380),$B$252=1),$AQ$380,HLOOKUP(INDIRECT(ADDRESS(2,COLUMN())),OFFSET($CL$2,0,0,ROW()-1,84),ROW()-1,FALSE))</f>
        <v/>
      </c>
      <c r="AR173" t="str">
        <f ca="1">IF(AND(ISNUMBER($AR$380),$B$252=1),$AR$380,HLOOKUP(INDIRECT(ADDRESS(2,COLUMN())),OFFSET($CL$2,0,0,ROW()-1,84),ROW()-1,FALSE))</f>
        <v/>
      </c>
      <c r="AS173">
        <f ca="1">IF(AND(ISNUMBER($AS$380),$B$252=1),$AS$380,HLOOKUP(INDIRECT(ADDRESS(2,COLUMN())),OFFSET($CL$2,0,0,ROW()-1,84),ROW()-1,FALSE))</f>
        <v>64.7944605</v>
      </c>
      <c r="AT173" t="str">
        <f ca="1">IF(AND(ISNUMBER($AT$380),$B$252=1),$AT$380,HLOOKUP(INDIRECT(ADDRESS(2,COLUMN())),OFFSET($CL$2,0,0,ROW()-1,84),ROW()-1,FALSE))</f>
        <v/>
      </c>
      <c r="AU173" t="str">
        <f ca="1">IF(AND(ISNUMBER($AU$380),$B$252=1),$AU$380,HLOOKUP(INDIRECT(ADDRESS(2,COLUMN())),OFFSET($CL$2,0,0,ROW()-1,84),ROW()-1,FALSE))</f>
        <v/>
      </c>
      <c r="AV173">
        <f ca="1">IF(AND(ISNUMBER($AV$380),$B$252=1),$AV$380,HLOOKUP(INDIRECT(ADDRESS(2,COLUMN())),OFFSET($CL$2,0,0,ROW()-1,84),ROW()-1,FALSE))</f>
        <v>58.935448579999999</v>
      </c>
      <c r="AW173" t="str">
        <f ca="1">IF(AND(ISNUMBER($AW$380),$B$252=1),$AW$380,HLOOKUP(INDIRECT(ADDRESS(2,COLUMN())),OFFSET($CL$2,0,0,ROW()-1,84),ROW()-1,FALSE))</f>
        <v/>
      </c>
      <c r="AX173" t="str">
        <f ca="1">IF(AND(ISNUMBER($AX$380),$B$252=1),$AX$380,HLOOKUP(INDIRECT(ADDRESS(2,COLUMN())),OFFSET($CL$2,0,0,ROW()-1,84),ROW()-1,FALSE))</f>
        <v/>
      </c>
      <c r="AY173">
        <f ca="1">IF(AND(ISNUMBER($AY$380),$B$252=1),$AY$380,HLOOKUP(INDIRECT(ADDRESS(2,COLUMN())),OFFSET($CL$2,0,0,ROW()-1,84),ROW()-1,FALSE))</f>
        <v>61.569674829999997</v>
      </c>
      <c r="AZ173" t="str">
        <f ca="1">IF(AND(ISNUMBER($AZ$380),$B$252=1),$AZ$380,HLOOKUP(INDIRECT(ADDRESS(2,COLUMN())),OFFSET($CL$2,0,0,ROW()-1,84),ROW()-1,FALSE))</f>
        <v/>
      </c>
      <c r="BA173" t="str">
        <f ca="1">IF(AND(ISNUMBER($BA$380),$B$252=1),$BA$380,HLOOKUP(INDIRECT(ADDRESS(2,COLUMN())),OFFSET($CL$2,0,0,ROW()-1,84),ROW()-1,FALSE))</f>
        <v/>
      </c>
      <c r="BB173">
        <f ca="1">IF(AND(ISNUMBER($BB$380),$B$252=1),$BB$380,HLOOKUP(INDIRECT(ADDRESS(2,COLUMN())),OFFSET($CL$2,0,0,ROW()-1,84),ROW()-1,FALSE))</f>
        <v>61.002256619999997</v>
      </c>
      <c r="BC173" t="str">
        <f ca="1">IF(AND(ISNUMBER($BC$380),$B$252=1),$BC$380,HLOOKUP(INDIRECT(ADDRESS(2,COLUMN())),OFFSET($CL$2,0,0,ROW()-1,84),ROW()-1,FALSE))</f>
        <v/>
      </c>
      <c r="BD173" t="str">
        <f ca="1">IF(AND(ISNUMBER($BD$380),$B$252=1),$BD$380,HLOOKUP(INDIRECT(ADDRESS(2,COLUMN())),OFFSET($CL$2,0,0,ROW()-1,84),ROW()-1,FALSE))</f>
        <v/>
      </c>
      <c r="BE173">
        <f ca="1">IF(AND(ISNUMBER($BE$380),$B$252=1),$BE$380,HLOOKUP(INDIRECT(ADDRESS(2,COLUMN())),OFFSET($CL$2,0,0,ROW()-1,84),ROW()-1,FALSE))</f>
        <v>56.853674390000002</v>
      </c>
      <c r="BF173" t="str">
        <f ca="1">IF(AND(ISNUMBER($BF$380),$B$252=1),$BF$380,HLOOKUP(INDIRECT(ADDRESS(2,COLUMN())),OFFSET($CL$2,0,0,ROW()-1,84),ROW()-1,FALSE))</f>
        <v/>
      </c>
      <c r="BG173" t="str">
        <f ca="1">IF(AND(ISNUMBER($BG$380),$B$252=1),$BG$380,HLOOKUP(INDIRECT(ADDRESS(2,COLUMN())),OFFSET($CL$2,0,0,ROW()-1,84),ROW()-1,FALSE))</f>
        <v/>
      </c>
      <c r="BH173">
        <f ca="1">IF(AND(ISNUMBER($BH$380),$B$252=1),$BH$380,HLOOKUP(INDIRECT(ADDRESS(2,COLUMN())),OFFSET($CL$2,0,0,ROW()-1,84),ROW()-1,FALSE))</f>
        <v>59.030183219999998</v>
      </c>
      <c r="BI173" t="str">
        <f ca="1">IF(AND(ISNUMBER($BI$380),$B$252=1),$BI$380,HLOOKUP(INDIRECT(ADDRESS(2,COLUMN())),OFFSET($CL$2,0,0,ROW()-1,84),ROW()-1,FALSE))</f>
        <v/>
      </c>
      <c r="BJ173" t="str">
        <f ca="1">IF(AND(ISNUMBER($BJ$380),$B$252=1),$BJ$380,HLOOKUP(INDIRECT(ADDRESS(2,COLUMN())),OFFSET($CL$2,0,0,ROW()-1,84),ROW()-1,FALSE))</f>
        <v/>
      </c>
      <c r="BK173">
        <f ca="1">IF(AND(ISNUMBER($BK$380),$B$252=1),$BK$380,HLOOKUP(INDIRECT(ADDRESS(2,COLUMN())),OFFSET($CL$2,0,0,ROW()-1,84),ROW()-1,FALSE))</f>
        <v>60.068597859999997</v>
      </c>
      <c r="BL173" t="str">
        <f ca="1">IF(AND(ISNUMBER($BL$380),$B$252=1),$BL$380,HLOOKUP(INDIRECT(ADDRESS(2,COLUMN())),OFFSET($CL$2,0,0,ROW()-1,84),ROW()-1,FALSE))</f>
        <v/>
      </c>
      <c r="BM173" t="str">
        <f ca="1">IF(AND(ISNUMBER($BM$380),$B$252=1),$BM$380,HLOOKUP(INDIRECT(ADDRESS(2,COLUMN())),OFFSET($CL$2,0,0,ROW()-1,84),ROW()-1,FALSE))</f>
        <v/>
      </c>
      <c r="BN173">
        <f ca="1">IF(AND(ISNUMBER($BN$380),$B$252=1),$BN$380,HLOOKUP(INDIRECT(ADDRESS(2,COLUMN())),OFFSET($CL$2,0,0,ROW()-1,84),ROW()-1,FALSE))</f>
        <v>63.052360010000001</v>
      </c>
      <c r="BO173" t="str">
        <f ca="1">IF(AND(ISNUMBER($BO$380),$B$252=1),$BO$380,HLOOKUP(INDIRECT(ADDRESS(2,COLUMN())),OFFSET($CL$2,0,0,ROW()-1,84),ROW()-1,FALSE))</f>
        <v/>
      </c>
      <c r="BP173" t="str">
        <f ca="1">IF(AND(ISNUMBER($BP$380),$B$252=1),$BP$380,HLOOKUP(INDIRECT(ADDRESS(2,COLUMN())),OFFSET($CL$2,0,0,ROW()-1,84),ROW()-1,FALSE))</f>
        <v/>
      </c>
      <c r="BQ173">
        <f ca="1">IF(AND(ISNUMBER($BQ$380),$B$252=1),$BQ$380,HLOOKUP(INDIRECT(ADDRESS(2,COLUMN())),OFFSET($CL$2,0,0,ROW()-1,84),ROW()-1,FALSE))</f>
        <v>56.241132110000002</v>
      </c>
      <c r="BR173" t="str">
        <f ca="1">IF(AND(ISNUMBER($BR$380),$B$252=1),$BR$380,HLOOKUP(INDIRECT(ADDRESS(2,COLUMN())),OFFSET($CL$2,0,0,ROW()-1,84),ROW()-1,FALSE))</f>
        <v/>
      </c>
      <c r="BS173" t="str">
        <f ca="1">IF(AND(ISNUMBER($BS$380),$B$252=1),$BS$380,HLOOKUP(INDIRECT(ADDRESS(2,COLUMN())),OFFSET($CL$2,0,0,ROW()-1,84),ROW()-1,FALSE))</f>
        <v/>
      </c>
      <c r="BT173">
        <f ca="1">IF(AND(ISNUMBER($BT$380),$B$252=1),$BT$380,HLOOKUP(INDIRECT(ADDRESS(2,COLUMN())),OFFSET($CL$2,0,0,ROW()-1,84),ROW()-1,FALSE))</f>
        <v>58.399230330000002</v>
      </c>
      <c r="BU173" t="str">
        <f ca="1">IF(AND(ISNUMBER($BU$380),$B$252=1),$BU$380,HLOOKUP(INDIRECT(ADDRESS(2,COLUMN())),OFFSET($CL$2,0,0,ROW()-1,84),ROW()-1,FALSE))</f>
        <v/>
      </c>
      <c r="BV173" t="str">
        <f ca="1">IF(AND(ISNUMBER($BV$380),$B$252=1),$BV$380,HLOOKUP(INDIRECT(ADDRESS(2,COLUMN())),OFFSET($CL$2,0,0,ROW()-1,84),ROW()-1,FALSE))</f>
        <v/>
      </c>
      <c r="BW173">
        <f ca="1">IF(AND(ISNUMBER($BW$380),$B$252=1),$BW$380,HLOOKUP(INDIRECT(ADDRESS(2,COLUMN())),OFFSET($CL$2,0,0,ROW()-1,84),ROW()-1,FALSE))</f>
        <v>60.757010440000002</v>
      </c>
      <c r="BX173" t="str">
        <f ca="1">IF(AND(ISNUMBER($BX$380),$B$252=1),$BX$380,HLOOKUP(INDIRECT(ADDRESS(2,COLUMN())),OFFSET($CL$2,0,0,ROW()-1,84),ROW()-1,FALSE))</f>
        <v/>
      </c>
      <c r="BY173" t="str">
        <f ca="1">IF(AND(ISNUMBER($BY$380),$B$252=1),$BY$380,HLOOKUP(INDIRECT(ADDRESS(2,COLUMN())),OFFSET($CL$2,0,0,ROW()-1,84),ROW()-1,FALSE))</f>
        <v/>
      </c>
      <c r="BZ173">
        <f ca="1">IF(AND(ISNUMBER($BZ$380),$B$252=1),$BZ$380,HLOOKUP(INDIRECT(ADDRESS(2,COLUMN())),OFFSET($CL$2,0,0,ROW()-1,84),ROW()-1,FALSE))</f>
        <v>65.222703350000003</v>
      </c>
      <c r="CA173" t="str">
        <f ca="1">IF(AND(ISNUMBER($CA$380),$B$252=1),$CA$380,HLOOKUP(INDIRECT(ADDRESS(2,COLUMN())),OFFSET($CL$2,0,0,ROW()-1,84),ROW()-1,FALSE))</f>
        <v/>
      </c>
      <c r="CB173" t="str">
        <f ca="1">IF(AND(ISNUMBER($CB$380),$B$252=1),$CB$380,HLOOKUP(INDIRECT(ADDRESS(2,COLUMN())),OFFSET($CL$2,0,0,ROW()-1,84),ROW()-1,FALSE))</f>
        <v/>
      </c>
      <c r="CC173">
        <f ca="1">IF(AND(ISNUMBER($CC$380),$B$252=1),$CC$380,HLOOKUP(INDIRECT(ADDRESS(2,COLUMN())),OFFSET($CL$2,0,0,ROW()-1,84),ROW()-1,FALSE))</f>
        <v>56.04988796</v>
      </c>
      <c r="CD173" t="str">
        <f ca="1">IF(AND(ISNUMBER($CD$380),$B$252=1),$CD$380,HLOOKUP(INDIRECT(ADDRESS(2,COLUMN())),OFFSET($CL$2,0,0,ROW()-1,84),ROW()-1,FALSE))</f>
        <v/>
      </c>
      <c r="CE173" t="str">
        <f ca="1">IF(AND(ISNUMBER($CE$380),$B$252=1),$CE$380,HLOOKUP(INDIRECT(ADDRESS(2,COLUMN())),OFFSET($CL$2,0,0,ROW()-1,84),ROW()-1,FALSE))</f>
        <v/>
      </c>
      <c r="CF173">
        <f ca="1">IF(AND(ISNUMBER($CF$380),$B$252=1),$CF$380,HLOOKUP(INDIRECT(ADDRESS(2,COLUMN())),OFFSET($CL$2,0,0,ROW()-1,84),ROW()-1,FALSE))</f>
        <v>61.027734789999997</v>
      </c>
      <c r="CG173" t="str">
        <f ca="1">IF(AND(ISNUMBER($CG$380),$B$252=1),$CG$380,HLOOKUP(INDIRECT(ADDRESS(2,COLUMN())),OFFSET($CL$2,0,0,ROW()-1,84),ROW()-1,FALSE))</f>
        <v/>
      </c>
      <c r="CH173" t="str">
        <f ca="1">IF(AND(ISNUMBER($CH$380),$B$252=1),$CH$380,HLOOKUP(INDIRECT(ADDRESS(2,COLUMN())),OFFSET($CL$2,0,0,ROW()-1,84),ROW()-1,FALSE))</f>
        <v/>
      </c>
      <c r="CI173">
        <f ca="1">IF(AND(ISNUMBER($CI$380),$B$252=1),$CI$380,HLOOKUP(INDIRECT(ADDRESS(2,COLUMN())),OFFSET($CL$2,0,0,ROW()-1,84),ROW()-1,FALSE))</f>
        <v>116.7937465</v>
      </c>
      <c r="CJ173" t="str">
        <f ca="1">IF(AND(ISNUMBER($CJ$380),$B$252=1),$CJ$380,HLOOKUP(INDIRECT(ADDRESS(2,COLUMN())),OFFSET($CL$2,0,0,ROW()-1,84),ROW()-1,FALSE))</f>
        <v/>
      </c>
      <c r="CK173" t="str">
        <f ca="1">IF(AND(ISNUMBER($CK$380),$B$252=1),$CK$380,HLOOKUP(INDIRECT(ADDRESS(2,COLUMN())),OFFSET($CL$2,0,0,ROW()-1,84),ROW()-1,FALSE))</f>
        <v/>
      </c>
      <c r="CL173" t="str">
        <f>""</f>
        <v/>
      </c>
      <c r="CM173" t="str">
        <f>""</f>
        <v/>
      </c>
      <c r="CN173" t="str">
        <f>""</f>
        <v/>
      </c>
      <c r="CO173">
        <f>62.13662791</f>
        <v>62.136627910000001</v>
      </c>
      <c r="CP173" t="str">
        <f>""</f>
        <v/>
      </c>
      <c r="CQ173" t="str">
        <f>""</f>
        <v/>
      </c>
      <c r="CR173">
        <f>66.15004797</f>
        <v>66.150047970000003</v>
      </c>
      <c r="CS173" t="str">
        <f>""</f>
        <v/>
      </c>
      <c r="CT173" t="str">
        <f>""</f>
        <v/>
      </c>
      <c r="CU173">
        <f>63.76677235</f>
        <v>63.766772349999997</v>
      </c>
      <c r="CV173" t="str">
        <f>""</f>
        <v/>
      </c>
      <c r="CW173" t="str">
        <f>""</f>
        <v/>
      </c>
      <c r="CX173">
        <f>67.20517164</f>
        <v>67.205171640000003</v>
      </c>
      <c r="CY173" t="str">
        <f>""</f>
        <v/>
      </c>
      <c r="CZ173" t="str">
        <f>""</f>
        <v/>
      </c>
      <c r="DA173">
        <f>63.77316569</f>
        <v>63.773165689999999</v>
      </c>
      <c r="DB173" t="str">
        <f>""</f>
        <v/>
      </c>
      <c r="DC173" t="str">
        <f>""</f>
        <v/>
      </c>
      <c r="DD173">
        <f>430.1414153</f>
        <v>430.14141530000001</v>
      </c>
      <c r="DE173" t="str">
        <f>""</f>
        <v/>
      </c>
      <c r="DF173" t="str">
        <f>""</f>
        <v/>
      </c>
      <c r="DG173">
        <f>63.62049859</f>
        <v>63.620498589999997</v>
      </c>
      <c r="DH173" t="str">
        <f>""</f>
        <v/>
      </c>
      <c r="DI173" t="str">
        <f>""</f>
        <v/>
      </c>
      <c r="DJ173">
        <f>60.85550813</f>
        <v>60.855508129999997</v>
      </c>
      <c r="DK173" t="str">
        <f>""</f>
        <v/>
      </c>
      <c r="DL173" t="str">
        <f>""</f>
        <v/>
      </c>
      <c r="DM173">
        <f>56.9641912</f>
        <v>56.964191200000002</v>
      </c>
      <c r="DN173" t="str">
        <f>""</f>
        <v/>
      </c>
      <c r="DO173" t="str">
        <f>""</f>
        <v/>
      </c>
      <c r="DP173">
        <f>59.8152301</f>
        <v>59.815230100000001</v>
      </c>
      <c r="DQ173" t="str">
        <f>""</f>
        <v/>
      </c>
      <c r="DR173" t="str">
        <f>""</f>
        <v/>
      </c>
      <c r="DS173">
        <f>61.15884791</f>
        <v>61.158847909999999</v>
      </c>
      <c r="DT173" t="str">
        <f>""</f>
        <v/>
      </c>
      <c r="DU173" t="str">
        <f>""</f>
        <v/>
      </c>
      <c r="DV173">
        <f>63.22152079</f>
        <v>63.22152079</v>
      </c>
      <c r="DW173" t="str">
        <f>""</f>
        <v/>
      </c>
      <c r="DX173" t="str">
        <f>""</f>
        <v/>
      </c>
      <c r="DY173">
        <f>64.7944605</f>
        <v>64.7944605</v>
      </c>
      <c r="DZ173" t="str">
        <f>""</f>
        <v/>
      </c>
      <c r="EA173" t="str">
        <f>""</f>
        <v/>
      </c>
      <c r="EB173">
        <f>58.93544858</f>
        <v>58.935448579999999</v>
      </c>
      <c r="EC173" t="str">
        <f>""</f>
        <v/>
      </c>
      <c r="ED173" t="str">
        <f>""</f>
        <v/>
      </c>
      <c r="EE173">
        <f>61.56967483</f>
        <v>61.569674829999997</v>
      </c>
      <c r="EF173" t="str">
        <f>""</f>
        <v/>
      </c>
      <c r="EG173" t="str">
        <f>""</f>
        <v/>
      </c>
      <c r="EH173">
        <f>61.00225662</f>
        <v>61.002256619999997</v>
      </c>
      <c r="EI173" t="str">
        <f>""</f>
        <v/>
      </c>
      <c r="EJ173" t="str">
        <f>""</f>
        <v/>
      </c>
      <c r="EK173">
        <f>56.85367439</f>
        <v>56.853674390000002</v>
      </c>
      <c r="EL173" t="str">
        <f>""</f>
        <v/>
      </c>
      <c r="EM173" t="str">
        <f>""</f>
        <v/>
      </c>
      <c r="EN173">
        <f>59.03018322</f>
        <v>59.030183219999998</v>
      </c>
      <c r="EO173" t="str">
        <f>""</f>
        <v/>
      </c>
      <c r="EP173" t="str">
        <f>""</f>
        <v/>
      </c>
      <c r="EQ173">
        <f>60.06859786</f>
        <v>60.068597859999997</v>
      </c>
      <c r="ER173" t="str">
        <f>""</f>
        <v/>
      </c>
      <c r="ES173" t="str">
        <f>""</f>
        <v/>
      </c>
      <c r="ET173">
        <f>63.05236001</f>
        <v>63.052360010000001</v>
      </c>
      <c r="EU173" t="str">
        <f>""</f>
        <v/>
      </c>
      <c r="EV173" t="str">
        <f>""</f>
        <v/>
      </c>
      <c r="EW173">
        <f>56.24113211</f>
        <v>56.241132110000002</v>
      </c>
      <c r="EX173" t="str">
        <f>""</f>
        <v/>
      </c>
      <c r="EY173" t="str">
        <f>""</f>
        <v/>
      </c>
      <c r="EZ173">
        <f>58.39923033</f>
        <v>58.399230330000002</v>
      </c>
      <c r="FA173" t="str">
        <f>""</f>
        <v/>
      </c>
      <c r="FB173" t="str">
        <f>""</f>
        <v/>
      </c>
      <c r="FC173">
        <f>60.75701044</f>
        <v>60.757010440000002</v>
      </c>
      <c r="FD173" t="str">
        <f>""</f>
        <v/>
      </c>
      <c r="FE173" t="str">
        <f>""</f>
        <v/>
      </c>
      <c r="FF173">
        <f>65.22270335</f>
        <v>65.222703350000003</v>
      </c>
      <c r="FG173" t="str">
        <f>""</f>
        <v/>
      </c>
      <c r="FH173" t="str">
        <f>""</f>
        <v/>
      </c>
      <c r="FI173">
        <f>56.04988796</f>
        <v>56.04988796</v>
      </c>
      <c r="FJ173" t="str">
        <f>""</f>
        <v/>
      </c>
      <c r="FK173" t="str">
        <f>""</f>
        <v/>
      </c>
      <c r="FL173">
        <f>61.02773479</f>
        <v>61.027734789999997</v>
      </c>
      <c r="FM173" t="str">
        <f>""</f>
        <v/>
      </c>
      <c r="FN173" t="str">
        <f>""</f>
        <v/>
      </c>
      <c r="FO173">
        <f>116.7937465</f>
        <v>116.7937465</v>
      </c>
      <c r="FP173" t="str">
        <f>""</f>
        <v/>
      </c>
      <c r="FQ173" t="str">
        <f>""</f>
        <v/>
      </c>
    </row>
    <row r="174" spans="1:173">
      <c r="A174" t="str">
        <f>"    公寓物业权益信托"</f>
        <v xml:space="preserve">    公寓物业权益信托</v>
      </c>
      <c r="B174" t="str">
        <f>"EQR US Equity"</f>
        <v>EQR US Equity</v>
      </c>
      <c r="C174" t="str">
        <f t="shared" si="54"/>
        <v>RR106</v>
      </c>
      <c r="D174" t="str">
        <f t="shared" si="55"/>
        <v>FFO_PAYOUT_RATIO</v>
      </c>
      <c r="E174" t="str">
        <f t="shared" si="56"/>
        <v>动态</v>
      </c>
      <c r="F174" t="str">
        <f ca="1">IF(AND(ISNUMBER($F$381),$B$252=1),$F$381,HLOOKUP(INDIRECT(ADDRESS(2,COLUMN())),OFFSET($CL$2,0,0,ROW()-1,84),ROW()-1,FALSE))</f>
        <v/>
      </c>
      <c r="G174" t="str">
        <f ca="1">IF(AND(ISNUMBER($G$381),$B$252=1),$G$381,HLOOKUP(INDIRECT(ADDRESS(2,COLUMN())),OFFSET($CL$2,0,0,ROW()-1,84),ROW()-1,FALSE))</f>
        <v/>
      </c>
      <c r="H174" t="str">
        <f ca="1">IF(AND(ISNUMBER($H$381),$B$252=1),$H$381,HLOOKUP(INDIRECT(ADDRESS(2,COLUMN())),OFFSET($CL$2,0,0,ROW()-1,84),ROW()-1,FALSE))</f>
        <v/>
      </c>
      <c r="I174">
        <f ca="1">IF(AND(ISNUMBER($I$381),$B$252=1),$I$381,HLOOKUP(INDIRECT(ADDRESS(2,COLUMN())),OFFSET($CL$2,0,0,ROW()-1,84),ROW()-1,FALSE))</f>
        <v>59.13287485</v>
      </c>
      <c r="J174" t="str">
        <f ca="1">IF(AND(ISNUMBER($J$381),$B$252=1),$J$381,HLOOKUP(INDIRECT(ADDRESS(2,COLUMN())),OFFSET($CL$2,0,0,ROW()-1,84),ROW()-1,FALSE))</f>
        <v/>
      </c>
      <c r="K174" t="str">
        <f ca="1">IF(AND(ISNUMBER($K$381),$B$252=1),$K$381,HLOOKUP(INDIRECT(ADDRESS(2,COLUMN())),OFFSET($CL$2,0,0,ROW()-1,84),ROW()-1,FALSE))</f>
        <v/>
      </c>
      <c r="L174">
        <f ca="1">IF(AND(ISNUMBER($L$381),$B$252=1),$L$381,HLOOKUP(INDIRECT(ADDRESS(2,COLUMN())),OFFSET($CL$2,0,0,ROW()-1,84),ROW()-1,FALSE))</f>
        <v>59.931092329999998</v>
      </c>
      <c r="M174" t="str">
        <f ca="1">IF(AND(ISNUMBER($M$381),$B$252=1),$M$381,HLOOKUP(INDIRECT(ADDRESS(2,COLUMN())),OFFSET($CL$2,0,0,ROW()-1,84),ROW()-1,FALSE))</f>
        <v/>
      </c>
      <c r="N174" t="str">
        <f ca="1">IF(AND(ISNUMBER($N$381),$B$252=1),$N$381,HLOOKUP(INDIRECT(ADDRESS(2,COLUMN())),OFFSET($CL$2,0,0,ROW()-1,84),ROW()-1,FALSE))</f>
        <v/>
      </c>
      <c r="O174">
        <f ca="1">IF(AND(ISNUMBER($O$381),$B$252=1),$O$381,HLOOKUP(INDIRECT(ADDRESS(2,COLUMN())),OFFSET($CL$2,0,0,ROW()-1,84),ROW()-1,FALSE))</f>
        <v>62.890954979999997</v>
      </c>
      <c r="P174" t="str">
        <f ca="1">IF(AND(ISNUMBER($P$381),$B$252=1),$P$381,HLOOKUP(INDIRECT(ADDRESS(2,COLUMN())),OFFSET($CL$2,0,0,ROW()-1,84),ROW()-1,FALSE))</f>
        <v/>
      </c>
      <c r="Q174" t="str">
        <f ca="1">IF(AND(ISNUMBER($Q$381),$B$252=1),$Q$381,HLOOKUP(INDIRECT(ADDRESS(2,COLUMN())),OFFSET($CL$2,0,0,ROW()-1,84),ROW()-1,FALSE))</f>
        <v/>
      </c>
      <c r="R174">
        <f ca="1">IF(AND(ISNUMBER($R$381),$B$252=1),$R$381,HLOOKUP(INDIRECT(ADDRESS(2,COLUMN())),OFFSET($CL$2,0,0,ROW()-1,84),ROW()-1,FALSE))</f>
        <v>63.77307828</v>
      </c>
      <c r="S174" t="str">
        <f ca="1">IF(AND(ISNUMBER($S$381),$B$252=1),$S$381,HLOOKUP(INDIRECT(ADDRESS(2,COLUMN())),OFFSET($CL$2,0,0,ROW()-1,84),ROW()-1,FALSE))</f>
        <v/>
      </c>
      <c r="T174" t="str">
        <f ca="1">IF(AND(ISNUMBER($T$381),$B$252=1),$T$381,HLOOKUP(INDIRECT(ADDRESS(2,COLUMN())),OFFSET($CL$2,0,0,ROW()-1,84),ROW()-1,FALSE))</f>
        <v/>
      </c>
      <c r="U174">
        <f ca="1">IF(AND(ISNUMBER($U$381),$B$252=1),$U$381,HLOOKUP(INDIRECT(ADDRESS(2,COLUMN())),OFFSET($CL$2,0,0,ROW()-1,84),ROW()-1,FALSE))</f>
        <v>60.282054729999999</v>
      </c>
      <c r="V174" t="str">
        <f ca="1">IF(AND(ISNUMBER($V$381),$B$252=1),$V$381,HLOOKUP(INDIRECT(ADDRESS(2,COLUMN())),OFFSET($CL$2,0,0,ROW()-1,84),ROW()-1,FALSE))</f>
        <v/>
      </c>
      <c r="W174" t="str">
        <f ca="1">IF(AND(ISNUMBER($W$381),$B$252=1),$W$381,HLOOKUP(INDIRECT(ADDRESS(2,COLUMN())),OFFSET($CL$2,0,0,ROW()-1,84),ROW()-1,FALSE))</f>
        <v/>
      </c>
      <c r="X174">
        <f ca="1">IF(AND(ISNUMBER($X$381),$B$252=1),$X$381,HLOOKUP(INDIRECT(ADDRESS(2,COLUMN())),OFFSET($CL$2,0,0,ROW()-1,84),ROW()-1,FALSE))</f>
        <v>804.64154340000005</v>
      </c>
      <c r="Y174" t="str">
        <f ca="1">IF(AND(ISNUMBER($Y$381),$B$252=1),$Y$381,HLOOKUP(INDIRECT(ADDRESS(2,COLUMN())),OFFSET($CL$2,0,0,ROW()-1,84),ROW()-1,FALSE))</f>
        <v/>
      </c>
      <c r="Z174" t="str">
        <f ca="1">IF(AND(ISNUMBER($Z$381),$B$252=1),$Z$381,HLOOKUP(INDIRECT(ADDRESS(2,COLUMN())),OFFSET($CL$2,0,0,ROW()-1,84),ROW()-1,FALSE))</f>
        <v/>
      </c>
      <c r="AA174">
        <f ca="1">IF(AND(ISNUMBER($AA$381),$B$252=1),$AA$381,HLOOKUP(INDIRECT(ADDRESS(2,COLUMN())),OFFSET($CL$2,0,0,ROW()-1,84),ROW()-1,FALSE))</f>
        <v>53.352257260000002</v>
      </c>
      <c r="AB174" t="str">
        <f ca="1">IF(AND(ISNUMBER($AB$381),$B$252=1),$AB$381,HLOOKUP(INDIRECT(ADDRESS(2,COLUMN())),OFFSET($CL$2,0,0,ROW()-1,84),ROW()-1,FALSE))</f>
        <v/>
      </c>
      <c r="AC174" t="str">
        <f ca="1">IF(AND(ISNUMBER($AC$381),$B$252=1),$AC$381,HLOOKUP(INDIRECT(ADDRESS(2,COLUMN())),OFFSET($CL$2,0,0,ROW()-1,84),ROW()-1,FALSE))</f>
        <v/>
      </c>
      <c r="AD174">
        <f ca="1">IF(AND(ISNUMBER($AD$381),$B$252=1),$AD$381,HLOOKUP(INDIRECT(ADDRESS(2,COLUMN())),OFFSET($CL$2,0,0,ROW()-1,84),ROW()-1,FALSE))</f>
        <v>3370.6419700000001</v>
      </c>
      <c r="AE174" t="str">
        <f ca="1">IF(AND(ISNUMBER($AE$381),$B$252=1),$AE$381,HLOOKUP(INDIRECT(ADDRESS(2,COLUMN())),OFFSET($CL$2,0,0,ROW()-1,84),ROW()-1,FALSE))</f>
        <v/>
      </c>
      <c r="AF174" t="str">
        <f ca="1">IF(AND(ISNUMBER($AF$381),$B$252=1),$AF$381,HLOOKUP(INDIRECT(ADDRESS(2,COLUMN())),OFFSET($CL$2,0,0,ROW()-1,84),ROW()-1,FALSE))</f>
        <v/>
      </c>
      <c r="AG174">
        <f ca="1">IF(AND(ISNUMBER($AG$381),$B$252=1),$AG$381,HLOOKUP(INDIRECT(ADDRESS(2,COLUMN())),OFFSET($CL$2,0,0,ROW()-1,84),ROW()-1,FALSE))</f>
        <v>57.177347509999997</v>
      </c>
      <c r="AH174" t="str">
        <f ca="1">IF(AND(ISNUMBER($AH$381),$B$252=1),$AH$381,HLOOKUP(INDIRECT(ADDRESS(2,COLUMN())),OFFSET($CL$2,0,0,ROW()-1,84),ROW()-1,FALSE))</f>
        <v/>
      </c>
      <c r="AI174" t="str">
        <f ca="1">IF(AND(ISNUMBER($AI$381),$B$252=1),$AI$381,HLOOKUP(INDIRECT(ADDRESS(2,COLUMN())),OFFSET($CL$2,0,0,ROW()-1,84),ROW()-1,FALSE))</f>
        <v/>
      </c>
      <c r="AJ174">
        <f ca="1">IF(AND(ISNUMBER($AJ$381),$B$252=1),$AJ$381,HLOOKUP(INDIRECT(ADDRESS(2,COLUMN())),OFFSET($CL$2,0,0,ROW()-1,84),ROW()-1,FALSE))</f>
        <v>60.585717019999997</v>
      </c>
      <c r="AK174" t="str">
        <f ca="1">IF(AND(ISNUMBER($AK$381),$B$252=1),$AK$381,HLOOKUP(INDIRECT(ADDRESS(2,COLUMN())),OFFSET($CL$2,0,0,ROW()-1,84),ROW()-1,FALSE))</f>
        <v/>
      </c>
      <c r="AL174" t="str">
        <f ca="1">IF(AND(ISNUMBER($AL$381),$B$252=1),$AL$381,HLOOKUP(INDIRECT(ADDRESS(2,COLUMN())),OFFSET($CL$2,0,0,ROW()-1,84),ROW()-1,FALSE))</f>
        <v/>
      </c>
      <c r="AM174">
        <f ca="1">IF(AND(ISNUMBER($AM$381),$B$252=1),$AM$381,HLOOKUP(INDIRECT(ADDRESS(2,COLUMN())),OFFSET($CL$2,0,0,ROW()-1,84),ROW()-1,FALSE))</f>
        <v>58.839184420000002</v>
      </c>
      <c r="AN174" t="str">
        <f ca="1">IF(AND(ISNUMBER($AN$381),$B$252=1),$AN$381,HLOOKUP(INDIRECT(ADDRESS(2,COLUMN())),OFFSET($CL$2,0,0,ROW()-1,84),ROW()-1,FALSE))</f>
        <v/>
      </c>
      <c r="AO174" t="str">
        <f ca="1">IF(AND(ISNUMBER($AO$381),$B$252=1),$AO$381,HLOOKUP(INDIRECT(ADDRESS(2,COLUMN())),OFFSET($CL$2,0,0,ROW()-1,84),ROW()-1,FALSE))</f>
        <v/>
      </c>
      <c r="AP174">
        <f ca="1">IF(AND(ISNUMBER($AP$381),$B$252=1),$AP$381,HLOOKUP(INDIRECT(ADDRESS(2,COLUMN())),OFFSET($CL$2,0,0,ROW()-1,84),ROW()-1,FALSE))</f>
        <v>67.013734349999993</v>
      </c>
      <c r="AQ174" t="str">
        <f ca="1">IF(AND(ISNUMBER($AQ$381),$B$252=1),$AQ$381,HLOOKUP(INDIRECT(ADDRESS(2,COLUMN())),OFFSET($CL$2,0,0,ROW()-1,84),ROW()-1,FALSE))</f>
        <v/>
      </c>
      <c r="AR174" t="str">
        <f ca="1">IF(AND(ISNUMBER($AR$381),$B$252=1),$AR$381,HLOOKUP(INDIRECT(ADDRESS(2,COLUMN())),OFFSET($CL$2,0,0,ROW()-1,84),ROW()-1,FALSE))</f>
        <v/>
      </c>
      <c r="AS174">
        <f ca="1">IF(AND(ISNUMBER($AS$381),$B$252=1),$AS$381,HLOOKUP(INDIRECT(ADDRESS(2,COLUMN())),OFFSET($CL$2,0,0,ROW()-1,84),ROW()-1,FALSE))</f>
        <v>55.069655089999998</v>
      </c>
      <c r="AT174" t="str">
        <f ca="1">IF(AND(ISNUMBER($AT$381),$B$252=1),$AT$381,HLOOKUP(INDIRECT(ADDRESS(2,COLUMN())),OFFSET($CL$2,0,0,ROW()-1,84),ROW()-1,FALSE))</f>
        <v/>
      </c>
      <c r="AU174" t="str">
        <f ca="1">IF(AND(ISNUMBER($AU$381),$B$252=1),$AU$381,HLOOKUP(INDIRECT(ADDRESS(2,COLUMN())),OFFSET($CL$2,0,0,ROW()-1,84),ROW()-1,FALSE))</f>
        <v/>
      </c>
      <c r="AV174">
        <f ca="1">IF(AND(ISNUMBER($AV$381),$B$252=1),$AV$381,HLOOKUP(INDIRECT(ADDRESS(2,COLUMN())),OFFSET($CL$2,0,0,ROW()-1,84),ROW()-1,FALSE))</f>
        <v>59.09006187</v>
      </c>
      <c r="AW174" t="str">
        <f ca="1">IF(AND(ISNUMBER($AW$381),$B$252=1),$AW$381,HLOOKUP(INDIRECT(ADDRESS(2,COLUMN())),OFFSET($CL$2,0,0,ROW()-1,84),ROW()-1,FALSE))</f>
        <v/>
      </c>
      <c r="AX174" t="str">
        <f ca="1">IF(AND(ISNUMBER($AX$381),$B$252=1),$AX$381,HLOOKUP(INDIRECT(ADDRESS(2,COLUMN())),OFFSET($CL$2,0,0,ROW()-1,84),ROW()-1,FALSE))</f>
        <v/>
      </c>
      <c r="AY174">
        <f ca="1">IF(AND(ISNUMBER($AY$381),$B$252=1),$AY$381,HLOOKUP(INDIRECT(ADDRESS(2,COLUMN())),OFFSET($CL$2,0,0,ROW()-1,84),ROW()-1,FALSE))</f>
        <v>62.042217919999999</v>
      </c>
      <c r="AZ174" t="str">
        <f ca="1">IF(AND(ISNUMBER($AZ$381),$B$252=1),$AZ$381,HLOOKUP(INDIRECT(ADDRESS(2,COLUMN())),OFFSET($CL$2,0,0,ROW()-1,84),ROW()-1,FALSE))</f>
        <v/>
      </c>
      <c r="BA174" t="str">
        <f ca="1">IF(AND(ISNUMBER($BA$381),$B$252=1),$BA$381,HLOOKUP(INDIRECT(ADDRESS(2,COLUMN())),OFFSET($CL$2,0,0,ROW()-1,84),ROW()-1,FALSE))</f>
        <v/>
      </c>
      <c r="BB174">
        <f ca="1">IF(AND(ISNUMBER($BB$381),$B$252=1),$BB$381,HLOOKUP(INDIRECT(ADDRESS(2,COLUMN())),OFFSET($CL$2,0,0,ROW()-1,84),ROW()-1,FALSE))</f>
        <v>67.850622090000002</v>
      </c>
      <c r="BC174" t="str">
        <f ca="1">IF(AND(ISNUMBER($BC$381),$B$252=1),$BC$381,HLOOKUP(INDIRECT(ADDRESS(2,COLUMN())),OFFSET($CL$2,0,0,ROW()-1,84),ROW()-1,FALSE))</f>
        <v/>
      </c>
      <c r="BD174" t="str">
        <f ca="1">IF(AND(ISNUMBER($BD$381),$B$252=1),$BD$381,HLOOKUP(INDIRECT(ADDRESS(2,COLUMN())),OFFSET($CL$2,0,0,ROW()-1,84),ROW()-1,FALSE))</f>
        <v/>
      </c>
      <c r="BE174">
        <f ca="1">IF(AND(ISNUMBER($BE$381),$B$252=1),$BE$381,HLOOKUP(INDIRECT(ADDRESS(2,COLUMN())),OFFSET($CL$2,0,0,ROW()-1,84),ROW()-1,FALSE))</f>
        <v>93.04819311</v>
      </c>
      <c r="BF174" t="str">
        <f ca="1">IF(AND(ISNUMBER($BF$381),$B$252=1),$BF$381,HLOOKUP(INDIRECT(ADDRESS(2,COLUMN())),OFFSET($CL$2,0,0,ROW()-1,84),ROW()-1,FALSE))</f>
        <v/>
      </c>
      <c r="BG174" t="str">
        <f ca="1">IF(AND(ISNUMBER($BG$381),$B$252=1),$BG$381,HLOOKUP(INDIRECT(ADDRESS(2,COLUMN())),OFFSET($CL$2,0,0,ROW()-1,84),ROW()-1,FALSE))</f>
        <v/>
      </c>
      <c r="BH174">
        <f ca="1">IF(AND(ISNUMBER($BH$381),$B$252=1),$BH$381,HLOOKUP(INDIRECT(ADDRESS(2,COLUMN())),OFFSET($CL$2,0,0,ROW()-1,84),ROW()-1,FALSE))</f>
        <v>53.849814790000003</v>
      </c>
      <c r="BI174" t="str">
        <f ca="1">IF(AND(ISNUMBER($BI$381),$B$252=1),$BI$381,HLOOKUP(INDIRECT(ADDRESS(2,COLUMN())),OFFSET($CL$2,0,0,ROW()-1,84),ROW()-1,FALSE))</f>
        <v/>
      </c>
      <c r="BJ174" t="str">
        <f ca="1">IF(AND(ISNUMBER($BJ$381),$B$252=1),$BJ$381,HLOOKUP(INDIRECT(ADDRESS(2,COLUMN())),OFFSET($CL$2,0,0,ROW()-1,84),ROW()-1,FALSE))</f>
        <v/>
      </c>
      <c r="BK174">
        <f ca="1">IF(AND(ISNUMBER($BK$381),$B$252=1),$BK$381,HLOOKUP(INDIRECT(ADDRESS(2,COLUMN())),OFFSET($CL$2,0,0,ROW()-1,84),ROW()-1,FALSE))</f>
        <v>52.386123220000002</v>
      </c>
      <c r="BL174" t="str">
        <f ca="1">IF(AND(ISNUMBER($BL$381),$B$252=1),$BL$381,HLOOKUP(INDIRECT(ADDRESS(2,COLUMN())),OFFSET($CL$2,0,0,ROW()-1,84),ROW()-1,FALSE))</f>
        <v/>
      </c>
      <c r="BM174" t="str">
        <f ca="1">IF(AND(ISNUMBER($BM$381),$B$252=1),$BM$381,HLOOKUP(INDIRECT(ADDRESS(2,COLUMN())),OFFSET($CL$2,0,0,ROW()-1,84),ROW()-1,FALSE))</f>
        <v/>
      </c>
      <c r="BN174">
        <f ca="1">IF(AND(ISNUMBER($BN$381),$B$252=1),$BN$381,HLOOKUP(INDIRECT(ADDRESS(2,COLUMN())),OFFSET($CL$2,0,0,ROW()-1,84),ROW()-1,FALSE))</f>
        <v>170.66895890000001</v>
      </c>
      <c r="BO174" t="str">
        <f ca="1">IF(AND(ISNUMBER($BO$381),$B$252=1),$BO$381,HLOOKUP(INDIRECT(ADDRESS(2,COLUMN())),OFFSET($CL$2,0,0,ROW()-1,84),ROW()-1,FALSE))</f>
        <v/>
      </c>
      <c r="BP174" t="str">
        <f ca="1">IF(AND(ISNUMBER($BP$381),$B$252=1),$BP$381,HLOOKUP(INDIRECT(ADDRESS(2,COLUMN())),OFFSET($CL$2,0,0,ROW()-1,84),ROW()-1,FALSE))</f>
        <v/>
      </c>
      <c r="BQ174">
        <f ca="1">IF(AND(ISNUMBER($BQ$381),$B$252=1),$BQ$381,HLOOKUP(INDIRECT(ADDRESS(2,COLUMN())),OFFSET($CL$2,0,0,ROW()-1,84),ROW()-1,FALSE))</f>
        <v>77.334497099999993</v>
      </c>
      <c r="BR174" t="str">
        <f ca="1">IF(AND(ISNUMBER($BR$381),$B$252=1),$BR$381,HLOOKUP(INDIRECT(ADDRESS(2,COLUMN())),OFFSET($CL$2,0,0,ROW()-1,84),ROW()-1,FALSE))</f>
        <v/>
      </c>
      <c r="BS174" t="str">
        <f ca="1">IF(AND(ISNUMBER($BS$381),$B$252=1),$BS$381,HLOOKUP(INDIRECT(ADDRESS(2,COLUMN())),OFFSET($CL$2,0,0,ROW()-1,84),ROW()-1,FALSE))</f>
        <v/>
      </c>
      <c r="BT174">
        <f ca="1">IF(AND(ISNUMBER($BT$381),$B$252=1),$BT$381,HLOOKUP(INDIRECT(ADDRESS(2,COLUMN())),OFFSET($CL$2,0,0,ROW()-1,84),ROW()-1,FALSE))</f>
        <v>34.792019459999999</v>
      </c>
      <c r="BU174" t="str">
        <f ca="1">IF(AND(ISNUMBER($BU$381),$B$252=1),$BU$381,HLOOKUP(INDIRECT(ADDRESS(2,COLUMN())),OFFSET($CL$2,0,0,ROW()-1,84),ROW()-1,FALSE))</f>
        <v/>
      </c>
      <c r="BV174" t="str">
        <f ca="1">IF(AND(ISNUMBER($BV$381),$B$252=1),$BV$381,HLOOKUP(INDIRECT(ADDRESS(2,COLUMN())),OFFSET($CL$2,0,0,ROW()-1,84),ROW()-1,FALSE))</f>
        <v/>
      </c>
      <c r="BW174">
        <f ca="1">IF(AND(ISNUMBER($BW$381),$B$252=1),$BW$381,HLOOKUP(INDIRECT(ADDRESS(2,COLUMN())),OFFSET($CL$2,0,0,ROW()-1,84),ROW()-1,FALSE))</f>
        <v>49.529291489999999</v>
      </c>
      <c r="BX174" t="str">
        <f ca="1">IF(AND(ISNUMBER($BX$381),$B$252=1),$BX$381,HLOOKUP(INDIRECT(ADDRESS(2,COLUMN())),OFFSET($CL$2,0,0,ROW()-1,84),ROW()-1,FALSE))</f>
        <v/>
      </c>
      <c r="BY174" t="str">
        <f ca="1">IF(AND(ISNUMBER($BY$381),$B$252=1),$BY$381,HLOOKUP(INDIRECT(ADDRESS(2,COLUMN())),OFFSET($CL$2,0,0,ROW()-1,84),ROW()-1,FALSE))</f>
        <v/>
      </c>
      <c r="BZ174">
        <f ca="1">IF(AND(ISNUMBER($BZ$381),$B$252=1),$BZ$381,HLOOKUP(INDIRECT(ADDRESS(2,COLUMN())),OFFSET($CL$2,0,0,ROW()-1,84),ROW()-1,FALSE))</f>
        <v>53.556961569999999</v>
      </c>
      <c r="CA174" t="str">
        <f ca="1">IF(AND(ISNUMBER($CA$381),$B$252=1),$CA$381,HLOOKUP(INDIRECT(ADDRESS(2,COLUMN())),OFFSET($CL$2,0,0,ROW()-1,84),ROW()-1,FALSE))</f>
        <v/>
      </c>
      <c r="CB174" t="str">
        <f ca="1">IF(AND(ISNUMBER($CB$381),$B$252=1),$CB$381,HLOOKUP(INDIRECT(ADDRESS(2,COLUMN())),OFFSET($CL$2,0,0,ROW()-1,84),ROW()-1,FALSE))</f>
        <v/>
      </c>
      <c r="CC174">
        <f ca="1">IF(AND(ISNUMBER($CC$381),$B$252=1),$CC$381,HLOOKUP(INDIRECT(ADDRESS(2,COLUMN())),OFFSET($CL$2,0,0,ROW()-1,84),ROW()-1,FALSE))</f>
        <v>83.414936040000001</v>
      </c>
      <c r="CD174" t="str">
        <f ca="1">IF(AND(ISNUMBER($CD$381),$B$252=1),$CD$381,HLOOKUP(INDIRECT(ADDRESS(2,COLUMN())),OFFSET($CL$2,0,0,ROW()-1,84),ROW()-1,FALSE))</f>
        <v/>
      </c>
      <c r="CE174" t="str">
        <f ca="1">IF(AND(ISNUMBER($CE$381),$B$252=1),$CE$381,HLOOKUP(INDIRECT(ADDRESS(2,COLUMN())),OFFSET($CL$2,0,0,ROW()-1,84),ROW()-1,FALSE))</f>
        <v/>
      </c>
      <c r="CF174">
        <f ca="1">IF(AND(ISNUMBER($CF$381),$B$252=1),$CF$381,HLOOKUP(INDIRECT(ADDRESS(2,COLUMN())),OFFSET($CL$2,0,0,ROW()-1,84),ROW()-1,FALSE))</f>
        <v>50.787148190000003</v>
      </c>
      <c r="CG174" t="str">
        <f ca="1">IF(AND(ISNUMBER($CG$381),$B$252=1),$CG$381,HLOOKUP(INDIRECT(ADDRESS(2,COLUMN())),OFFSET($CL$2,0,0,ROW()-1,84),ROW()-1,FALSE))</f>
        <v/>
      </c>
      <c r="CH174" t="str">
        <f ca="1">IF(AND(ISNUMBER($CH$381),$B$252=1),$CH$381,HLOOKUP(INDIRECT(ADDRESS(2,COLUMN())),OFFSET($CL$2,0,0,ROW()-1,84),ROW()-1,FALSE))</f>
        <v/>
      </c>
      <c r="CI174">
        <f ca="1">IF(AND(ISNUMBER($CI$381),$B$252=1),$CI$381,HLOOKUP(INDIRECT(ADDRESS(2,COLUMN())),OFFSET($CL$2,0,0,ROW()-1,84),ROW()-1,FALSE))</f>
        <v>55.024933050000001</v>
      </c>
      <c r="CJ174" t="str">
        <f ca="1">IF(AND(ISNUMBER($CJ$381),$B$252=1),$CJ$381,HLOOKUP(INDIRECT(ADDRESS(2,COLUMN())),OFFSET($CL$2,0,0,ROW()-1,84),ROW()-1,FALSE))</f>
        <v/>
      </c>
      <c r="CK174" t="str">
        <f ca="1">IF(AND(ISNUMBER($CK$381),$B$252=1),$CK$381,HLOOKUP(INDIRECT(ADDRESS(2,COLUMN())),OFFSET($CL$2,0,0,ROW()-1,84),ROW()-1,FALSE))</f>
        <v/>
      </c>
      <c r="CL174" t="str">
        <f>""</f>
        <v/>
      </c>
      <c r="CM174" t="str">
        <f>""</f>
        <v/>
      </c>
      <c r="CN174" t="str">
        <f>""</f>
        <v/>
      </c>
      <c r="CO174">
        <f>59.13287485</f>
        <v>59.13287485</v>
      </c>
      <c r="CP174" t="str">
        <f>""</f>
        <v/>
      </c>
      <c r="CQ174" t="str">
        <f>""</f>
        <v/>
      </c>
      <c r="CR174">
        <f>59.93109233</f>
        <v>59.931092329999998</v>
      </c>
      <c r="CS174" t="str">
        <f>""</f>
        <v/>
      </c>
      <c r="CT174" t="str">
        <f>""</f>
        <v/>
      </c>
      <c r="CU174">
        <f>62.89095498</f>
        <v>62.890954979999997</v>
      </c>
      <c r="CV174" t="str">
        <f>""</f>
        <v/>
      </c>
      <c r="CW174" t="str">
        <f>""</f>
        <v/>
      </c>
      <c r="CX174">
        <f>63.77307828</f>
        <v>63.77307828</v>
      </c>
      <c r="CY174" t="str">
        <f>""</f>
        <v/>
      </c>
      <c r="CZ174" t="str">
        <f>""</f>
        <v/>
      </c>
      <c r="DA174">
        <f>60.28205473</f>
        <v>60.282054729999999</v>
      </c>
      <c r="DB174" t="str">
        <f>""</f>
        <v/>
      </c>
      <c r="DC174" t="str">
        <f>""</f>
        <v/>
      </c>
      <c r="DD174">
        <f>804.6415434</f>
        <v>804.64154340000005</v>
      </c>
      <c r="DE174" t="str">
        <f>""</f>
        <v/>
      </c>
      <c r="DF174" t="str">
        <f>""</f>
        <v/>
      </c>
      <c r="DG174">
        <f>53.35225726</f>
        <v>53.352257260000002</v>
      </c>
      <c r="DH174" t="str">
        <f>""</f>
        <v/>
      </c>
      <c r="DI174" t="str">
        <f>""</f>
        <v/>
      </c>
      <c r="DJ174">
        <f>3370.64197</f>
        <v>3370.6419700000001</v>
      </c>
      <c r="DK174" t="str">
        <f>""</f>
        <v/>
      </c>
      <c r="DL174" t="str">
        <f>""</f>
        <v/>
      </c>
      <c r="DM174">
        <f>57.17734751</f>
        <v>57.177347509999997</v>
      </c>
      <c r="DN174" t="str">
        <f>""</f>
        <v/>
      </c>
      <c r="DO174" t="str">
        <f>""</f>
        <v/>
      </c>
      <c r="DP174">
        <f>60.58571702</f>
        <v>60.585717019999997</v>
      </c>
      <c r="DQ174" t="str">
        <f>""</f>
        <v/>
      </c>
      <c r="DR174" t="str">
        <f>""</f>
        <v/>
      </c>
      <c r="DS174">
        <f>58.83918442</f>
        <v>58.839184420000002</v>
      </c>
      <c r="DT174" t="str">
        <f>""</f>
        <v/>
      </c>
      <c r="DU174" t="str">
        <f>""</f>
        <v/>
      </c>
      <c r="DV174">
        <f>67.01373435</f>
        <v>67.013734349999993</v>
      </c>
      <c r="DW174" t="str">
        <f>""</f>
        <v/>
      </c>
      <c r="DX174" t="str">
        <f>""</f>
        <v/>
      </c>
      <c r="DY174">
        <f>55.06965509</f>
        <v>55.069655089999998</v>
      </c>
      <c r="DZ174" t="str">
        <f>""</f>
        <v/>
      </c>
      <c r="EA174" t="str">
        <f>""</f>
        <v/>
      </c>
      <c r="EB174">
        <f>59.09006187</f>
        <v>59.09006187</v>
      </c>
      <c r="EC174" t="str">
        <f>""</f>
        <v/>
      </c>
      <c r="ED174" t="str">
        <f>""</f>
        <v/>
      </c>
      <c r="EE174">
        <f>62.04221792</f>
        <v>62.042217919999999</v>
      </c>
      <c r="EF174" t="str">
        <f>""</f>
        <v/>
      </c>
      <c r="EG174" t="str">
        <f>""</f>
        <v/>
      </c>
      <c r="EH174">
        <f>67.85062209</f>
        <v>67.850622090000002</v>
      </c>
      <c r="EI174" t="str">
        <f>""</f>
        <v/>
      </c>
      <c r="EJ174" t="str">
        <f>""</f>
        <v/>
      </c>
      <c r="EK174">
        <f>93.04819311</f>
        <v>93.04819311</v>
      </c>
      <c r="EL174" t="str">
        <f>""</f>
        <v/>
      </c>
      <c r="EM174" t="str">
        <f>""</f>
        <v/>
      </c>
      <c r="EN174">
        <f>53.84981479</f>
        <v>53.849814790000003</v>
      </c>
      <c r="EO174" t="str">
        <f>""</f>
        <v/>
      </c>
      <c r="EP174" t="str">
        <f>""</f>
        <v/>
      </c>
      <c r="EQ174">
        <f>52.38612322</f>
        <v>52.386123220000002</v>
      </c>
      <c r="ER174" t="str">
        <f>""</f>
        <v/>
      </c>
      <c r="ES174" t="str">
        <f>""</f>
        <v/>
      </c>
      <c r="ET174">
        <f>170.6689589</f>
        <v>170.66895890000001</v>
      </c>
      <c r="EU174" t="str">
        <f>""</f>
        <v/>
      </c>
      <c r="EV174" t="str">
        <f>""</f>
        <v/>
      </c>
      <c r="EW174">
        <f>77.3344971</f>
        <v>77.334497099999993</v>
      </c>
      <c r="EX174" t="str">
        <f>""</f>
        <v/>
      </c>
      <c r="EY174" t="str">
        <f>""</f>
        <v/>
      </c>
      <c r="EZ174">
        <f>34.79201946</f>
        <v>34.792019459999999</v>
      </c>
      <c r="FA174" t="str">
        <f>""</f>
        <v/>
      </c>
      <c r="FB174" t="str">
        <f>""</f>
        <v/>
      </c>
      <c r="FC174">
        <f>49.52929149</f>
        <v>49.529291489999999</v>
      </c>
      <c r="FD174" t="str">
        <f>""</f>
        <v/>
      </c>
      <c r="FE174" t="str">
        <f>""</f>
        <v/>
      </c>
      <c r="FF174">
        <f>53.55696157</f>
        <v>53.556961569999999</v>
      </c>
      <c r="FG174" t="str">
        <f>""</f>
        <v/>
      </c>
      <c r="FH174" t="str">
        <f>""</f>
        <v/>
      </c>
      <c r="FI174">
        <f>83.41493604</f>
        <v>83.414936040000001</v>
      </c>
      <c r="FJ174" t="str">
        <f>""</f>
        <v/>
      </c>
      <c r="FK174" t="str">
        <f>""</f>
        <v/>
      </c>
      <c r="FL174">
        <f>50.78714819</f>
        <v>50.787148190000003</v>
      </c>
      <c r="FM174" t="str">
        <f>""</f>
        <v/>
      </c>
      <c r="FN174" t="str">
        <f>""</f>
        <v/>
      </c>
      <c r="FO174">
        <f>55.02493305</f>
        <v>55.024933050000001</v>
      </c>
      <c r="FP174" t="str">
        <f>""</f>
        <v/>
      </c>
      <c r="FQ174" t="str">
        <f>""</f>
        <v/>
      </c>
    </row>
    <row r="175" spans="1:173">
      <c r="A175" t="str">
        <f>"    埃塞克斯房地产信托公司"</f>
        <v xml:space="preserve">    埃塞克斯房地产信托公司</v>
      </c>
      <c r="B175" t="str">
        <f>"ESS US Equity"</f>
        <v>ESS US Equity</v>
      </c>
      <c r="C175" t="str">
        <f t="shared" si="54"/>
        <v>RR106</v>
      </c>
      <c r="D175" t="str">
        <f t="shared" si="55"/>
        <v>FFO_PAYOUT_RATIO</v>
      </c>
      <c r="E175" t="str">
        <f t="shared" si="56"/>
        <v>动态</v>
      </c>
      <c r="F175" t="str">
        <f ca="1">IF(AND(ISNUMBER($F$382),$B$252=1),$F$382,HLOOKUP(INDIRECT(ADDRESS(2,COLUMN())),OFFSET($CL$2,0,0,ROW()-1,84),ROW()-1,FALSE))</f>
        <v/>
      </c>
      <c r="G175" t="str">
        <f ca="1">IF(AND(ISNUMBER($G$382),$B$252=1),$G$382,HLOOKUP(INDIRECT(ADDRESS(2,COLUMN())),OFFSET($CL$2,0,0,ROW()-1,84),ROW()-1,FALSE))</f>
        <v/>
      </c>
      <c r="H175" t="str">
        <f ca="1">IF(AND(ISNUMBER($H$382),$B$252=1),$H$382,HLOOKUP(INDIRECT(ADDRESS(2,COLUMN())),OFFSET($CL$2,0,0,ROW()-1,84),ROW()-1,FALSE))</f>
        <v/>
      </c>
      <c r="I175">
        <f ca="1">IF(AND(ISNUMBER($I$382),$B$252=1),$I$382,HLOOKUP(INDIRECT(ADDRESS(2,COLUMN())),OFFSET($CL$2,0,0,ROW()-1,84),ROW()-1,FALSE))</f>
        <v>56.278304730000002</v>
      </c>
      <c r="J175" t="str">
        <f ca="1">IF(AND(ISNUMBER($J$382),$B$252=1),$J$382,HLOOKUP(INDIRECT(ADDRESS(2,COLUMN())),OFFSET($CL$2,0,0,ROW()-1,84),ROW()-1,FALSE))</f>
        <v/>
      </c>
      <c r="K175" t="str">
        <f ca="1">IF(AND(ISNUMBER($K$382),$B$252=1),$K$382,HLOOKUP(INDIRECT(ADDRESS(2,COLUMN())),OFFSET($CL$2,0,0,ROW()-1,84),ROW()-1,FALSE))</f>
        <v/>
      </c>
      <c r="L175">
        <f ca="1">IF(AND(ISNUMBER($L$382),$B$252=1),$L$382,HLOOKUP(INDIRECT(ADDRESS(2,COLUMN())),OFFSET($CL$2,0,0,ROW()-1,84),ROW()-1,FALSE))</f>
        <v>56.774965960000003</v>
      </c>
      <c r="M175" t="str">
        <f ca="1">IF(AND(ISNUMBER($M$382),$B$252=1),$M$382,HLOOKUP(INDIRECT(ADDRESS(2,COLUMN())),OFFSET($CL$2,0,0,ROW()-1,84),ROW()-1,FALSE))</f>
        <v/>
      </c>
      <c r="N175" t="str">
        <f ca="1">IF(AND(ISNUMBER($N$382),$B$252=1),$N$382,HLOOKUP(INDIRECT(ADDRESS(2,COLUMN())),OFFSET($CL$2,0,0,ROW()-1,84),ROW()-1,FALSE))</f>
        <v/>
      </c>
      <c r="O175">
        <f ca="1">IF(AND(ISNUMBER($O$382),$B$252=1),$O$382,HLOOKUP(INDIRECT(ADDRESS(2,COLUMN())),OFFSET($CL$2,0,0,ROW()-1,84),ROW()-1,FALSE))</f>
        <v>56.78551727</v>
      </c>
      <c r="P175" t="str">
        <f ca="1">IF(AND(ISNUMBER($P$382),$B$252=1),$P$382,HLOOKUP(INDIRECT(ADDRESS(2,COLUMN())),OFFSET($CL$2,0,0,ROW()-1,84),ROW()-1,FALSE))</f>
        <v/>
      </c>
      <c r="Q175" t="str">
        <f ca="1">IF(AND(ISNUMBER($Q$382),$B$252=1),$Q$382,HLOOKUP(INDIRECT(ADDRESS(2,COLUMN())),OFFSET($CL$2,0,0,ROW()-1,84),ROW()-1,FALSE))</f>
        <v/>
      </c>
      <c r="R175">
        <f ca="1">IF(AND(ISNUMBER($R$382),$B$252=1),$R$382,HLOOKUP(INDIRECT(ADDRESS(2,COLUMN())),OFFSET($CL$2,0,0,ROW()-1,84),ROW()-1,FALSE))</f>
        <v>57.131272600000003</v>
      </c>
      <c r="S175" t="str">
        <f ca="1">IF(AND(ISNUMBER($S$382),$B$252=1),$S$382,HLOOKUP(INDIRECT(ADDRESS(2,COLUMN())),OFFSET($CL$2,0,0,ROW()-1,84),ROW()-1,FALSE))</f>
        <v/>
      </c>
      <c r="T175" t="str">
        <f ca="1">IF(AND(ISNUMBER($T$382),$B$252=1),$T$382,HLOOKUP(INDIRECT(ADDRESS(2,COLUMN())),OFFSET($CL$2,0,0,ROW()-1,84),ROW()-1,FALSE))</f>
        <v/>
      </c>
      <c r="U175">
        <f ca="1">IF(AND(ISNUMBER($U$382),$B$252=1),$U$382,HLOOKUP(INDIRECT(ADDRESS(2,COLUMN())),OFFSET($CL$2,0,0,ROW()-1,84),ROW()-1,FALSE))</f>
        <v>54.183836220000003</v>
      </c>
      <c r="V175" t="str">
        <f ca="1">IF(AND(ISNUMBER($V$382),$B$252=1),$V$382,HLOOKUP(INDIRECT(ADDRESS(2,COLUMN())),OFFSET($CL$2,0,0,ROW()-1,84),ROW()-1,FALSE))</f>
        <v/>
      </c>
      <c r="W175" t="str">
        <f ca="1">IF(AND(ISNUMBER($W$382),$B$252=1),$W$382,HLOOKUP(INDIRECT(ADDRESS(2,COLUMN())),OFFSET($CL$2,0,0,ROW()-1,84),ROW()-1,FALSE))</f>
        <v/>
      </c>
      <c r="X175">
        <f ca="1">IF(AND(ISNUMBER($X$382),$B$252=1),$X$382,HLOOKUP(INDIRECT(ADDRESS(2,COLUMN())),OFFSET($CL$2,0,0,ROW()-1,84),ROW()-1,FALSE))</f>
        <v>54.84595762</v>
      </c>
      <c r="Y175" t="str">
        <f ca="1">IF(AND(ISNUMBER($Y$382),$B$252=1),$Y$382,HLOOKUP(INDIRECT(ADDRESS(2,COLUMN())),OFFSET($CL$2,0,0,ROW()-1,84),ROW()-1,FALSE))</f>
        <v/>
      </c>
      <c r="Z175" t="str">
        <f ca="1">IF(AND(ISNUMBER($Z$382),$B$252=1),$Z$382,HLOOKUP(INDIRECT(ADDRESS(2,COLUMN())),OFFSET($CL$2,0,0,ROW()-1,84),ROW()-1,FALSE))</f>
        <v/>
      </c>
      <c r="AA175">
        <f ca="1">IF(AND(ISNUMBER($AA$382),$B$252=1),$AA$382,HLOOKUP(INDIRECT(ADDRESS(2,COLUMN())),OFFSET($CL$2,0,0,ROW()-1,84),ROW()-1,FALSE))</f>
        <v>54.83447099</v>
      </c>
      <c r="AB175" t="str">
        <f ca="1">IF(AND(ISNUMBER($AB$382),$B$252=1),$AB$382,HLOOKUP(INDIRECT(ADDRESS(2,COLUMN())),OFFSET($CL$2,0,0,ROW()-1,84),ROW()-1,FALSE))</f>
        <v/>
      </c>
      <c r="AC175" t="str">
        <f ca="1">IF(AND(ISNUMBER($AC$382),$B$252=1),$AC$382,HLOOKUP(INDIRECT(ADDRESS(2,COLUMN())),OFFSET($CL$2,0,0,ROW()-1,84),ROW()-1,FALSE))</f>
        <v/>
      </c>
      <c r="AD175">
        <f ca="1">IF(AND(ISNUMBER($AD$382),$B$252=1),$AD$382,HLOOKUP(INDIRECT(ADDRESS(2,COLUMN())),OFFSET($CL$2,0,0,ROW()-1,84),ROW()-1,FALSE))</f>
        <v>58.43475316</v>
      </c>
      <c r="AE175" t="str">
        <f ca="1">IF(AND(ISNUMBER($AE$382),$B$252=1),$AE$382,HLOOKUP(INDIRECT(ADDRESS(2,COLUMN())),OFFSET($CL$2,0,0,ROW()-1,84),ROW()-1,FALSE))</f>
        <v/>
      </c>
      <c r="AF175" t="str">
        <f ca="1">IF(AND(ISNUMBER($AF$382),$B$252=1),$AF$382,HLOOKUP(INDIRECT(ADDRESS(2,COLUMN())),OFFSET($CL$2,0,0,ROW()-1,84),ROW()-1,FALSE))</f>
        <v/>
      </c>
      <c r="AG175">
        <f ca="1">IF(AND(ISNUMBER($AG$382),$B$252=1),$AG$382,HLOOKUP(INDIRECT(ADDRESS(2,COLUMN())),OFFSET($CL$2,0,0,ROW()-1,84),ROW()-1,FALSE))</f>
        <v>54.838926780000001</v>
      </c>
      <c r="AH175" t="str">
        <f ca="1">IF(AND(ISNUMBER($AH$382),$B$252=1),$AH$382,HLOOKUP(INDIRECT(ADDRESS(2,COLUMN())),OFFSET($CL$2,0,0,ROW()-1,84),ROW()-1,FALSE))</f>
        <v/>
      </c>
      <c r="AI175" t="str">
        <f ca="1">IF(AND(ISNUMBER($AI$382),$B$252=1),$AI$382,HLOOKUP(INDIRECT(ADDRESS(2,COLUMN())),OFFSET($CL$2,0,0,ROW()-1,84),ROW()-1,FALSE))</f>
        <v/>
      </c>
      <c r="AJ175">
        <f ca="1">IF(AND(ISNUMBER($AJ$382),$B$252=1),$AJ$382,HLOOKUP(INDIRECT(ADDRESS(2,COLUMN())),OFFSET($CL$2,0,0,ROW()-1,84),ROW()-1,FALSE))</f>
        <v>54.886522909999997</v>
      </c>
      <c r="AK175" t="str">
        <f ca="1">IF(AND(ISNUMBER($AK$382),$B$252=1),$AK$382,HLOOKUP(INDIRECT(ADDRESS(2,COLUMN())),OFFSET($CL$2,0,0,ROW()-1,84),ROW()-1,FALSE))</f>
        <v/>
      </c>
      <c r="AL175" t="str">
        <f ca="1">IF(AND(ISNUMBER($AL$382),$B$252=1),$AL$382,HLOOKUP(INDIRECT(ADDRESS(2,COLUMN())),OFFSET($CL$2,0,0,ROW()-1,84),ROW()-1,FALSE))</f>
        <v/>
      </c>
      <c r="AM175">
        <f ca="1">IF(AND(ISNUMBER($AM$382),$B$252=1),$AM$382,HLOOKUP(INDIRECT(ADDRESS(2,COLUMN())),OFFSET($CL$2,0,0,ROW()-1,84),ROW()-1,FALSE))</f>
        <v>58.304021990000003</v>
      </c>
      <c r="AN175" t="str">
        <f ca="1">IF(AND(ISNUMBER($AN$382),$B$252=1),$AN$382,HLOOKUP(INDIRECT(ADDRESS(2,COLUMN())),OFFSET($CL$2,0,0,ROW()-1,84),ROW()-1,FALSE))</f>
        <v/>
      </c>
      <c r="AO175" t="str">
        <f ca="1">IF(AND(ISNUMBER($AO$382),$B$252=1),$AO$382,HLOOKUP(INDIRECT(ADDRESS(2,COLUMN())),OFFSET($CL$2,0,0,ROW()-1,84),ROW()-1,FALSE))</f>
        <v/>
      </c>
      <c r="AP175">
        <f ca="1">IF(AND(ISNUMBER($AP$382),$B$252=1),$AP$382,HLOOKUP(INDIRECT(ADDRESS(2,COLUMN())),OFFSET($CL$2,0,0,ROW()-1,84),ROW()-1,FALSE))</f>
        <v>62.243692539999998</v>
      </c>
      <c r="AQ175" t="str">
        <f ca="1">IF(AND(ISNUMBER($AQ$382),$B$252=1),$AQ$382,HLOOKUP(INDIRECT(ADDRESS(2,COLUMN())),OFFSET($CL$2,0,0,ROW()-1,84),ROW()-1,FALSE))</f>
        <v/>
      </c>
      <c r="AR175" t="str">
        <f ca="1">IF(AND(ISNUMBER($AR$382),$B$252=1),$AR$382,HLOOKUP(INDIRECT(ADDRESS(2,COLUMN())),OFFSET($CL$2,0,0,ROW()-1,84),ROW()-1,FALSE))</f>
        <v/>
      </c>
      <c r="AS175">
        <f ca="1">IF(AND(ISNUMBER($AS$382),$B$252=1),$AS$382,HLOOKUP(INDIRECT(ADDRESS(2,COLUMN())),OFFSET($CL$2,0,0,ROW()-1,84),ROW()-1,FALSE))</f>
        <v>54.721653910000001</v>
      </c>
      <c r="AT175" t="str">
        <f ca="1">IF(AND(ISNUMBER($AT$382),$B$252=1),$AT$382,HLOOKUP(INDIRECT(ADDRESS(2,COLUMN())),OFFSET($CL$2,0,0,ROW()-1,84),ROW()-1,FALSE))</f>
        <v/>
      </c>
      <c r="AU175" t="str">
        <f ca="1">IF(AND(ISNUMBER($AU$382),$B$252=1),$AU$382,HLOOKUP(INDIRECT(ADDRESS(2,COLUMN())),OFFSET($CL$2,0,0,ROW()-1,84),ROW()-1,FALSE))</f>
        <v/>
      </c>
      <c r="AV175">
        <f ca="1">IF(AND(ISNUMBER($AV$382),$B$252=1),$AV$382,HLOOKUP(INDIRECT(ADDRESS(2,COLUMN())),OFFSET($CL$2,0,0,ROW()-1,84),ROW()-1,FALSE))</f>
        <v>61.409225650000003</v>
      </c>
      <c r="AW175" t="str">
        <f ca="1">IF(AND(ISNUMBER($AW$382),$B$252=1),$AW$382,HLOOKUP(INDIRECT(ADDRESS(2,COLUMN())),OFFSET($CL$2,0,0,ROW()-1,84),ROW()-1,FALSE))</f>
        <v/>
      </c>
      <c r="AX175" t="str">
        <f ca="1">IF(AND(ISNUMBER($AX$382),$B$252=1),$AX$382,HLOOKUP(INDIRECT(ADDRESS(2,COLUMN())),OFFSET($CL$2,0,0,ROW()-1,84),ROW()-1,FALSE))</f>
        <v/>
      </c>
      <c r="AY175">
        <f ca="1">IF(AND(ISNUMBER($AY$382),$B$252=1),$AY$382,HLOOKUP(INDIRECT(ADDRESS(2,COLUMN())),OFFSET($CL$2,0,0,ROW()-1,84),ROW()-1,FALSE))</f>
        <v>72.680867199999994</v>
      </c>
      <c r="AZ175" t="str">
        <f ca="1">IF(AND(ISNUMBER($AZ$382),$B$252=1),$AZ$382,HLOOKUP(INDIRECT(ADDRESS(2,COLUMN())),OFFSET($CL$2,0,0,ROW()-1,84),ROW()-1,FALSE))</f>
        <v/>
      </c>
      <c r="BA175" t="str">
        <f ca="1">IF(AND(ISNUMBER($BA$382),$B$252=1),$BA$382,HLOOKUP(INDIRECT(ADDRESS(2,COLUMN())),OFFSET($CL$2,0,0,ROW()-1,84),ROW()-1,FALSE))</f>
        <v/>
      </c>
      <c r="BB175">
        <f ca="1">IF(AND(ISNUMBER($BB$382),$B$252=1),$BB$382,HLOOKUP(INDIRECT(ADDRESS(2,COLUMN())),OFFSET($CL$2,0,0,ROW()-1,84),ROW()-1,FALSE))</f>
        <v>69.669519030000004</v>
      </c>
      <c r="BC175" t="str">
        <f ca="1">IF(AND(ISNUMBER($BC$382),$B$252=1),$BC$382,HLOOKUP(INDIRECT(ADDRESS(2,COLUMN())),OFFSET($CL$2,0,0,ROW()-1,84),ROW()-1,FALSE))</f>
        <v/>
      </c>
      <c r="BD175" t="str">
        <f ca="1">IF(AND(ISNUMBER($BD$382),$B$252=1),$BD$382,HLOOKUP(INDIRECT(ADDRESS(2,COLUMN())),OFFSET($CL$2,0,0,ROW()-1,84),ROW()-1,FALSE))</f>
        <v/>
      </c>
      <c r="BE175">
        <f ca="1">IF(AND(ISNUMBER($BE$382),$B$252=1),$BE$382,HLOOKUP(INDIRECT(ADDRESS(2,COLUMN())),OFFSET($CL$2,0,0,ROW()-1,84),ROW()-1,FALSE))</f>
        <v>63.563535639999998</v>
      </c>
      <c r="BF175" t="str">
        <f ca="1">IF(AND(ISNUMBER($BF$382),$B$252=1),$BF$382,HLOOKUP(INDIRECT(ADDRESS(2,COLUMN())),OFFSET($CL$2,0,0,ROW()-1,84),ROW()-1,FALSE))</f>
        <v/>
      </c>
      <c r="BG175" t="str">
        <f ca="1">IF(AND(ISNUMBER($BG$382),$B$252=1),$BG$382,HLOOKUP(INDIRECT(ADDRESS(2,COLUMN())),OFFSET($CL$2,0,0,ROW()-1,84),ROW()-1,FALSE))</f>
        <v/>
      </c>
      <c r="BH175">
        <f ca="1">IF(AND(ISNUMBER($BH$382),$B$252=1),$BH$382,HLOOKUP(INDIRECT(ADDRESS(2,COLUMN())),OFFSET($CL$2,0,0,ROW()-1,84),ROW()-1,FALSE))</f>
        <v>61.555755400000002</v>
      </c>
      <c r="BI175" t="str">
        <f ca="1">IF(AND(ISNUMBER($BI$382),$B$252=1),$BI$382,HLOOKUP(INDIRECT(ADDRESS(2,COLUMN())),OFFSET($CL$2,0,0,ROW()-1,84),ROW()-1,FALSE))</f>
        <v/>
      </c>
      <c r="BJ175" t="str">
        <f ca="1">IF(AND(ISNUMBER($BJ$382),$B$252=1),$BJ$382,HLOOKUP(INDIRECT(ADDRESS(2,COLUMN())),OFFSET($CL$2,0,0,ROW()-1,84),ROW()-1,FALSE))</f>
        <v/>
      </c>
      <c r="BK175">
        <f ca="1">IF(AND(ISNUMBER($BK$382),$B$252=1),$BK$382,HLOOKUP(INDIRECT(ADDRESS(2,COLUMN())),OFFSET($CL$2,0,0,ROW()-1,84),ROW()-1,FALSE))</f>
        <v>59.681768069999997</v>
      </c>
      <c r="BL175" t="str">
        <f ca="1">IF(AND(ISNUMBER($BL$382),$B$252=1),$BL$382,HLOOKUP(INDIRECT(ADDRESS(2,COLUMN())),OFFSET($CL$2,0,0,ROW()-1,84),ROW()-1,FALSE))</f>
        <v/>
      </c>
      <c r="BM175" t="str">
        <f ca="1">IF(AND(ISNUMBER($BM$382),$B$252=1),$BM$382,HLOOKUP(INDIRECT(ADDRESS(2,COLUMN())),OFFSET($CL$2,0,0,ROW()-1,84),ROW()-1,FALSE))</f>
        <v/>
      </c>
      <c r="BN175">
        <f ca="1">IF(AND(ISNUMBER($BN$382),$B$252=1),$BN$382,HLOOKUP(INDIRECT(ADDRESS(2,COLUMN())),OFFSET($CL$2,0,0,ROW()-1,84),ROW()-1,FALSE))</f>
        <v>60.101081909999998</v>
      </c>
      <c r="BO175" t="str">
        <f ca="1">IF(AND(ISNUMBER($BO$382),$B$252=1),$BO$382,HLOOKUP(INDIRECT(ADDRESS(2,COLUMN())),OFFSET($CL$2,0,0,ROW()-1,84),ROW()-1,FALSE))</f>
        <v/>
      </c>
      <c r="BP175" t="str">
        <f ca="1">IF(AND(ISNUMBER($BP$382),$B$252=1),$BP$382,HLOOKUP(INDIRECT(ADDRESS(2,COLUMN())),OFFSET($CL$2,0,0,ROW()-1,84),ROW()-1,FALSE))</f>
        <v/>
      </c>
      <c r="BQ175">
        <f ca="1">IF(AND(ISNUMBER($BQ$382),$B$252=1),$BQ$382,HLOOKUP(INDIRECT(ADDRESS(2,COLUMN())),OFFSET($CL$2,0,0,ROW()-1,84),ROW()-1,FALSE))</f>
        <v>60.291571609999998</v>
      </c>
      <c r="BR175" t="str">
        <f ca="1">IF(AND(ISNUMBER($BR$382),$B$252=1),$BR$382,HLOOKUP(INDIRECT(ADDRESS(2,COLUMN())),OFFSET($CL$2,0,0,ROW()-1,84),ROW()-1,FALSE))</f>
        <v/>
      </c>
      <c r="BS175" t="str">
        <f ca="1">IF(AND(ISNUMBER($BS$382),$B$252=1),$BS$382,HLOOKUP(INDIRECT(ADDRESS(2,COLUMN())),OFFSET($CL$2,0,0,ROW()-1,84),ROW()-1,FALSE))</f>
        <v/>
      </c>
      <c r="BT175">
        <f ca="1">IF(AND(ISNUMBER($BT$382),$B$252=1),$BT$382,HLOOKUP(INDIRECT(ADDRESS(2,COLUMN())),OFFSET($CL$2,0,0,ROW()-1,84),ROW()-1,FALSE))</f>
        <v>64.173122739999997</v>
      </c>
      <c r="BU175" t="str">
        <f ca="1">IF(AND(ISNUMBER($BU$382),$B$252=1),$BU$382,HLOOKUP(INDIRECT(ADDRESS(2,COLUMN())),OFFSET($CL$2,0,0,ROW()-1,84),ROW()-1,FALSE))</f>
        <v/>
      </c>
      <c r="BV175" t="str">
        <f ca="1">IF(AND(ISNUMBER($BV$382),$B$252=1),$BV$382,HLOOKUP(INDIRECT(ADDRESS(2,COLUMN())),OFFSET($CL$2,0,0,ROW()-1,84),ROW()-1,FALSE))</f>
        <v/>
      </c>
      <c r="BW175">
        <f ca="1">IF(AND(ISNUMBER($BW$382),$B$252=1),$BW$382,HLOOKUP(INDIRECT(ADDRESS(2,COLUMN())),OFFSET($CL$2,0,0,ROW()-1,84),ROW()-1,FALSE))</f>
        <v>60.900099609999998</v>
      </c>
      <c r="BX175" t="str">
        <f ca="1">IF(AND(ISNUMBER($BX$382),$B$252=1),$BX$382,HLOOKUP(INDIRECT(ADDRESS(2,COLUMN())),OFFSET($CL$2,0,0,ROW()-1,84),ROW()-1,FALSE))</f>
        <v/>
      </c>
      <c r="BY175" t="str">
        <f ca="1">IF(AND(ISNUMBER($BY$382),$B$252=1),$BY$382,HLOOKUP(INDIRECT(ADDRESS(2,COLUMN())),OFFSET($CL$2,0,0,ROW()-1,84),ROW()-1,FALSE))</f>
        <v/>
      </c>
      <c r="BZ175">
        <f ca="1">IF(AND(ISNUMBER($BZ$382),$B$252=1),$BZ$382,HLOOKUP(INDIRECT(ADDRESS(2,COLUMN())),OFFSET($CL$2,0,0,ROW()-1,84),ROW()-1,FALSE))</f>
        <v>65.717708999999999</v>
      </c>
      <c r="CA175" t="str">
        <f ca="1">IF(AND(ISNUMBER($CA$382),$B$252=1),$CA$382,HLOOKUP(INDIRECT(ADDRESS(2,COLUMN())),OFFSET($CL$2,0,0,ROW()-1,84),ROW()-1,FALSE))</f>
        <v/>
      </c>
      <c r="CB175" t="str">
        <f ca="1">IF(AND(ISNUMBER($CB$382),$B$252=1),$CB$382,HLOOKUP(INDIRECT(ADDRESS(2,COLUMN())),OFFSET($CL$2,0,0,ROW()-1,84),ROW()-1,FALSE))</f>
        <v/>
      </c>
      <c r="CC175">
        <f ca="1">IF(AND(ISNUMBER($CC$382),$B$252=1),$CC$382,HLOOKUP(INDIRECT(ADDRESS(2,COLUMN())),OFFSET($CL$2,0,0,ROW()-1,84),ROW()-1,FALSE))</f>
        <v>62.806589889999998</v>
      </c>
      <c r="CD175" t="str">
        <f ca="1">IF(AND(ISNUMBER($CD$382),$B$252=1),$CD$382,HLOOKUP(INDIRECT(ADDRESS(2,COLUMN())),OFFSET($CL$2,0,0,ROW()-1,84),ROW()-1,FALSE))</f>
        <v/>
      </c>
      <c r="CE175" t="str">
        <f ca="1">IF(AND(ISNUMBER($CE$382),$B$252=1),$CE$382,HLOOKUP(INDIRECT(ADDRESS(2,COLUMN())),OFFSET($CL$2,0,0,ROW()-1,84),ROW()-1,FALSE))</f>
        <v/>
      </c>
      <c r="CF175">
        <f ca="1">IF(AND(ISNUMBER($CF$382),$B$252=1),$CF$382,HLOOKUP(INDIRECT(ADDRESS(2,COLUMN())),OFFSET($CL$2,0,0,ROW()-1,84),ROW()-1,FALSE))</f>
        <v>68.180031110000002</v>
      </c>
      <c r="CG175" t="str">
        <f ca="1">IF(AND(ISNUMBER($CG$382),$B$252=1),$CG$382,HLOOKUP(INDIRECT(ADDRESS(2,COLUMN())),OFFSET($CL$2,0,0,ROW()-1,84),ROW()-1,FALSE))</f>
        <v/>
      </c>
      <c r="CH175" t="str">
        <f ca="1">IF(AND(ISNUMBER($CH$382),$B$252=1),$CH$382,HLOOKUP(INDIRECT(ADDRESS(2,COLUMN())),OFFSET($CL$2,0,0,ROW()-1,84),ROW()-1,FALSE))</f>
        <v/>
      </c>
      <c r="CI175">
        <f ca="1">IF(AND(ISNUMBER($CI$382),$B$252=1),$CI$382,HLOOKUP(INDIRECT(ADDRESS(2,COLUMN())),OFFSET($CL$2,0,0,ROW()-1,84),ROW()-1,FALSE))</f>
        <v>73.634463609999997</v>
      </c>
      <c r="CJ175" t="str">
        <f ca="1">IF(AND(ISNUMBER($CJ$382),$B$252=1),$CJ$382,HLOOKUP(INDIRECT(ADDRESS(2,COLUMN())),OFFSET($CL$2,0,0,ROW()-1,84),ROW()-1,FALSE))</f>
        <v/>
      </c>
      <c r="CK175" t="str">
        <f ca="1">IF(AND(ISNUMBER($CK$382),$B$252=1),$CK$382,HLOOKUP(INDIRECT(ADDRESS(2,COLUMN())),OFFSET($CL$2,0,0,ROW()-1,84),ROW()-1,FALSE))</f>
        <v/>
      </c>
      <c r="CL175" t="str">
        <f>""</f>
        <v/>
      </c>
      <c r="CM175" t="str">
        <f>""</f>
        <v/>
      </c>
      <c r="CN175" t="str">
        <f>""</f>
        <v/>
      </c>
      <c r="CO175">
        <f>56.27830473</f>
        <v>56.278304730000002</v>
      </c>
      <c r="CP175" t="str">
        <f>""</f>
        <v/>
      </c>
      <c r="CQ175" t="str">
        <f>""</f>
        <v/>
      </c>
      <c r="CR175">
        <f>56.77496596</f>
        <v>56.774965960000003</v>
      </c>
      <c r="CS175" t="str">
        <f>""</f>
        <v/>
      </c>
      <c r="CT175" t="str">
        <f>""</f>
        <v/>
      </c>
      <c r="CU175">
        <f>56.78551727</f>
        <v>56.78551727</v>
      </c>
      <c r="CV175" t="str">
        <f>""</f>
        <v/>
      </c>
      <c r="CW175" t="str">
        <f>""</f>
        <v/>
      </c>
      <c r="CX175">
        <f>57.1312726</f>
        <v>57.131272600000003</v>
      </c>
      <c r="CY175" t="str">
        <f>""</f>
        <v/>
      </c>
      <c r="CZ175" t="str">
        <f>""</f>
        <v/>
      </c>
      <c r="DA175">
        <f>54.18383622</f>
        <v>54.183836220000003</v>
      </c>
      <c r="DB175" t="str">
        <f>""</f>
        <v/>
      </c>
      <c r="DC175" t="str">
        <f>""</f>
        <v/>
      </c>
      <c r="DD175">
        <f>54.84595762</f>
        <v>54.84595762</v>
      </c>
      <c r="DE175" t="str">
        <f>""</f>
        <v/>
      </c>
      <c r="DF175" t="str">
        <f>""</f>
        <v/>
      </c>
      <c r="DG175">
        <f>54.83447099</f>
        <v>54.83447099</v>
      </c>
      <c r="DH175" t="str">
        <f>""</f>
        <v/>
      </c>
      <c r="DI175" t="str">
        <f>""</f>
        <v/>
      </c>
      <c r="DJ175">
        <f>58.43475316</f>
        <v>58.43475316</v>
      </c>
      <c r="DK175" t="str">
        <f>""</f>
        <v/>
      </c>
      <c r="DL175" t="str">
        <f>""</f>
        <v/>
      </c>
      <c r="DM175">
        <f>54.83892678</f>
        <v>54.838926780000001</v>
      </c>
      <c r="DN175" t="str">
        <f>""</f>
        <v/>
      </c>
      <c r="DO175" t="str">
        <f>""</f>
        <v/>
      </c>
      <c r="DP175">
        <f>54.88652291</f>
        <v>54.886522909999997</v>
      </c>
      <c r="DQ175" t="str">
        <f>""</f>
        <v/>
      </c>
      <c r="DR175" t="str">
        <f>""</f>
        <v/>
      </c>
      <c r="DS175">
        <f>58.30402199</f>
        <v>58.304021990000003</v>
      </c>
      <c r="DT175" t="str">
        <f>""</f>
        <v/>
      </c>
      <c r="DU175" t="str">
        <f>""</f>
        <v/>
      </c>
      <c r="DV175">
        <f>62.24369254</f>
        <v>62.243692539999998</v>
      </c>
      <c r="DW175" t="str">
        <f>""</f>
        <v/>
      </c>
      <c r="DX175" t="str">
        <f>""</f>
        <v/>
      </c>
      <c r="DY175">
        <f>54.72165391</f>
        <v>54.721653910000001</v>
      </c>
      <c r="DZ175" t="str">
        <f>""</f>
        <v/>
      </c>
      <c r="EA175" t="str">
        <f>""</f>
        <v/>
      </c>
      <c r="EB175">
        <f>61.40922565</f>
        <v>61.409225650000003</v>
      </c>
      <c r="EC175" t="str">
        <f>""</f>
        <v/>
      </c>
      <c r="ED175" t="str">
        <f>""</f>
        <v/>
      </c>
      <c r="EE175">
        <f>72.6808672</f>
        <v>72.680867199999994</v>
      </c>
      <c r="EF175" t="str">
        <f>""</f>
        <v/>
      </c>
      <c r="EG175" t="str">
        <f>""</f>
        <v/>
      </c>
      <c r="EH175">
        <f>69.66951903</f>
        <v>69.669519030000004</v>
      </c>
      <c r="EI175" t="str">
        <f>""</f>
        <v/>
      </c>
      <c r="EJ175" t="str">
        <f>""</f>
        <v/>
      </c>
      <c r="EK175">
        <f>63.56353564</f>
        <v>63.563535639999998</v>
      </c>
      <c r="EL175" t="str">
        <f>""</f>
        <v/>
      </c>
      <c r="EM175" t="str">
        <f>""</f>
        <v/>
      </c>
      <c r="EN175">
        <f>61.5557554</f>
        <v>61.555755400000002</v>
      </c>
      <c r="EO175" t="str">
        <f>""</f>
        <v/>
      </c>
      <c r="EP175" t="str">
        <f>""</f>
        <v/>
      </c>
      <c r="EQ175">
        <f>59.68176807</f>
        <v>59.681768069999997</v>
      </c>
      <c r="ER175" t="str">
        <f>""</f>
        <v/>
      </c>
      <c r="ES175" t="str">
        <f>""</f>
        <v/>
      </c>
      <c r="ET175">
        <f>60.10108191</f>
        <v>60.101081909999998</v>
      </c>
      <c r="EU175" t="str">
        <f>""</f>
        <v/>
      </c>
      <c r="EV175" t="str">
        <f>""</f>
        <v/>
      </c>
      <c r="EW175">
        <f>60.29157161</f>
        <v>60.291571609999998</v>
      </c>
      <c r="EX175" t="str">
        <f>""</f>
        <v/>
      </c>
      <c r="EY175" t="str">
        <f>""</f>
        <v/>
      </c>
      <c r="EZ175">
        <f>64.17312274</f>
        <v>64.173122739999997</v>
      </c>
      <c r="FA175" t="str">
        <f>""</f>
        <v/>
      </c>
      <c r="FB175" t="str">
        <f>""</f>
        <v/>
      </c>
      <c r="FC175">
        <f>60.90009961</f>
        <v>60.900099609999998</v>
      </c>
      <c r="FD175" t="str">
        <f>""</f>
        <v/>
      </c>
      <c r="FE175" t="str">
        <f>""</f>
        <v/>
      </c>
      <c r="FF175">
        <f>65.717709</f>
        <v>65.717708999999999</v>
      </c>
      <c r="FG175" t="str">
        <f>""</f>
        <v/>
      </c>
      <c r="FH175" t="str">
        <f>""</f>
        <v/>
      </c>
      <c r="FI175">
        <f>62.80658989</f>
        <v>62.806589889999998</v>
      </c>
      <c r="FJ175" t="str">
        <f>""</f>
        <v/>
      </c>
      <c r="FK175" t="str">
        <f>""</f>
        <v/>
      </c>
      <c r="FL175">
        <f>68.18003111</f>
        <v>68.180031110000002</v>
      </c>
      <c r="FM175" t="str">
        <f>""</f>
        <v/>
      </c>
      <c r="FN175" t="str">
        <f>""</f>
        <v/>
      </c>
      <c r="FO175">
        <f>73.63446361</f>
        <v>73.634463609999997</v>
      </c>
      <c r="FP175" t="str">
        <f>""</f>
        <v/>
      </c>
      <c r="FQ175" t="str">
        <f>""</f>
        <v/>
      </c>
    </row>
    <row r="176" spans="1:173">
      <c r="A176" t="str">
        <f>"    Mid-America Apartment Communities股份有限公司"</f>
        <v xml:space="preserve">    Mid-America Apartment Communities股份有限公司</v>
      </c>
      <c r="B176" t="str">
        <f>"MAA US Equity"</f>
        <v>MAA US Equity</v>
      </c>
      <c r="C176" t="str">
        <f t="shared" si="54"/>
        <v>RR106</v>
      </c>
      <c r="D176" t="str">
        <f t="shared" si="55"/>
        <v>FFO_PAYOUT_RATIO</v>
      </c>
      <c r="E176" t="str">
        <f t="shared" si="56"/>
        <v>动态</v>
      </c>
      <c r="F176" t="str">
        <f ca="1">IF(AND(ISNUMBER($F$383),$B$252=1),$F$383,HLOOKUP(INDIRECT(ADDRESS(2,COLUMN())),OFFSET($CL$2,0,0,ROW()-1,84),ROW()-1,FALSE))</f>
        <v/>
      </c>
      <c r="G176" t="str">
        <f ca="1">IF(AND(ISNUMBER($G$383),$B$252=1),$G$383,HLOOKUP(INDIRECT(ADDRESS(2,COLUMN())),OFFSET($CL$2,0,0,ROW()-1,84),ROW()-1,FALSE))</f>
        <v/>
      </c>
      <c r="H176" t="str">
        <f ca="1">IF(AND(ISNUMBER($H$383),$B$252=1),$H$383,HLOOKUP(INDIRECT(ADDRESS(2,COLUMN())),OFFSET($CL$2,0,0,ROW()-1,84),ROW()-1,FALSE))</f>
        <v/>
      </c>
      <c r="I176">
        <f ca="1">IF(AND(ISNUMBER($I$383),$B$252=1),$I$383,HLOOKUP(INDIRECT(ADDRESS(2,COLUMN())),OFFSET($CL$2,0,0,ROW()-1,84),ROW()-1,FALSE))</f>
        <v>59.063760240000001</v>
      </c>
      <c r="J176" t="str">
        <f ca="1">IF(AND(ISNUMBER($J$383),$B$252=1),$J$383,HLOOKUP(INDIRECT(ADDRESS(2,COLUMN())),OFFSET($CL$2,0,0,ROW()-1,84),ROW()-1,FALSE))</f>
        <v/>
      </c>
      <c r="K176" t="str">
        <f ca="1">IF(AND(ISNUMBER($K$383),$B$252=1),$K$383,HLOOKUP(INDIRECT(ADDRESS(2,COLUMN())),OFFSET($CL$2,0,0,ROW()-1,84),ROW()-1,FALSE))</f>
        <v/>
      </c>
      <c r="L176">
        <f ca="1">IF(AND(ISNUMBER($L$383),$B$252=1),$L$383,HLOOKUP(INDIRECT(ADDRESS(2,COLUMN())),OFFSET($CL$2,0,0,ROW()-1,84),ROW()-1,FALSE))</f>
        <v>56.00184994</v>
      </c>
      <c r="M176" t="str">
        <f ca="1">IF(AND(ISNUMBER($M$383),$B$252=1),$M$383,HLOOKUP(INDIRECT(ADDRESS(2,COLUMN())),OFFSET($CL$2,0,0,ROW()-1,84),ROW()-1,FALSE))</f>
        <v/>
      </c>
      <c r="N176" t="str">
        <f ca="1">IF(AND(ISNUMBER($N$383),$B$252=1),$N$383,HLOOKUP(INDIRECT(ADDRESS(2,COLUMN())),OFFSET($CL$2,0,0,ROW()-1,84),ROW()-1,FALSE))</f>
        <v/>
      </c>
      <c r="O176">
        <f ca="1">IF(AND(ISNUMBER($O$383),$B$252=1),$O$383,HLOOKUP(INDIRECT(ADDRESS(2,COLUMN())),OFFSET($CL$2,0,0,ROW()-1,84),ROW()-1,FALSE))</f>
        <v>56.554263900000002</v>
      </c>
      <c r="P176" t="str">
        <f ca="1">IF(AND(ISNUMBER($P$383),$B$252=1),$P$383,HLOOKUP(INDIRECT(ADDRESS(2,COLUMN())),OFFSET($CL$2,0,0,ROW()-1,84),ROW()-1,FALSE))</f>
        <v/>
      </c>
      <c r="Q176" t="str">
        <f ca="1">IF(AND(ISNUMBER($Q$383),$B$252=1),$Q$383,HLOOKUP(INDIRECT(ADDRESS(2,COLUMN())),OFFSET($CL$2,0,0,ROW()-1,84),ROW()-1,FALSE))</f>
        <v/>
      </c>
      <c r="R176">
        <f ca="1">IF(AND(ISNUMBER($R$383),$B$252=1),$R$383,HLOOKUP(INDIRECT(ADDRESS(2,COLUMN())),OFFSET($CL$2,0,0,ROW()-1,84),ROW()-1,FALSE))</f>
        <v>57.432455570000002</v>
      </c>
      <c r="S176" t="str">
        <f ca="1">IF(AND(ISNUMBER($S$383),$B$252=1),$S$383,HLOOKUP(INDIRECT(ADDRESS(2,COLUMN())),OFFSET($CL$2,0,0,ROW()-1,84),ROW()-1,FALSE))</f>
        <v/>
      </c>
      <c r="T176" t="str">
        <f ca="1">IF(AND(ISNUMBER($T$383),$B$252=1),$T$383,HLOOKUP(INDIRECT(ADDRESS(2,COLUMN())),OFFSET($CL$2,0,0,ROW()-1,84),ROW()-1,FALSE))</f>
        <v/>
      </c>
      <c r="U176">
        <f ca="1">IF(AND(ISNUMBER($U$383),$B$252=1),$U$383,HLOOKUP(INDIRECT(ADDRESS(2,COLUMN())),OFFSET($CL$2,0,0,ROW()-1,84),ROW()-1,FALSE))</f>
        <v>73.582043850000005</v>
      </c>
      <c r="V176" t="str">
        <f ca="1">IF(AND(ISNUMBER($V$383),$B$252=1),$V$383,HLOOKUP(INDIRECT(ADDRESS(2,COLUMN())),OFFSET($CL$2,0,0,ROW()-1,84),ROW()-1,FALSE))</f>
        <v/>
      </c>
      <c r="W176" t="str">
        <f ca="1">IF(AND(ISNUMBER($W$383),$B$252=1),$W$383,HLOOKUP(INDIRECT(ADDRESS(2,COLUMN())),OFFSET($CL$2,0,0,ROW()-1,84),ROW()-1,FALSE))</f>
        <v/>
      </c>
      <c r="X176">
        <f ca="1">IF(AND(ISNUMBER($X$383),$B$252=1),$X$383,HLOOKUP(INDIRECT(ADDRESS(2,COLUMN())),OFFSET($CL$2,0,0,ROW()-1,84),ROW()-1,FALSE))</f>
        <v>52.657843120000003</v>
      </c>
      <c r="Y176" t="str">
        <f ca="1">IF(AND(ISNUMBER($Y$383),$B$252=1),$Y$383,HLOOKUP(INDIRECT(ADDRESS(2,COLUMN())),OFFSET($CL$2,0,0,ROW()-1,84),ROW()-1,FALSE))</f>
        <v/>
      </c>
      <c r="Z176" t="str">
        <f ca="1">IF(AND(ISNUMBER($Z$383),$B$252=1),$Z$383,HLOOKUP(INDIRECT(ADDRESS(2,COLUMN())),OFFSET($CL$2,0,0,ROW()-1,84),ROW()-1,FALSE))</f>
        <v/>
      </c>
      <c r="AA176">
        <f ca="1">IF(AND(ISNUMBER($AA$383),$B$252=1),$AA$383,HLOOKUP(INDIRECT(ADDRESS(2,COLUMN())),OFFSET($CL$2,0,0,ROW()-1,84),ROW()-1,FALSE))</f>
        <v>50.362368029999999</v>
      </c>
      <c r="AB176" t="str">
        <f ca="1">IF(AND(ISNUMBER($AB$383),$B$252=1),$AB$383,HLOOKUP(INDIRECT(ADDRESS(2,COLUMN())),OFFSET($CL$2,0,0,ROW()-1,84),ROW()-1,FALSE))</f>
        <v/>
      </c>
      <c r="AC176" t="str">
        <f ca="1">IF(AND(ISNUMBER($AC$383),$B$252=1),$AC$383,HLOOKUP(INDIRECT(ADDRESS(2,COLUMN())),OFFSET($CL$2,0,0,ROW()-1,84),ROW()-1,FALSE))</f>
        <v/>
      </c>
      <c r="AD176">
        <f ca="1">IF(AND(ISNUMBER($AD$383),$B$252=1),$AD$383,HLOOKUP(INDIRECT(ADDRESS(2,COLUMN())),OFFSET($CL$2,0,0,ROW()-1,84),ROW()-1,FALSE))</f>
        <v>51.874251350000002</v>
      </c>
      <c r="AE176" t="str">
        <f ca="1">IF(AND(ISNUMBER($AE$383),$B$252=1),$AE$383,HLOOKUP(INDIRECT(ADDRESS(2,COLUMN())),OFFSET($CL$2,0,0,ROW()-1,84),ROW()-1,FALSE))</f>
        <v/>
      </c>
      <c r="AF176" t="str">
        <f ca="1">IF(AND(ISNUMBER($AF$383),$B$252=1),$AF$383,HLOOKUP(INDIRECT(ADDRESS(2,COLUMN())),OFFSET($CL$2,0,0,ROW()-1,84),ROW()-1,FALSE))</f>
        <v/>
      </c>
      <c r="AG176">
        <f ca="1">IF(AND(ISNUMBER($AG$383),$B$252=1),$AG$383,HLOOKUP(INDIRECT(ADDRESS(2,COLUMN())),OFFSET($CL$2,0,0,ROW()-1,84),ROW()-1,FALSE))</f>
        <v>52.009361720000001</v>
      </c>
      <c r="AH176" t="str">
        <f ca="1">IF(AND(ISNUMBER($AH$383),$B$252=1),$AH$383,HLOOKUP(INDIRECT(ADDRESS(2,COLUMN())),OFFSET($CL$2,0,0,ROW()-1,84),ROW()-1,FALSE))</f>
        <v/>
      </c>
      <c r="AI176" t="str">
        <f ca="1">IF(AND(ISNUMBER($AI$383),$B$252=1),$AI$383,HLOOKUP(INDIRECT(ADDRESS(2,COLUMN())),OFFSET($CL$2,0,0,ROW()-1,84),ROW()-1,FALSE))</f>
        <v/>
      </c>
      <c r="AJ176">
        <f ca="1">IF(AND(ISNUMBER($AJ$383),$B$252=1),$AJ$383,HLOOKUP(INDIRECT(ADDRESS(2,COLUMN())),OFFSET($CL$2,0,0,ROW()-1,84),ROW()-1,FALSE))</f>
        <v>50.542152270000003</v>
      </c>
      <c r="AK176" t="str">
        <f ca="1">IF(AND(ISNUMBER($AK$383),$B$252=1),$AK$383,HLOOKUP(INDIRECT(ADDRESS(2,COLUMN())),OFFSET($CL$2,0,0,ROW()-1,84),ROW()-1,FALSE))</f>
        <v/>
      </c>
      <c r="AL176" t="str">
        <f ca="1">IF(AND(ISNUMBER($AL$383),$B$252=1),$AL$383,HLOOKUP(INDIRECT(ADDRESS(2,COLUMN())),OFFSET($CL$2,0,0,ROW()-1,84),ROW()-1,FALSE))</f>
        <v/>
      </c>
      <c r="AM176">
        <f ca="1">IF(AND(ISNUMBER($AM$383),$B$252=1),$AM$383,HLOOKUP(INDIRECT(ADDRESS(2,COLUMN())),OFFSET($CL$2,0,0,ROW()-1,84),ROW()-1,FALSE))</f>
        <v>51.512424350000003</v>
      </c>
      <c r="AN176" t="str">
        <f ca="1">IF(AND(ISNUMBER($AN$383),$B$252=1),$AN$383,HLOOKUP(INDIRECT(ADDRESS(2,COLUMN())),OFFSET($CL$2,0,0,ROW()-1,84),ROW()-1,FALSE))</f>
        <v/>
      </c>
      <c r="AO176" t="str">
        <f ca="1">IF(AND(ISNUMBER($AO$383),$B$252=1),$AO$383,HLOOKUP(INDIRECT(ADDRESS(2,COLUMN())),OFFSET($CL$2,0,0,ROW()-1,84),ROW()-1,FALSE))</f>
        <v/>
      </c>
      <c r="AP176">
        <f ca="1">IF(AND(ISNUMBER($AP$383),$B$252=1),$AP$383,HLOOKUP(INDIRECT(ADDRESS(2,COLUMN())),OFFSET($CL$2,0,0,ROW()-1,84),ROW()-1,FALSE))</f>
        <v>54.290151170000001</v>
      </c>
      <c r="AQ176" t="str">
        <f ca="1">IF(AND(ISNUMBER($AQ$383),$B$252=1),$AQ$383,HLOOKUP(INDIRECT(ADDRESS(2,COLUMN())),OFFSET($CL$2,0,0,ROW()-1,84),ROW()-1,FALSE))</f>
        <v/>
      </c>
      <c r="AR176" t="str">
        <f ca="1">IF(AND(ISNUMBER($AR$383),$B$252=1),$AR$383,HLOOKUP(INDIRECT(ADDRESS(2,COLUMN())),OFFSET($CL$2,0,0,ROW()-1,84),ROW()-1,FALSE))</f>
        <v/>
      </c>
      <c r="AS176">
        <f ca="1">IF(AND(ISNUMBER($AS$383),$B$252=1),$AS$383,HLOOKUP(INDIRECT(ADDRESS(2,COLUMN())),OFFSET($CL$2,0,0,ROW()-1,84),ROW()-1,FALSE))</f>
        <v>53.8637151</v>
      </c>
      <c r="AT176" t="str">
        <f ca="1">IF(AND(ISNUMBER($AT$383),$B$252=1),$AT$383,HLOOKUP(INDIRECT(ADDRESS(2,COLUMN())),OFFSET($CL$2,0,0,ROW()-1,84),ROW()-1,FALSE))</f>
        <v/>
      </c>
      <c r="AU176" t="str">
        <f ca="1">IF(AND(ISNUMBER($AU$383),$B$252=1),$AU$383,HLOOKUP(INDIRECT(ADDRESS(2,COLUMN())),OFFSET($CL$2,0,0,ROW()-1,84),ROW()-1,FALSE))</f>
        <v/>
      </c>
      <c r="AV176">
        <f ca="1">IF(AND(ISNUMBER($AV$383),$B$252=1),$AV$383,HLOOKUP(INDIRECT(ADDRESS(2,COLUMN())),OFFSET($CL$2,0,0,ROW()-1,84),ROW()-1,FALSE))</f>
        <v>52.88866204</v>
      </c>
      <c r="AW176" t="str">
        <f ca="1">IF(AND(ISNUMBER($AW$383),$B$252=1),$AW$383,HLOOKUP(INDIRECT(ADDRESS(2,COLUMN())),OFFSET($CL$2,0,0,ROW()-1,84),ROW()-1,FALSE))</f>
        <v/>
      </c>
      <c r="AX176" t="str">
        <f ca="1">IF(AND(ISNUMBER($AX$383),$B$252=1),$AX$383,HLOOKUP(INDIRECT(ADDRESS(2,COLUMN())),OFFSET($CL$2,0,0,ROW()-1,84),ROW()-1,FALSE))</f>
        <v/>
      </c>
      <c r="AY176">
        <f ca="1">IF(AND(ISNUMBER($AY$383),$B$252=1),$AY$383,HLOOKUP(INDIRECT(ADDRESS(2,COLUMN())),OFFSET($CL$2,0,0,ROW()-1,84),ROW()-1,FALSE))</f>
        <v>57.282296649999999</v>
      </c>
      <c r="AZ176" t="str">
        <f ca="1">IF(AND(ISNUMBER($AZ$383),$B$252=1),$AZ$383,HLOOKUP(INDIRECT(ADDRESS(2,COLUMN())),OFFSET($CL$2,0,0,ROW()-1,84),ROW()-1,FALSE))</f>
        <v/>
      </c>
      <c r="BA176" t="str">
        <f ca="1">IF(AND(ISNUMBER($BA$383),$B$252=1),$BA$383,HLOOKUP(INDIRECT(ADDRESS(2,COLUMN())),OFFSET($CL$2,0,0,ROW()-1,84),ROW()-1,FALSE))</f>
        <v/>
      </c>
      <c r="BB176">
        <f ca="1">IF(AND(ISNUMBER($BB$383),$B$252=1),$BB$383,HLOOKUP(INDIRECT(ADDRESS(2,COLUMN())),OFFSET($CL$2,0,0,ROW()-1,84),ROW()-1,FALSE))</f>
        <v>56.086883729999997</v>
      </c>
      <c r="BC176" t="str">
        <f ca="1">IF(AND(ISNUMBER($BC$383),$B$252=1),$BC$383,HLOOKUP(INDIRECT(ADDRESS(2,COLUMN())),OFFSET($CL$2,0,0,ROW()-1,84),ROW()-1,FALSE))</f>
        <v/>
      </c>
      <c r="BD176" t="str">
        <f ca="1">IF(AND(ISNUMBER($BD$383),$B$252=1),$BD$383,HLOOKUP(INDIRECT(ADDRESS(2,COLUMN())),OFFSET($CL$2,0,0,ROW()-1,84),ROW()-1,FALSE))</f>
        <v/>
      </c>
      <c r="BE176">
        <f ca="1">IF(AND(ISNUMBER($BE$383),$B$252=1),$BE$383,HLOOKUP(INDIRECT(ADDRESS(2,COLUMN())),OFFSET($CL$2,0,0,ROW()-1,84),ROW()-1,FALSE))</f>
        <v>72.779788839999995</v>
      </c>
      <c r="BF176" t="str">
        <f ca="1">IF(AND(ISNUMBER($BF$383),$B$252=1),$BF$383,HLOOKUP(INDIRECT(ADDRESS(2,COLUMN())),OFFSET($CL$2,0,0,ROW()-1,84),ROW()-1,FALSE))</f>
        <v/>
      </c>
      <c r="BG176" t="str">
        <f ca="1">IF(AND(ISNUMBER($BG$383),$B$252=1),$BG$383,HLOOKUP(INDIRECT(ADDRESS(2,COLUMN())),OFFSET($CL$2,0,0,ROW()-1,84),ROW()-1,FALSE))</f>
        <v/>
      </c>
      <c r="BH176">
        <f ca="1">IF(AND(ISNUMBER($BH$383),$B$252=1),$BH$383,HLOOKUP(INDIRECT(ADDRESS(2,COLUMN())),OFFSET($CL$2,0,0,ROW()-1,84),ROW()-1,FALSE))</f>
        <v>59.294114120000003</v>
      </c>
      <c r="BI176" t="str">
        <f ca="1">IF(AND(ISNUMBER($BI$383),$B$252=1),$BI$383,HLOOKUP(INDIRECT(ADDRESS(2,COLUMN())),OFFSET($CL$2,0,0,ROW()-1,84),ROW()-1,FALSE))</f>
        <v/>
      </c>
      <c r="BJ176" t="str">
        <f ca="1">IF(AND(ISNUMBER($BJ$383),$B$252=1),$BJ$383,HLOOKUP(INDIRECT(ADDRESS(2,COLUMN())),OFFSET($CL$2,0,0,ROW()-1,84),ROW()-1,FALSE))</f>
        <v/>
      </c>
      <c r="BK176">
        <f ca="1">IF(AND(ISNUMBER($BK$383),$B$252=1),$BK$383,HLOOKUP(INDIRECT(ADDRESS(2,COLUMN())),OFFSET($CL$2,0,0,ROW()-1,84),ROW()-1,FALSE))</f>
        <v>58.489229860000002</v>
      </c>
      <c r="BL176" t="str">
        <f ca="1">IF(AND(ISNUMBER($BL$383),$B$252=1),$BL$383,HLOOKUP(INDIRECT(ADDRESS(2,COLUMN())),OFFSET($CL$2,0,0,ROW()-1,84),ROW()-1,FALSE))</f>
        <v/>
      </c>
      <c r="BM176" t="str">
        <f ca="1">IF(AND(ISNUMBER($BM$383),$B$252=1),$BM$383,HLOOKUP(INDIRECT(ADDRESS(2,COLUMN())),OFFSET($CL$2,0,0,ROW()-1,84),ROW()-1,FALSE))</f>
        <v/>
      </c>
      <c r="BN176">
        <f ca="1">IF(AND(ISNUMBER($BN$383),$B$252=1),$BN$383,HLOOKUP(INDIRECT(ADDRESS(2,COLUMN())),OFFSET($CL$2,0,0,ROW()-1,84),ROW()-1,FALSE))</f>
        <v>53.738749339999998</v>
      </c>
      <c r="BO176" t="str">
        <f ca="1">IF(AND(ISNUMBER($BO$383),$B$252=1),$BO$383,HLOOKUP(INDIRECT(ADDRESS(2,COLUMN())),OFFSET($CL$2,0,0,ROW()-1,84),ROW()-1,FALSE))</f>
        <v/>
      </c>
      <c r="BP176" t="str">
        <f ca="1">IF(AND(ISNUMBER($BP$383),$B$252=1),$BP$383,HLOOKUP(INDIRECT(ADDRESS(2,COLUMN())),OFFSET($CL$2,0,0,ROW()-1,84),ROW()-1,FALSE))</f>
        <v/>
      </c>
      <c r="BQ176">
        <f ca="1">IF(AND(ISNUMBER($BQ$383),$B$252=1),$BQ$383,HLOOKUP(INDIRECT(ADDRESS(2,COLUMN())),OFFSET($CL$2,0,0,ROW()-1,84),ROW()-1,FALSE))</f>
        <v>54.904613449999999</v>
      </c>
      <c r="BR176" t="str">
        <f ca="1">IF(AND(ISNUMBER($BR$383),$B$252=1),$BR$383,HLOOKUP(INDIRECT(ADDRESS(2,COLUMN())),OFFSET($CL$2,0,0,ROW()-1,84),ROW()-1,FALSE))</f>
        <v/>
      </c>
      <c r="BS176" t="str">
        <f ca="1">IF(AND(ISNUMBER($BS$383),$B$252=1),$BS$383,HLOOKUP(INDIRECT(ADDRESS(2,COLUMN())),OFFSET($CL$2,0,0,ROW()-1,84),ROW()-1,FALSE))</f>
        <v/>
      </c>
      <c r="BT176">
        <f ca="1">IF(AND(ISNUMBER($BT$383),$B$252=1),$BT$383,HLOOKUP(INDIRECT(ADDRESS(2,COLUMN())),OFFSET($CL$2,0,0,ROW()-1,84),ROW()-1,FALSE))</f>
        <v>56.729775179999997</v>
      </c>
      <c r="BU176" t="str">
        <f ca="1">IF(AND(ISNUMBER($BU$383),$B$252=1),$BU$383,HLOOKUP(INDIRECT(ADDRESS(2,COLUMN())),OFFSET($CL$2,0,0,ROW()-1,84),ROW()-1,FALSE))</f>
        <v/>
      </c>
      <c r="BV176" t="str">
        <f ca="1">IF(AND(ISNUMBER($BV$383),$B$252=1),$BV$383,HLOOKUP(INDIRECT(ADDRESS(2,COLUMN())),OFFSET($CL$2,0,0,ROW()-1,84),ROW()-1,FALSE))</f>
        <v/>
      </c>
      <c r="BW176">
        <f ca="1">IF(AND(ISNUMBER($BW$383),$B$252=1),$BW$383,HLOOKUP(INDIRECT(ADDRESS(2,COLUMN())),OFFSET($CL$2,0,0,ROW()-1,84),ROW()-1,FALSE))</f>
        <v>56.021332559999998</v>
      </c>
      <c r="BX176" t="str">
        <f ca="1">IF(AND(ISNUMBER($BX$383),$B$252=1),$BX$383,HLOOKUP(INDIRECT(ADDRESS(2,COLUMN())),OFFSET($CL$2,0,0,ROW()-1,84),ROW()-1,FALSE))</f>
        <v/>
      </c>
      <c r="BY176" t="str">
        <f ca="1">IF(AND(ISNUMBER($BY$383),$B$252=1),$BY$383,HLOOKUP(INDIRECT(ADDRESS(2,COLUMN())),OFFSET($CL$2,0,0,ROW()-1,84),ROW()-1,FALSE))</f>
        <v/>
      </c>
      <c r="BZ176">
        <f ca="1">IF(AND(ISNUMBER($BZ$383),$B$252=1),$BZ$383,HLOOKUP(INDIRECT(ADDRESS(2,COLUMN())),OFFSET($CL$2,0,0,ROW()-1,84),ROW()-1,FALSE))</f>
        <v>56.13680403</v>
      </c>
      <c r="CA176" t="str">
        <f ca="1">IF(AND(ISNUMBER($CA$383),$B$252=1),$CA$383,HLOOKUP(INDIRECT(ADDRESS(2,COLUMN())),OFFSET($CL$2,0,0,ROW()-1,84),ROW()-1,FALSE))</f>
        <v/>
      </c>
      <c r="CB176" t="str">
        <f ca="1">IF(AND(ISNUMBER($CB$383),$B$252=1),$CB$383,HLOOKUP(INDIRECT(ADDRESS(2,COLUMN())),OFFSET($CL$2,0,0,ROW()-1,84),ROW()-1,FALSE))</f>
        <v/>
      </c>
      <c r="CC176">
        <f ca="1">IF(AND(ISNUMBER($CC$383),$B$252=1),$CC$383,HLOOKUP(INDIRECT(ADDRESS(2,COLUMN())),OFFSET($CL$2,0,0,ROW()-1,84),ROW()-1,FALSE))</f>
        <v>55.531347179999997</v>
      </c>
      <c r="CD176" t="str">
        <f ca="1">IF(AND(ISNUMBER($CD$383),$B$252=1),$CD$383,HLOOKUP(INDIRECT(ADDRESS(2,COLUMN())),OFFSET($CL$2,0,0,ROW()-1,84),ROW()-1,FALSE))</f>
        <v/>
      </c>
      <c r="CE176" t="str">
        <f ca="1">IF(AND(ISNUMBER($CE$383),$B$252=1),$CE$383,HLOOKUP(INDIRECT(ADDRESS(2,COLUMN())),OFFSET($CL$2,0,0,ROW()-1,84),ROW()-1,FALSE))</f>
        <v/>
      </c>
      <c r="CF176">
        <f ca="1">IF(AND(ISNUMBER($CF$383),$B$252=1),$CF$383,HLOOKUP(INDIRECT(ADDRESS(2,COLUMN())),OFFSET($CL$2,0,0,ROW()-1,84),ROW()-1,FALSE))</f>
        <v>59.593953829999997</v>
      </c>
      <c r="CG176" t="str">
        <f ca="1">IF(AND(ISNUMBER($CG$383),$B$252=1),$CG$383,HLOOKUP(INDIRECT(ADDRESS(2,COLUMN())),OFFSET($CL$2,0,0,ROW()-1,84),ROW()-1,FALSE))</f>
        <v/>
      </c>
      <c r="CH176" t="str">
        <f ca="1">IF(AND(ISNUMBER($CH$383),$B$252=1),$CH$383,HLOOKUP(INDIRECT(ADDRESS(2,COLUMN())),OFFSET($CL$2,0,0,ROW()-1,84),ROW()-1,FALSE))</f>
        <v/>
      </c>
      <c r="CI176">
        <f ca="1">IF(AND(ISNUMBER($CI$383),$B$252=1),$CI$383,HLOOKUP(INDIRECT(ADDRESS(2,COLUMN())),OFFSET($CL$2,0,0,ROW()-1,84),ROW()-1,FALSE))</f>
        <v>63.896586040000003</v>
      </c>
      <c r="CJ176" t="str">
        <f ca="1">IF(AND(ISNUMBER($CJ$383),$B$252=1),$CJ$383,HLOOKUP(INDIRECT(ADDRESS(2,COLUMN())),OFFSET($CL$2,0,0,ROW()-1,84),ROW()-1,FALSE))</f>
        <v/>
      </c>
      <c r="CK176" t="str">
        <f ca="1">IF(AND(ISNUMBER($CK$383),$B$252=1),$CK$383,HLOOKUP(INDIRECT(ADDRESS(2,COLUMN())),OFFSET($CL$2,0,0,ROW()-1,84),ROW()-1,FALSE))</f>
        <v/>
      </c>
      <c r="CL176" t="str">
        <f>""</f>
        <v/>
      </c>
      <c r="CM176" t="str">
        <f>""</f>
        <v/>
      </c>
      <c r="CN176" t="str">
        <f>""</f>
        <v/>
      </c>
      <c r="CO176">
        <f>59.06376024</f>
        <v>59.063760240000001</v>
      </c>
      <c r="CP176" t="str">
        <f>""</f>
        <v/>
      </c>
      <c r="CQ176" t="str">
        <f>""</f>
        <v/>
      </c>
      <c r="CR176">
        <f>56.00184994</f>
        <v>56.00184994</v>
      </c>
      <c r="CS176" t="str">
        <f>""</f>
        <v/>
      </c>
      <c r="CT176" t="str">
        <f>""</f>
        <v/>
      </c>
      <c r="CU176">
        <f>56.5542639</f>
        <v>56.554263900000002</v>
      </c>
      <c r="CV176" t="str">
        <f>""</f>
        <v/>
      </c>
      <c r="CW176" t="str">
        <f>""</f>
        <v/>
      </c>
      <c r="CX176">
        <f>57.43245557</f>
        <v>57.432455570000002</v>
      </c>
      <c r="CY176" t="str">
        <f>""</f>
        <v/>
      </c>
      <c r="CZ176" t="str">
        <f>""</f>
        <v/>
      </c>
      <c r="DA176">
        <f>73.58204385</f>
        <v>73.582043850000005</v>
      </c>
      <c r="DB176" t="str">
        <f>""</f>
        <v/>
      </c>
      <c r="DC176" t="str">
        <f>""</f>
        <v/>
      </c>
      <c r="DD176">
        <f>52.65784312</f>
        <v>52.657843120000003</v>
      </c>
      <c r="DE176" t="str">
        <f>""</f>
        <v/>
      </c>
      <c r="DF176" t="str">
        <f>""</f>
        <v/>
      </c>
      <c r="DG176">
        <f>50.36236803</f>
        <v>50.362368029999999</v>
      </c>
      <c r="DH176" t="str">
        <f>""</f>
        <v/>
      </c>
      <c r="DI176" t="str">
        <f>""</f>
        <v/>
      </c>
      <c r="DJ176">
        <f>51.87425135</f>
        <v>51.874251350000002</v>
      </c>
      <c r="DK176" t="str">
        <f>""</f>
        <v/>
      </c>
      <c r="DL176" t="str">
        <f>""</f>
        <v/>
      </c>
      <c r="DM176">
        <f>52.00936172</f>
        <v>52.009361720000001</v>
      </c>
      <c r="DN176" t="str">
        <f>""</f>
        <v/>
      </c>
      <c r="DO176" t="str">
        <f>""</f>
        <v/>
      </c>
      <c r="DP176">
        <f>50.54215227</f>
        <v>50.542152270000003</v>
      </c>
      <c r="DQ176" t="str">
        <f>""</f>
        <v/>
      </c>
      <c r="DR176" t="str">
        <f>""</f>
        <v/>
      </c>
      <c r="DS176">
        <f>51.51242435</f>
        <v>51.512424350000003</v>
      </c>
      <c r="DT176" t="str">
        <f>""</f>
        <v/>
      </c>
      <c r="DU176" t="str">
        <f>""</f>
        <v/>
      </c>
      <c r="DV176">
        <f>54.29015117</f>
        <v>54.290151170000001</v>
      </c>
      <c r="DW176" t="str">
        <f>""</f>
        <v/>
      </c>
      <c r="DX176" t="str">
        <f>""</f>
        <v/>
      </c>
      <c r="DY176">
        <f>53.8637151</f>
        <v>53.8637151</v>
      </c>
      <c r="DZ176" t="str">
        <f>""</f>
        <v/>
      </c>
      <c r="EA176" t="str">
        <f>""</f>
        <v/>
      </c>
      <c r="EB176">
        <f>52.88866204</f>
        <v>52.88866204</v>
      </c>
      <c r="EC176" t="str">
        <f>""</f>
        <v/>
      </c>
      <c r="ED176" t="str">
        <f>""</f>
        <v/>
      </c>
      <c r="EE176">
        <f>57.28229665</f>
        <v>57.282296649999999</v>
      </c>
      <c r="EF176" t="str">
        <f>""</f>
        <v/>
      </c>
      <c r="EG176" t="str">
        <f>""</f>
        <v/>
      </c>
      <c r="EH176">
        <f>56.08688373</f>
        <v>56.086883729999997</v>
      </c>
      <c r="EI176" t="str">
        <f>""</f>
        <v/>
      </c>
      <c r="EJ176" t="str">
        <f>""</f>
        <v/>
      </c>
      <c r="EK176">
        <f>72.77978884</f>
        <v>72.779788839999995</v>
      </c>
      <c r="EL176" t="str">
        <f>""</f>
        <v/>
      </c>
      <c r="EM176" t="str">
        <f>""</f>
        <v/>
      </c>
      <c r="EN176">
        <f>59.29411412</f>
        <v>59.294114120000003</v>
      </c>
      <c r="EO176" t="str">
        <f>""</f>
        <v/>
      </c>
      <c r="EP176" t="str">
        <f>""</f>
        <v/>
      </c>
      <c r="EQ176">
        <f>58.48922986</f>
        <v>58.489229860000002</v>
      </c>
      <c r="ER176" t="str">
        <f>""</f>
        <v/>
      </c>
      <c r="ES176" t="str">
        <f>""</f>
        <v/>
      </c>
      <c r="ET176">
        <f>53.73874934</f>
        <v>53.738749339999998</v>
      </c>
      <c r="EU176" t="str">
        <f>""</f>
        <v/>
      </c>
      <c r="EV176" t="str">
        <f>""</f>
        <v/>
      </c>
      <c r="EW176">
        <f>54.90461345</f>
        <v>54.904613449999999</v>
      </c>
      <c r="EX176" t="str">
        <f>""</f>
        <v/>
      </c>
      <c r="EY176" t="str">
        <f>""</f>
        <v/>
      </c>
      <c r="EZ176">
        <f>56.72977518</f>
        <v>56.729775179999997</v>
      </c>
      <c r="FA176" t="str">
        <f>""</f>
        <v/>
      </c>
      <c r="FB176" t="str">
        <f>""</f>
        <v/>
      </c>
      <c r="FC176">
        <f>56.02133256</f>
        <v>56.021332559999998</v>
      </c>
      <c r="FD176" t="str">
        <f>""</f>
        <v/>
      </c>
      <c r="FE176" t="str">
        <f>""</f>
        <v/>
      </c>
      <c r="FF176">
        <f>56.13680403</f>
        <v>56.13680403</v>
      </c>
      <c r="FG176" t="str">
        <f>""</f>
        <v/>
      </c>
      <c r="FH176" t="str">
        <f>""</f>
        <v/>
      </c>
      <c r="FI176">
        <f>55.53134718</f>
        <v>55.531347179999997</v>
      </c>
      <c r="FJ176" t="str">
        <f>""</f>
        <v/>
      </c>
      <c r="FK176" t="str">
        <f>""</f>
        <v/>
      </c>
      <c r="FL176">
        <f>59.59395383</f>
        <v>59.593953829999997</v>
      </c>
      <c r="FM176" t="str">
        <f>""</f>
        <v/>
      </c>
      <c r="FN176" t="str">
        <f>""</f>
        <v/>
      </c>
      <c r="FO176">
        <f>63.89658604</f>
        <v>63.896586040000003</v>
      </c>
      <c r="FP176" t="str">
        <f>""</f>
        <v/>
      </c>
      <c r="FQ176" t="str">
        <f>""</f>
        <v/>
      </c>
    </row>
    <row r="177" spans="1:173">
      <c r="A177" t="str">
        <f>"    UDR 公司"</f>
        <v xml:space="preserve">    UDR 公司</v>
      </c>
      <c r="B177" t="str">
        <f>"UDR US Equity"</f>
        <v>UDR US Equity</v>
      </c>
      <c r="C177" t="str">
        <f t="shared" si="54"/>
        <v>RR106</v>
      </c>
      <c r="D177" t="str">
        <f t="shared" si="55"/>
        <v>FFO_PAYOUT_RATIO</v>
      </c>
      <c r="E177" t="str">
        <f t="shared" si="56"/>
        <v>动态</v>
      </c>
      <c r="F177" t="str">
        <f ca="1">IF(AND(ISNUMBER($F$384),$B$252=1),$F$384,HLOOKUP(INDIRECT(ADDRESS(2,COLUMN())),OFFSET($CL$2,0,0,ROW()-1,84),ROW()-1,FALSE))</f>
        <v/>
      </c>
      <c r="G177" t="str">
        <f ca="1">IF(AND(ISNUMBER($G$384),$B$252=1),$G$384,HLOOKUP(INDIRECT(ADDRESS(2,COLUMN())),OFFSET($CL$2,0,0,ROW()-1,84),ROW()-1,FALSE))</f>
        <v/>
      </c>
      <c r="H177" t="str">
        <f ca="1">IF(AND(ISNUMBER($H$384),$B$252=1),$H$384,HLOOKUP(INDIRECT(ADDRESS(2,COLUMN())),OFFSET($CL$2,0,0,ROW()-1,84),ROW()-1,FALSE))</f>
        <v/>
      </c>
      <c r="I177">
        <f ca="1">IF(AND(ISNUMBER($I$384),$B$252=1),$I$384,HLOOKUP(INDIRECT(ADDRESS(2,COLUMN())),OFFSET($CL$2,0,0,ROW()-1,84),ROW()-1,FALSE))</f>
        <v>60.623640850000001</v>
      </c>
      <c r="J177" t="str">
        <f ca="1">IF(AND(ISNUMBER($J$384),$B$252=1),$J$384,HLOOKUP(INDIRECT(ADDRESS(2,COLUMN())),OFFSET($CL$2,0,0,ROW()-1,84),ROW()-1,FALSE))</f>
        <v/>
      </c>
      <c r="K177" t="str">
        <f ca="1">IF(AND(ISNUMBER($K$384),$B$252=1),$K$384,HLOOKUP(INDIRECT(ADDRESS(2,COLUMN())),OFFSET($CL$2,0,0,ROW()-1,84),ROW()-1,FALSE))</f>
        <v/>
      </c>
      <c r="L177">
        <f ca="1">IF(AND(ISNUMBER($L$384),$B$252=1),$L$384,HLOOKUP(INDIRECT(ADDRESS(2,COLUMN())),OFFSET($CL$2,0,0,ROW()-1,84),ROW()-1,FALSE))</f>
        <v>60.510882879999997</v>
      </c>
      <c r="M177" t="str">
        <f ca="1">IF(AND(ISNUMBER($M$384),$B$252=1),$M$384,HLOOKUP(INDIRECT(ADDRESS(2,COLUMN())),OFFSET($CL$2,0,0,ROW()-1,84),ROW()-1,FALSE))</f>
        <v/>
      </c>
      <c r="N177" t="str">
        <f ca="1">IF(AND(ISNUMBER($N$384),$B$252=1),$N$384,HLOOKUP(INDIRECT(ADDRESS(2,COLUMN())),OFFSET($CL$2,0,0,ROW()-1,84),ROW()-1,FALSE))</f>
        <v/>
      </c>
      <c r="O177">
        <f ca="1">IF(AND(ISNUMBER($O$384),$B$252=1),$O$384,HLOOKUP(INDIRECT(ADDRESS(2,COLUMN())),OFFSET($CL$2,0,0,ROW()-1,84),ROW()-1,FALSE))</f>
        <v>61.895842819999999</v>
      </c>
      <c r="P177" t="str">
        <f ca="1">IF(AND(ISNUMBER($P$384),$B$252=1),$P$384,HLOOKUP(INDIRECT(ADDRESS(2,COLUMN())),OFFSET($CL$2,0,0,ROW()-1,84),ROW()-1,FALSE))</f>
        <v/>
      </c>
      <c r="Q177" t="str">
        <f ca="1">IF(AND(ISNUMBER($Q$384),$B$252=1),$Q$384,HLOOKUP(INDIRECT(ADDRESS(2,COLUMN())),OFFSET($CL$2,0,0,ROW()-1,84),ROW()-1,FALSE))</f>
        <v/>
      </c>
      <c r="R177">
        <f ca="1">IF(AND(ISNUMBER($R$384),$B$252=1),$R$384,HLOOKUP(INDIRECT(ADDRESS(2,COLUMN())),OFFSET($CL$2,0,0,ROW()-1,84),ROW()-1,FALSE))</f>
        <v>61.713202219999999</v>
      </c>
      <c r="S177" t="str">
        <f ca="1">IF(AND(ISNUMBER($S$384),$B$252=1),$S$384,HLOOKUP(INDIRECT(ADDRESS(2,COLUMN())),OFFSET($CL$2,0,0,ROW()-1,84),ROW()-1,FALSE))</f>
        <v/>
      </c>
      <c r="T177" t="str">
        <f ca="1">IF(AND(ISNUMBER($T$384),$B$252=1),$T$384,HLOOKUP(INDIRECT(ADDRESS(2,COLUMN())),OFFSET($CL$2,0,0,ROW()-1,84),ROW()-1,FALSE))</f>
        <v/>
      </c>
      <c r="U177">
        <f ca="1">IF(AND(ISNUMBER($U$384),$B$252=1),$U$384,HLOOKUP(INDIRECT(ADDRESS(2,COLUMN())),OFFSET($CL$2,0,0,ROW()-1,84),ROW()-1,FALSE))</f>
        <v>56.92953129</v>
      </c>
      <c r="V177" t="str">
        <f ca="1">IF(AND(ISNUMBER($V$384),$B$252=1),$V$384,HLOOKUP(INDIRECT(ADDRESS(2,COLUMN())),OFFSET($CL$2,0,0,ROW()-1,84),ROW()-1,FALSE))</f>
        <v/>
      </c>
      <c r="W177" t="str">
        <f ca="1">IF(AND(ISNUMBER($W$384),$B$252=1),$W$384,HLOOKUP(INDIRECT(ADDRESS(2,COLUMN())),OFFSET($CL$2,0,0,ROW()-1,84),ROW()-1,FALSE))</f>
        <v/>
      </c>
      <c r="X177">
        <f ca="1">IF(AND(ISNUMBER($X$384),$B$252=1),$X$384,HLOOKUP(INDIRECT(ADDRESS(2,COLUMN())),OFFSET($CL$2,0,0,ROW()-1,84),ROW()-1,FALSE))</f>
        <v>57.844673479999997</v>
      </c>
      <c r="Y177" t="str">
        <f ca="1">IF(AND(ISNUMBER($Y$384),$B$252=1),$Y$384,HLOOKUP(INDIRECT(ADDRESS(2,COLUMN())),OFFSET($CL$2,0,0,ROW()-1,84),ROW()-1,FALSE))</f>
        <v/>
      </c>
      <c r="Z177" t="str">
        <f ca="1">IF(AND(ISNUMBER($Z$384),$B$252=1),$Z$384,HLOOKUP(INDIRECT(ADDRESS(2,COLUMN())),OFFSET($CL$2,0,0,ROW()-1,84),ROW()-1,FALSE))</f>
        <v/>
      </c>
      <c r="AA177">
        <f ca="1">IF(AND(ISNUMBER($AA$384),$B$252=1),$AA$384,HLOOKUP(INDIRECT(ADDRESS(2,COLUMN())),OFFSET($CL$2,0,0,ROW()-1,84),ROW()-1,FALSE))</f>
        <v>60.197769860000001</v>
      </c>
      <c r="AB177" t="str">
        <f ca="1">IF(AND(ISNUMBER($AB$384),$B$252=1),$AB$384,HLOOKUP(INDIRECT(ADDRESS(2,COLUMN())),OFFSET($CL$2,0,0,ROW()-1,84),ROW()-1,FALSE))</f>
        <v/>
      </c>
      <c r="AC177" t="str">
        <f ca="1">IF(AND(ISNUMBER($AC$384),$B$252=1),$AC$384,HLOOKUP(INDIRECT(ADDRESS(2,COLUMN())),OFFSET($CL$2,0,0,ROW()-1,84),ROW()-1,FALSE))</f>
        <v/>
      </c>
      <c r="AD177">
        <f ca="1">IF(AND(ISNUMBER($AD$384),$B$252=1),$AD$384,HLOOKUP(INDIRECT(ADDRESS(2,COLUMN())),OFFSET($CL$2,0,0,ROW()-1,84),ROW()-1,FALSE))</f>
        <v>62.623502879999997</v>
      </c>
      <c r="AE177" t="str">
        <f ca="1">IF(AND(ISNUMBER($AE$384),$B$252=1),$AE$384,HLOOKUP(INDIRECT(ADDRESS(2,COLUMN())),OFFSET($CL$2,0,0,ROW()-1,84),ROW()-1,FALSE))</f>
        <v/>
      </c>
      <c r="AF177" t="str">
        <f ca="1">IF(AND(ISNUMBER($AF$384),$B$252=1),$AF$384,HLOOKUP(INDIRECT(ADDRESS(2,COLUMN())),OFFSET($CL$2,0,0,ROW()-1,84),ROW()-1,FALSE))</f>
        <v/>
      </c>
      <c r="AG177">
        <f ca="1">IF(AND(ISNUMBER($AG$384),$B$252=1),$AG$384,HLOOKUP(INDIRECT(ADDRESS(2,COLUMN())),OFFSET($CL$2,0,0,ROW()-1,84),ROW()-1,FALSE))</f>
        <v>61.104162799999997</v>
      </c>
      <c r="AH177" t="str">
        <f ca="1">IF(AND(ISNUMBER($AH$384),$B$252=1),$AH$384,HLOOKUP(INDIRECT(ADDRESS(2,COLUMN())),OFFSET($CL$2,0,0,ROW()-1,84),ROW()-1,FALSE))</f>
        <v/>
      </c>
      <c r="AI177" t="str">
        <f ca="1">IF(AND(ISNUMBER($AI$384),$B$252=1),$AI$384,HLOOKUP(INDIRECT(ADDRESS(2,COLUMN())),OFFSET($CL$2,0,0,ROW()-1,84),ROW()-1,FALSE))</f>
        <v/>
      </c>
      <c r="AJ177">
        <f ca="1">IF(AND(ISNUMBER($AJ$384),$B$252=1),$AJ$384,HLOOKUP(INDIRECT(ADDRESS(2,COLUMN())),OFFSET($CL$2,0,0,ROW()-1,84),ROW()-1,FALSE))</f>
        <v>63.263036800000002</v>
      </c>
      <c r="AK177" t="str">
        <f ca="1">IF(AND(ISNUMBER($AK$384),$B$252=1),$AK$384,HLOOKUP(INDIRECT(ADDRESS(2,COLUMN())),OFFSET($CL$2,0,0,ROW()-1,84),ROW()-1,FALSE))</f>
        <v/>
      </c>
      <c r="AL177" t="str">
        <f ca="1">IF(AND(ISNUMBER($AL$384),$B$252=1),$AL$384,HLOOKUP(INDIRECT(ADDRESS(2,COLUMN())),OFFSET($CL$2,0,0,ROW()-1,84),ROW()-1,FALSE))</f>
        <v/>
      </c>
      <c r="AM177">
        <f ca="1">IF(AND(ISNUMBER($AM$384),$B$252=1),$AM$384,HLOOKUP(INDIRECT(ADDRESS(2,COLUMN())),OFFSET($CL$2,0,0,ROW()-1,84),ROW()-1,FALSE))</f>
        <v>65.753925789999997</v>
      </c>
      <c r="AN177" t="str">
        <f ca="1">IF(AND(ISNUMBER($AN$384),$B$252=1),$AN$384,HLOOKUP(INDIRECT(ADDRESS(2,COLUMN())),OFFSET($CL$2,0,0,ROW()-1,84),ROW()-1,FALSE))</f>
        <v/>
      </c>
      <c r="AO177" t="str">
        <f ca="1">IF(AND(ISNUMBER($AO$384),$B$252=1),$AO$384,HLOOKUP(INDIRECT(ADDRESS(2,COLUMN())),OFFSET($CL$2,0,0,ROW()-1,84),ROW()-1,FALSE))</f>
        <v/>
      </c>
      <c r="AP177">
        <f ca="1">IF(AND(ISNUMBER($AP$384),$B$252=1),$AP$384,HLOOKUP(INDIRECT(ADDRESS(2,COLUMN())),OFFSET($CL$2,0,0,ROW()-1,84),ROW()-1,FALSE))</f>
        <v>62.28367437</v>
      </c>
      <c r="AQ177" t="str">
        <f ca="1">IF(AND(ISNUMBER($AQ$384),$B$252=1),$AQ$384,HLOOKUP(INDIRECT(ADDRESS(2,COLUMN())),OFFSET($CL$2,0,0,ROW()-1,84),ROW()-1,FALSE))</f>
        <v/>
      </c>
      <c r="AR177" t="str">
        <f ca="1">IF(AND(ISNUMBER($AR$384),$B$252=1),$AR$384,HLOOKUP(INDIRECT(ADDRESS(2,COLUMN())),OFFSET($CL$2,0,0,ROW()-1,84),ROW()-1,FALSE))</f>
        <v/>
      </c>
      <c r="AS177">
        <f ca="1">IF(AND(ISNUMBER($AS$384),$B$252=1),$AS$384,HLOOKUP(INDIRECT(ADDRESS(2,COLUMN())),OFFSET($CL$2,0,0,ROW()-1,84),ROW()-1,FALSE))</f>
        <v>61.188247070000003</v>
      </c>
      <c r="AT177" t="str">
        <f ca="1">IF(AND(ISNUMBER($AT$384),$B$252=1),$AT$384,HLOOKUP(INDIRECT(ADDRESS(2,COLUMN())),OFFSET($CL$2,0,0,ROW()-1,84),ROW()-1,FALSE))</f>
        <v/>
      </c>
      <c r="AU177" t="str">
        <f ca="1">IF(AND(ISNUMBER($AU$384),$B$252=1),$AU$384,HLOOKUP(INDIRECT(ADDRESS(2,COLUMN())),OFFSET($CL$2,0,0,ROW()-1,84),ROW()-1,FALSE))</f>
        <v/>
      </c>
      <c r="AV177" t="str">
        <f ca="1">IF(AND(ISNUMBER($AV$384),$B$252=1),$AV$384,HLOOKUP(INDIRECT(ADDRESS(2,COLUMN())),OFFSET($CL$2,0,0,ROW()-1,84),ROW()-1,FALSE))</f>
        <v/>
      </c>
      <c r="AW177" t="str">
        <f ca="1">IF(AND(ISNUMBER($AW$384),$B$252=1),$AW$384,HLOOKUP(INDIRECT(ADDRESS(2,COLUMN())),OFFSET($CL$2,0,0,ROW()-1,84),ROW()-1,FALSE))</f>
        <v/>
      </c>
      <c r="AX177" t="str">
        <f ca="1">IF(AND(ISNUMBER($AX$384),$B$252=1),$AX$384,HLOOKUP(INDIRECT(ADDRESS(2,COLUMN())),OFFSET($CL$2,0,0,ROW()-1,84),ROW()-1,FALSE))</f>
        <v/>
      </c>
      <c r="AY177" t="str">
        <f ca="1">IF(AND(ISNUMBER($AY$384),$B$252=1),$AY$384,HLOOKUP(INDIRECT(ADDRESS(2,COLUMN())),OFFSET($CL$2,0,0,ROW()-1,84),ROW()-1,FALSE))</f>
        <v/>
      </c>
      <c r="AZ177" t="str">
        <f ca="1">IF(AND(ISNUMBER($AZ$384),$B$252=1),$AZ$384,HLOOKUP(INDIRECT(ADDRESS(2,COLUMN())),OFFSET($CL$2,0,0,ROW()-1,84),ROW()-1,FALSE))</f>
        <v/>
      </c>
      <c r="BA177" t="str">
        <f ca="1">IF(AND(ISNUMBER($BA$384),$B$252=1),$BA$384,HLOOKUP(INDIRECT(ADDRESS(2,COLUMN())),OFFSET($CL$2,0,0,ROW()-1,84),ROW()-1,FALSE))</f>
        <v/>
      </c>
      <c r="BB177">
        <f ca="1">IF(AND(ISNUMBER($BB$384),$B$252=1),$BB$384,HLOOKUP(INDIRECT(ADDRESS(2,COLUMN())),OFFSET($CL$2,0,0,ROW()-1,84),ROW()-1,FALSE))</f>
        <v>61.861145020000002</v>
      </c>
      <c r="BC177" t="str">
        <f ca="1">IF(AND(ISNUMBER($BC$384),$B$252=1),$BC$384,HLOOKUP(INDIRECT(ADDRESS(2,COLUMN())),OFFSET($CL$2,0,0,ROW()-1,84),ROW()-1,FALSE))</f>
        <v/>
      </c>
      <c r="BD177" t="str">
        <f ca="1">IF(AND(ISNUMBER($BD$384),$B$252=1),$BD$384,HLOOKUP(INDIRECT(ADDRESS(2,COLUMN())),OFFSET($CL$2,0,0,ROW()-1,84),ROW()-1,FALSE))</f>
        <v/>
      </c>
      <c r="BE177">
        <f ca="1">IF(AND(ISNUMBER($BE$384),$B$252=1),$BE$384,HLOOKUP(INDIRECT(ADDRESS(2,COLUMN())),OFFSET($CL$2,0,0,ROW()-1,84),ROW()-1,FALSE))</f>
        <v>62.739962310000003</v>
      </c>
      <c r="BF177" t="str">
        <f ca="1">IF(AND(ISNUMBER($BF$384),$B$252=1),$BF$384,HLOOKUP(INDIRECT(ADDRESS(2,COLUMN())),OFFSET($CL$2,0,0,ROW()-1,84),ROW()-1,FALSE))</f>
        <v/>
      </c>
      <c r="BG177" t="str">
        <f ca="1">IF(AND(ISNUMBER($BG$384),$B$252=1),$BG$384,HLOOKUP(INDIRECT(ADDRESS(2,COLUMN())),OFFSET($CL$2,0,0,ROW()-1,84),ROW()-1,FALSE))</f>
        <v/>
      </c>
      <c r="BH177">
        <f ca="1">IF(AND(ISNUMBER($BH$384),$B$252=1),$BH$384,HLOOKUP(INDIRECT(ADDRESS(2,COLUMN())),OFFSET($CL$2,0,0,ROW()-1,84),ROW()-1,FALSE))</f>
        <v>59.936208739999998</v>
      </c>
      <c r="BI177" t="str">
        <f ca="1">IF(AND(ISNUMBER($BI$384),$B$252=1),$BI$384,HLOOKUP(INDIRECT(ADDRESS(2,COLUMN())),OFFSET($CL$2,0,0,ROW()-1,84),ROW()-1,FALSE))</f>
        <v/>
      </c>
      <c r="BJ177" t="str">
        <f ca="1">IF(AND(ISNUMBER($BJ$384),$B$252=1),$BJ$384,HLOOKUP(INDIRECT(ADDRESS(2,COLUMN())),OFFSET($CL$2,0,0,ROW()-1,84),ROW()-1,FALSE))</f>
        <v/>
      </c>
      <c r="BK177">
        <f ca="1">IF(AND(ISNUMBER($BK$384),$B$252=1),$BK$384,HLOOKUP(INDIRECT(ADDRESS(2,COLUMN())),OFFSET($CL$2,0,0,ROW()-1,84),ROW()-1,FALSE))</f>
        <v>61.43807297</v>
      </c>
      <c r="BL177" t="str">
        <f ca="1">IF(AND(ISNUMBER($BL$384),$B$252=1),$BL$384,HLOOKUP(INDIRECT(ADDRESS(2,COLUMN())),OFFSET($CL$2,0,0,ROW()-1,84),ROW()-1,FALSE))</f>
        <v/>
      </c>
      <c r="BM177" t="str">
        <f ca="1">IF(AND(ISNUMBER($BM$384),$B$252=1),$BM$384,HLOOKUP(INDIRECT(ADDRESS(2,COLUMN())),OFFSET($CL$2,0,0,ROW()-1,84),ROW()-1,FALSE))</f>
        <v/>
      </c>
      <c r="BN177">
        <f ca="1">IF(AND(ISNUMBER($BN$384),$B$252=1),$BN$384,HLOOKUP(INDIRECT(ADDRESS(2,COLUMN())),OFFSET($CL$2,0,0,ROW()-1,84),ROW()-1,FALSE))</f>
        <v>59.67325099</v>
      </c>
      <c r="BO177" t="str">
        <f ca="1">IF(AND(ISNUMBER($BO$384),$B$252=1),$BO$384,HLOOKUP(INDIRECT(ADDRESS(2,COLUMN())),OFFSET($CL$2,0,0,ROW()-1,84),ROW()-1,FALSE))</f>
        <v/>
      </c>
      <c r="BP177" t="str">
        <f ca="1">IF(AND(ISNUMBER($BP$384),$B$252=1),$BP$384,HLOOKUP(INDIRECT(ADDRESS(2,COLUMN())),OFFSET($CL$2,0,0,ROW()-1,84),ROW()-1,FALSE))</f>
        <v/>
      </c>
      <c r="BQ177">
        <f ca="1">IF(AND(ISNUMBER($BQ$384),$B$252=1),$BQ$384,HLOOKUP(INDIRECT(ADDRESS(2,COLUMN())),OFFSET($CL$2,0,0,ROW()-1,84),ROW()-1,FALSE))</f>
        <v>67.360371619999995</v>
      </c>
      <c r="BR177" t="str">
        <f ca="1">IF(AND(ISNUMBER($BR$384),$B$252=1),$BR$384,HLOOKUP(INDIRECT(ADDRESS(2,COLUMN())),OFFSET($CL$2,0,0,ROW()-1,84),ROW()-1,FALSE))</f>
        <v/>
      </c>
      <c r="BS177" t="str">
        <f ca="1">IF(AND(ISNUMBER($BS$384),$B$252=1),$BS$384,HLOOKUP(INDIRECT(ADDRESS(2,COLUMN())),OFFSET($CL$2,0,0,ROW()-1,84),ROW()-1,FALSE))</f>
        <v/>
      </c>
      <c r="BT177">
        <f ca="1">IF(AND(ISNUMBER($BT$384),$B$252=1),$BT$384,HLOOKUP(INDIRECT(ADDRESS(2,COLUMN())),OFFSET($CL$2,0,0,ROW()-1,84),ROW()-1,FALSE))</f>
        <v>63.515809179999998</v>
      </c>
      <c r="BU177" t="str">
        <f ca="1">IF(AND(ISNUMBER($BU$384),$B$252=1),$BU$384,HLOOKUP(INDIRECT(ADDRESS(2,COLUMN())),OFFSET($CL$2,0,0,ROW()-1,84),ROW()-1,FALSE))</f>
        <v/>
      </c>
      <c r="BV177" t="str">
        <f ca="1">IF(AND(ISNUMBER($BV$384),$B$252=1),$BV$384,HLOOKUP(INDIRECT(ADDRESS(2,COLUMN())),OFFSET($CL$2,0,0,ROW()-1,84),ROW()-1,FALSE))</f>
        <v/>
      </c>
      <c r="BW177">
        <f ca="1">IF(AND(ISNUMBER($BW$384),$B$252=1),$BW$384,HLOOKUP(INDIRECT(ADDRESS(2,COLUMN())),OFFSET($CL$2,0,0,ROW()-1,84),ROW()-1,FALSE))</f>
        <v>63.421472739999999</v>
      </c>
      <c r="BX177" t="str">
        <f ca="1">IF(AND(ISNUMBER($BX$384),$B$252=1),$BX$384,HLOOKUP(INDIRECT(ADDRESS(2,COLUMN())),OFFSET($CL$2,0,0,ROW()-1,84),ROW()-1,FALSE))</f>
        <v/>
      </c>
      <c r="BY177" t="str">
        <f ca="1">IF(AND(ISNUMBER($BY$384),$B$252=1),$BY$384,HLOOKUP(INDIRECT(ADDRESS(2,COLUMN())),OFFSET($CL$2,0,0,ROW()-1,84),ROW()-1,FALSE))</f>
        <v/>
      </c>
      <c r="BZ177">
        <f ca="1">IF(AND(ISNUMBER($BZ$384),$B$252=1),$BZ$384,HLOOKUP(INDIRECT(ADDRESS(2,COLUMN())),OFFSET($CL$2,0,0,ROW()-1,84),ROW()-1,FALSE))</f>
        <v>58.34530651</v>
      </c>
      <c r="CA177" t="str">
        <f ca="1">IF(AND(ISNUMBER($CA$384),$B$252=1),$CA$384,HLOOKUP(INDIRECT(ADDRESS(2,COLUMN())),OFFSET($CL$2,0,0,ROW()-1,84),ROW()-1,FALSE))</f>
        <v/>
      </c>
      <c r="CB177" t="str">
        <f ca="1">IF(AND(ISNUMBER($CB$384),$B$252=1),$CB$384,HLOOKUP(INDIRECT(ADDRESS(2,COLUMN())),OFFSET($CL$2,0,0,ROW()-1,84),ROW()-1,FALSE))</f>
        <v/>
      </c>
      <c r="CC177">
        <f ca="1">IF(AND(ISNUMBER($CC$384),$B$252=1),$CC$384,HLOOKUP(INDIRECT(ADDRESS(2,COLUMN())),OFFSET($CL$2,0,0,ROW()-1,84),ROW()-1,FALSE))</f>
        <v>58.399771800000003</v>
      </c>
      <c r="CD177" t="str">
        <f ca="1">IF(AND(ISNUMBER($CD$384),$B$252=1),$CD$384,HLOOKUP(INDIRECT(ADDRESS(2,COLUMN())),OFFSET($CL$2,0,0,ROW()-1,84),ROW()-1,FALSE))</f>
        <v/>
      </c>
      <c r="CE177" t="str">
        <f ca="1">IF(AND(ISNUMBER($CE$384),$B$252=1),$CE$384,HLOOKUP(INDIRECT(ADDRESS(2,COLUMN())),OFFSET($CL$2,0,0,ROW()-1,84),ROW()-1,FALSE))</f>
        <v/>
      </c>
      <c r="CF177">
        <f ca="1">IF(AND(ISNUMBER($CF$384),$B$252=1),$CF$384,HLOOKUP(INDIRECT(ADDRESS(2,COLUMN())),OFFSET($CL$2,0,0,ROW()-1,84),ROW()-1,FALSE))</f>
        <v>58.593371060000003</v>
      </c>
      <c r="CG177" t="str">
        <f ca="1">IF(AND(ISNUMBER($CG$384),$B$252=1),$CG$384,HLOOKUP(INDIRECT(ADDRESS(2,COLUMN())),OFFSET($CL$2,0,0,ROW()-1,84),ROW()-1,FALSE))</f>
        <v/>
      </c>
      <c r="CH177" t="str">
        <f ca="1">IF(AND(ISNUMBER($CH$384),$B$252=1),$CH$384,HLOOKUP(INDIRECT(ADDRESS(2,COLUMN())),OFFSET($CL$2,0,0,ROW()-1,84),ROW()-1,FALSE))</f>
        <v/>
      </c>
      <c r="CI177">
        <f ca="1">IF(AND(ISNUMBER($CI$384),$B$252=1),$CI$384,HLOOKUP(INDIRECT(ADDRESS(2,COLUMN())),OFFSET($CL$2,0,0,ROW()-1,84),ROW()-1,FALSE))</f>
        <v>59.92166855</v>
      </c>
      <c r="CJ177" t="str">
        <f ca="1">IF(AND(ISNUMBER($CJ$384),$B$252=1),$CJ$384,HLOOKUP(INDIRECT(ADDRESS(2,COLUMN())),OFFSET($CL$2,0,0,ROW()-1,84),ROW()-1,FALSE))</f>
        <v/>
      </c>
      <c r="CK177" t="str">
        <f ca="1">IF(AND(ISNUMBER($CK$384),$B$252=1),$CK$384,HLOOKUP(INDIRECT(ADDRESS(2,COLUMN())),OFFSET($CL$2,0,0,ROW()-1,84),ROW()-1,FALSE))</f>
        <v/>
      </c>
      <c r="CL177" t="str">
        <f>""</f>
        <v/>
      </c>
      <c r="CM177" t="str">
        <f>""</f>
        <v/>
      </c>
      <c r="CN177" t="str">
        <f>""</f>
        <v/>
      </c>
      <c r="CO177">
        <f>60.62364085</f>
        <v>60.623640850000001</v>
      </c>
      <c r="CP177" t="str">
        <f>""</f>
        <v/>
      </c>
      <c r="CQ177" t="str">
        <f>""</f>
        <v/>
      </c>
      <c r="CR177">
        <f>60.51088288</f>
        <v>60.510882879999997</v>
      </c>
      <c r="CS177" t="str">
        <f>""</f>
        <v/>
      </c>
      <c r="CT177" t="str">
        <f>""</f>
        <v/>
      </c>
      <c r="CU177">
        <f>61.89584282</f>
        <v>61.895842819999999</v>
      </c>
      <c r="CV177" t="str">
        <f>""</f>
        <v/>
      </c>
      <c r="CW177" t="str">
        <f>""</f>
        <v/>
      </c>
      <c r="CX177">
        <f>61.71320222</f>
        <v>61.713202219999999</v>
      </c>
      <c r="CY177" t="str">
        <f>""</f>
        <v/>
      </c>
      <c r="CZ177" t="str">
        <f>""</f>
        <v/>
      </c>
      <c r="DA177">
        <f>56.92953129</f>
        <v>56.92953129</v>
      </c>
      <c r="DB177" t="str">
        <f>""</f>
        <v/>
      </c>
      <c r="DC177" t="str">
        <f>""</f>
        <v/>
      </c>
      <c r="DD177">
        <f>57.84467348</f>
        <v>57.844673479999997</v>
      </c>
      <c r="DE177" t="str">
        <f>""</f>
        <v/>
      </c>
      <c r="DF177" t="str">
        <f>""</f>
        <v/>
      </c>
      <c r="DG177">
        <f>60.19776986</f>
        <v>60.197769860000001</v>
      </c>
      <c r="DH177" t="str">
        <f>""</f>
        <v/>
      </c>
      <c r="DI177" t="str">
        <f>""</f>
        <v/>
      </c>
      <c r="DJ177">
        <f>62.62350288</f>
        <v>62.623502879999997</v>
      </c>
      <c r="DK177" t="str">
        <f>""</f>
        <v/>
      </c>
      <c r="DL177" t="str">
        <f>""</f>
        <v/>
      </c>
      <c r="DM177">
        <f>61.1041628</f>
        <v>61.104162799999997</v>
      </c>
      <c r="DN177" t="str">
        <f>""</f>
        <v/>
      </c>
      <c r="DO177" t="str">
        <f>""</f>
        <v/>
      </c>
      <c r="DP177">
        <f>63.2630368</f>
        <v>63.263036800000002</v>
      </c>
      <c r="DQ177" t="str">
        <f>""</f>
        <v/>
      </c>
      <c r="DR177" t="str">
        <f>""</f>
        <v/>
      </c>
      <c r="DS177">
        <f>65.75392579</f>
        <v>65.753925789999997</v>
      </c>
      <c r="DT177" t="str">
        <f>""</f>
        <v/>
      </c>
      <c r="DU177" t="str">
        <f>""</f>
        <v/>
      </c>
      <c r="DV177">
        <f>62.28367437</f>
        <v>62.28367437</v>
      </c>
      <c r="DW177" t="str">
        <f>""</f>
        <v/>
      </c>
      <c r="DX177" t="str">
        <f>""</f>
        <v/>
      </c>
      <c r="DY177">
        <f>61.18824707</f>
        <v>61.188247070000003</v>
      </c>
      <c r="DZ177" t="str">
        <f>""</f>
        <v/>
      </c>
      <c r="EA177" t="str">
        <f>""</f>
        <v/>
      </c>
      <c r="EB177" t="str">
        <f>""</f>
        <v/>
      </c>
      <c r="EC177" t="str">
        <f>""</f>
        <v/>
      </c>
      <c r="ED177" t="str">
        <f>""</f>
        <v/>
      </c>
      <c r="EE177" t="str">
        <f>""</f>
        <v/>
      </c>
      <c r="EF177" t="str">
        <f>""</f>
        <v/>
      </c>
      <c r="EG177" t="str">
        <f>""</f>
        <v/>
      </c>
      <c r="EH177">
        <f>61.86114502</f>
        <v>61.861145020000002</v>
      </c>
      <c r="EI177" t="str">
        <f>""</f>
        <v/>
      </c>
      <c r="EJ177" t="str">
        <f>""</f>
        <v/>
      </c>
      <c r="EK177">
        <f>62.73996231</f>
        <v>62.739962310000003</v>
      </c>
      <c r="EL177" t="str">
        <f>""</f>
        <v/>
      </c>
      <c r="EM177" t="str">
        <f>""</f>
        <v/>
      </c>
      <c r="EN177">
        <f>59.93620874</f>
        <v>59.936208739999998</v>
      </c>
      <c r="EO177" t="str">
        <f>""</f>
        <v/>
      </c>
      <c r="EP177" t="str">
        <f>""</f>
        <v/>
      </c>
      <c r="EQ177">
        <f>61.43807297</f>
        <v>61.43807297</v>
      </c>
      <c r="ER177" t="str">
        <f>""</f>
        <v/>
      </c>
      <c r="ES177" t="str">
        <f>""</f>
        <v/>
      </c>
      <c r="ET177">
        <f>59.67325099</f>
        <v>59.67325099</v>
      </c>
      <c r="EU177" t="str">
        <f>""</f>
        <v/>
      </c>
      <c r="EV177" t="str">
        <f>""</f>
        <v/>
      </c>
      <c r="EW177">
        <f>67.36037162</f>
        <v>67.360371619999995</v>
      </c>
      <c r="EX177" t="str">
        <f>""</f>
        <v/>
      </c>
      <c r="EY177" t="str">
        <f>""</f>
        <v/>
      </c>
      <c r="EZ177">
        <f>63.51580918</f>
        <v>63.515809179999998</v>
      </c>
      <c r="FA177" t="str">
        <f>""</f>
        <v/>
      </c>
      <c r="FB177" t="str">
        <f>""</f>
        <v/>
      </c>
      <c r="FC177">
        <f>63.42147274</f>
        <v>63.421472739999999</v>
      </c>
      <c r="FD177" t="str">
        <f>""</f>
        <v/>
      </c>
      <c r="FE177" t="str">
        <f>""</f>
        <v/>
      </c>
      <c r="FF177">
        <f>58.34530651</f>
        <v>58.34530651</v>
      </c>
      <c r="FG177" t="str">
        <f>""</f>
        <v/>
      </c>
      <c r="FH177" t="str">
        <f>""</f>
        <v/>
      </c>
      <c r="FI177">
        <f>58.3997718</f>
        <v>58.399771800000003</v>
      </c>
      <c r="FJ177" t="str">
        <f>""</f>
        <v/>
      </c>
      <c r="FK177" t="str">
        <f>""</f>
        <v/>
      </c>
      <c r="FL177">
        <f>58.59337106</f>
        <v>58.593371060000003</v>
      </c>
      <c r="FM177" t="str">
        <f>""</f>
        <v/>
      </c>
      <c r="FN177" t="str">
        <f>""</f>
        <v/>
      </c>
      <c r="FO177">
        <f>59.92166855</f>
        <v>59.92166855</v>
      </c>
      <c r="FP177" t="str">
        <f>""</f>
        <v/>
      </c>
      <c r="FQ177" t="str">
        <f>""</f>
        <v/>
      </c>
    </row>
    <row r="178" spans="1:173">
      <c r="A178" t="str">
        <f>"AFFO支付"</f>
        <v>AFFO支付</v>
      </c>
      <c r="B178" t="str">
        <f>""</f>
        <v/>
      </c>
      <c r="E178" t="str">
        <f>"Median"</f>
        <v>Median</v>
      </c>
      <c r="F178" t="str">
        <f ca="1">IF(ISERROR(IF(MEDIAN($F$179:$F$186) = 0, "", MEDIAN($F$179:$F$186))), "", (IF(MEDIAN($F$179:$F$186) = 0, "", MEDIAN($F$179:$F$186))))</f>
        <v/>
      </c>
      <c r="G178" t="str">
        <f ca="1">IF(ISERROR(IF(MEDIAN($G$179:$G$186) = 0, "", MEDIAN($G$179:$G$186))), "", (IF(MEDIAN($G$179:$G$186) = 0, "", MEDIAN($G$179:$G$186))))</f>
        <v/>
      </c>
      <c r="H178" t="str">
        <f ca="1">IF(ISERROR(IF(MEDIAN($H$179:$H$186) = 0, "", MEDIAN($H$179:$H$186))), "", (IF(MEDIAN($H$179:$H$186) = 0, "", MEDIAN($H$179:$H$186))))</f>
        <v/>
      </c>
      <c r="I178">
        <f ca="1">IF(ISERROR(IF(MEDIAN($I$179:$I$186) = 0, "", MEDIAN($I$179:$I$186))), "", (IF(MEDIAN($I$179:$I$186) = 0, "", MEDIAN($I$179:$I$186))))</f>
        <v>62.236631289999998</v>
      </c>
      <c r="J178" t="str">
        <f ca="1">IF(ISERROR(IF(MEDIAN($J$179:$J$186) = 0, "", MEDIAN($J$179:$J$186))), "", (IF(MEDIAN($J$179:$J$186) = 0, "", MEDIAN($J$179:$J$186))))</f>
        <v/>
      </c>
      <c r="K178" t="str">
        <f ca="1">IF(ISERROR(IF(MEDIAN($K$179:$K$186) = 0, "", MEDIAN($K$179:$K$186))), "", (IF(MEDIAN($K$179:$K$186) = 0, "", MEDIAN($K$179:$K$186))))</f>
        <v/>
      </c>
      <c r="L178">
        <f ca="1">IF(ISERROR(IF(MEDIAN($L$179:$L$186) = 0, "", MEDIAN($L$179:$L$186))), "", (IF(MEDIAN($L$179:$L$186) = 0, "", MEDIAN($L$179:$L$186))))</f>
        <v>63.282315109999999</v>
      </c>
      <c r="M178" t="str">
        <f ca="1">IF(ISERROR(IF(MEDIAN($M$179:$M$186) = 0, "", MEDIAN($M$179:$M$186))), "", (IF(MEDIAN($M$179:$M$186) = 0, "", MEDIAN($M$179:$M$186))))</f>
        <v/>
      </c>
      <c r="N178" t="str">
        <f ca="1">IF(ISERROR(IF(MEDIAN($N$179:$N$186) = 0, "", MEDIAN($N$179:$N$186))), "", (IF(MEDIAN($N$179:$N$186) = 0, "", MEDIAN($N$179:$N$186))))</f>
        <v/>
      </c>
      <c r="O178">
        <f ca="1">IF(ISERROR(IF(MEDIAN($O$179:$O$186) = 0, "", MEDIAN($O$179:$O$186))), "", (IF(MEDIAN($O$179:$O$186) = 0, "", MEDIAN($O$179:$O$186))))</f>
        <v>65.394094420000002</v>
      </c>
      <c r="P178" t="str">
        <f ca="1">IF(ISERROR(IF(MEDIAN($P$179:$P$186) = 0, "", MEDIAN($P$179:$P$186))), "", (IF(MEDIAN($P$179:$P$186) = 0, "", MEDIAN($P$179:$P$186))))</f>
        <v/>
      </c>
      <c r="Q178" t="str">
        <f ca="1">IF(ISERROR(IF(MEDIAN($Q$179:$Q$186) = 0, "", MEDIAN($Q$179:$Q$186))), "", (IF(MEDIAN($Q$179:$Q$186) = 0, "", MEDIAN($Q$179:$Q$186))))</f>
        <v/>
      </c>
      <c r="R178">
        <f ca="1">IF(ISERROR(IF(MEDIAN($R$179:$R$186) = 0, "", MEDIAN($R$179:$R$186))), "", (IF(MEDIAN($R$179:$R$186) = 0, "", MEDIAN($R$179:$R$186))))</f>
        <v>67.916499025000007</v>
      </c>
      <c r="S178" t="str">
        <f ca="1">IF(ISERROR(IF(MEDIAN($S$179:$S$186) = 0, "", MEDIAN($S$179:$S$186))), "", (IF(MEDIAN($S$179:$S$186) = 0, "", MEDIAN($S$179:$S$186))))</f>
        <v/>
      </c>
      <c r="T178" t="str">
        <f ca="1">IF(ISERROR(IF(MEDIAN($T$179:$T$186) = 0, "", MEDIAN($T$179:$T$186))), "", (IF(MEDIAN($T$179:$T$186) = 0, "", MEDIAN($T$179:$T$186))))</f>
        <v/>
      </c>
      <c r="U178">
        <f ca="1">IF(ISERROR(IF(MEDIAN($U$179:$U$186) = 0, "", MEDIAN($U$179:$U$186))), "", (IF(MEDIAN($U$179:$U$186) = 0, "", MEDIAN($U$179:$U$186))))</f>
        <v>64.044060485000003</v>
      </c>
      <c r="V178" t="str">
        <f ca="1">IF(ISERROR(IF(MEDIAN($V$179:$V$186) = 0, "", MEDIAN($V$179:$V$186))), "", (IF(MEDIAN($V$179:$V$186) = 0, "", MEDIAN($V$179:$V$186))))</f>
        <v/>
      </c>
      <c r="W178" t="str">
        <f ca="1">IF(ISERROR(IF(MEDIAN($W$179:$W$186) = 0, "", MEDIAN($W$179:$W$186))), "", (IF(MEDIAN($W$179:$W$186) = 0, "", MEDIAN($W$179:$W$186))))</f>
        <v/>
      </c>
      <c r="X178">
        <f ca="1">IF(ISERROR(IF(MEDIAN($X$179:$X$186) = 0, "", MEDIAN($X$179:$X$186))), "", (IF(MEDIAN($X$179:$X$186) = 0, "", MEDIAN($X$179:$X$186))))</f>
        <v>65.212290019999998</v>
      </c>
      <c r="Y178" t="str">
        <f ca="1">IF(ISERROR(IF(MEDIAN($Y$179:$Y$186) = 0, "", MEDIAN($Y$179:$Y$186))), "", (IF(MEDIAN($Y$179:$Y$186) = 0, "", MEDIAN($Y$179:$Y$186))))</f>
        <v/>
      </c>
      <c r="Z178" t="str">
        <f ca="1">IF(ISERROR(IF(MEDIAN($Z$179:$Z$186) = 0, "", MEDIAN($Z$179:$Z$186))), "", (IF(MEDIAN($Z$179:$Z$186) = 0, "", MEDIAN($Z$179:$Z$186))))</f>
        <v/>
      </c>
      <c r="AA178">
        <f ca="1">IF(ISERROR(IF(MEDIAN($AA$179:$AA$186) = 0, "", MEDIAN($AA$179:$AA$186))), "", (IF(MEDIAN($AA$179:$AA$186) = 0, "", MEDIAN($AA$179:$AA$186))))</f>
        <v>65.673054750000006</v>
      </c>
      <c r="AB178" t="str">
        <f ca="1">IF(ISERROR(IF(MEDIAN($AB$179:$AB$186) = 0, "", MEDIAN($AB$179:$AB$186))), "", (IF(MEDIAN($AB$179:$AB$186) = 0, "", MEDIAN($AB$179:$AB$186))))</f>
        <v/>
      </c>
      <c r="AC178" t="str">
        <f ca="1">IF(ISERROR(IF(MEDIAN($AC$179:$AC$186) = 0, "", MEDIAN($AC$179:$AC$186))), "", (IF(MEDIAN($AC$179:$AC$186) = 0, "", MEDIAN($AC$179:$AC$186))))</f>
        <v/>
      </c>
      <c r="AD178">
        <f ca="1">IF(ISERROR(IF(MEDIAN($AD$179:$AD$186) = 0, "", MEDIAN($AD$179:$AD$186))), "", (IF(MEDIAN($AD$179:$AD$186) = 0, "", MEDIAN($AD$179:$AD$186))))</f>
        <v>65.408423920000004</v>
      </c>
      <c r="AE178" t="str">
        <f ca="1">IF(ISERROR(IF(MEDIAN($AE$179:$AE$186) = 0, "", MEDIAN($AE$179:$AE$186))), "", (IF(MEDIAN($AE$179:$AE$186) = 0, "", MEDIAN($AE$179:$AE$186))))</f>
        <v/>
      </c>
      <c r="AF178" t="str">
        <f ca="1">IF(ISERROR(IF(MEDIAN($AF$179:$AF$186) = 0, "", MEDIAN($AF$179:$AF$186))), "", (IF(MEDIAN($AF$179:$AF$186) = 0, "", MEDIAN($AF$179:$AF$186))))</f>
        <v/>
      </c>
      <c r="AG178">
        <f ca="1">IF(ISERROR(IF(MEDIAN($AG$179:$AG$186) = 0, "", MEDIAN($AG$179:$AG$186))), "", (IF(MEDIAN($AG$179:$AG$186) = 0, "", MEDIAN($AG$179:$AG$186))))</f>
        <v>59.05428525</v>
      </c>
      <c r="AH178" t="str">
        <f ca="1">IF(ISERROR(IF(MEDIAN($AH$179:$AH$186) = 0, "", MEDIAN($AH$179:$AH$186))), "", (IF(MEDIAN($AH$179:$AH$186) = 0, "", MEDIAN($AH$179:$AH$186))))</f>
        <v/>
      </c>
      <c r="AI178" t="str">
        <f ca="1">IF(ISERROR(IF(MEDIAN($AI$179:$AI$186) = 0, "", MEDIAN($AI$179:$AI$186))), "", (IF(MEDIAN($AI$179:$AI$186) = 0, "", MEDIAN($AI$179:$AI$186))))</f>
        <v/>
      </c>
      <c r="AJ178">
        <f ca="1">IF(ISERROR(IF(MEDIAN($AJ$179:$AJ$186) = 0, "", MEDIAN($AJ$179:$AJ$186))), "", (IF(MEDIAN($AJ$179:$AJ$186) = 0, "", MEDIAN($AJ$179:$AJ$186))))</f>
        <v>61.544755914999996</v>
      </c>
      <c r="AK178" t="str">
        <f ca="1">IF(ISERROR(IF(MEDIAN($AK$179:$AK$186) = 0, "", MEDIAN($AK$179:$AK$186))), "", (IF(MEDIAN($AK$179:$AK$186) = 0, "", MEDIAN($AK$179:$AK$186))))</f>
        <v/>
      </c>
      <c r="AL178" t="str">
        <f ca="1">IF(ISERROR(IF(MEDIAN($AL$179:$AL$186) = 0, "", MEDIAN($AL$179:$AL$186))), "", (IF(MEDIAN($AL$179:$AL$186) = 0, "", MEDIAN($AL$179:$AL$186))))</f>
        <v/>
      </c>
      <c r="AM178">
        <f ca="1">IF(ISERROR(IF(MEDIAN($AM$179:$AM$186) = 0, "", MEDIAN($AM$179:$AM$186))), "", (IF(MEDIAN($AM$179:$AM$186) = 0, "", MEDIAN($AM$179:$AM$186))))</f>
        <v>61.321603940000003</v>
      </c>
      <c r="AN178" t="str">
        <f ca="1">IF(ISERROR(IF(MEDIAN($AN$179:$AN$186) = 0, "", MEDIAN($AN$179:$AN$186))), "", (IF(MEDIAN($AN$179:$AN$186) = 0, "", MEDIAN($AN$179:$AN$186))))</f>
        <v/>
      </c>
      <c r="AO178" t="str">
        <f ca="1">IF(ISERROR(IF(MEDIAN($AO$179:$AO$186) = 0, "", MEDIAN($AO$179:$AO$186))), "", (IF(MEDIAN($AO$179:$AO$186) = 0, "", MEDIAN($AO$179:$AO$186))))</f>
        <v/>
      </c>
      <c r="AP178">
        <f ca="1">IF(ISERROR(IF(MEDIAN($AP$179:$AP$186) = 0, "", MEDIAN($AP$179:$AP$186))), "", (IF(MEDIAN($AP$179:$AP$186) = 0, "", MEDIAN($AP$179:$AP$186))))</f>
        <v>67.097646865000002</v>
      </c>
      <c r="AQ178" t="str">
        <f ca="1">IF(ISERROR(IF(MEDIAN($AQ$179:$AQ$186) = 0, "", MEDIAN($AQ$179:$AQ$186))), "", (IF(MEDIAN($AQ$179:$AQ$186) = 0, "", MEDIAN($AQ$179:$AQ$186))))</f>
        <v/>
      </c>
      <c r="AR178" t="str">
        <f ca="1">IF(ISERROR(IF(MEDIAN($AR$179:$AR$186) = 0, "", MEDIAN($AR$179:$AR$186))), "", (IF(MEDIAN($AR$179:$AR$186) = 0, "", MEDIAN($AR$179:$AR$186))))</f>
        <v/>
      </c>
      <c r="AS178">
        <f ca="1">IF(ISERROR(IF(MEDIAN($AS$179:$AS$186) = 0, "", MEDIAN($AS$179:$AS$186))), "", (IF(MEDIAN($AS$179:$AS$186) = 0, "", MEDIAN($AS$179:$AS$186))))</f>
        <v>59.171573850000001</v>
      </c>
      <c r="AT178" t="str">
        <f ca="1">IF(ISERROR(IF(MEDIAN($AT$179:$AT$186) = 0, "", MEDIAN($AT$179:$AT$186))), "", (IF(MEDIAN($AT$179:$AT$186) = 0, "", MEDIAN($AT$179:$AT$186))))</f>
        <v/>
      </c>
      <c r="AU178" t="str">
        <f ca="1">IF(ISERROR(IF(MEDIAN($AU$179:$AU$186) = 0, "", MEDIAN($AU$179:$AU$186))), "", (IF(MEDIAN($AU$179:$AU$186) = 0, "", MEDIAN($AU$179:$AU$186))))</f>
        <v/>
      </c>
      <c r="AV178">
        <f ca="1">IF(ISERROR(IF(MEDIAN($AV$179:$AV$186) = 0, "", MEDIAN($AV$179:$AV$186))), "", (IF(MEDIAN($AV$179:$AV$186) = 0, "", MEDIAN($AV$179:$AV$186))))</f>
        <v>61.118046569999997</v>
      </c>
      <c r="AW178" t="str">
        <f ca="1">IF(ISERROR(IF(MEDIAN($AW$179:$AW$186) = 0, "", MEDIAN($AW$179:$AW$186))), "", (IF(MEDIAN($AW$179:$AW$186) = 0, "", MEDIAN($AW$179:$AW$186))))</f>
        <v/>
      </c>
      <c r="AX178" t="str">
        <f ca="1">IF(ISERROR(IF(MEDIAN($AX$179:$AX$186) = 0, "", MEDIAN($AX$179:$AX$186))), "", (IF(MEDIAN($AX$179:$AX$186) = 0, "", MEDIAN($AX$179:$AX$186))))</f>
        <v/>
      </c>
      <c r="AY178">
        <f ca="1">IF(ISERROR(IF(MEDIAN($AY$179:$AY$186) = 0, "", MEDIAN($AY$179:$AY$186))), "", (IF(MEDIAN($AY$179:$AY$186) = 0, "", MEDIAN($AY$179:$AY$186))))</f>
        <v>63.319108139999997</v>
      </c>
      <c r="AZ178" t="str">
        <f ca="1">IF(ISERROR(IF(MEDIAN($AZ$179:$AZ$186) = 0, "", MEDIAN($AZ$179:$AZ$186))), "", (IF(MEDIAN($AZ$179:$AZ$186) = 0, "", MEDIAN($AZ$179:$AZ$186))))</f>
        <v/>
      </c>
      <c r="BA178" t="str">
        <f ca="1">IF(ISERROR(IF(MEDIAN($BA$179:$BA$186) = 0, "", MEDIAN($BA$179:$BA$186))), "", (IF(MEDIAN($BA$179:$BA$186) = 0, "", MEDIAN($BA$179:$BA$186))))</f>
        <v/>
      </c>
      <c r="BB178">
        <f ca="1">IF(ISERROR(IF(MEDIAN($BB$179:$BB$186) = 0, "", MEDIAN($BB$179:$BB$186))), "", (IF(MEDIAN($BB$179:$BB$186) = 0, "", MEDIAN($BB$179:$BB$186))))</f>
        <v>64.260206179999997</v>
      </c>
      <c r="BC178" t="str">
        <f ca="1">IF(ISERROR(IF(MEDIAN($BC$179:$BC$186) = 0, "", MEDIAN($BC$179:$BC$186))), "", (IF(MEDIAN($BC$179:$BC$186) = 0, "", MEDIAN($BC$179:$BC$186))))</f>
        <v/>
      </c>
      <c r="BD178" t="str">
        <f ca="1">IF(ISERROR(IF(MEDIAN($BD$179:$BD$186) = 0, "", MEDIAN($BD$179:$BD$186))), "", (IF(MEDIAN($BD$179:$BD$186) = 0, "", MEDIAN($BD$179:$BD$186))))</f>
        <v/>
      </c>
      <c r="BE178">
        <f ca="1">IF(ISERROR(IF(MEDIAN($BE$179:$BE$186) = 0, "", MEDIAN($BE$179:$BE$186))), "", (IF(MEDIAN($BE$179:$BE$186) = 0, "", MEDIAN($BE$179:$BE$186))))</f>
        <v>63.17285862</v>
      </c>
      <c r="BF178" t="str">
        <f ca="1">IF(ISERROR(IF(MEDIAN($BF$179:$BF$186) = 0, "", MEDIAN($BF$179:$BF$186))), "", (IF(MEDIAN($BF$179:$BF$186) = 0, "", MEDIAN($BF$179:$BF$186))))</f>
        <v/>
      </c>
      <c r="BG178" t="str">
        <f ca="1">IF(ISERROR(IF(MEDIAN($BG$179:$BG$186) = 0, "", MEDIAN($BG$179:$BG$186))), "", (IF(MEDIAN($BG$179:$BG$186) = 0, "", MEDIAN($BG$179:$BG$186))))</f>
        <v/>
      </c>
      <c r="BH178">
        <f ca="1">IF(ISERROR(IF(MEDIAN($BH$179:$BH$186) = 0, "", MEDIAN($BH$179:$BH$186))), "", (IF(MEDIAN($BH$179:$BH$186) = 0, "", MEDIAN($BH$179:$BH$186))))</f>
        <v>61.980156174999998</v>
      </c>
      <c r="BI178" t="str">
        <f ca="1">IF(ISERROR(IF(MEDIAN($BI$179:$BI$186) = 0, "", MEDIAN($BI$179:$BI$186))), "", (IF(MEDIAN($BI$179:$BI$186) = 0, "", MEDIAN($BI$179:$BI$186))))</f>
        <v/>
      </c>
      <c r="BJ178" t="str">
        <f ca="1">IF(ISERROR(IF(MEDIAN($BJ$179:$BJ$186) = 0, "", MEDIAN($BJ$179:$BJ$186))), "", (IF(MEDIAN($BJ$179:$BJ$186) = 0, "", MEDIAN($BJ$179:$BJ$186))))</f>
        <v/>
      </c>
      <c r="BK178">
        <f ca="1">IF(ISERROR(IF(MEDIAN($BK$179:$BK$186) = 0, "", MEDIAN($BK$179:$BK$186))), "", (IF(MEDIAN($BK$179:$BK$186) = 0, "", MEDIAN($BK$179:$BK$186))))</f>
        <v>63.107536789999997</v>
      </c>
      <c r="BL178" t="str">
        <f ca="1">IF(ISERROR(IF(MEDIAN($BL$179:$BL$186) = 0, "", MEDIAN($BL$179:$BL$186))), "", (IF(MEDIAN($BL$179:$BL$186) = 0, "", MEDIAN($BL$179:$BL$186))))</f>
        <v/>
      </c>
      <c r="BM178" t="str">
        <f ca="1">IF(ISERROR(IF(MEDIAN($BM$179:$BM$186) = 0, "", MEDIAN($BM$179:$BM$186))), "", (IF(MEDIAN($BM$179:$BM$186) = 0, "", MEDIAN($BM$179:$BM$186))))</f>
        <v/>
      </c>
      <c r="BN178">
        <f ca="1">IF(ISERROR(IF(MEDIAN($BN$179:$BN$186) = 0, "", MEDIAN($BN$179:$BN$186))), "", (IF(MEDIAN($BN$179:$BN$186) = 0, "", MEDIAN($BN$179:$BN$186))))</f>
        <v>64.86986382500001</v>
      </c>
      <c r="BO178" t="str">
        <f ca="1">IF(ISERROR(IF(MEDIAN($BO$179:$BO$186) = 0, "", MEDIAN($BO$179:$BO$186))), "", (IF(MEDIAN($BO$179:$BO$186) = 0, "", MEDIAN($BO$179:$BO$186))))</f>
        <v/>
      </c>
      <c r="BP178" t="str">
        <f ca="1">IF(ISERROR(IF(MEDIAN($BP$179:$BP$186) = 0, "", MEDIAN($BP$179:$BP$186))), "", (IF(MEDIAN($BP$179:$BP$186) = 0, "", MEDIAN($BP$179:$BP$186))))</f>
        <v/>
      </c>
      <c r="BQ178">
        <f ca="1">IF(ISERROR(IF(MEDIAN($BQ$179:$BQ$186) = 0, "", MEDIAN($BQ$179:$BQ$186))), "", (IF(MEDIAN($BQ$179:$BQ$186) = 0, "", MEDIAN($BQ$179:$BQ$186))))</f>
        <v>58.472498805000001</v>
      </c>
      <c r="BR178" t="str">
        <f ca="1">IF(ISERROR(IF(MEDIAN($BR$179:$BR$186) = 0, "", MEDIAN($BR$179:$BR$186))), "", (IF(MEDIAN($BR$179:$BR$186) = 0, "", MEDIAN($BR$179:$BR$186))))</f>
        <v/>
      </c>
      <c r="BS178" t="str">
        <f ca="1">IF(ISERROR(IF(MEDIAN($BS$179:$BS$186) = 0, "", MEDIAN($BS$179:$BS$186))), "", (IF(MEDIAN($BS$179:$BS$186) = 0, "", MEDIAN($BS$179:$BS$186))))</f>
        <v/>
      </c>
      <c r="BT178">
        <f ca="1">IF(ISERROR(IF(MEDIAN($BT$179:$BT$186) = 0, "", MEDIAN($BT$179:$BT$186))), "", (IF(MEDIAN($BT$179:$BT$186) = 0, "", MEDIAN($BT$179:$BT$186))))</f>
        <v>59.120635660000005</v>
      </c>
      <c r="BU178" t="str">
        <f ca="1">IF(ISERROR(IF(MEDIAN($BU$179:$BU$186) = 0, "", MEDIAN($BU$179:$BU$186))), "", (IF(MEDIAN($BU$179:$BU$186) = 0, "", MEDIAN($BU$179:$BU$186))))</f>
        <v/>
      </c>
      <c r="BV178" t="str">
        <f ca="1">IF(ISERROR(IF(MEDIAN($BV$179:$BV$186) = 0, "", MEDIAN($BV$179:$BV$186))), "", (IF(MEDIAN($BV$179:$BV$186) = 0, "", MEDIAN($BV$179:$BV$186))))</f>
        <v/>
      </c>
      <c r="BW178">
        <f ca="1">IF(ISERROR(IF(MEDIAN($BW$179:$BW$186) = 0, "", MEDIAN($BW$179:$BW$186))), "", (IF(MEDIAN($BW$179:$BW$186) = 0, "", MEDIAN($BW$179:$BW$186))))</f>
        <v>60.728631204999999</v>
      </c>
      <c r="BX178" t="str">
        <f ca="1">IF(ISERROR(IF(MEDIAN($BX$179:$BX$186) = 0, "", MEDIAN($BX$179:$BX$186))), "", (IF(MEDIAN($BX$179:$BX$186) = 0, "", MEDIAN($BX$179:$BX$186))))</f>
        <v/>
      </c>
      <c r="BY178" t="str">
        <f ca="1">IF(ISERROR(IF(MEDIAN($BY$179:$BY$186) = 0, "", MEDIAN($BY$179:$BY$186))), "", (IF(MEDIAN($BY$179:$BY$186) = 0, "", MEDIAN($BY$179:$BY$186))))</f>
        <v/>
      </c>
      <c r="BZ178">
        <f ca="1">IF(ISERROR(IF(MEDIAN($BZ$179:$BZ$186) = 0, "", MEDIAN($BZ$179:$BZ$186))), "", (IF(MEDIAN($BZ$179:$BZ$186) = 0, "", MEDIAN($BZ$179:$BZ$186))))</f>
        <v>60.088064160000002</v>
      </c>
      <c r="CA178" t="str">
        <f ca="1">IF(ISERROR(IF(MEDIAN($CA$179:$CA$186) = 0, "", MEDIAN($CA$179:$CA$186))), "", (IF(MEDIAN($CA$179:$CA$186) = 0, "", MEDIAN($CA$179:$CA$186))))</f>
        <v/>
      </c>
      <c r="CB178" t="str">
        <f ca="1">IF(ISERROR(IF(MEDIAN($CB$179:$CB$186) = 0, "", MEDIAN($CB$179:$CB$186))), "", (IF(MEDIAN($CB$179:$CB$186) = 0, "", MEDIAN($CB$179:$CB$186))))</f>
        <v/>
      </c>
      <c r="CC178">
        <f ca="1">IF(ISERROR(IF(MEDIAN($CC$179:$CC$186) = 0, "", MEDIAN($CC$179:$CC$186))), "", (IF(MEDIAN($CC$179:$CC$186) = 0, "", MEDIAN($CC$179:$CC$186))))</f>
        <v>59.870554319999997</v>
      </c>
      <c r="CD178" t="str">
        <f ca="1">IF(ISERROR(IF(MEDIAN($CD$179:$CD$186) = 0, "", MEDIAN($CD$179:$CD$186))), "", (IF(MEDIAN($CD$179:$CD$186) = 0, "", MEDIAN($CD$179:$CD$186))))</f>
        <v/>
      </c>
      <c r="CE178" t="str">
        <f ca="1">IF(ISERROR(IF(MEDIAN($CE$179:$CE$186) = 0, "", MEDIAN($CE$179:$CE$186))), "", (IF(MEDIAN($CE$179:$CE$186) = 0, "", MEDIAN($CE$179:$CE$186))))</f>
        <v/>
      </c>
      <c r="CF178">
        <f ca="1">IF(ISERROR(IF(MEDIAN($CF$179:$CF$186) = 0, "", MEDIAN($CF$179:$CF$186))), "", (IF(MEDIAN($CF$179:$CF$186) = 0, "", MEDIAN($CF$179:$CF$186))))</f>
        <v>62.833137989999997</v>
      </c>
      <c r="CG178" t="str">
        <f ca="1">IF(ISERROR(IF(MEDIAN($CG$179:$CG$186) = 0, "", MEDIAN($CG$179:$CG$186))), "", (IF(MEDIAN($CG$179:$CG$186) = 0, "", MEDIAN($CG$179:$CG$186))))</f>
        <v/>
      </c>
      <c r="CH178" t="str">
        <f ca="1">IF(ISERROR(IF(MEDIAN($CH$179:$CH$186) = 0, "", MEDIAN($CH$179:$CH$186))), "", (IF(MEDIAN($CH$179:$CH$186) = 0, "", MEDIAN($CH$179:$CH$186))))</f>
        <v/>
      </c>
      <c r="CI178">
        <f ca="1">IF(ISERROR(IF(MEDIAN($CI$179:$CI$186) = 0, "", MEDIAN($CI$179:$CI$186))), "", (IF(MEDIAN($CI$179:$CI$186) = 0, "", MEDIAN($CI$179:$CI$186))))</f>
        <v>67.516744990000007</v>
      </c>
      <c r="CJ178" t="str">
        <f ca="1">IF(ISERROR(IF(MEDIAN($CJ$179:$CJ$186) = 0, "", MEDIAN($CJ$179:$CJ$186))), "", (IF(MEDIAN($CJ$179:$CJ$186) = 0, "", MEDIAN($CJ$179:$CJ$186))))</f>
        <v/>
      </c>
      <c r="CK178" t="str">
        <f ca="1">IF(ISERROR(IF(MEDIAN($CK$179:$CK$186) = 0, "", MEDIAN($CK$179:$CK$186))), "", (IF(MEDIAN($CK$179:$CK$186) = 0, "", MEDIAN($CK$179:$CK$186))))</f>
        <v/>
      </c>
      <c r="CL178" t="str">
        <f>""</f>
        <v/>
      </c>
      <c r="CM178" t="str">
        <f>""</f>
        <v/>
      </c>
      <c r="CN178" t="str">
        <f>""</f>
        <v/>
      </c>
      <c r="CO178">
        <f>62.23663129</f>
        <v>62.236631289999998</v>
      </c>
      <c r="CP178" t="str">
        <f>""</f>
        <v/>
      </c>
      <c r="CQ178" t="str">
        <f>""</f>
        <v/>
      </c>
      <c r="CR178">
        <f>63.28231511</f>
        <v>63.282315109999999</v>
      </c>
      <c r="CS178" t="str">
        <f>""</f>
        <v/>
      </c>
      <c r="CT178" t="str">
        <f>""</f>
        <v/>
      </c>
      <c r="CU178">
        <f>65.39409442</f>
        <v>65.394094420000002</v>
      </c>
      <c r="CV178" t="str">
        <f>""</f>
        <v/>
      </c>
      <c r="CW178" t="str">
        <f>""</f>
        <v/>
      </c>
      <c r="CX178">
        <f>67.91649902</f>
        <v>67.916499020000003</v>
      </c>
      <c r="CY178" t="str">
        <f>""</f>
        <v/>
      </c>
      <c r="CZ178" t="str">
        <f>""</f>
        <v/>
      </c>
      <c r="DA178">
        <f>64.04406049</f>
        <v>64.044060490000007</v>
      </c>
      <c r="DB178" t="str">
        <f>""</f>
        <v/>
      </c>
      <c r="DC178" t="str">
        <f>""</f>
        <v/>
      </c>
      <c r="DD178">
        <f>65.21229002</f>
        <v>65.212290019999998</v>
      </c>
      <c r="DE178" t="str">
        <f>""</f>
        <v/>
      </c>
      <c r="DF178" t="str">
        <f>""</f>
        <v/>
      </c>
      <c r="DG178">
        <f>65.67305475</f>
        <v>65.673054750000006</v>
      </c>
      <c r="DH178" t="str">
        <f>""</f>
        <v/>
      </c>
      <c r="DI178" t="str">
        <f>""</f>
        <v/>
      </c>
      <c r="DJ178">
        <f>65.40842392</f>
        <v>65.408423920000004</v>
      </c>
      <c r="DK178" t="str">
        <f>""</f>
        <v/>
      </c>
      <c r="DL178" t="str">
        <f>""</f>
        <v/>
      </c>
      <c r="DM178">
        <f>59.05428525</f>
        <v>59.05428525</v>
      </c>
      <c r="DN178" t="str">
        <f>""</f>
        <v/>
      </c>
      <c r="DO178" t="str">
        <f>""</f>
        <v/>
      </c>
      <c r="DP178">
        <f>61.54475591</f>
        <v>61.544755909999999</v>
      </c>
      <c r="DQ178" t="str">
        <f>""</f>
        <v/>
      </c>
      <c r="DR178" t="str">
        <f>""</f>
        <v/>
      </c>
      <c r="DS178">
        <f>61.32160394</f>
        <v>61.321603940000003</v>
      </c>
      <c r="DT178" t="str">
        <f>""</f>
        <v/>
      </c>
      <c r="DU178" t="str">
        <f>""</f>
        <v/>
      </c>
      <c r="DV178">
        <f>67.09764687</f>
        <v>67.097646870000005</v>
      </c>
      <c r="DW178" t="str">
        <f>""</f>
        <v/>
      </c>
      <c r="DX178" t="str">
        <f>""</f>
        <v/>
      </c>
      <c r="DY178">
        <f>59.17157385</f>
        <v>59.171573850000001</v>
      </c>
      <c r="DZ178" t="str">
        <f>""</f>
        <v/>
      </c>
      <c r="EA178" t="str">
        <f>""</f>
        <v/>
      </c>
      <c r="EB178">
        <f>61.11804657</f>
        <v>61.118046569999997</v>
      </c>
      <c r="EC178" t="str">
        <f>""</f>
        <v/>
      </c>
      <c r="ED178" t="str">
        <f>""</f>
        <v/>
      </c>
      <c r="EE178">
        <f>63.31910814</f>
        <v>63.319108139999997</v>
      </c>
      <c r="EF178" t="str">
        <f>""</f>
        <v/>
      </c>
      <c r="EG178" t="str">
        <f>""</f>
        <v/>
      </c>
      <c r="EH178">
        <f>64.26020618</f>
        <v>64.260206179999997</v>
      </c>
      <c r="EI178" t="str">
        <f>""</f>
        <v/>
      </c>
      <c r="EJ178" t="str">
        <f>""</f>
        <v/>
      </c>
      <c r="EK178">
        <f>63.17285862</f>
        <v>63.17285862</v>
      </c>
      <c r="EL178" t="str">
        <f>""</f>
        <v/>
      </c>
      <c r="EM178" t="str">
        <f>""</f>
        <v/>
      </c>
      <c r="EN178">
        <f>61.98015617</f>
        <v>61.980156170000001</v>
      </c>
      <c r="EO178" t="str">
        <f>""</f>
        <v/>
      </c>
      <c r="EP178" t="str">
        <f>""</f>
        <v/>
      </c>
      <c r="EQ178">
        <f>63.10753679</f>
        <v>63.107536789999997</v>
      </c>
      <c r="ER178" t="str">
        <f>""</f>
        <v/>
      </c>
      <c r="ES178" t="str">
        <f>""</f>
        <v/>
      </c>
      <c r="ET178">
        <f>64.86986382</f>
        <v>64.869863820000006</v>
      </c>
      <c r="EU178" t="str">
        <f>""</f>
        <v/>
      </c>
      <c r="EV178" t="str">
        <f>""</f>
        <v/>
      </c>
      <c r="EW178">
        <f>58.4724988</f>
        <v>58.472498799999997</v>
      </c>
      <c r="EX178" t="str">
        <f>""</f>
        <v/>
      </c>
      <c r="EY178" t="str">
        <f>""</f>
        <v/>
      </c>
      <c r="EZ178">
        <f>59.12063566</f>
        <v>59.120635659999998</v>
      </c>
      <c r="FA178" t="str">
        <f>""</f>
        <v/>
      </c>
      <c r="FB178" t="str">
        <f>""</f>
        <v/>
      </c>
      <c r="FC178">
        <f>60.7286312</f>
        <v>60.728631200000002</v>
      </c>
      <c r="FD178" t="str">
        <f>""</f>
        <v/>
      </c>
      <c r="FE178" t="str">
        <f>""</f>
        <v/>
      </c>
      <c r="FF178">
        <f>60.08806416</f>
        <v>60.088064160000002</v>
      </c>
      <c r="FG178" t="str">
        <f>""</f>
        <v/>
      </c>
      <c r="FH178" t="str">
        <f>""</f>
        <v/>
      </c>
      <c r="FI178">
        <f>59.87055432</f>
        <v>59.870554319999997</v>
      </c>
      <c r="FJ178" t="str">
        <f>""</f>
        <v/>
      </c>
      <c r="FK178" t="str">
        <f>""</f>
        <v/>
      </c>
      <c r="FL178">
        <f>62.83313799</f>
        <v>62.833137989999997</v>
      </c>
      <c r="FM178" t="str">
        <f>""</f>
        <v/>
      </c>
      <c r="FN178" t="str">
        <f>""</f>
        <v/>
      </c>
      <c r="FO178">
        <f>67.51674499</f>
        <v>67.516744990000007</v>
      </c>
      <c r="FP178" t="str">
        <f>""</f>
        <v/>
      </c>
      <c r="FQ178" t="str">
        <f>""</f>
        <v/>
      </c>
    </row>
    <row r="179" spans="1:173">
      <c r="A179" t="str">
        <f>"    Apartment Investment &amp; Managem"</f>
        <v xml:space="preserve">    Apartment Investment &amp; Managem</v>
      </c>
      <c r="B179" t="str">
        <f>"AIV US Equity"</f>
        <v>AIV US Equity</v>
      </c>
      <c r="C179" t="str">
        <f t="shared" ref="C179:C186" si="57">"F0928"</f>
        <v>F0928</v>
      </c>
      <c r="D179" t="str">
        <f t="shared" ref="D179:D186" si="58">"ADJUSTED_FFO_PAYOUT_RATIO"</f>
        <v>ADJUSTED_FFO_PAYOUT_RATIO</v>
      </c>
      <c r="E179" t="str">
        <f t="shared" ref="E179:E186" si="59">"动态"</f>
        <v>动态</v>
      </c>
      <c r="F179" t="str">
        <f ca="1">IF(AND(ISNUMBER($F$385),$B$252=1),$F$385,HLOOKUP(INDIRECT(ADDRESS(2,COLUMN())),OFFSET($CL$2,0,0,ROW()-1,84),ROW()-1,FALSE))</f>
        <v/>
      </c>
      <c r="G179" t="str">
        <f ca="1">IF(AND(ISNUMBER($G$385),$B$252=1),$G$385,HLOOKUP(INDIRECT(ADDRESS(2,COLUMN())),OFFSET($CL$2,0,0,ROW()-1,84),ROW()-1,FALSE))</f>
        <v/>
      </c>
      <c r="H179" t="str">
        <f ca="1">IF(AND(ISNUMBER($H$385),$B$252=1),$H$385,HLOOKUP(INDIRECT(ADDRESS(2,COLUMN())),OFFSET($CL$2,0,0,ROW()-1,84),ROW()-1,FALSE))</f>
        <v/>
      </c>
      <c r="I179">
        <f ca="1">IF(AND(ISNUMBER($I$385),$B$252=1),$I$385,HLOOKUP(INDIRECT(ADDRESS(2,COLUMN())),OFFSET($CL$2,0,0,ROW()-1,84),ROW()-1,FALSE))</f>
        <v>57.100762340000003</v>
      </c>
      <c r="J179" t="str">
        <f ca="1">IF(AND(ISNUMBER($J$385),$B$252=1),$J$385,HLOOKUP(INDIRECT(ADDRESS(2,COLUMN())),OFFSET($CL$2,0,0,ROW()-1,84),ROW()-1,FALSE))</f>
        <v/>
      </c>
      <c r="K179" t="str">
        <f ca="1">IF(AND(ISNUMBER($K$385),$B$252=1),$K$385,HLOOKUP(INDIRECT(ADDRESS(2,COLUMN())),OFFSET($CL$2,0,0,ROW()-1,84),ROW()-1,FALSE))</f>
        <v/>
      </c>
      <c r="L179">
        <f ca="1">IF(AND(ISNUMBER($L$385),$B$252=1),$L$385,HLOOKUP(INDIRECT(ADDRESS(2,COLUMN())),OFFSET($CL$2,0,0,ROW()-1,84),ROW()-1,FALSE))</f>
        <v>57.370713219999999</v>
      </c>
      <c r="M179" t="str">
        <f ca="1">IF(AND(ISNUMBER($M$385),$B$252=1),$M$385,HLOOKUP(INDIRECT(ADDRESS(2,COLUMN())),OFFSET($CL$2,0,0,ROW()-1,84),ROW()-1,FALSE))</f>
        <v/>
      </c>
      <c r="N179" t="str">
        <f ca="1">IF(AND(ISNUMBER($N$385),$B$252=1),$N$385,HLOOKUP(INDIRECT(ADDRESS(2,COLUMN())),OFFSET($CL$2,0,0,ROW()-1,84),ROW()-1,FALSE))</f>
        <v/>
      </c>
      <c r="O179">
        <f ca="1">IF(AND(ISNUMBER($O$385),$B$252=1),$O$385,HLOOKUP(INDIRECT(ADDRESS(2,COLUMN())),OFFSET($CL$2,0,0,ROW()-1,84),ROW()-1,FALSE))</f>
        <v>59.176814880000002</v>
      </c>
      <c r="P179" t="str">
        <f ca="1">IF(AND(ISNUMBER($P$385),$B$252=1),$P$385,HLOOKUP(INDIRECT(ADDRESS(2,COLUMN())),OFFSET($CL$2,0,0,ROW()-1,84),ROW()-1,FALSE))</f>
        <v/>
      </c>
      <c r="Q179" t="str">
        <f ca="1">IF(AND(ISNUMBER($Q$385),$B$252=1),$Q$385,HLOOKUP(INDIRECT(ADDRESS(2,COLUMN())),OFFSET($CL$2,0,0,ROW()-1,84),ROW()-1,FALSE))</f>
        <v/>
      </c>
      <c r="R179">
        <f ca="1">IF(AND(ISNUMBER($R$385),$B$252=1),$R$385,HLOOKUP(INDIRECT(ADDRESS(2,COLUMN())),OFFSET($CL$2,0,0,ROW()-1,84),ROW()-1,FALSE))</f>
        <v>61.960143610000003</v>
      </c>
      <c r="S179" t="str">
        <f ca="1">IF(AND(ISNUMBER($S$385),$B$252=1),$S$385,HLOOKUP(INDIRECT(ADDRESS(2,COLUMN())),OFFSET($CL$2,0,0,ROW()-1,84),ROW()-1,FALSE))</f>
        <v/>
      </c>
      <c r="T179" t="str">
        <f ca="1">IF(AND(ISNUMBER($T$385),$B$252=1),$T$385,HLOOKUP(INDIRECT(ADDRESS(2,COLUMN())),OFFSET($CL$2,0,0,ROW()-1,84),ROW()-1,FALSE))</f>
        <v/>
      </c>
      <c r="U179">
        <f ca="1">IF(AND(ISNUMBER($U$385),$B$252=1),$U$385,HLOOKUP(INDIRECT(ADDRESS(2,COLUMN())),OFFSET($CL$2,0,0,ROW()-1,84),ROW()-1,FALSE))</f>
        <v>54.84467566</v>
      </c>
      <c r="V179" t="str">
        <f ca="1">IF(AND(ISNUMBER($V$385),$B$252=1),$V$385,HLOOKUP(INDIRECT(ADDRESS(2,COLUMN())),OFFSET($CL$2,0,0,ROW()-1,84),ROW()-1,FALSE))</f>
        <v/>
      </c>
      <c r="W179" t="str">
        <f ca="1">IF(AND(ISNUMBER($W$385),$B$252=1),$W$385,HLOOKUP(INDIRECT(ADDRESS(2,COLUMN())),OFFSET($CL$2,0,0,ROW()-1,84),ROW()-1,FALSE))</f>
        <v/>
      </c>
      <c r="X179">
        <f ca="1">IF(AND(ISNUMBER($X$385),$B$252=1),$X$385,HLOOKUP(INDIRECT(ADDRESS(2,COLUMN())),OFFSET($CL$2,0,0,ROW()-1,84),ROW()-1,FALSE))</f>
        <v>59.719645290000003</v>
      </c>
      <c r="Y179" t="str">
        <f ca="1">IF(AND(ISNUMBER($Y$385),$B$252=1),$Y$385,HLOOKUP(INDIRECT(ADDRESS(2,COLUMN())),OFFSET($CL$2,0,0,ROW()-1,84),ROW()-1,FALSE))</f>
        <v/>
      </c>
      <c r="Z179" t="str">
        <f ca="1">IF(AND(ISNUMBER($Z$385),$B$252=1),$Z$385,HLOOKUP(INDIRECT(ADDRESS(2,COLUMN())),OFFSET($CL$2,0,0,ROW()-1,84),ROW()-1,FALSE))</f>
        <v/>
      </c>
      <c r="AA179">
        <f ca="1">IF(AND(ISNUMBER($AA$385),$B$252=1),$AA$385,HLOOKUP(INDIRECT(ADDRESS(2,COLUMN())),OFFSET($CL$2,0,0,ROW()-1,84),ROW()-1,FALSE))</f>
        <v>55.847605989999998</v>
      </c>
      <c r="AB179" t="str">
        <f ca="1">IF(AND(ISNUMBER($AB$385),$B$252=1),$AB$385,HLOOKUP(INDIRECT(ADDRESS(2,COLUMN())),OFFSET($CL$2,0,0,ROW()-1,84),ROW()-1,FALSE))</f>
        <v/>
      </c>
      <c r="AC179" t="str">
        <f ca="1">IF(AND(ISNUMBER($AC$385),$B$252=1),$AC$385,HLOOKUP(INDIRECT(ADDRESS(2,COLUMN())),OFFSET($CL$2,0,0,ROW()-1,84),ROW()-1,FALSE))</f>
        <v/>
      </c>
      <c r="AD179">
        <f ca="1">IF(AND(ISNUMBER($AD$385),$B$252=1),$AD$385,HLOOKUP(INDIRECT(ADDRESS(2,COLUMN())),OFFSET($CL$2,0,0,ROW()-1,84),ROW()-1,FALSE))</f>
        <v>57.705182630000003</v>
      </c>
      <c r="AE179" t="str">
        <f ca="1">IF(AND(ISNUMBER($AE$385),$B$252=1),$AE$385,HLOOKUP(INDIRECT(ADDRESS(2,COLUMN())),OFFSET($CL$2,0,0,ROW()-1,84),ROW()-1,FALSE))</f>
        <v/>
      </c>
      <c r="AF179" t="str">
        <f ca="1">IF(AND(ISNUMBER($AF$385),$B$252=1),$AF$385,HLOOKUP(INDIRECT(ADDRESS(2,COLUMN())),OFFSET($CL$2,0,0,ROW()-1,84),ROW()-1,FALSE))</f>
        <v/>
      </c>
      <c r="AG179">
        <f ca="1">IF(AND(ISNUMBER($AG$385),$B$252=1),$AG$385,HLOOKUP(INDIRECT(ADDRESS(2,COLUMN())),OFFSET($CL$2,0,0,ROW()-1,84),ROW()-1,FALSE))</f>
        <v>51.474330070000001</v>
      </c>
      <c r="AH179" t="str">
        <f ca="1">IF(AND(ISNUMBER($AH$385),$B$252=1),$AH$385,HLOOKUP(INDIRECT(ADDRESS(2,COLUMN())),OFFSET($CL$2,0,0,ROW()-1,84),ROW()-1,FALSE))</f>
        <v/>
      </c>
      <c r="AI179" t="str">
        <f ca="1">IF(AND(ISNUMBER($AI$385),$B$252=1),$AI$385,HLOOKUP(INDIRECT(ADDRESS(2,COLUMN())),OFFSET($CL$2,0,0,ROW()-1,84),ROW()-1,FALSE))</f>
        <v/>
      </c>
      <c r="AJ179">
        <f ca="1">IF(AND(ISNUMBER($AJ$385),$B$252=1),$AJ$385,HLOOKUP(INDIRECT(ADDRESS(2,COLUMN())),OFFSET($CL$2,0,0,ROW()-1,84),ROW()-1,FALSE))</f>
        <v>53.072369760000001</v>
      </c>
      <c r="AK179" t="str">
        <f ca="1">IF(AND(ISNUMBER($AK$385),$B$252=1),$AK$385,HLOOKUP(INDIRECT(ADDRESS(2,COLUMN())),OFFSET($CL$2,0,0,ROW()-1,84),ROW()-1,FALSE))</f>
        <v/>
      </c>
      <c r="AL179" t="str">
        <f ca="1">IF(AND(ISNUMBER($AL$385),$B$252=1),$AL$385,HLOOKUP(INDIRECT(ADDRESS(2,COLUMN())),OFFSET($CL$2,0,0,ROW()-1,84),ROW()-1,FALSE))</f>
        <v/>
      </c>
      <c r="AM179">
        <f ca="1">IF(AND(ISNUMBER($AM$385),$B$252=1),$AM$385,HLOOKUP(INDIRECT(ADDRESS(2,COLUMN())),OFFSET($CL$2,0,0,ROW()-1,84),ROW()-1,FALSE))</f>
        <v>53.725368609999997</v>
      </c>
      <c r="AN179" t="str">
        <f ca="1">IF(AND(ISNUMBER($AN$385),$B$252=1),$AN$385,HLOOKUP(INDIRECT(ADDRESS(2,COLUMN())),OFFSET($CL$2,0,0,ROW()-1,84),ROW()-1,FALSE))</f>
        <v/>
      </c>
      <c r="AO179" t="str">
        <f ca="1">IF(AND(ISNUMBER($AO$385),$B$252=1),$AO$385,HLOOKUP(INDIRECT(ADDRESS(2,COLUMN())),OFFSET($CL$2,0,0,ROW()-1,84),ROW()-1,FALSE))</f>
        <v/>
      </c>
      <c r="AP179">
        <f ca="1">IF(AND(ISNUMBER($AP$385),$B$252=1),$AP$385,HLOOKUP(INDIRECT(ADDRESS(2,COLUMN())),OFFSET($CL$2,0,0,ROW()-1,84),ROW()-1,FALSE))</f>
        <v>54.021259569999998</v>
      </c>
      <c r="AQ179" t="str">
        <f ca="1">IF(AND(ISNUMBER($AQ$385),$B$252=1),$AQ$385,HLOOKUP(INDIRECT(ADDRESS(2,COLUMN())),OFFSET($CL$2,0,0,ROW()-1,84),ROW()-1,FALSE))</f>
        <v/>
      </c>
      <c r="AR179" t="str">
        <f ca="1">IF(AND(ISNUMBER($AR$385),$B$252=1),$AR$385,HLOOKUP(INDIRECT(ADDRESS(2,COLUMN())),OFFSET($CL$2,0,0,ROW()-1,84),ROW()-1,FALSE))</f>
        <v/>
      </c>
      <c r="AS179">
        <f ca="1">IF(AND(ISNUMBER($AS$385),$B$252=1),$AS$385,HLOOKUP(INDIRECT(ADDRESS(2,COLUMN())),OFFSET($CL$2,0,0,ROW()-1,84),ROW()-1,FALSE))</f>
        <v>51.958784860000002</v>
      </c>
      <c r="AT179" t="str">
        <f ca="1">IF(AND(ISNUMBER($AT$385),$B$252=1),$AT$385,HLOOKUP(INDIRECT(ADDRESS(2,COLUMN())),OFFSET($CL$2,0,0,ROW()-1,84),ROW()-1,FALSE))</f>
        <v/>
      </c>
      <c r="AU179" t="str">
        <f ca="1">IF(AND(ISNUMBER($AU$385),$B$252=1),$AU$385,HLOOKUP(INDIRECT(ADDRESS(2,COLUMN())),OFFSET($CL$2,0,0,ROW()-1,84),ROW()-1,FALSE))</f>
        <v/>
      </c>
      <c r="AV179">
        <f ca="1">IF(AND(ISNUMBER($AV$385),$B$252=1),$AV$385,HLOOKUP(INDIRECT(ADDRESS(2,COLUMN())),OFFSET($CL$2,0,0,ROW()-1,84),ROW()-1,FALSE))</f>
        <v>51.478534260000004</v>
      </c>
      <c r="AW179" t="str">
        <f ca="1">IF(AND(ISNUMBER($AW$385),$B$252=1),$AW$385,HLOOKUP(INDIRECT(ADDRESS(2,COLUMN())),OFFSET($CL$2,0,0,ROW()-1,84),ROW()-1,FALSE))</f>
        <v/>
      </c>
      <c r="AX179" t="str">
        <f ca="1">IF(AND(ISNUMBER($AX$385),$B$252=1),$AX$385,HLOOKUP(INDIRECT(ADDRESS(2,COLUMN())),OFFSET($CL$2,0,0,ROW()-1,84),ROW()-1,FALSE))</f>
        <v/>
      </c>
      <c r="AY179">
        <f ca="1">IF(AND(ISNUMBER($AY$385),$B$252=1),$AY$385,HLOOKUP(INDIRECT(ADDRESS(2,COLUMN())),OFFSET($CL$2,0,0,ROW()-1,84),ROW()-1,FALSE))</f>
        <v>49.944208320000001</v>
      </c>
      <c r="AZ179" t="str">
        <f ca="1">IF(AND(ISNUMBER($AZ$385),$B$252=1),$AZ$385,HLOOKUP(INDIRECT(ADDRESS(2,COLUMN())),OFFSET($CL$2,0,0,ROW()-1,84),ROW()-1,FALSE))</f>
        <v/>
      </c>
      <c r="BA179" t="str">
        <f ca="1">IF(AND(ISNUMBER($BA$385),$B$252=1),$BA$385,HLOOKUP(INDIRECT(ADDRESS(2,COLUMN())),OFFSET($CL$2,0,0,ROW()-1,84),ROW()-1,FALSE))</f>
        <v/>
      </c>
      <c r="BB179">
        <f ca="1">IF(AND(ISNUMBER($BB$385),$B$252=1),$BB$385,HLOOKUP(INDIRECT(ADDRESS(2,COLUMN())),OFFSET($CL$2,0,0,ROW()-1,84),ROW()-1,FALSE))</f>
        <v>51.722713059999997</v>
      </c>
      <c r="BC179" t="str">
        <f ca="1">IF(AND(ISNUMBER($BC$385),$B$252=1),$BC$385,HLOOKUP(INDIRECT(ADDRESS(2,COLUMN())),OFFSET($CL$2,0,0,ROW()-1,84),ROW()-1,FALSE))</f>
        <v/>
      </c>
      <c r="BD179" t="str">
        <f ca="1">IF(AND(ISNUMBER($BD$385),$B$252=1),$BD$385,HLOOKUP(INDIRECT(ADDRESS(2,COLUMN())),OFFSET($CL$2,0,0,ROW()-1,84),ROW()-1,FALSE))</f>
        <v/>
      </c>
      <c r="BE179">
        <f ca="1">IF(AND(ISNUMBER($BE$385),$B$252=1),$BE$385,HLOOKUP(INDIRECT(ADDRESS(2,COLUMN())),OFFSET($CL$2,0,0,ROW()-1,84),ROW()-1,FALSE))</f>
        <v>42.395842940000001</v>
      </c>
      <c r="BF179" t="str">
        <f ca="1">IF(AND(ISNUMBER($BF$385),$B$252=1),$BF$385,HLOOKUP(INDIRECT(ADDRESS(2,COLUMN())),OFFSET($CL$2,0,0,ROW()-1,84),ROW()-1,FALSE))</f>
        <v/>
      </c>
      <c r="BG179" t="str">
        <f ca="1">IF(AND(ISNUMBER($BG$385),$B$252=1),$BG$385,HLOOKUP(INDIRECT(ADDRESS(2,COLUMN())),OFFSET($CL$2,0,0,ROW()-1,84),ROW()-1,FALSE))</f>
        <v/>
      </c>
      <c r="BH179">
        <f ca="1">IF(AND(ISNUMBER($BH$385),$B$252=1),$BH$385,HLOOKUP(INDIRECT(ADDRESS(2,COLUMN())),OFFSET($CL$2,0,0,ROW()-1,84),ROW()-1,FALSE))</f>
        <v>47.578029880000003</v>
      </c>
      <c r="BI179" t="str">
        <f ca="1">IF(AND(ISNUMBER($BI$385),$B$252=1),$BI$385,HLOOKUP(INDIRECT(ADDRESS(2,COLUMN())),OFFSET($CL$2,0,0,ROW()-1,84),ROW()-1,FALSE))</f>
        <v/>
      </c>
      <c r="BJ179" t="str">
        <f ca="1">IF(AND(ISNUMBER($BJ$385),$B$252=1),$BJ$385,HLOOKUP(INDIRECT(ADDRESS(2,COLUMN())),OFFSET($CL$2,0,0,ROW()-1,84),ROW()-1,FALSE))</f>
        <v/>
      </c>
      <c r="BK179">
        <f ca="1">IF(AND(ISNUMBER($BK$385),$B$252=1),$BK$385,HLOOKUP(INDIRECT(ADDRESS(2,COLUMN())),OFFSET($CL$2,0,0,ROW()-1,84),ROW()-1,FALSE))</f>
        <v>49.182342509999998</v>
      </c>
      <c r="BL179" t="str">
        <f ca="1">IF(AND(ISNUMBER($BL$385),$B$252=1),$BL$385,HLOOKUP(INDIRECT(ADDRESS(2,COLUMN())),OFFSET($CL$2,0,0,ROW()-1,84),ROW()-1,FALSE))</f>
        <v/>
      </c>
      <c r="BM179" t="str">
        <f ca="1">IF(AND(ISNUMBER($BM$385),$B$252=1),$BM$385,HLOOKUP(INDIRECT(ADDRESS(2,COLUMN())),OFFSET($CL$2,0,0,ROW()-1,84),ROW()-1,FALSE))</f>
        <v/>
      </c>
      <c r="BN179">
        <f ca="1">IF(AND(ISNUMBER($BN$385),$B$252=1),$BN$385,HLOOKUP(INDIRECT(ADDRESS(2,COLUMN())),OFFSET($CL$2,0,0,ROW()-1,84),ROW()-1,FALSE))</f>
        <v>49.745666059999998</v>
      </c>
      <c r="BO179" t="str">
        <f ca="1">IF(AND(ISNUMBER($BO$385),$B$252=1),$BO$385,HLOOKUP(INDIRECT(ADDRESS(2,COLUMN())),OFFSET($CL$2,0,0,ROW()-1,84),ROW()-1,FALSE))</f>
        <v/>
      </c>
      <c r="BP179" t="str">
        <f ca="1">IF(AND(ISNUMBER($BP$385),$B$252=1),$BP$385,HLOOKUP(INDIRECT(ADDRESS(2,COLUMN())),OFFSET($CL$2,0,0,ROW()-1,84),ROW()-1,FALSE))</f>
        <v/>
      </c>
      <c r="BQ179">
        <f ca="1">IF(AND(ISNUMBER($BQ$385),$B$252=1),$BQ$385,HLOOKUP(INDIRECT(ADDRESS(2,COLUMN())),OFFSET($CL$2,0,0,ROW()-1,84),ROW()-1,FALSE))</f>
        <v>38.713350490000003</v>
      </c>
      <c r="BR179" t="str">
        <f ca="1">IF(AND(ISNUMBER($BR$385),$B$252=1),$BR$385,HLOOKUP(INDIRECT(ADDRESS(2,COLUMN())),OFFSET($CL$2,0,0,ROW()-1,84),ROW()-1,FALSE))</f>
        <v/>
      </c>
      <c r="BS179" t="str">
        <f ca="1">IF(AND(ISNUMBER($BS$385),$B$252=1),$BS$385,HLOOKUP(INDIRECT(ADDRESS(2,COLUMN())),OFFSET($CL$2,0,0,ROW()-1,84),ROW()-1,FALSE))</f>
        <v/>
      </c>
      <c r="BT179">
        <f ca="1">IF(AND(ISNUMBER($BT$385),$B$252=1),$BT$385,HLOOKUP(INDIRECT(ADDRESS(2,COLUMN())),OFFSET($CL$2,0,0,ROW()-1,84),ROW()-1,FALSE))</f>
        <v>43.928198449999996</v>
      </c>
      <c r="BU179" t="str">
        <f ca="1">IF(AND(ISNUMBER($BU$385),$B$252=1),$BU$385,HLOOKUP(INDIRECT(ADDRESS(2,COLUMN())),OFFSET($CL$2,0,0,ROW()-1,84),ROW()-1,FALSE))</f>
        <v/>
      </c>
      <c r="BV179" t="str">
        <f ca="1">IF(AND(ISNUMBER($BV$385),$B$252=1),$BV$385,HLOOKUP(INDIRECT(ADDRESS(2,COLUMN())),OFFSET($CL$2,0,0,ROW()-1,84),ROW()-1,FALSE))</f>
        <v/>
      </c>
      <c r="BW179">
        <f ca="1">IF(AND(ISNUMBER($BW$385),$B$252=1),$BW$385,HLOOKUP(INDIRECT(ADDRESS(2,COLUMN())),OFFSET($CL$2,0,0,ROW()-1,84),ROW()-1,FALSE))</f>
        <v>39.517753159999998</v>
      </c>
      <c r="BX179" t="str">
        <f ca="1">IF(AND(ISNUMBER($BX$385),$B$252=1),$BX$385,HLOOKUP(INDIRECT(ADDRESS(2,COLUMN())),OFFSET($CL$2,0,0,ROW()-1,84),ROW()-1,FALSE))</f>
        <v/>
      </c>
      <c r="BY179" t="str">
        <f ca="1">IF(AND(ISNUMBER($BY$385),$B$252=1),$BY$385,HLOOKUP(INDIRECT(ADDRESS(2,COLUMN())),OFFSET($CL$2,0,0,ROW()-1,84),ROW()-1,FALSE))</f>
        <v/>
      </c>
      <c r="BZ179">
        <f ca="1">IF(AND(ISNUMBER($BZ$385),$B$252=1),$BZ$385,HLOOKUP(INDIRECT(ADDRESS(2,COLUMN())),OFFSET($CL$2,0,0,ROW()-1,84),ROW()-1,FALSE))</f>
        <v>44.970793110000002</v>
      </c>
      <c r="CA179" t="str">
        <f ca="1">IF(AND(ISNUMBER($CA$385),$B$252=1),$CA$385,HLOOKUP(INDIRECT(ADDRESS(2,COLUMN())),OFFSET($CL$2,0,0,ROW()-1,84),ROW()-1,FALSE))</f>
        <v/>
      </c>
      <c r="CB179" t="str">
        <f ca="1">IF(AND(ISNUMBER($CB$385),$B$252=1),$CB$385,HLOOKUP(INDIRECT(ADDRESS(2,COLUMN())),OFFSET($CL$2,0,0,ROW()-1,84),ROW()-1,FALSE))</f>
        <v/>
      </c>
      <c r="CC179">
        <f ca="1">IF(AND(ISNUMBER($CC$385),$B$252=1),$CC$385,HLOOKUP(INDIRECT(ADDRESS(2,COLUMN())),OFFSET($CL$2,0,0,ROW()-1,84),ROW()-1,FALSE))</f>
        <v>28.712459110000001</v>
      </c>
      <c r="CD179" t="str">
        <f ca="1">IF(AND(ISNUMBER($CD$385),$B$252=1),$CD$385,HLOOKUP(INDIRECT(ADDRESS(2,COLUMN())),OFFSET($CL$2,0,0,ROW()-1,84),ROW()-1,FALSE))</f>
        <v/>
      </c>
      <c r="CE179" t="str">
        <f ca="1">IF(AND(ISNUMBER($CE$385),$B$252=1),$CE$385,HLOOKUP(INDIRECT(ADDRESS(2,COLUMN())),OFFSET($CL$2,0,0,ROW()-1,84),ROW()-1,FALSE))</f>
        <v/>
      </c>
      <c r="CF179">
        <f ca="1">IF(AND(ISNUMBER($CF$385),$B$252=1),$CF$385,HLOOKUP(INDIRECT(ADDRESS(2,COLUMN())),OFFSET($CL$2,0,0,ROW()-1,84),ROW()-1,FALSE))</f>
        <v>29.117451890000002</v>
      </c>
      <c r="CG179" t="str">
        <f ca="1">IF(AND(ISNUMBER($CG$385),$B$252=1),$CG$385,HLOOKUP(INDIRECT(ADDRESS(2,COLUMN())),OFFSET($CL$2,0,0,ROW()-1,84),ROW()-1,FALSE))</f>
        <v/>
      </c>
      <c r="CH179" t="str">
        <f ca="1">IF(AND(ISNUMBER($CH$385),$B$252=1),$CH$385,HLOOKUP(INDIRECT(ADDRESS(2,COLUMN())),OFFSET($CL$2,0,0,ROW()-1,84),ROW()-1,FALSE))</f>
        <v/>
      </c>
      <c r="CI179">
        <f ca="1">IF(AND(ISNUMBER($CI$385),$B$252=1),$CI$385,HLOOKUP(INDIRECT(ADDRESS(2,COLUMN())),OFFSET($CL$2,0,0,ROW()-1,84),ROW()-1,FALSE))</f>
        <v>44.450892860000003</v>
      </c>
      <c r="CJ179" t="str">
        <f ca="1">IF(AND(ISNUMBER($CJ$385),$B$252=1),$CJ$385,HLOOKUP(INDIRECT(ADDRESS(2,COLUMN())),OFFSET($CL$2,0,0,ROW()-1,84),ROW()-1,FALSE))</f>
        <v/>
      </c>
      <c r="CK179" t="str">
        <f ca="1">IF(AND(ISNUMBER($CK$385),$B$252=1),$CK$385,HLOOKUP(INDIRECT(ADDRESS(2,COLUMN())),OFFSET($CL$2,0,0,ROW()-1,84),ROW()-1,FALSE))</f>
        <v/>
      </c>
      <c r="CL179" t="str">
        <f>""</f>
        <v/>
      </c>
      <c r="CM179" t="str">
        <f>""</f>
        <v/>
      </c>
      <c r="CN179" t="str">
        <f>""</f>
        <v/>
      </c>
      <c r="CO179">
        <f>57.10076234</f>
        <v>57.100762340000003</v>
      </c>
      <c r="CP179" t="str">
        <f>""</f>
        <v/>
      </c>
      <c r="CQ179" t="str">
        <f>""</f>
        <v/>
      </c>
      <c r="CR179">
        <f>57.37071322</f>
        <v>57.370713219999999</v>
      </c>
      <c r="CS179" t="str">
        <f>""</f>
        <v/>
      </c>
      <c r="CT179" t="str">
        <f>""</f>
        <v/>
      </c>
      <c r="CU179">
        <f>59.17681488</f>
        <v>59.176814880000002</v>
      </c>
      <c r="CV179" t="str">
        <f>""</f>
        <v/>
      </c>
      <c r="CW179" t="str">
        <f>""</f>
        <v/>
      </c>
      <c r="CX179">
        <f>61.96014361</f>
        <v>61.960143610000003</v>
      </c>
      <c r="CY179" t="str">
        <f>""</f>
        <v/>
      </c>
      <c r="CZ179" t="str">
        <f>""</f>
        <v/>
      </c>
      <c r="DA179">
        <f>54.84467566</f>
        <v>54.84467566</v>
      </c>
      <c r="DB179" t="str">
        <f>""</f>
        <v/>
      </c>
      <c r="DC179" t="str">
        <f>""</f>
        <v/>
      </c>
      <c r="DD179">
        <f>59.71964529</f>
        <v>59.719645290000003</v>
      </c>
      <c r="DE179" t="str">
        <f>""</f>
        <v/>
      </c>
      <c r="DF179" t="str">
        <f>""</f>
        <v/>
      </c>
      <c r="DG179">
        <f>55.84760599</f>
        <v>55.847605989999998</v>
      </c>
      <c r="DH179" t="str">
        <f>""</f>
        <v/>
      </c>
      <c r="DI179" t="str">
        <f>""</f>
        <v/>
      </c>
      <c r="DJ179">
        <f>57.70518263</f>
        <v>57.705182630000003</v>
      </c>
      <c r="DK179" t="str">
        <f>""</f>
        <v/>
      </c>
      <c r="DL179" t="str">
        <f>""</f>
        <v/>
      </c>
      <c r="DM179">
        <f>51.47433007</f>
        <v>51.474330070000001</v>
      </c>
      <c r="DN179" t="str">
        <f>""</f>
        <v/>
      </c>
      <c r="DO179" t="str">
        <f>""</f>
        <v/>
      </c>
      <c r="DP179">
        <f>53.07236976</f>
        <v>53.072369760000001</v>
      </c>
      <c r="DQ179" t="str">
        <f>""</f>
        <v/>
      </c>
      <c r="DR179" t="str">
        <f>""</f>
        <v/>
      </c>
      <c r="DS179">
        <f>53.72536861</f>
        <v>53.725368609999997</v>
      </c>
      <c r="DT179" t="str">
        <f>""</f>
        <v/>
      </c>
      <c r="DU179" t="str">
        <f>""</f>
        <v/>
      </c>
      <c r="DV179">
        <f>54.02125957</f>
        <v>54.021259569999998</v>
      </c>
      <c r="DW179" t="str">
        <f>""</f>
        <v/>
      </c>
      <c r="DX179" t="str">
        <f>""</f>
        <v/>
      </c>
      <c r="DY179">
        <f>51.95878486</f>
        <v>51.958784860000002</v>
      </c>
      <c r="DZ179" t="str">
        <f>""</f>
        <v/>
      </c>
      <c r="EA179" t="str">
        <f>""</f>
        <v/>
      </c>
      <c r="EB179">
        <f>51.47853426</f>
        <v>51.478534260000004</v>
      </c>
      <c r="EC179" t="str">
        <f>""</f>
        <v/>
      </c>
      <c r="ED179" t="str">
        <f>""</f>
        <v/>
      </c>
      <c r="EE179">
        <f>49.94420832</f>
        <v>49.944208320000001</v>
      </c>
      <c r="EF179" t="str">
        <f>""</f>
        <v/>
      </c>
      <c r="EG179" t="str">
        <f>""</f>
        <v/>
      </c>
      <c r="EH179">
        <f>51.72271306</f>
        <v>51.722713059999997</v>
      </c>
      <c r="EI179" t="str">
        <f>""</f>
        <v/>
      </c>
      <c r="EJ179" t="str">
        <f>""</f>
        <v/>
      </c>
      <c r="EK179">
        <f>42.39584294</f>
        <v>42.395842940000001</v>
      </c>
      <c r="EL179" t="str">
        <f>""</f>
        <v/>
      </c>
      <c r="EM179" t="str">
        <f>""</f>
        <v/>
      </c>
      <c r="EN179">
        <f>47.57802988</f>
        <v>47.578029880000003</v>
      </c>
      <c r="EO179" t="str">
        <f>""</f>
        <v/>
      </c>
      <c r="EP179" t="str">
        <f>""</f>
        <v/>
      </c>
      <c r="EQ179">
        <f>49.18234251</f>
        <v>49.182342509999998</v>
      </c>
      <c r="ER179" t="str">
        <f>""</f>
        <v/>
      </c>
      <c r="ES179" t="str">
        <f>""</f>
        <v/>
      </c>
      <c r="ET179">
        <f>49.74566606</f>
        <v>49.745666059999998</v>
      </c>
      <c r="EU179" t="str">
        <f>""</f>
        <v/>
      </c>
      <c r="EV179" t="str">
        <f>""</f>
        <v/>
      </c>
      <c r="EW179">
        <f>38.71335049</f>
        <v>38.713350490000003</v>
      </c>
      <c r="EX179" t="str">
        <f>""</f>
        <v/>
      </c>
      <c r="EY179" t="str">
        <f>""</f>
        <v/>
      </c>
      <c r="EZ179">
        <f>43.92819845</f>
        <v>43.928198449999996</v>
      </c>
      <c r="FA179" t="str">
        <f>""</f>
        <v/>
      </c>
      <c r="FB179" t="str">
        <f>""</f>
        <v/>
      </c>
      <c r="FC179">
        <f>39.51775316</f>
        <v>39.517753159999998</v>
      </c>
      <c r="FD179" t="str">
        <f>""</f>
        <v/>
      </c>
      <c r="FE179" t="str">
        <f>""</f>
        <v/>
      </c>
      <c r="FF179">
        <f>44.97079311</f>
        <v>44.970793110000002</v>
      </c>
      <c r="FG179" t="str">
        <f>""</f>
        <v/>
      </c>
      <c r="FH179" t="str">
        <f>""</f>
        <v/>
      </c>
      <c r="FI179">
        <f>28.71245911</f>
        <v>28.712459110000001</v>
      </c>
      <c r="FJ179" t="str">
        <f>""</f>
        <v/>
      </c>
      <c r="FK179" t="str">
        <f>""</f>
        <v/>
      </c>
      <c r="FL179">
        <f>29.11745189</f>
        <v>29.117451890000002</v>
      </c>
      <c r="FM179" t="str">
        <f>""</f>
        <v/>
      </c>
      <c r="FN179" t="str">
        <f>""</f>
        <v/>
      </c>
      <c r="FO179">
        <f>44.45089286</f>
        <v>44.450892860000003</v>
      </c>
      <c r="FP179" t="str">
        <f>""</f>
        <v/>
      </c>
      <c r="FQ179" t="str">
        <f>""</f>
        <v/>
      </c>
    </row>
    <row r="180" spans="1:173">
      <c r="A180" t="str">
        <f>"    AvalonBay Communities Inc"</f>
        <v xml:space="preserve">    AvalonBay Communities Inc</v>
      </c>
      <c r="B180" t="str">
        <f>"AVB US Equity"</f>
        <v>AVB US Equity</v>
      </c>
      <c r="C180" t="str">
        <f t="shared" si="57"/>
        <v>F0928</v>
      </c>
      <c r="D180" t="str">
        <f t="shared" si="58"/>
        <v>ADJUSTED_FFO_PAYOUT_RATIO</v>
      </c>
      <c r="E180" t="str">
        <f t="shared" si="59"/>
        <v>动态</v>
      </c>
      <c r="F180" t="str">
        <f ca="1">IF(AND(ISNUMBER($F$386),$B$252=1),$F$386,HLOOKUP(INDIRECT(ADDRESS(2,COLUMN())),OFFSET($CL$2,0,0,ROW()-1,84),ROW()-1,FALSE))</f>
        <v/>
      </c>
      <c r="G180" t="str">
        <f ca="1">IF(AND(ISNUMBER($G$386),$B$252=1),$G$386,HLOOKUP(INDIRECT(ADDRESS(2,COLUMN())),OFFSET($CL$2,0,0,ROW()-1,84),ROW()-1,FALSE))</f>
        <v/>
      </c>
      <c r="H180" t="str">
        <f ca="1">IF(AND(ISNUMBER($H$386),$B$252=1),$H$386,HLOOKUP(INDIRECT(ADDRESS(2,COLUMN())),OFFSET($CL$2,0,0,ROW()-1,84),ROW()-1,FALSE))</f>
        <v/>
      </c>
      <c r="I180">
        <f ca="1">IF(AND(ISNUMBER($I$386),$B$252=1),$I$386,HLOOKUP(INDIRECT(ADDRESS(2,COLUMN())),OFFSET($CL$2,0,0,ROW()-1,84),ROW()-1,FALSE))</f>
        <v>63.147120139999998</v>
      </c>
      <c r="J180" t="str">
        <f ca="1">IF(AND(ISNUMBER($J$386),$B$252=1),$J$386,HLOOKUP(INDIRECT(ADDRESS(2,COLUMN())),OFFSET($CL$2,0,0,ROW()-1,84),ROW()-1,FALSE))</f>
        <v/>
      </c>
      <c r="K180" t="str">
        <f ca="1">IF(AND(ISNUMBER($K$386),$B$252=1),$K$386,HLOOKUP(INDIRECT(ADDRESS(2,COLUMN())),OFFSET($CL$2,0,0,ROW()-1,84),ROW()-1,FALSE))</f>
        <v/>
      </c>
      <c r="L180">
        <f ca="1">IF(AND(ISNUMBER($L$386),$B$252=1),$L$386,HLOOKUP(INDIRECT(ADDRESS(2,COLUMN())),OFFSET($CL$2,0,0,ROW()-1,84),ROW()-1,FALSE))</f>
        <v>64.749134569999995</v>
      </c>
      <c r="M180" t="str">
        <f ca="1">IF(AND(ISNUMBER($M$386),$B$252=1),$M$386,HLOOKUP(INDIRECT(ADDRESS(2,COLUMN())),OFFSET($CL$2,0,0,ROW()-1,84),ROW()-1,FALSE))</f>
        <v/>
      </c>
      <c r="N180" t="str">
        <f ca="1">IF(AND(ISNUMBER($N$386),$B$252=1),$N$386,HLOOKUP(INDIRECT(ADDRESS(2,COLUMN())),OFFSET($CL$2,0,0,ROW()-1,84),ROW()-1,FALSE))</f>
        <v/>
      </c>
      <c r="O180">
        <f ca="1">IF(AND(ISNUMBER($O$386),$B$252=1),$O$386,HLOOKUP(INDIRECT(ADDRESS(2,COLUMN())),OFFSET($CL$2,0,0,ROW()-1,84),ROW()-1,FALSE))</f>
        <v>68.035145040000003</v>
      </c>
      <c r="P180" t="str">
        <f ca="1">IF(AND(ISNUMBER($P$386),$B$252=1),$P$386,HLOOKUP(INDIRECT(ADDRESS(2,COLUMN())),OFFSET($CL$2,0,0,ROW()-1,84),ROW()-1,FALSE))</f>
        <v/>
      </c>
      <c r="Q180" t="str">
        <f ca="1">IF(AND(ISNUMBER($Q$386),$B$252=1),$Q$386,HLOOKUP(INDIRECT(ADDRESS(2,COLUMN())),OFFSET($CL$2,0,0,ROW()-1,84),ROW()-1,FALSE))</f>
        <v/>
      </c>
      <c r="R180">
        <f ca="1">IF(AND(ISNUMBER($R$386),$B$252=1),$R$386,HLOOKUP(INDIRECT(ADDRESS(2,COLUMN())),OFFSET($CL$2,0,0,ROW()-1,84),ROW()-1,FALSE))</f>
        <v>67.958730720000005</v>
      </c>
      <c r="S180" t="str">
        <f ca="1">IF(AND(ISNUMBER($S$386),$B$252=1),$S$386,HLOOKUP(INDIRECT(ADDRESS(2,COLUMN())),OFFSET($CL$2,0,0,ROW()-1,84),ROW()-1,FALSE))</f>
        <v/>
      </c>
      <c r="T180" t="str">
        <f ca="1">IF(AND(ISNUMBER($T$386),$B$252=1),$T$386,HLOOKUP(INDIRECT(ADDRESS(2,COLUMN())),OFFSET($CL$2,0,0,ROW()-1,84),ROW()-1,FALSE))</f>
        <v/>
      </c>
      <c r="U180">
        <f ca="1">IF(AND(ISNUMBER($U$386),$B$252=1),$U$386,HLOOKUP(INDIRECT(ADDRESS(2,COLUMN())),OFFSET($CL$2,0,0,ROW()-1,84),ROW()-1,FALSE))</f>
        <v>63.766212080000003</v>
      </c>
      <c r="V180" t="str">
        <f ca="1">IF(AND(ISNUMBER($V$386),$B$252=1),$V$386,HLOOKUP(INDIRECT(ADDRESS(2,COLUMN())),OFFSET($CL$2,0,0,ROW()-1,84),ROW()-1,FALSE))</f>
        <v/>
      </c>
      <c r="W180" t="str">
        <f ca="1">IF(AND(ISNUMBER($W$386),$B$252=1),$W$386,HLOOKUP(INDIRECT(ADDRESS(2,COLUMN())),OFFSET($CL$2,0,0,ROW()-1,84),ROW()-1,FALSE))</f>
        <v/>
      </c>
      <c r="X180">
        <f ca="1">IF(AND(ISNUMBER($X$386),$B$252=1),$X$386,HLOOKUP(INDIRECT(ADDRESS(2,COLUMN())),OFFSET($CL$2,0,0,ROW()-1,84),ROW()-1,FALSE))</f>
        <v>65.200832550000001</v>
      </c>
      <c r="Y180" t="str">
        <f ca="1">IF(AND(ISNUMBER($Y$386),$B$252=1),$Y$386,HLOOKUP(INDIRECT(ADDRESS(2,COLUMN())),OFFSET($CL$2,0,0,ROW()-1,84),ROW()-1,FALSE))</f>
        <v/>
      </c>
      <c r="Z180" t="str">
        <f ca="1">IF(AND(ISNUMBER($Z$386),$B$252=1),$Z$386,HLOOKUP(INDIRECT(ADDRESS(2,COLUMN())),OFFSET($CL$2,0,0,ROW()-1,84),ROW()-1,FALSE))</f>
        <v/>
      </c>
      <c r="AA180">
        <f ca="1">IF(AND(ISNUMBER($AA$386),$B$252=1),$AA$386,HLOOKUP(INDIRECT(ADDRESS(2,COLUMN())),OFFSET($CL$2,0,0,ROW()-1,84),ROW()-1,FALSE))</f>
        <v>66.632528010000001</v>
      </c>
      <c r="AB180" t="str">
        <f ca="1">IF(AND(ISNUMBER($AB$386),$B$252=1),$AB$386,HLOOKUP(INDIRECT(ADDRESS(2,COLUMN())),OFFSET($CL$2,0,0,ROW()-1,84),ROW()-1,FALSE))</f>
        <v/>
      </c>
      <c r="AC180" t="str">
        <f ca="1">IF(AND(ISNUMBER($AC$386),$B$252=1),$AC$386,HLOOKUP(INDIRECT(ADDRESS(2,COLUMN())),OFFSET($CL$2,0,0,ROW()-1,84),ROW()-1,FALSE))</f>
        <v/>
      </c>
      <c r="AD180">
        <f ca="1">IF(AND(ISNUMBER($AD$386),$B$252=1),$AD$386,HLOOKUP(INDIRECT(ADDRESS(2,COLUMN())),OFFSET($CL$2,0,0,ROW()-1,84),ROW()-1,FALSE))</f>
        <v>68.4294625</v>
      </c>
      <c r="AE180" t="str">
        <f ca="1">IF(AND(ISNUMBER($AE$386),$B$252=1),$AE$386,HLOOKUP(INDIRECT(ADDRESS(2,COLUMN())),OFFSET($CL$2,0,0,ROW()-1,84),ROW()-1,FALSE))</f>
        <v/>
      </c>
      <c r="AF180" t="str">
        <f ca="1">IF(AND(ISNUMBER($AF$386),$B$252=1),$AF$386,HLOOKUP(INDIRECT(ADDRESS(2,COLUMN())),OFFSET($CL$2,0,0,ROW()-1,84),ROW()-1,FALSE))</f>
        <v/>
      </c>
      <c r="AG180">
        <f ca="1">IF(AND(ISNUMBER($AG$386),$B$252=1),$AG$386,HLOOKUP(INDIRECT(ADDRESS(2,COLUMN())),OFFSET($CL$2,0,0,ROW()-1,84),ROW()-1,FALSE))</f>
        <v>62.87500687</v>
      </c>
      <c r="AH180" t="str">
        <f ca="1">IF(AND(ISNUMBER($AH$386),$B$252=1),$AH$386,HLOOKUP(INDIRECT(ADDRESS(2,COLUMN())),OFFSET($CL$2,0,0,ROW()-1,84),ROW()-1,FALSE))</f>
        <v/>
      </c>
      <c r="AI180" t="str">
        <f ca="1">IF(AND(ISNUMBER($AI$386),$B$252=1),$AI$386,HLOOKUP(INDIRECT(ADDRESS(2,COLUMN())),OFFSET($CL$2,0,0,ROW()-1,84),ROW()-1,FALSE))</f>
        <v/>
      </c>
      <c r="AJ180">
        <f ca="1">IF(AND(ISNUMBER($AJ$386),$B$252=1),$AJ$386,HLOOKUP(INDIRECT(ADDRESS(2,COLUMN())),OFFSET($CL$2,0,0,ROW()-1,84),ROW()-1,FALSE))</f>
        <v>64.827211930000004</v>
      </c>
      <c r="AK180" t="str">
        <f ca="1">IF(AND(ISNUMBER($AK$386),$B$252=1),$AK$386,HLOOKUP(INDIRECT(ADDRESS(2,COLUMN())),OFFSET($CL$2,0,0,ROW()-1,84),ROW()-1,FALSE))</f>
        <v/>
      </c>
      <c r="AL180" t="str">
        <f ca="1">IF(AND(ISNUMBER($AL$386),$B$252=1),$AL$386,HLOOKUP(INDIRECT(ADDRESS(2,COLUMN())),OFFSET($CL$2,0,0,ROW()-1,84),ROW()-1,FALSE))</f>
        <v/>
      </c>
      <c r="AM180">
        <f ca="1">IF(AND(ISNUMBER($AM$386),$B$252=1),$AM$386,HLOOKUP(INDIRECT(ADDRESS(2,COLUMN())),OFFSET($CL$2,0,0,ROW()-1,84),ROW()-1,FALSE))</f>
        <v>66.954038670000003</v>
      </c>
      <c r="AN180" t="str">
        <f ca="1">IF(AND(ISNUMBER($AN$386),$B$252=1),$AN$386,HLOOKUP(INDIRECT(ADDRESS(2,COLUMN())),OFFSET($CL$2,0,0,ROW()-1,84),ROW()-1,FALSE))</f>
        <v/>
      </c>
      <c r="AO180" t="str">
        <f ca="1">IF(AND(ISNUMBER($AO$386),$B$252=1),$AO$386,HLOOKUP(INDIRECT(ADDRESS(2,COLUMN())),OFFSET($CL$2,0,0,ROW()-1,84),ROW()-1,FALSE))</f>
        <v/>
      </c>
      <c r="AP180">
        <f ca="1">IF(AND(ISNUMBER($AP$386),$B$252=1),$AP$386,HLOOKUP(INDIRECT(ADDRESS(2,COLUMN())),OFFSET($CL$2,0,0,ROW()-1,84),ROW()-1,FALSE))</f>
        <v>71.247471110000006</v>
      </c>
      <c r="AQ180" t="str">
        <f ca="1">IF(AND(ISNUMBER($AQ$386),$B$252=1),$AQ$386,HLOOKUP(INDIRECT(ADDRESS(2,COLUMN())),OFFSET($CL$2,0,0,ROW()-1,84),ROW()-1,FALSE))</f>
        <v/>
      </c>
      <c r="AR180" t="str">
        <f ca="1">IF(AND(ISNUMBER($AR$386),$B$252=1),$AR$386,HLOOKUP(INDIRECT(ADDRESS(2,COLUMN())),OFFSET($CL$2,0,0,ROW()-1,84),ROW()-1,FALSE))</f>
        <v/>
      </c>
      <c r="AS180">
        <f ca="1">IF(AND(ISNUMBER($AS$386),$B$252=1),$AS$386,HLOOKUP(INDIRECT(ADDRESS(2,COLUMN())),OFFSET($CL$2,0,0,ROW()-1,84),ROW()-1,FALSE))</f>
        <v>66.83634696</v>
      </c>
      <c r="AT180" t="str">
        <f ca="1">IF(AND(ISNUMBER($AT$386),$B$252=1),$AT$386,HLOOKUP(INDIRECT(ADDRESS(2,COLUMN())),OFFSET($CL$2,0,0,ROW()-1,84),ROW()-1,FALSE))</f>
        <v/>
      </c>
      <c r="AU180" t="str">
        <f ca="1">IF(AND(ISNUMBER($AU$386),$B$252=1),$AU$386,HLOOKUP(INDIRECT(ADDRESS(2,COLUMN())),OFFSET($CL$2,0,0,ROW()-1,84),ROW()-1,FALSE))</f>
        <v/>
      </c>
      <c r="AV180">
        <f ca="1">IF(AND(ISNUMBER($AV$386),$B$252=1),$AV$386,HLOOKUP(INDIRECT(ADDRESS(2,COLUMN())),OFFSET($CL$2,0,0,ROW()-1,84),ROW()-1,FALSE))</f>
        <v>67.164270380000005</v>
      </c>
      <c r="AW180" t="str">
        <f ca="1">IF(AND(ISNUMBER($AW$386),$B$252=1),$AW$386,HLOOKUP(INDIRECT(ADDRESS(2,COLUMN())),OFFSET($CL$2,0,0,ROW()-1,84),ROW()-1,FALSE))</f>
        <v/>
      </c>
      <c r="AX180" t="str">
        <f ca="1">IF(AND(ISNUMBER($AX$386),$B$252=1),$AX$386,HLOOKUP(INDIRECT(ADDRESS(2,COLUMN())),OFFSET($CL$2,0,0,ROW()-1,84),ROW()-1,FALSE))</f>
        <v/>
      </c>
      <c r="AY180">
        <f ca="1">IF(AND(ISNUMBER($AY$386),$B$252=1),$AY$386,HLOOKUP(INDIRECT(ADDRESS(2,COLUMN())),OFFSET($CL$2,0,0,ROW()-1,84),ROW()-1,FALSE))</f>
        <v>68.291163190000006</v>
      </c>
      <c r="AZ180" t="str">
        <f ca="1">IF(AND(ISNUMBER($AZ$386),$B$252=1),$AZ$386,HLOOKUP(INDIRECT(ADDRESS(2,COLUMN())),OFFSET($CL$2,0,0,ROW()-1,84),ROW()-1,FALSE))</f>
        <v/>
      </c>
      <c r="BA180" t="str">
        <f ca="1">IF(AND(ISNUMBER($BA$386),$B$252=1),$BA$386,HLOOKUP(INDIRECT(ADDRESS(2,COLUMN())),OFFSET($CL$2,0,0,ROW()-1,84),ROW()-1,FALSE))</f>
        <v/>
      </c>
      <c r="BB180">
        <f ca="1">IF(AND(ISNUMBER($BB$386),$B$252=1),$BB$386,HLOOKUP(INDIRECT(ADDRESS(2,COLUMN())),OFFSET($CL$2,0,0,ROW()-1,84),ROW()-1,FALSE))</f>
        <v>71.349399349999999</v>
      </c>
      <c r="BC180" t="str">
        <f ca="1">IF(AND(ISNUMBER($BC$386),$B$252=1),$BC$386,HLOOKUP(INDIRECT(ADDRESS(2,COLUMN())),OFFSET($CL$2,0,0,ROW()-1,84),ROW()-1,FALSE))</f>
        <v/>
      </c>
      <c r="BD180" t="str">
        <f ca="1">IF(AND(ISNUMBER($BD$386),$B$252=1),$BD$386,HLOOKUP(INDIRECT(ADDRESS(2,COLUMN())),OFFSET($CL$2,0,0,ROW()-1,84),ROW()-1,FALSE))</f>
        <v/>
      </c>
      <c r="BE180">
        <f ca="1">IF(AND(ISNUMBER($BE$386),$B$252=1),$BE$386,HLOOKUP(INDIRECT(ADDRESS(2,COLUMN())),OFFSET($CL$2,0,0,ROW()-1,84),ROW()-1,FALSE))</f>
        <v>66.643730210000001</v>
      </c>
      <c r="BF180" t="str">
        <f ca="1">IF(AND(ISNUMBER($BF$386),$B$252=1),$BF$386,HLOOKUP(INDIRECT(ADDRESS(2,COLUMN())),OFFSET($CL$2,0,0,ROW()-1,84),ROW()-1,FALSE))</f>
        <v/>
      </c>
      <c r="BG180" t="str">
        <f ca="1">IF(AND(ISNUMBER($BG$386),$B$252=1),$BG$386,HLOOKUP(INDIRECT(ADDRESS(2,COLUMN())),OFFSET($CL$2,0,0,ROW()-1,84),ROW()-1,FALSE))</f>
        <v/>
      </c>
      <c r="BH180">
        <f ca="1">IF(AND(ISNUMBER($BH$386),$B$252=1),$BH$386,HLOOKUP(INDIRECT(ADDRESS(2,COLUMN())),OFFSET($CL$2,0,0,ROW()-1,84),ROW()-1,FALSE))</f>
        <v>65.702580220000002</v>
      </c>
      <c r="BI180" t="str">
        <f ca="1">IF(AND(ISNUMBER($BI$386),$B$252=1),$BI$386,HLOOKUP(INDIRECT(ADDRESS(2,COLUMN())),OFFSET($CL$2,0,0,ROW()-1,84),ROW()-1,FALSE))</f>
        <v/>
      </c>
      <c r="BJ180" t="str">
        <f ca="1">IF(AND(ISNUMBER($BJ$386),$B$252=1),$BJ$386,HLOOKUP(INDIRECT(ADDRESS(2,COLUMN())),OFFSET($CL$2,0,0,ROW()-1,84),ROW()-1,FALSE))</f>
        <v/>
      </c>
      <c r="BK180">
        <f ca="1">IF(AND(ISNUMBER($BK$386),$B$252=1),$BK$386,HLOOKUP(INDIRECT(ADDRESS(2,COLUMN())),OFFSET($CL$2,0,0,ROW()-1,84),ROW()-1,FALSE))</f>
        <v>66.218614819999999</v>
      </c>
      <c r="BL180" t="str">
        <f ca="1">IF(AND(ISNUMBER($BL$386),$B$252=1),$BL$386,HLOOKUP(INDIRECT(ADDRESS(2,COLUMN())),OFFSET($CL$2,0,0,ROW()-1,84),ROW()-1,FALSE))</f>
        <v/>
      </c>
      <c r="BM180" t="str">
        <f ca="1">IF(AND(ISNUMBER($BM$386),$B$252=1),$BM$386,HLOOKUP(INDIRECT(ADDRESS(2,COLUMN())),OFFSET($CL$2,0,0,ROW()-1,84),ROW()-1,FALSE))</f>
        <v/>
      </c>
      <c r="BN180">
        <f ca="1">IF(AND(ISNUMBER($BN$386),$B$252=1),$BN$386,HLOOKUP(INDIRECT(ADDRESS(2,COLUMN())),OFFSET($CL$2,0,0,ROW()-1,84),ROW()-1,FALSE))</f>
        <v>78.660644219999995</v>
      </c>
      <c r="BO180" t="str">
        <f ca="1">IF(AND(ISNUMBER($BO$386),$B$252=1),$BO$386,HLOOKUP(INDIRECT(ADDRESS(2,COLUMN())),OFFSET($CL$2,0,0,ROW()-1,84),ROW()-1,FALSE))</f>
        <v/>
      </c>
      <c r="BP180" t="str">
        <f ca="1">IF(AND(ISNUMBER($BP$386),$B$252=1),$BP$386,HLOOKUP(INDIRECT(ADDRESS(2,COLUMN())),OFFSET($CL$2,0,0,ROW()-1,84),ROW()-1,FALSE))</f>
        <v/>
      </c>
      <c r="BQ180">
        <f ca="1">IF(AND(ISNUMBER($BQ$386),$B$252=1),$BQ$386,HLOOKUP(INDIRECT(ADDRESS(2,COLUMN())),OFFSET($CL$2,0,0,ROW()-1,84),ROW()-1,FALSE))</f>
        <v>76.402997650000003</v>
      </c>
      <c r="BR180" t="str">
        <f ca="1">IF(AND(ISNUMBER($BR$386),$B$252=1),$BR$386,HLOOKUP(INDIRECT(ADDRESS(2,COLUMN())),OFFSET($CL$2,0,0,ROW()-1,84),ROW()-1,FALSE))</f>
        <v/>
      </c>
      <c r="BS180" t="str">
        <f ca="1">IF(AND(ISNUMBER($BS$386),$B$252=1),$BS$386,HLOOKUP(INDIRECT(ADDRESS(2,COLUMN())),OFFSET($CL$2,0,0,ROW()-1,84),ROW()-1,FALSE))</f>
        <v/>
      </c>
      <c r="BT180">
        <f ca="1">IF(AND(ISNUMBER($BT$386),$B$252=1),$BT$386,HLOOKUP(INDIRECT(ADDRESS(2,COLUMN())),OFFSET($CL$2,0,0,ROW()-1,84),ROW()-1,FALSE))</f>
        <v>67.478566509999993</v>
      </c>
      <c r="BU180" t="str">
        <f ca="1">IF(AND(ISNUMBER($BU$386),$B$252=1),$BU$386,HLOOKUP(INDIRECT(ADDRESS(2,COLUMN())),OFFSET($CL$2,0,0,ROW()-1,84),ROW()-1,FALSE))</f>
        <v/>
      </c>
      <c r="BV180" t="str">
        <f ca="1">IF(AND(ISNUMBER($BV$386),$B$252=1),$BV$386,HLOOKUP(INDIRECT(ADDRESS(2,COLUMN())),OFFSET($CL$2,0,0,ROW()-1,84),ROW()-1,FALSE))</f>
        <v/>
      </c>
      <c r="BW180">
        <f ca="1">IF(AND(ISNUMBER($BW$386),$B$252=1),$BW$386,HLOOKUP(INDIRECT(ADDRESS(2,COLUMN())),OFFSET($CL$2,0,0,ROW()-1,84),ROW()-1,FALSE))</f>
        <v>72.230303550000002</v>
      </c>
      <c r="BX180" t="str">
        <f ca="1">IF(AND(ISNUMBER($BX$386),$B$252=1),$BX$386,HLOOKUP(INDIRECT(ADDRESS(2,COLUMN())),OFFSET($CL$2,0,0,ROW()-1,84),ROW()-1,FALSE))</f>
        <v/>
      </c>
      <c r="BY180" t="str">
        <f ca="1">IF(AND(ISNUMBER($BY$386),$B$252=1),$BY$386,HLOOKUP(INDIRECT(ADDRESS(2,COLUMN())),OFFSET($CL$2,0,0,ROW()-1,84),ROW()-1,FALSE))</f>
        <v/>
      </c>
      <c r="BZ180">
        <f ca="1">IF(AND(ISNUMBER($BZ$386),$B$252=1),$BZ$386,HLOOKUP(INDIRECT(ADDRESS(2,COLUMN())),OFFSET($CL$2,0,0,ROW()-1,84),ROW()-1,FALSE))</f>
        <v>76.070677149999995</v>
      </c>
      <c r="CA180" t="str">
        <f ca="1">IF(AND(ISNUMBER($CA$386),$B$252=1),$CA$386,HLOOKUP(INDIRECT(ADDRESS(2,COLUMN())),OFFSET($CL$2,0,0,ROW()-1,84),ROW()-1,FALSE))</f>
        <v/>
      </c>
      <c r="CB180" t="str">
        <f ca="1">IF(AND(ISNUMBER($CB$386),$B$252=1),$CB$386,HLOOKUP(INDIRECT(ADDRESS(2,COLUMN())),OFFSET($CL$2,0,0,ROW()-1,84),ROW()-1,FALSE))</f>
        <v/>
      </c>
      <c r="CC180">
        <f ca="1">IF(AND(ISNUMBER($CC$386),$B$252=1),$CC$386,HLOOKUP(INDIRECT(ADDRESS(2,COLUMN())),OFFSET($CL$2,0,0,ROW()-1,84),ROW()-1,FALSE))</f>
        <v>70.555615430000003</v>
      </c>
      <c r="CD180" t="str">
        <f ca="1">IF(AND(ISNUMBER($CD$386),$B$252=1),$CD$386,HLOOKUP(INDIRECT(ADDRESS(2,COLUMN())),OFFSET($CL$2,0,0,ROW()-1,84),ROW()-1,FALSE))</f>
        <v/>
      </c>
      <c r="CE180" t="str">
        <f ca="1">IF(AND(ISNUMBER($CE$386),$B$252=1),$CE$386,HLOOKUP(INDIRECT(ADDRESS(2,COLUMN())),OFFSET($CL$2,0,0,ROW()-1,84),ROW()-1,FALSE))</f>
        <v/>
      </c>
      <c r="CF180">
        <f ca="1">IF(AND(ISNUMBER($CF$386),$B$252=1),$CF$386,HLOOKUP(INDIRECT(ADDRESS(2,COLUMN())),OFFSET($CL$2,0,0,ROW()-1,84),ROW()-1,FALSE))</f>
        <v>76.316614360000003</v>
      </c>
      <c r="CG180" t="str">
        <f ca="1">IF(AND(ISNUMBER($CG$386),$B$252=1),$CG$386,HLOOKUP(INDIRECT(ADDRESS(2,COLUMN())),OFFSET($CL$2,0,0,ROW()-1,84),ROW()-1,FALSE))</f>
        <v/>
      </c>
      <c r="CH180" t="str">
        <f ca="1">IF(AND(ISNUMBER($CH$386),$B$252=1),$CH$386,HLOOKUP(INDIRECT(ADDRESS(2,COLUMN())),OFFSET($CL$2,0,0,ROW()-1,84),ROW()-1,FALSE))</f>
        <v/>
      </c>
      <c r="CI180">
        <f ca="1">IF(AND(ISNUMBER($CI$386),$B$252=1),$CI$386,HLOOKUP(INDIRECT(ADDRESS(2,COLUMN())),OFFSET($CL$2,0,0,ROW()-1,84),ROW()-1,FALSE))</f>
        <v>78.102434400000007</v>
      </c>
      <c r="CJ180" t="str">
        <f ca="1">IF(AND(ISNUMBER($CJ$386),$B$252=1),$CJ$386,HLOOKUP(INDIRECT(ADDRESS(2,COLUMN())),OFFSET($CL$2,0,0,ROW()-1,84),ROW()-1,FALSE))</f>
        <v/>
      </c>
      <c r="CK180" t="str">
        <f ca="1">IF(AND(ISNUMBER($CK$386),$B$252=1),$CK$386,HLOOKUP(INDIRECT(ADDRESS(2,COLUMN())),OFFSET($CL$2,0,0,ROW()-1,84),ROW()-1,FALSE))</f>
        <v/>
      </c>
      <c r="CL180" t="str">
        <f>""</f>
        <v/>
      </c>
      <c r="CM180" t="str">
        <f>""</f>
        <v/>
      </c>
      <c r="CN180" t="str">
        <f>""</f>
        <v/>
      </c>
      <c r="CO180">
        <f>63.14712014</f>
        <v>63.147120139999998</v>
      </c>
      <c r="CP180" t="str">
        <f>""</f>
        <v/>
      </c>
      <c r="CQ180" t="str">
        <f>""</f>
        <v/>
      </c>
      <c r="CR180">
        <f>64.74913457</f>
        <v>64.749134569999995</v>
      </c>
      <c r="CS180" t="str">
        <f>""</f>
        <v/>
      </c>
      <c r="CT180" t="str">
        <f>""</f>
        <v/>
      </c>
      <c r="CU180">
        <f>68.03514504</f>
        <v>68.035145040000003</v>
      </c>
      <c r="CV180" t="str">
        <f>""</f>
        <v/>
      </c>
      <c r="CW180" t="str">
        <f>""</f>
        <v/>
      </c>
      <c r="CX180">
        <f>67.95873072</f>
        <v>67.958730720000005</v>
      </c>
      <c r="CY180" t="str">
        <f>""</f>
        <v/>
      </c>
      <c r="CZ180" t="str">
        <f>""</f>
        <v/>
      </c>
      <c r="DA180">
        <f>63.76621208</f>
        <v>63.766212080000003</v>
      </c>
      <c r="DB180" t="str">
        <f>""</f>
        <v/>
      </c>
      <c r="DC180" t="str">
        <f>""</f>
        <v/>
      </c>
      <c r="DD180">
        <f>65.20083255</f>
        <v>65.200832550000001</v>
      </c>
      <c r="DE180" t="str">
        <f>""</f>
        <v/>
      </c>
      <c r="DF180" t="str">
        <f>""</f>
        <v/>
      </c>
      <c r="DG180">
        <f>66.63252801</f>
        <v>66.632528010000001</v>
      </c>
      <c r="DH180" t="str">
        <f>""</f>
        <v/>
      </c>
      <c r="DI180" t="str">
        <f>""</f>
        <v/>
      </c>
      <c r="DJ180">
        <f>68.4294625</f>
        <v>68.4294625</v>
      </c>
      <c r="DK180" t="str">
        <f>""</f>
        <v/>
      </c>
      <c r="DL180" t="str">
        <f>""</f>
        <v/>
      </c>
      <c r="DM180">
        <f>62.87500687</f>
        <v>62.87500687</v>
      </c>
      <c r="DN180" t="str">
        <f>""</f>
        <v/>
      </c>
      <c r="DO180" t="str">
        <f>""</f>
        <v/>
      </c>
      <c r="DP180">
        <f>64.82721193</f>
        <v>64.827211930000004</v>
      </c>
      <c r="DQ180" t="str">
        <f>""</f>
        <v/>
      </c>
      <c r="DR180" t="str">
        <f>""</f>
        <v/>
      </c>
      <c r="DS180">
        <f>66.95403867</f>
        <v>66.954038670000003</v>
      </c>
      <c r="DT180" t="str">
        <f>""</f>
        <v/>
      </c>
      <c r="DU180" t="str">
        <f>""</f>
        <v/>
      </c>
      <c r="DV180">
        <f>71.24747111</f>
        <v>71.247471110000006</v>
      </c>
      <c r="DW180" t="str">
        <f>""</f>
        <v/>
      </c>
      <c r="DX180" t="str">
        <f>""</f>
        <v/>
      </c>
      <c r="DY180">
        <f>66.83634696</f>
        <v>66.83634696</v>
      </c>
      <c r="DZ180" t="str">
        <f>""</f>
        <v/>
      </c>
      <c r="EA180" t="str">
        <f>""</f>
        <v/>
      </c>
      <c r="EB180">
        <f>67.16427038</f>
        <v>67.164270380000005</v>
      </c>
      <c r="EC180" t="str">
        <f>""</f>
        <v/>
      </c>
      <c r="ED180" t="str">
        <f>""</f>
        <v/>
      </c>
      <c r="EE180">
        <f>68.29116319</f>
        <v>68.291163190000006</v>
      </c>
      <c r="EF180" t="str">
        <f>""</f>
        <v/>
      </c>
      <c r="EG180" t="str">
        <f>""</f>
        <v/>
      </c>
      <c r="EH180">
        <f>71.34939935</f>
        <v>71.349399349999999</v>
      </c>
      <c r="EI180" t="str">
        <f>""</f>
        <v/>
      </c>
      <c r="EJ180" t="str">
        <f>""</f>
        <v/>
      </c>
      <c r="EK180">
        <f>66.64373021</f>
        <v>66.643730210000001</v>
      </c>
      <c r="EL180" t="str">
        <f>""</f>
        <v/>
      </c>
      <c r="EM180" t="str">
        <f>""</f>
        <v/>
      </c>
      <c r="EN180">
        <f>65.70258022</f>
        <v>65.702580220000002</v>
      </c>
      <c r="EO180" t="str">
        <f>""</f>
        <v/>
      </c>
      <c r="EP180" t="str">
        <f>""</f>
        <v/>
      </c>
      <c r="EQ180">
        <f>66.21861482</f>
        <v>66.218614819999999</v>
      </c>
      <c r="ER180" t="str">
        <f>""</f>
        <v/>
      </c>
      <c r="ES180" t="str">
        <f>""</f>
        <v/>
      </c>
      <c r="ET180">
        <f>78.66064422</f>
        <v>78.660644219999995</v>
      </c>
      <c r="EU180" t="str">
        <f>""</f>
        <v/>
      </c>
      <c r="EV180" t="str">
        <f>""</f>
        <v/>
      </c>
      <c r="EW180">
        <f>76.40299765</f>
        <v>76.402997650000003</v>
      </c>
      <c r="EX180" t="str">
        <f>""</f>
        <v/>
      </c>
      <c r="EY180" t="str">
        <f>""</f>
        <v/>
      </c>
      <c r="EZ180">
        <f>67.47856651</f>
        <v>67.478566509999993</v>
      </c>
      <c r="FA180" t="str">
        <f>""</f>
        <v/>
      </c>
      <c r="FB180" t="str">
        <f>""</f>
        <v/>
      </c>
      <c r="FC180">
        <f>72.23030355</f>
        <v>72.230303550000002</v>
      </c>
      <c r="FD180" t="str">
        <f>""</f>
        <v/>
      </c>
      <c r="FE180" t="str">
        <f>""</f>
        <v/>
      </c>
      <c r="FF180">
        <f>76.07067715</f>
        <v>76.070677149999995</v>
      </c>
      <c r="FG180" t="str">
        <f>""</f>
        <v/>
      </c>
      <c r="FH180" t="str">
        <f>""</f>
        <v/>
      </c>
      <c r="FI180">
        <f>70.55561543</f>
        <v>70.555615430000003</v>
      </c>
      <c r="FJ180" t="str">
        <f>""</f>
        <v/>
      </c>
      <c r="FK180" t="str">
        <f>""</f>
        <v/>
      </c>
      <c r="FL180">
        <f>76.31661436</f>
        <v>76.316614360000003</v>
      </c>
      <c r="FM180" t="str">
        <f>""</f>
        <v/>
      </c>
      <c r="FN180" t="str">
        <f>""</f>
        <v/>
      </c>
      <c r="FO180">
        <f>78.1024344</f>
        <v>78.102434400000007</v>
      </c>
      <c r="FP180" t="str">
        <f>""</f>
        <v/>
      </c>
      <c r="FQ180" t="str">
        <f>""</f>
        <v/>
      </c>
    </row>
    <row r="181" spans="1:173">
      <c r="A181" t="str">
        <f>"    Camden Property Trust"</f>
        <v xml:space="preserve">    Camden Property Trust</v>
      </c>
      <c r="B181" t="str">
        <f>"CPT US Equity"</f>
        <v>CPT US Equity</v>
      </c>
      <c r="C181" t="str">
        <f t="shared" si="57"/>
        <v>F0928</v>
      </c>
      <c r="D181" t="str">
        <f t="shared" si="58"/>
        <v>ADJUSTED_FFO_PAYOUT_RATIO</v>
      </c>
      <c r="E181" t="str">
        <f t="shared" si="59"/>
        <v>动态</v>
      </c>
      <c r="F181" t="str">
        <f ca="1">IF(AND(ISNUMBER($F$387),$B$252=1),$F$387,HLOOKUP(INDIRECT(ADDRESS(2,COLUMN())),OFFSET($CL$2,0,0,ROW()-1,84),ROW()-1,FALSE))</f>
        <v/>
      </c>
      <c r="G181" t="str">
        <f ca="1">IF(AND(ISNUMBER($G$387),$B$252=1),$G$387,HLOOKUP(INDIRECT(ADDRESS(2,COLUMN())),OFFSET($CL$2,0,0,ROW()-1,84),ROW()-1,FALSE))</f>
        <v/>
      </c>
      <c r="H181" t="str">
        <f ca="1">IF(AND(ISNUMBER($H$387),$B$252=1),$H$387,HLOOKUP(INDIRECT(ADDRESS(2,COLUMN())),OFFSET($CL$2,0,0,ROW()-1,84),ROW()-1,FALSE))</f>
        <v/>
      </c>
      <c r="I181">
        <f ca="1">IF(AND(ISNUMBER($I$387),$B$252=1),$I$387,HLOOKUP(INDIRECT(ADDRESS(2,COLUMN())),OFFSET($CL$2,0,0,ROW()-1,84),ROW()-1,FALSE))</f>
        <v>63.552796979999997</v>
      </c>
      <c r="J181" t="str">
        <f ca="1">IF(AND(ISNUMBER($J$387),$B$252=1),$J$387,HLOOKUP(INDIRECT(ADDRESS(2,COLUMN())),OFFSET($CL$2,0,0,ROW()-1,84),ROW()-1,FALSE))</f>
        <v/>
      </c>
      <c r="K181" t="str">
        <f ca="1">IF(AND(ISNUMBER($K$387),$B$252=1),$K$387,HLOOKUP(INDIRECT(ADDRESS(2,COLUMN())),OFFSET($CL$2,0,0,ROW()-1,84),ROW()-1,FALSE))</f>
        <v/>
      </c>
      <c r="L181">
        <f ca="1">IF(AND(ISNUMBER($L$387),$B$252=1),$L$387,HLOOKUP(INDIRECT(ADDRESS(2,COLUMN())),OFFSET($CL$2,0,0,ROW()-1,84),ROW()-1,FALSE))</f>
        <v>67.676403039999997</v>
      </c>
      <c r="M181" t="str">
        <f ca="1">IF(AND(ISNUMBER($M$387),$B$252=1),$M$387,HLOOKUP(INDIRECT(ADDRESS(2,COLUMN())),OFFSET($CL$2,0,0,ROW()-1,84),ROW()-1,FALSE))</f>
        <v/>
      </c>
      <c r="N181" t="str">
        <f ca="1">IF(AND(ISNUMBER($N$387),$B$252=1),$N$387,HLOOKUP(INDIRECT(ADDRESS(2,COLUMN())),OFFSET($CL$2,0,0,ROW()-1,84),ROW()-1,FALSE))</f>
        <v/>
      </c>
      <c r="O181">
        <f ca="1">IF(AND(ISNUMBER($O$387),$B$252=1),$O$387,HLOOKUP(INDIRECT(ADDRESS(2,COLUMN())),OFFSET($CL$2,0,0,ROW()-1,84),ROW()-1,FALSE))</f>
        <v>65.192068169999999</v>
      </c>
      <c r="P181" t="str">
        <f ca="1">IF(AND(ISNUMBER($P$387),$B$252=1),$P$387,HLOOKUP(INDIRECT(ADDRESS(2,COLUMN())),OFFSET($CL$2,0,0,ROW()-1,84),ROW()-1,FALSE))</f>
        <v/>
      </c>
      <c r="Q181" t="str">
        <f ca="1">IF(AND(ISNUMBER($Q$387),$B$252=1),$Q$387,HLOOKUP(INDIRECT(ADDRESS(2,COLUMN())),OFFSET($CL$2,0,0,ROW()-1,84),ROW()-1,FALSE))</f>
        <v/>
      </c>
      <c r="R181">
        <f ca="1">IF(AND(ISNUMBER($R$387),$B$252=1),$R$387,HLOOKUP(INDIRECT(ADDRESS(2,COLUMN())),OFFSET($CL$2,0,0,ROW()-1,84),ROW()-1,FALSE))</f>
        <v>68.777589559999996</v>
      </c>
      <c r="S181" t="str">
        <f ca="1">IF(AND(ISNUMBER($S$387),$B$252=1),$S$387,HLOOKUP(INDIRECT(ADDRESS(2,COLUMN())),OFFSET($CL$2,0,0,ROW()-1,84),ROW()-1,FALSE))</f>
        <v/>
      </c>
      <c r="T181" t="str">
        <f ca="1">IF(AND(ISNUMBER($T$387),$B$252=1),$T$387,HLOOKUP(INDIRECT(ADDRESS(2,COLUMN())),OFFSET($CL$2,0,0,ROW()-1,84),ROW()-1,FALSE))</f>
        <v/>
      </c>
      <c r="U181">
        <f ca="1">IF(AND(ISNUMBER($U$387),$B$252=1),$U$387,HLOOKUP(INDIRECT(ADDRESS(2,COLUMN())),OFFSET($CL$2,0,0,ROW()-1,84),ROW()-1,FALSE))</f>
        <v>65.322993249999996</v>
      </c>
      <c r="V181" t="str">
        <f ca="1">IF(AND(ISNUMBER($V$387),$B$252=1),$V$387,HLOOKUP(INDIRECT(ADDRESS(2,COLUMN())),OFFSET($CL$2,0,0,ROW()-1,84),ROW()-1,FALSE))</f>
        <v/>
      </c>
      <c r="W181" t="str">
        <f ca="1">IF(AND(ISNUMBER($W$387),$B$252=1),$W$387,HLOOKUP(INDIRECT(ADDRESS(2,COLUMN())),OFFSET($CL$2,0,0,ROW()-1,84),ROW()-1,FALSE))</f>
        <v/>
      </c>
      <c r="X181">
        <f ca="1">IF(AND(ISNUMBER($X$387),$B$252=1),$X$387,HLOOKUP(INDIRECT(ADDRESS(2,COLUMN())),OFFSET($CL$2,0,0,ROW()-1,84),ROW()-1,FALSE))</f>
        <v>440.84829989999997</v>
      </c>
      <c r="Y181" t="str">
        <f ca="1">IF(AND(ISNUMBER($Y$387),$B$252=1),$Y$387,HLOOKUP(INDIRECT(ADDRESS(2,COLUMN())),OFFSET($CL$2,0,0,ROW()-1,84),ROW()-1,FALSE))</f>
        <v/>
      </c>
      <c r="Z181" t="str">
        <f ca="1">IF(AND(ISNUMBER($Z$387),$B$252=1),$Z$387,HLOOKUP(INDIRECT(ADDRESS(2,COLUMN())),OFFSET($CL$2,0,0,ROW()-1,84),ROW()-1,FALSE))</f>
        <v/>
      </c>
      <c r="AA181">
        <f ca="1">IF(AND(ISNUMBER($AA$387),$B$252=1),$AA$387,HLOOKUP(INDIRECT(ADDRESS(2,COLUMN())),OFFSET($CL$2,0,0,ROW()-1,84),ROW()-1,FALSE))</f>
        <v>65.179061930000003</v>
      </c>
      <c r="AB181" t="str">
        <f ca="1">IF(AND(ISNUMBER($AB$387),$B$252=1),$AB$387,HLOOKUP(INDIRECT(ADDRESS(2,COLUMN())),OFFSET($CL$2,0,0,ROW()-1,84),ROW()-1,FALSE))</f>
        <v/>
      </c>
      <c r="AC181" t="str">
        <f ca="1">IF(AND(ISNUMBER($AC$387),$B$252=1),$AC$387,HLOOKUP(INDIRECT(ADDRESS(2,COLUMN())),OFFSET($CL$2,0,0,ROW()-1,84),ROW()-1,FALSE))</f>
        <v/>
      </c>
      <c r="AD181">
        <f ca="1">IF(AND(ISNUMBER($AD$387),$B$252=1),$AD$387,HLOOKUP(INDIRECT(ADDRESS(2,COLUMN())),OFFSET($CL$2,0,0,ROW()-1,84),ROW()-1,FALSE))</f>
        <v>62.387385340000002</v>
      </c>
      <c r="AE181" t="str">
        <f ca="1">IF(AND(ISNUMBER($AE$387),$B$252=1),$AE$387,HLOOKUP(INDIRECT(ADDRESS(2,COLUMN())),OFFSET($CL$2,0,0,ROW()-1,84),ROW()-1,FALSE))</f>
        <v/>
      </c>
      <c r="AF181" t="str">
        <f ca="1">IF(AND(ISNUMBER($AF$387),$B$252=1),$AF$387,HLOOKUP(INDIRECT(ADDRESS(2,COLUMN())),OFFSET($CL$2,0,0,ROW()-1,84),ROW()-1,FALSE))</f>
        <v/>
      </c>
      <c r="AG181">
        <f ca="1">IF(AND(ISNUMBER($AG$387),$B$252=1),$AG$387,HLOOKUP(INDIRECT(ADDRESS(2,COLUMN())),OFFSET($CL$2,0,0,ROW()-1,84),ROW()-1,FALSE))</f>
        <v>58.45065795</v>
      </c>
      <c r="AH181" t="str">
        <f ca="1">IF(AND(ISNUMBER($AH$387),$B$252=1),$AH$387,HLOOKUP(INDIRECT(ADDRESS(2,COLUMN())),OFFSET($CL$2,0,0,ROW()-1,84),ROW()-1,FALSE))</f>
        <v/>
      </c>
      <c r="AI181" t="str">
        <f ca="1">IF(AND(ISNUMBER($AI$387),$B$252=1),$AI$387,HLOOKUP(INDIRECT(ADDRESS(2,COLUMN())),OFFSET($CL$2,0,0,ROW()-1,84),ROW()-1,FALSE))</f>
        <v/>
      </c>
      <c r="AJ181">
        <f ca="1">IF(AND(ISNUMBER($AJ$387),$B$252=1),$AJ$387,HLOOKUP(INDIRECT(ADDRESS(2,COLUMN())),OFFSET($CL$2,0,0,ROW()-1,84),ROW()-1,FALSE))</f>
        <v>61.334023350000002</v>
      </c>
      <c r="AK181" t="str">
        <f ca="1">IF(AND(ISNUMBER($AK$387),$B$252=1),$AK$387,HLOOKUP(INDIRECT(ADDRESS(2,COLUMN())),OFFSET($CL$2,0,0,ROW()-1,84),ROW()-1,FALSE))</f>
        <v/>
      </c>
      <c r="AL181" t="str">
        <f ca="1">IF(AND(ISNUMBER($AL$387),$B$252=1),$AL$387,HLOOKUP(INDIRECT(ADDRESS(2,COLUMN())),OFFSET($CL$2,0,0,ROW()-1,84),ROW()-1,FALSE))</f>
        <v/>
      </c>
      <c r="AM181">
        <f ca="1">IF(AND(ISNUMBER($AM$387),$B$252=1),$AM$387,HLOOKUP(INDIRECT(ADDRESS(2,COLUMN())),OFFSET($CL$2,0,0,ROW()-1,84),ROW()-1,FALSE))</f>
        <v>62.657755219999999</v>
      </c>
      <c r="AN181" t="str">
        <f ca="1">IF(AND(ISNUMBER($AN$387),$B$252=1),$AN$387,HLOOKUP(INDIRECT(ADDRESS(2,COLUMN())),OFFSET($CL$2,0,0,ROW()-1,84),ROW()-1,FALSE))</f>
        <v/>
      </c>
      <c r="AO181" t="str">
        <f ca="1">IF(AND(ISNUMBER($AO$387),$B$252=1),$AO$387,HLOOKUP(INDIRECT(ADDRESS(2,COLUMN())),OFFSET($CL$2,0,0,ROW()-1,84),ROW()-1,FALSE))</f>
        <v/>
      </c>
      <c r="AP181">
        <f ca="1">IF(AND(ISNUMBER($AP$387),$B$252=1),$AP$387,HLOOKUP(INDIRECT(ADDRESS(2,COLUMN())),OFFSET($CL$2,0,0,ROW()-1,84),ROW()-1,FALSE))</f>
        <v>64.847048549999997</v>
      </c>
      <c r="AQ181" t="str">
        <f ca="1">IF(AND(ISNUMBER($AQ$387),$B$252=1),$AQ$387,HLOOKUP(INDIRECT(ADDRESS(2,COLUMN())),OFFSET($CL$2,0,0,ROW()-1,84),ROW()-1,FALSE))</f>
        <v/>
      </c>
      <c r="AR181" t="str">
        <f ca="1">IF(AND(ISNUMBER($AR$387),$B$252=1),$AR$387,HLOOKUP(INDIRECT(ADDRESS(2,COLUMN())),OFFSET($CL$2,0,0,ROW()-1,84),ROW()-1,FALSE))</f>
        <v/>
      </c>
      <c r="AS181">
        <f ca="1">IF(AND(ISNUMBER($AS$387),$B$252=1),$AS$387,HLOOKUP(INDIRECT(ADDRESS(2,COLUMN())),OFFSET($CL$2,0,0,ROW()-1,84),ROW()-1,FALSE))</f>
        <v>59.890265419999999</v>
      </c>
      <c r="AT181" t="str">
        <f ca="1">IF(AND(ISNUMBER($AT$387),$B$252=1),$AT$387,HLOOKUP(INDIRECT(ADDRESS(2,COLUMN())),OFFSET($CL$2,0,0,ROW()-1,84),ROW()-1,FALSE))</f>
        <v/>
      </c>
      <c r="AU181" t="str">
        <f ca="1">IF(AND(ISNUMBER($AU$387),$B$252=1),$AU$387,HLOOKUP(INDIRECT(ADDRESS(2,COLUMN())),OFFSET($CL$2,0,0,ROW()-1,84),ROW()-1,FALSE))</f>
        <v/>
      </c>
      <c r="AV181">
        <f ca="1">IF(AND(ISNUMBER($AV$387),$B$252=1),$AV$387,HLOOKUP(INDIRECT(ADDRESS(2,COLUMN())),OFFSET($CL$2,0,0,ROW()-1,84),ROW()-1,FALSE))</f>
        <v>61.59677619</v>
      </c>
      <c r="AW181" t="str">
        <f ca="1">IF(AND(ISNUMBER($AW$387),$B$252=1),$AW$387,HLOOKUP(INDIRECT(ADDRESS(2,COLUMN())),OFFSET($CL$2,0,0,ROW()-1,84),ROW()-1,FALSE))</f>
        <v/>
      </c>
      <c r="AX181" t="str">
        <f ca="1">IF(AND(ISNUMBER($AX$387),$B$252=1),$AX$387,HLOOKUP(INDIRECT(ADDRESS(2,COLUMN())),OFFSET($CL$2,0,0,ROW()-1,84),ROW()-1,FALSE))</f>
        <v/>
      </c>
      <c r="AY181">
        <f ca="1">IF(AND(ISNUMBER($AY$387),$B$252=1),$AY$387,HLOOKUP(INDIRECT(ADDRESS(2,COLUMN())),OFFSET($CL$2,0,0,ROW()-1,84),ROW()-1,FALSE))</f>
        <v>63.319108139999997</v>
      </c>
      <c r="AZ181" t="str">
        <f ca="1">IF(AND(ISNUMBER($AZ$387),$B$252=1),$AZ$387,HLOOKUP(INDIRECT(ADDRESS(2,COLUMN())),OFFSET($CL$2,0,0,ROW()-1,84),ROW()-1,FALSE))</f>
        <v/>
      </c>
      <c r="BA181" t="str">
        <f ca="1">IF(AND(ISNUMBER($BA$387),$B$252=1),$BA$387,HLOOKUP(INDIRECT(ADDRESS(2,COLUMN())),OFFSET($CL$2,0,0,ROW()-1,84),ROW()-1,FALSE))</f>
        <v/>
      </c>
      <c r="BB181">
        <f ca="1">IF(AND(ISNUMBER($BB$387),$B$252=1),$BB$387,HLOOKUP(INDIRECT(ADDRESS(2,COLUMN())),OFFSET($CL$2,0,0,ROW()-1,84),ROW()-1,FALSE))</f>
        <v>62.839503559999997</v>
      </c>
      <c r="BC181" t="str">
        <f ca="1">IF(AND(ISNUMBER($BC$387),$B$252=1),$BC$387,HLOOKUP(INDIRECT(ADDRESS(2,COLUMN())),OFFSET($CL$2,0,0,ROW()-1,84),ROW()-1,FALSE))</f>
        <v/>
      </c>
      <c r="BD181" t="str">
        <f ca="1">IF(AND(ISNUMBER($BD$387),$B$252=1),$BD$387,HLOOKUP(INDIRECT(ADDRESS(2,COLUMN())),OFFSET($CL$2,0,0,ROW()-1,84),ROW()-1,FALSE))</f>
        <v/>
      </c>
      <c r="BE181">
        <f ca="1">IF(AND(ISNUMBER($BE$387),$B$252=1),$BE$387,HLOOKUP(INDIRECT(ADDRESS(2,COLUMN())),OFFSET($CL$2,0,0,ROW()-1,84),ROW()-1,FALSE))</f>
        <v>58.357265200000001</v>
      </c>
      <c r="BF181" t="str">
        <f ca="1">IF(AND(ISNUMBER($BF$387),$B$252=1),$BF$387,HLOOKUP(INDIRECT(ADDRESS(2,COLUMN())),OFFSET($CL$2,0,0,ROW()-1,84),ROW()-1,FALSE))</f>
        <v/>
      </c>
      <c r="BG181" t="str">
        <f ca="1">IF(AND(ISNUMBER($BG$387),$B$252=1),$BG$387,HLOOKUP(INDIRECT(ADDRESS(2,COLUMN())),OFFSET($CL$2,0,0,ROW()-1,84),ROW()-1,FALSE))</f>
        <v/>
      </c>
      <c r="BH181">
        <f ca="1">IF(AND(ISNUMBER($BH$387),$B$252=1),$BH$387,HLOOKUP(INDIRECT(ADDRESS(2,COLUMN())),OFFSET($CL$2,0,0,ROW()-1,84),ROW()-1,FALSE))</f>
        <v>60.618514949999998</v>
      </c>
      <c r="BI181" t="str">
        <f ca="1">IF(AND(ISNUMBER($BI$387),$B$252=1),$BI$387,HLOOKUP(INDIRECT(ADDRESS(2,COLUMN())),OFFSET($CL$2,0,0,ROW()-1,84),ROW()-1,FALSE))</f>
        <v/>
      </c>
      <c r="BJ181" t="str">
        <f ca="1">IF(AND(ISNUMBER($BJ$387),$B$252=1),$BJ$387,HLOOKUP(INDIRECT(ADDRESS(2,COLUMN())),OFFSET($CL$2,0,0,ROW()-1,84),ROW()-1,FALSE))</f>
        <v/>
      </c>
      <c r="BK181">
        <f ca="1">IF(AND(ISNUMBER($BK$387),$B$252=1),$BK$387,HLOOKUP(INDIRECT(ADDRESS(2,COLUMN())),OFFSET($CL$2,0,0,ROW()-1,84),ROW()-1,FALSE))</f>
        <v>61.699297950000002</v>
      </c>
      <c r="BL181" t="str">
        <f ca="1">IF(AND(ISNUMBER($BL$387),$B$252=1),$BL$387,HLOOKUP(INDIRECT(ADDRESS(2,COLUMN())),OFFSET($CL$2,0,0,ROW()-1,84),ROW()-1,FALSE))</f>
        <v/>
      </c>
      <c r="BM181" t="str">
        <f ca="1">IF(AND(ISNUMBER($BM$387),$B$252=1),$BM$387,HLOOKUP(INDIRECT(ADDRESS(2,COLUMN())),OFFSET($CL$2,0,0,ROW()-1,84),ROW()-1,FALSE))</f>
        <v/>
      </c>
      <c r="BN181">
        <f ca="1">IF(AND(ISNUMBER($BN$387),$B$252=1),$BN$387,HLOOKUP(INDIRECT(ADDRESS(2,COLUMN())),OFFSET($CL$2,0,0,ROW()-1,84),ROW()-1,FALSE))</f>
        <v>65.379793090000007</v>
      </c>
      <c r="BO181" t="str">
        <f ca="1">IF(AND(ISNUMBER($BO$387),$B$252=1),$BO$387,HLOOKUP(INDIRECT(ADDRESS(2,COLUMN())),OFFSET($CL$2,0,0,ROW()-1,84),ROW()-1,FALSE))</f>
        <v/>
      </c>
      <c r="BP181" t="str">
        <f ca="1">IF(AND(ISNUMBER($BP$387),$B$252=1),$BP$387,HLOOKUP(INDIRECT(ADDRESS(2,COLUMN())),OFFSET($CL$2,0,0,ROW()-1,84),ROW()-1,FALSE))</f>
        <v/>
      </c>
      <c r="BQ181">
        <f ca="1">IF(AND(ISNUMBER($BQ$387),$B$252=1),$BQ$387,HLOOKUP(INDIRECT(ADDRESS(2,COLUMN())),OFFSET($CL$2,0,0,ROW()-1,84),ROW()-1,FALSE))</f>
        <v>57.996182849999997</v>
      </c>
      <c r="BR181" t="str">
        <f ca="1">IF(AND(ISNUMBER($BR$387),$B$252=1),$BR$387,HLOOKUP(INDIRECT(ADDRESS(2,COLUMN())),OFFSET($CL$2,0,0,ROW()-1,84),ROW()-1,FALSE))</f>
        <v/>
      </c>
      <c r="BS181" t="str">
        <f ca="1">IF(AND(ISNUMBER($BS$387),$B$252=1),$BS$387,HLOOKUP(INDIRECT(ADDRESS(2,COLUMN())),OFFSET($CL$2,0,0,ROW()-1,84),ROW()-1,FALSE))</f>
        <v/>
      </c>
      <c r="BT181">
        <f ca="1">IF(AND(ISNUMBER($BT$387),$B$252=1),$BT$387,HLOOKUP(INDIRECT(ADDRESS(2,COLUMN())),OFFSET($CL$2,0,0,ROW()-1,84),ROW()-1,FALSE))</f>
        <v>60.365398900000002</v>
      </c>
      <c r="BU181" t="str">
        <f ca="1">IF(AND(ISNUMBER($BU$387),$B$252=1),$BU$387,HLOOKUP(INDIRECT(ADDRESS(2,COLUMN())),OFFSET($CL$2,0,0,ROW()-1,84),ROW()-1,FALSE))</f>
        <v/>
      </c>
      <c r="BV181" t="str">
        <f ca="1">IF(AND(ISNUMBER($BV$387),$B$252=1),$BV$387,HLOOKUP(INDIRECT(ADDRESS(2,COLUMN())),OFFSET($CL$2,0,0,ROW()-1,84),ROW()-1,FALSE))</f>
        <v/>
      </c>
      <c r="BW181">
        <f ca="1">IF(AND(ISNUMBER($BW$387),$B$252=1),$BW$387,HLOOKUP(INDIRECT(ADDRESS(2,COLUMN())),OFFSET($CL$2,0,0,ROW()-1,84),ROW()-1,FALSE))</f>
        <v>62.833274670000002</v>
      </c>
      <c r="BX181" t="str">
        <f ca="1">IF(AND(ISNUMBER($BX$387),$B$252=1),$BX$387,HLOOKUP(INDIRECT(ADDRESS(2,COLUMN())),OFFSET($CL$2,0,0,ROW()-1,84),ROW()-1,FALSE))</f>
        <v/>
      </c>
      <c r="BY181" t="str">
        <f ca="1">IF(AND(ISNUMBER($BY$387),$B$252=1),$BY$387,HLOOKUP(INDIRECT(ADDRESS(2,COLUMN())),OFFSET($CL$2,0,0,ROW()-1,84),ROW()-1,FALSE))</f>
        <v/>
      </c>
      <c r="BZ181">
        <f ca="1">IF(AND(ISNUMBER($BZ$387),$B$252=1),$BZ$387,HLOOKUP(INDIRECT(ADDRESS(2,COLUMN())),OFFSET($CL$2,0,0,ROW()-1,84),ROW()-1,FALSE))</f>
        <v>67.647581970000005</v>
      </c>
      <c r="CA181" t="str">
        <f ca="1">IF(AND(ISNUMBER($CA$387),$B$252=1),$CA$387,HLOOKUP(INDIRECT(ADDRESS(2,COLUMN())),OFFSET($CL$2,0,0,ROW()-1,84),ROW()-1,FALSE))</f>
        <v/>
      </c>
      <c r="CB181" t="str">
        <f ca="1">IF(AND(ISNUMBER($CB$387),$B$252=1),$CB$387,HLOOKUP(INDIRECT(ADDRESS(2,COLUMN())),OFFSET($CL$2,0,0,ROW()-1,84),ROW()-1,FALSE))</f>
        <v/>
      </c>
      <c r="CC181">
        <f ca="1">IF(AND(ISNUMBER($CC$387),$B$252=1),$CC$387,HLOOKUP(INDIRECT(ADDRESS(2,COLUMN())),OFFSET($CL$2,0,0,ROW()-1,84),ROW()-1,FALSE))</f>
        <v>58.443311960000003</v>
      </c>
      <c r="CD181" t="str">
        <f ca="1">IF(AND(ISNUMBER($CD$387),$B$252=1),$CD$387,HLOOKUP(INDIRECT(ADDRESS(2,COLUMN())),OFFSET($CL$2,0,0,ROW()-1,84),ROW()-1,FALSE))</f>
        <v/>
      </c>
      <c r="CE181" t="str">
        <f ca="1">IF(AND(ISNUMBER($CE$387),$B$252=1),$CE$387,HLOOKUP(INDIRECT(ADDRESS(2,COLUMN())),OFFSET($CL$2,0,0,ROW()-1,84),ROW()-1,FALSE))</f>
        <v/>
      </c>
      <c r="CF181">
        <f ca="1">IF(AND(ISNUMBER($CF$387),$B$252=1),$CF$387,HLOOKUP(INDIRECT(ADDRESS(2,COLUMN())),OFFSET($CL$2,0,0,ROW()-1,84),ROW()-1,FALSE))</f>
        <v>63.737412210000002</v>
      </c>
      <c r="CG181" t="str">
        <f ca="1">IF(AND(ISNUMBER($CG$387),$B$252=1),$CG$387,HLOOKUP(INDIRECT(ADDRESS(2,COLUMN())),OFFSET($CL$2,0,0,ROW()-1,84),ROW()-1,FALSE))</f>
        <v/>
      </c>
      <c r="CH181" t="str">
        <f ca="1">IF(AND(ISNUMBER($CH$387),$B$252=1),$CH$387,HLOOKUP(INDIRECT(ADDRESS(2,COLUMN())),OFFSET($CL$2,0,0,ROW()-1,84),ROW()-1,FALSE))</f>
        <v/>
      </c>
      <c r="CI181">
        <f ca="1">IF(AND(ISNUMBER($CI$387),$B$252=1),$CI$387,HLOOKUP(INDIRECT(ADDRESS(2,COLUMN())),OFFSET($CL$2,0,0,ROW()-1,84),ROW()-1,FALSE))</f>
        <v>121.9276795</v>
      </c>
      <c r="CJ181" t="str">
        <f ca="1">IF(AND(ISNUMBER($CJ$387),$B$252=1),$CJ$387,HLOOKUP(INDIRECT(ADDRESS(2,COLUMN())),OFFSET($CL$2,0,0,ROW()-1,84),ROW()-1,FALSE))</f>
        <v/>
      </c>
      <c r="CK181" t="str">
        <f ca="1">IF(AND(ISNUMBER($CK$387),$B$252=1),$CK$387,HLOOKUP(INDIRECT(ADDRESS(2,COLUMN())),OFFSET($CL$2,0,0,ROW()-1,84),ROW()-1,FALSE))</f>
        <v/>
      </c>
      <c r="CL181" t="str">
        <f>""</f>
        <v/>
      </c>
      <c r="CM181" t="str">
        <f>""</f>
        <v/>
      </c>
      <c r="CN181" t="str">
        <f>""</f>
        <v/>
      </c>
      <c r="CO181">
        <f>63.55279698</f>
        <v>63.552796979999997</v>
      </c>
      <c r="CP181" t="str">
        <f>""</f>
        <v/>
      </c>
      <c r="CQ181" t="str">
        <f>""</f>
        <v/>
      </c>
      <c r="CR181">
        <f>67.67640304</f>
        <v>67.676403039999997</v>
      </c>
      <c r="CS181" t="str">
        <f>""</f>
        <v/>
      </c>
      <c r="CT181" t="str">
        <f>""</f>
        <v/>
      </c>
      <c r="CU181">
        <f>65.19206817</f>
        <v>65.192068169999999</v>
      </c>
      <c r="CV181" t="str">
        <f>""</f>
        <v/>
      </c>
      <c r="CW181" t="str">
        <f>""</f>
        <v/>
      </c>
      <c r="CX181">
        <f>68.77758956</f>
        <v>68.777589559999996</v>
      </c>
      <c r="CY181" t="str">
        <f>""</f>
        <v/>
      </c>
      <c r="CZ181" t="str">
        <f>""</f>
        <v/>
      </c>
      <c r="DA181">
        <f>65.32299325</f>
        <v>65.322993249999996</v>
      </c>
      <c r="DB181" t="str">
        <f>""</f>
        <v/>
      </c>
      <c r="DC181" t="str">
        <f>""</f>
        <v/>
      </c>
      <c r="DD181">
        <f>440.8482999</f>
        <v>440.84829989999997</v>
      </c>
      <c r="DE181" t="str">
        <f>""</f>
        <v/>
      </c>
      <c r="DF181" t="str">
        <f>""</f>
        <v/>
      </c>
      <c r="DG181">
        <f>65.17906193</f>
        <v>65.179061930000003</v>
      </c>
      <c r="DH181" t="str">
        <f>""</f>
        <v/>
      </c>
      <c r="DI181" t="str">
        <f>""</f>
        <v/>
      </c>
      <c r="DJ181">
        <f>62.38738534</f>
        <v>62.387385340000002</v>
      </c>
      <c r="DK181" t="str">
        <f>""</f>
        <v/>
      </c>
      <c r="DL181" t="str">
        <f>""</f>
        <v/>
      </c>
      <c r="DM181">
        <f>58.45065795</f>
        <v>58.45065795</v>
      </c>
      <c r="DN181" t="str">
        <f>""</f>
        <v/>
      </c>
      <c r="DO181" t="str">
        <f>""</f>
        <v/>
      </c>
      <c r="DP181">
        <f>61.33402335</f>
        <v>61.334023350000002</v>
      </c>
      <c r="DQ181" t="str">
        <f>""</f>
        <v/>
      </c>
      <c r="DR181" t="str">
        <f>""</f>
        <v/>
      </c>
      <c r="DS181">
        <f>62.65775522</f>
        <v>62.657755219999999</v>
      </c>
      <c r="DT181" t="str">
        <f>""</f>
        <v/>
      </c>
      <c r="DU181" t="str">
        <f>""</f>
        <v/>
      </c>
      <c r="DV181">
        <f>64.84704855</f>
        <v>64.847048549999997</v>
      </c>
      <c r="DW181" t="str">
        <f>""</f>
        <v/>
      </c>
      <c r="DX181" t="str">
        <f>""</f>
        <v/>
      </c>
      <c r="DY181">
        <f>59.89026542</f>
        <v>59.890265419999999</v>
      </c>
      <c r="DZ181" t="str">
        <f>""</f>
        <v/>
      </c>
      <c r="EA181" t="str">
        <f>""</f>
        <v/>
      </c>
      <c r="EB181">
        <f>61.59677619</f>
        <v>61.59677619</v>
      </c>
      <c r="EC181" t="str">
        <f>""</f>
        <v/>
      </c>
      <c r="ED181" t="str">
        <f>""</f>
        <v/>
      </c>
      <c r="EE181">
        <f>63.31910814</f>
        <v>63.319108139999997</v>
      </c>
      <c r="EF181" t="str">
        <f>""</f>
        <v/>
      </c>
      <c r="EG181" t="str">
        <f>""</f>
        <v/>
      </c>
      <c r="EH181">
        <f>62.83950356</f>
        <v>62.839503559999997</v>
      </c>
      <c r="EI181" t="str">
        <f>""</f>
        <v/>
      </c>
      <c r="EJ181" t="str">
        <f>""</f>
        <v/>
      </c>
      <c r="EK181">
        <f>58.3572652</f>
        <v>58.357265200000001</v>
      </c>
      <c r="EL181" t="str">
        <f>""</f>
        <v/>
      </c>
      <c r="EM181" t="str">
        <f>""</f>
        <v/>
      </c>
      <c r="EN181">
        <f>60.61851495</f>
        <v>60.618514949999998</v>
      </c>
      <c r="EO181" t="str">
        <f>""</f>
        <v/>
      </c>
      <c r="EP181" t="str">
        <f>""</f>
        <v/>
      </c>
      <c r="EQ181">
        <f>61.69929795</f>
        <v>61.699297950000002</v>
      </c>
      <c r="ER181" t="str">
        <f>""</f>
        <v/>
      </c>
      <c r="ES181" t="str">
        <f>""</f>
        <v/>
      </c>
      <c r="ET181">
        <f>65.37979309</f>
        <v>65.379793090000007</v>
      </c>
      <c r="EU181" t="str">
        <f>""</f>
        <v/>
      </c>
      <c r="EV181" t="str">
        <f>""</f>
        <v/>
      </c>
      <c r="EW181">
        <f>57.99618285</f>
        <v>57.996182849999997</v>
      </c>
      <c r="EX181" t="str">
        <f>""</f>
        <v/>
      </c>
      <c r="EY181" t="str">
        <f>""</f>
        <v/>
      </c>
      <c r="EZ181">
        <f>60.3653989</f>
        <v>60.365398900000002</v>
      </c>
      <c r="FA181" t="str">
        <f>""</f>
        <v/>
      </c>
      <c r="FB181" t="str">
        <f>""</f>
        <v/>
      </c>
      <c r="FC181">
        <f>62.83327467</f>
        <v>62.833274670000002</v>
      </c>
      <c r="FD181" t="str">
        <f>""</f>
        <v/>
      </c>
      <c r="FE181" t="str">
        <f>""</f>
        <v/>
      </c>
      <c r="FF181">
        <f>67.64758197</f>
        <v>67.647581970000005</v>
      </c>
      <c r="FG181" t="str">
        <f>""</f>
        <v/>
      </c>
      <c r="FH181" t="str">
        <f>""</f>
        <v/>
      </c>
      <c r="FI181">
        <f>58.44331196</f>
        <v>58.443311960000003</v>
      </c>
      <c r="FJ181" t="str">
        <f>""</f>
        <v/>
      </c>
      <c r="FK181" t="str">
        <f>""</f>
        <v/>
      </c>
      <c r="FL181">
        <f>63.73741221</f>
        <v>63.737412210000002</v>
      </c>
      <c r="FM181" t="str">
        <f>""</f>
        <v/>
      </c>
      <c r="FN181" t="str">
        <f>""</f>
        <v/>
      </c>
      <c r="FO181">
        <f>121.9276795</f>
        <v>121.9276795</v>
      </c>
      <c r="FP181" t="str">
        <f>""</f>
        <v/>
      </c>
      <c r="FQ181" t="str">
        <f>""</f>
        <v/>
      </c>
    </row>
    <row r="182" spans="1:173">
      <c r="A182" t="str">
        <f>"    Equity Residential"</f>
        <v xml:space="preserve">    Equity Residential</v>
      </c>
      <c r="B182" t="str">
        <f>"EQR US Equity"</f>
        <v>EQR US Equity</v>
      </c>
      <c r="C182" t="str">
        <f t="shared" si="57"/>
        <v>F0928</v>
      </c>
      <c r="D182" t="str">
        <f t="shared" si="58"/>
        <v>ADJUSTED_FFO_PAYOUT_RATIO</v>
      </c>
      <c r="E182" t="str">
        <f t="shared" si="59"/>
        <v>动态</v>
      </c>
      <c r="F182" t="str">
        <f ca="1">IF(AND(ISNUMBER($F$388),$B$252=1),$F$388,HLOOKUP(INDIRECT(ADDRESS(2,COLUMN())),OFFSET($CL$2,0,0,ROW()-1,84),ROW()-1,FALSE))</f>
        <v/>
      </c>
      <c r="G182" t="str">
        <f ca="1">IF(AND(ISNUMBER($G$388),$B$252=1),$G$388,HLOOKUP(INDIRECT(ADDRESS(2,COLUMN())),OFFSET($CL$2,0,0,ROW()-1,84),ROW()-1,FALSE))</f>
        <v/>
      </c>
      <c r="H182" t="str">
        <f ca="1">IF(AND(ISNUMBER($H$388),$B$252=1),$H$388,HLOOKUP(INDIRECT(ADDRESS(2,COLUMN())),OFFSET($CL$2,0,0,ROW()-1,84),ROW()-1,FALSE))</f>
        <v/>
      </c>
      <c r="I182">
        <f ca="1">IF(AND(ISNUMBER($I$388),$B$252=1),$I$388,HLOOKUP(INDIRECT(ADDRESS(2,COLUMN())),OFFSET($CL$2,0,0,ROW()-1,84),ROW()-1,FALSE))</f>
        <v>60.920790230000001</v>
      </c>
      <c r="J182" t="str">
        <f ca="1">IF(AND(ISNUMBER($J$388),$B$252=1),$J$388,HLOOKUP(INDIRECT(ADDRESS(2,COLUMN())),OFFSET($CL$2,0,0,ROW()-1,84),ROW()-1,FALSE))</f>
        <v/>
      </c>
      <c r="K182" t="str">
        <f ca="1">IF(AND(ISNUMBER($K$388),$B$252=1),$K$388,HLOOKUP(INDIRECT(ADDRESS(2,COLUMN())),OFFSET($CL$2,0,0,ROW()-1,84),ROW()-1,FALSE))</f>
        <v/>
      </c>
      <c r="L182">
        <f ca="1">IF(AND(ISNUMBER($L$388),$B$252=1),$L$388,HLOOKUP(INDIRECT(ADDRESS(2,COLUMN())),OFFSET($CL$2,0,0,ROW()-1,84),ROW()-1,FALSE))</f>
        <v>63.282315109999999</v>
      </c>
      <c r="M182" t="str">
        <f ca="1">IF(AND(ISNUMBER($M$388),$B$252=1),$M$388,HLOOKUP(INDIRECT(ADDRESS(2,COLUMN())),OFFSET($CL$2,0,0,ROW()-1,84),ROW()-1,FALSE))</f>
        <v/>
      </c>
      <c r="N182" t="str">
        <f ca="1">IF(AND(ISNUMBER($N$388),$B$252=1),$N$388,HLOOKUP(INDIRECT(ADDRESS(2,COLUMN())),OFFSET($CL$2,0,0,ROW()-1,84),ROW()-1,FALSE))</f>
        <v/>
      </c>
      <c r="O182">
        <f ca="1">IF(AND(ISNUMBER($O$388),$B$252=1),$O$388,HLOOKUP(INDIRECT(ADDRESS(2,COLUMN())),OFFSET($CL$2,0,0,ROW()-1,84),ROW()-1,FALSE))</f>
        <v>65.596120670000005</v>
      </c>
      <c r="P182" t="str">
        <f ca="1">IF(AND(ISNUMBER($P$388),$B$252=1),$P$388,HLOOKUP(INDIRECT(ADDRESS(2,COLUMN())),OFFSET($CL$2,0,0,ROW()-1,84),ROW()-1,FALSE))</f>
        <v/>
      </c>
      <c r="Q182" t="str">
        <f ca="1">IF(AND(ISNUMBER($Q$388),$B$252=1),$Q$388,HLOOKUP(INDIRECT(ADDRESS(2,COLUMN())),OFFSET($CL$2,0,0,ROW()-1,84),ROW()-1,FALSE))</f>
        <v/>
      </c>
      <c r="R182">
        <f ca="1">IF(AND(ISNUMBER($R$388),$B$252=1),$R$388,HLOOKUP(INDIRECT(ADDRESS(2,COLUMN())),OFFSET($CL$2,0,0,ROW()-1,84),ROW()-1,FALSE))</f>
        <v>67.874267329999995</v>
      </c>
      <c r="S182" t="str">
        <f ca="1">IF(AND(ISNUMBER($S$388),$B$252=1),$S$388,HLOOKUP(INDIRECT(ADDRESS(2,COLUMN())),OFFSET($CL$2,0,0,ROW()-1,84),ROW()-1,FALSE))</f>
        <v/>
      </c>
      <c r="T182" t="str">
        <f ca="1">IF(AND(ISNUMBER($T$388),$B$252=1),$T$388,HLOOKUP(INDIRECT(ADDRESS(2,COLUMN())),OFFSET($CL$2,0,0,ROW()-1,84),ROW()-1,FALSE))</f>
        <v/>
      </c>
      <c r="U182">
        <f ca="1">IF(AND(ISNUMBER($U$388),$B$252=1),$U$388,HLOOKUP(INDIRECT(ADDRESS(2,COLUMN())),OFFSET($CL$2,0,0,ROW()-1,84),ROW()-1,FALSE))</f>
        <v>63.565519459999997</v>
      </c>
      <c r="V182" t="str">
        <f ca="1">IF(AND(ISNUMBER($V$388),$B$252=1),$V$388,HLOOKUP(INDIRECT(ADDRESS(2,COLUMN())),OFFSET($CL$2,0,0,ROW()-1,84),ROW()-1,FALSE))</f>
        <v/>
      </c>
      <c r="W182" t="str">
        <f ca="1">IF(AND(ISNUMBER($W$388),$B$252=1),$W$388,HLOOKUP(INDIRECT(ADDRESS(2,COLUMN())),OFFSET($CL$2,0,0,ROW()-1,84),ROW()-1,FALSE))</f>
        <v/>
      </c>
      <c r="X182">
        <f ca="1">IF(AND(ISNUMBER($X$388),$B$252=1),$X$388,HLOOKUP(INDIRECT(ADDRESS(2,COLUMN())),OFFSET($CL$2,0,0,ROW()-1,84),ROW()-1,FALSE))</f>
        <v>836.79073949999997</v>
      </c>
      <c r="Y182" t="str">
        <f ca="1">IF(AND(ISNUMBER($Y$388),$B$252=1),$Y$388,HLOOKUP(INDIRECT(ADDRESS(2,COLUMN())),OFFSET($CL$2,0,0,ROW()-1,84),ROW()-1,FALSE))</f>
        <v/>
      </c>
      <c r="Z182" t="str">
        <f ca="1">IF(AND(ISNUMBER($Z$388),$B$252=1),$Z$388,HLOOKUP(INDIRECT(ADDRESS(2,COLUMN())),OFFSET($CL$2,0,0,ROW()-1,84),ROW()-1,FALSE))</f>
        <v/>
      </c>
      <c r="AA182">
        <f ca="1">IF(AND(ISNUMBER($AA$388),$B$252=1),$AA$388,HLOOKUP(INDIRECT(ADDRESS(2,COLUMN())),OFFSET($CL$2,0,0,ROW()-1,84),ROW()-1,FALSE))</f>
        <v>66.285268840000001</v>
      </c>
      <c r="AB182" t="str">
        <f ca="1">IF(AND(ISNUMBER($AB$388),$B$252=1),$AB$388,HLOOKUP(INDIRECT(ADDRESS(2,COLUMN())),OFFSET($CL$2,0,0,ROW()-1,84),ROW()-1,FALSE))</f>
        <v/>
      </c>
      <c r="AC182" t="str">
        <f ca="1">IF(AND(ISNUMBER($AC$388),$B$252=1),$AC$388,HLOOKUP(INDIRECT(ADDRESS(2,COLUMN())),OFFSET($CL$2,0,0,ROW()-1,84),ROW()-1,FALSE))</f>
        <v/>
      </c>
      <c r="AD182">
        <f ca="1">IF(AND(ISNUMBER($AD$388),$B$252=1),$AD$388,HLOOKUP(INDIRECT(ADDRESS(2,COLUMN())),OFFSET($CL$2,0,0,ROW()-1,84),ROW()-1,FALSE))</f>
        <v>2179.225203</v>
      </c>
      <c r="AE182" t="str">
        <f ca="1">IF(AND(ISNUMBER($AE$388),$B$252=1),$AE$388,HLOOKUP(INDIRECT(ADDRESS(2,COLUMN())),OFFSET($CL$2,0,0,ROW()-1,84),ROW()-1,FALSE))</f>
        <v/>
      </c>
      <c r="AF182" t="str">
        <f ca="1">IF(AND(ISNUMBER($AF$388),$B$252=1),$AF$388,HLOOKUP(INDIRECT(ADDRESS(2,COLUMN())),OFFSET($CL$2,0,0,ROW()-1,84),ROW()-1,FALSE))</f>
        <v/>
      </c>
      <c r="AG182">
        <f ca="1">IF(AND(ISNUMBER($AG$388),$B$252=1),$AG$388,HLOOKUP(INDIRECT(ADDRESS(2,COLUMN())),OFFSET($CL$2,0,0,ROW()-1,84),ROW()-1,FALSE))</f>
        <v>59.657912549999999</v>
      </c>
      <c r="AH182" t="str">
        <f ca="1">IF(AND(ISNUMBER($AH$388),$B$252=1),$AH$388,HLOOKUP(INDIRECT(ADDRESS(2,COLUMN())),OFFSET($CL$2,0,0,ROW()-1,84),ROW()-1,FALSE))</f>
        <v/>
      </c>
      <c r="AI182" t="str">
        <f ca="1">IF(AND(ISNUMBER($AI$388),$B$252=1),$AI$388,HLOOKUP(INDIRECT(ADDRESS(2,COLUMN())),OFFSET($CL$2,0,0,ROW()-1,84),ROW()-1,FALSE))</f>
        <v/>
      </c>
      <c r="AJ182">
        <f ca="1">IF(AND(ISNUMBER($AJ$388),$B$252=1),$AJ$388,HLOOKUP(INDIRECT(ADDRESS(2,COLUMN())),OFFSET($CL$2,0,0,ROW()-1,84),ROW()-1,FALSE))</f>
        <v>61.755488479999997</v>
      </c>
      <c r="AK182" t="str">
        <f ca="1">IF(AND(ISNUMBER($AK$388),$B$252=1),$AK$388,HLOOKUP(INDIRECT(ADDRESS(2,COLUMN())),OFFSET($CL$2,0,0,ROW()-1,84),ROW()-1,FALSE))</f>
        <v/>
      </c>
      <c r="AL182" t="str">
        <f ca="1">IF(AND(ISNUMBER($AL$388),$B$252=1),$AL$388,HLOOKUP(INDIRECT(ADDRESS(2,COLUMN())),OFFSET($CL$2,0,0,ROW()-1,84),ROW()-1,FALSE))</f>
        <v/>
      </c>
      <c r="AM182">
        <f ca="1">IF(AND(ISNUMBER($AM$388),$B$252=1),$AM$388,HLOOKUP(INDIRECT(ADDRESS(2,COLUMN())),OFFSET($CL$2,0,0,ROW()-1,84),ROW()-1,FALSE))</f>
        <v>64.631565879999997</v>
      </c>
      <c r="AN182" t="str">
        <f ca="1">IF(AND(ISNUMBER($AN$388),$B$252=1),$AN$388,HLOOKUP(INDIRECT(ADDRESS(2,COLUMN())),OFFSET($CL$2,0,0,ROW()-1,84),ROW()-1,FALSE))</f>
        <v/>
      </c>
      <c r="AO182" t="str">
        <f ca="1">IF(AND(ISNUMBER($AO$388),$B$252=1),$AO$388,HLOOKUP(INDIRECT(ADDRESS(2,COLUMN())),OFFSET($CL$2,0,0,ROW()-1,84),ROW()-1,FALSE))</f>
        <v/>
      </c>
      <c r="AP182">
        <f ca="1">IF(AND(ISNUMBER($AP$388),$B$252=1),$AP$388,HLOOKUP(INDIRECT(ADDRESS(2,COLUMN())),OFFSET($CL$2,0,0,ROW()-1,84),ROW()-1,FALSE))</f>
        <v>70.27734513</v>
      </c>
      <c r="AQ182" t="str">
        <f ca="1">IF(AND(ISNUMBER($AQ$388),$B$252=1),$AQ$388,HLOOKUP(INDIRECT(ADDRESS(2,COLUMN())),OFFSET($CL$2,0,0,ROW()-1,84),ROW()-1,FALSE))</f>
        <v/>
      </c>
      <c r="AR182" t="str">
        <f ca="1">IF(AND(ISNUMBER($AR$388),$B$252=1),$AR$388,HLOOKUP(INDIRECT(ADDRESS(2,COLUMN())),OFFSET($CL$2,0,0,ROW()-1,84),ROW()-1,FALSE))</f>
        <v/>
      </c>
      <c r="AS182">
        <f ca="1">IF(AND(ISNUMBER($AS$388),$B$252=1),$AS$388,HLOOKUP(INDIRECT(ADDRESS(2,COLUMN())),OFFSET($CL$2,0,0,ROW()-1,84),ROW()-1,FALSE))</f>
        <v>58.163625590000002</v>
      </c>
      <c r="AT182" t="str">
        <f ca="1">IF(AND(ISNUMBER($AT$388),$B$252=1),$AT$388,HLOOKUP(INDIRECT(ADDRESS(2,COLUMN())),OFFSET($CL$2,0,0,ROW()-1,84),ROW()-1,FALSE))</f>
        <v/>
      </c>
      <c r="AU182" t="str">
        <f ca="1">IF(AND(ISNUMBER($AU$388),$B$252=1),$AU$388,HLOOKUP(INDIRECT(ADDRESS(2,COLUMN())),OFFSET($CL$2,0,0,ROW()-1,84),ROW()-1,FALSE))</f>
        <v/>
      </c>
      <c r="AV182">
        <f ca="1">IF(AND(ISNUMBER($AV$388),$B$252=1),$AV$388,HLOOKUP(INDIRECT(ADDRESS(2,COLUMN())),OFFSET($CL$2,0,0,ROW()-1,84),ROW()-1,FALSE))</f>
        <v>61.118046569999997</v>
      </c>
      <c r="AW182" t="str">
        <f ca="1">IF(AND(ISNUMBER($AW$388),$B$252=1),$AW$388,HLOOKUP(INDIRECT(ADDRESS(2,COLUMN())),OFFSET($CL$2,0,0,ROW()-1,84),ROW()-1,FALSE))</f>
        <v/>
      </c>
      <c r="AX182" t="str">
        <f ca="1">IF(AND(ISNUMBER($AX$388),$B$252=1),$AX$388,HLOOKUP(INDIRECT(ADDRESS(2,COLUMN())),OFFSET($CL$2,0,0,ROW()-1,84),ROW()-1,FALSE))</f>
        <v/>
      </c>
      <c r="AY182">
        <f ca="1">IF(AND(ISNUMBER($AY$388),$B$252=1),$AY$388,HLOOKUP(INDIRECT(ADDRESS(2,COLUMN())),OFFSET($CL$2,0,0,ROW()-1,84),ROW()-1,FALSE))</f>
        <v>63.727339090000001</v>
      </c>
      <c r="AZ182" t="str">
        <f ca="1">IF(AND(ISNUMBER($AZ$388),$B$252=1),$AZ$388,HLOOKUP(INDIRECT(ADDRESS(2,COLUMN())),OFFSET($CL$2,0,0,ROW()-1,84),ROW()-1,FALSE))</f>
        <v/>
      </c>
      <c r="BA182" t="str">
        <f ca="1">IF(AND(ISNUMBER($BA$388),$B$252=1),$BA$388,HLOOKUP(INDIRECT(ADDRESS(2,COLUMN())),OFFSET($CL$2,0,0,ROW()-1,84),ROW()-1,FALSE))</f>
        <v/>
      </c>
      <c r="BB182">
        <f ca="1">IF(AND(ISNUMBER($BB$388),$B$252=1),$BB$388,HLOOKUP(INDIRECT(ADDRESS(2,COLUMN())),OFFSET($CL$2,0,0,ROW()-1,84),ROW()-1,FALSE))</f>
        <v>70.840752100000003</v>
      </c>
      <c r="BC182" t="str">
        <f ca="1">IF(AND(ISNUMBER($BC$388),$B$252=1),$BC$388,HLOOKUP(INDIRECT(ADDRESS(2,COLUMN())),OFFSET($CL$2,0,0,ROW()-1,84),ROW()-1,FALSE))</f>
        <v/>
      </c>
      <c r="BD182" t="str">
        <f ca="1">IF(AND(ISNUMBER($BD$388),$B$252=1),$BD$388,HLOOKUP(INDIRECT(ADDRESS(2,COLUMN())),OFFSET($CL$2,0,0,ROW()-1,84),ROW()-1,FALSE))</f>
        <v/>
      </c>
      <c r="BE182">
        <f ca="1">IF(AND(ISNUMBER($BE$388),$B$252=1),$BE$388,HLOOKUP(INDIRECT(ADDRESS(2,COLUMN())),OFFSET($CL$2,0,0,ROW()-1,84),ROW()-1,FALSE))</f>
        <v>84.557052279999994</v>
      </c>
      <c r="BF182" t="str">
        <f ca="1">IF(AND(ISNUMBER($BF$388),$B$252=1),$BF$388,HLOOKUP(INDIRECT(ADDRESS(2,COLUMN())),OFFSET($CL$2,0,0,ROW()-1,84),ROW()-1,FALSE))</f>
        <v/>
      </c>
      <c r="BG182" t="str">
        <f ca="1">IF(AND(ISNUMBER($BG$388),$B$252=1),$BG$388,HLOOKUP(INDIRECT(ADDRESS(2,COLUMN())),OFFSET($CL$2,0,0,ROW()-1,84),ROW()-1,FALSE))</f>
        <v/>
      </c>
      <c r="BH182">
        <f ca="1">IF(AND(ISNUMBER($BH$388),$B$252=1),$BH$388,HLOOKUP(INDIRECT(ADDRESS(2,COLUMN())),OFFSET($CL$2,0,0,ROW()-1,84),ROW()-1,FALSE))</f>
        <v>54.732006349999999</v>
      </c>
      <c r="BI182" t="str">
        <f ca="1">IF(AND(ISNUMBER($BI$388),$B$252=1),$BI$388,HLOOKUP(INDIRECT(ADDRESS(2,COLUMN())),OFFSET($CL$2,0,0,ROW()-1,84),ROW()-1,FALSE))</f>
        <v/>
      </c>
      <c r="BJ182" t="str">
        <f ca="1">IF(AND(ISNUMBER($BJ$388),$B$252=1),$BJ$388,HLOOKUP(INDIRECT(ADDRESS(2,COLUMN())),OFFSET($CL$2,0,0,ROW()-1,84),ROW()-1,FALSE))</f>
        <v/>
      </c>
      <c r="BK182">
        <f ca="1">IF(AND(ISNUMBER($BK$388),$B$252=1),$BK$388,HLOOKUP(INDIRECT(ADDRESS(2,COLUMN())),OFFSET($CL$2,0,0,ROW()-1,84),ROW()-1,FALSE))</f>
        <v>56.259634519999999</v>
      </c>
      <c r="BL182" t="str">
        <f ca="1">IF(AND(ISNUMBER($BL$388),$B$252=1),$BL$388,HLOOKUP(INDIRECT(ADDRESS(2,COLUMN())),OFFSET($CL$2,0,0,ROW()-1,84),ROW()-1,FALSE))</f>
        <v/>
      </c>
      <c r="BM182" t="str">
        <f ca="1">IF(AND(ISNUMBER($BM$388),$B$252=1),$BM$388,HLOOKUP(INDIRECT(ADDRESS(2,COLUMN())),OFFSET($CL$2,0,0,ROW()-1,84),ROW()-1,FALSE))</f>
        <v/>
      </c>
      <c r="BN182">
        <f ca="1">IF(AND(ISNUMBER($BN$388),$B$252=1),$BN$388,HLOOKUP(INDIRECT(ADDRESS(2,COLUMN())),OFFSET($CL$2,0,0,ROW()-1,84),ROW()-1,FALSE))</f>
        <v>62.547210270000001</v>
      </c>
      <c r="BO182" t="str">
        <f ca="1">IF(AND(ISNUMBER($BO$388),$B$252=1),$BO$388,HLOOKUP(INDIRECT(ADDRESS(2,COLUMN())),OFFSET($CL$2,0,0,ROW()-1,84),ROW()-1,FALSE))</f>
        <v/>
      </c>
      <c r="BP182" t="str">
        <f ca="1">IF(AND(ISNUMBER($BP$388),$B$252=1),$BP$388,HLOOKUP(INDIRECT(ADDRESS(2,COLUMN())),OFFSET($CL$2,0,0,ROW()-1,84),ROW()-1,FALSE))</f>
        <v/>
      </c>
      <c r="BQ182">
        <f ca="1">IF(AND(ISNUMBER($BQ$388),$B$252=1),$BQ$388,HLOOKUP(INDIRECT(ADDRESS(2,COLUMN())),OFFSET($CL$2,0,0,ROW()-1,84),ROW()-1,FALSE))</f>
        <v>102.9366936</v>
      </c>
      <c r="BR182" t="str">
        <f ca="1">IF(AND(ISNUMBER($BR$388),$B$252=1),$BR$388,HLOOKUP(INDIRECT(ADDRESS(2,COLUMN())),OFFSET($CL$2,0,0,ROW()-1,84),ROW()-1,FALSE))</f>
        <v/>
      </c>
      <c r="BS182" t="str">
        <f ca="1">IF(AND(ISNUMBER($BS$388),$B$252=1),$BS$388,HLOOKUP(INDIRECT(ADDRESS(2,COLUMN())),OFFSET($CL$2,0,0,ROW()-1,84),ROW()-1,FALSE))</f>
        <v/>
      </c>
      <c r="BT182">
        <f ca="1">IF(AND(ISNUMBER($BT$388),$B$252=1),$BT$388,HLOOKUP(INDIRECT(ADDRESS(2,COLUMN())),OFFSET($CL$2,0,0,ROW()-1,84),ROW()-1,FALSE))</f>
        <v>46.269718820000001</v>
      </c>
      <c r="BU182" t="str">
        <f ca="1">IF(AND(ISNUMBER($BU$388),$B$252=1),$BU$388,HLOOKUP(INDIRECT(ADDRESS(2,COLUMN())),OFFSET($CL$2,0,0,ROW()-1,84),ROW()-1,FALSE))</f>
        <v/>
      </c>
      <c r="BV182" t="str">
        <f ca="1">IF(AND(ISNUMBER($BV$388),$B$252=1),$BV$388,HLOOKUP(INDIRECT(ADDRESS(2,COLUMN())),OFFSET($CL$2,0,0,ROW()-1,84),ROW()-1,FALSE))</f>
        <v/>
      </c>
      <c r="BW182">
        <f ca="1">IF(AND(ISNUMBER($BW$388),$B$252=1),$BW$388,HLOOKUP(INDIRECT(ADDRESS(2,COLUMN())),OFFSET($CL$2,0,0,ROW()-1,84),ROW()-1,FALSE))</f>
        <v>49.862421159999997</v>
      </c>
      <c r="BX182" t="str">
        <f ca="1">IF(AND(ISNUMBER($BX$388),$B$252=1),$BX$388,HLOOKUP(INDIRECT(ADDRESS(2,COLUMN())),OFFSET($CL$2,0,0,ROW()-1,84),ROW()-1,FALSE))</f>
        <v/>
      </c>
      <c r="BY182" t="str">
        <f ca="1">IF(AND(ISNUMBER($BY$388),$B$252=1),$BY$388,HLOOKUP(INDIRECT(ADDRESS(2,COLUMN())),OFFSET($CL$2,0,0,ROW()-1,84),ROW()-1,FALSE))</f>
        <v/>
      </c>
      <c r="BZ182">
        <f ca="1">IF(AND(ISNUMBER($BZ$388),$B$252=1),$BZ$388,HLOOKUP(INDIRECT(ADDRESS(2,COLUMN())),OFFSET($CL$2,0,0,ROW()-1,84),ROW()-1,FALSE))</f>
        <v>55.453980389999998</v>
      </c>
      <c r="CA182" t="str">
        <f ca="1">IF(AND(ISNUMBER($CA$388),$B$252=1),$CA$388,HLOOKUP(INDIRECT(ADDRESS(2,COLUMN())),OFFSET($CL$2,0,0,ROW()-1,84),ROW()-1,FALSE))</f>
        <v/>
      </c>
      <c r="CB182" t="str">
        <f ca="1">IF(AND(ISNUMBER($CB$388),$B$252=1),$CB$388,HLOOKUP(INDIRECT(ADDRESS(2,COLUMN())),OFFSET($CL$2,0,0,ROW()-1,84),ROW()-1,FALSE))</f>
        <v/>
      </c>
      <c r="CC182">
        <f ca="1">IF(AND(ISNUMBER($CC$388),$B$252=1),$CC$388,HLOOKUP(INDIRECT(ADDRESS(2,COLUMN())),OFFSET($CL$2,0,0,ROW()-1,84),ROW()-1,FALSE))</f>
        <v>86.728782640000006</v>
      </c>
      <c r="CD182" t="str">
        <f ca="1">IF(AND(ISNUMBER($CD$388),$B$252=1),$CD$388,HLOOKUP(INDIRECT(ADDRESS(2,COLUMN())),OFFSET($CL$2,0,0,ROW()-1,84),ROW()-1,FALSE))</f>
        <v/>
      </c>
      <c r="CE182" t="str">
        <f ca="1">IF(AND(ISNUMBER($CE$388),$B$252=1),$CE$388,HLOOKUP(INDIRECT(ADDRESS(2,COLUMN())),OFFSET($CL$2,0,0,ROW()-1,84),ROW()-1,FALSE))</f>
        <v/>
      </c>
      <c r="CF182">
        <f ca="1">IF(AND(ISNUMBER($CF$388),$B$252=1),$CF$388,HLOOKUP(INDIRECT(ADDRESS(2,COLUMN())),OFFSET($CL$2,0,0,ROW()-1,84),ROW()-1,FALSE))</f>
        <v>54.676296809999997</v>
      </c>
      <c r="CG182" t="str">
        <f ca="1">IF(AND(ISNUMBER($CG$388),$B$252=1),$CG$388,HLOOKUP(INDIRECT(ADDRESS(2,COLUMN())),OFFSET($CL$2,0,0,ROW()-1,84),ROW()-1,FALSE))</f>
        <v/>
      </c>
      <c r="CH182" t="str">
        <f ca="1">IF(AND(ISNUMBER($CH$388),$B$252=1),$CH$388,HLOOKUP(INDIRECT(ADDRESS(2,COLUMN())),OFFSET($CL$2,0,0,ROW()-1,84),ROW()-1,FALSE))</f>
        <v/>
      </c>
      <c r="CI182">
        <f ca="1">IF(AND(ISNUMBER($CI$388),$B$252=1),$CI$388,HLOOKUP(INDIRECT(ADDRESS(2,COLUMN())),OFFSET($CL$2,0,0,ROW()-1,84),ROW()-1,FALSE))</f>
        <v>56.43147785</v>
      </c>
      <c r="CJ182" t="str">
        <f ca="1">IF(AND(ISNUMBER($CJ$388),$B$252=1),$CJ$388,HLOOKUP(INDIRECT(ADDRESS(2,COLUMN())),OFFSET($CL$2,0,0,ROW()-1,84),ROW()-1,FALSE))</f>
        <v/>
      </c>
      <c r="CK182" t="str">
        <f ca="1">IF(AND(ISNUMBER($CK$388),$B$252=1),$CK$388,HLOOKUP(INDIRECT(ADDRESS(2,COLUMN())),OFFSET($CL$2,0,0,ROW()-1,84),ROW()-1,FALSE))</f>
        <v/>
      </c>
      <c r="CL182" t="str">
        <f>""</f>
        <v/>
      </c>
      <c r="CM182" t="str">
        <f>""</f>
        <v/>
      </c>
      <c r="CN182" t="str">
        <f>""</f>
        <v/>
      </c>
      <c r="CO182">
        <f>60.92079023</f>
        <v>60.920790230000001</v>
      </c>
      <c r="CP182" t="str">
        <f>""</f>
        <v/>
      </c>
      <c r="CQ182" t="str">
        <f>""</f>
        <v/>
      </c>
      <c r="CR182">
        <f>63.28231511</f>
        <v>63.282315109999999</v>
      </c>
      <c r="CS182" t="str">
        <f>""</f>
        <v/>
      </c>
      <c r="CT182" t="str">
        <f>""</f>
        <v/>
      </c>
      <c r="CU182">
        <f>65.59612067</f>
        <v>65.596120670000005</v>
      </c>
      <c r="CV182" t="str">
        <f>""</f>
        <v/>
      </c>
      <c r="CW182" t="str">
        <f>""</f>
        <v/>
      </c>
      <c r="CX182">
        <f>67.87426733</f>
        <v>67.874267329999995</v>
      </c>
      <c r="CY182" t="str">
        <f>""</f>
        <v/>
      </c>
      <c r="CZ182" t="str">
        <f>""</f>
        <v/>
      </c>
      <c r="DA182">
        <f>63.56551946</f>
        <v>63.565519459999997</v>
      </c>
      <c r="DB182" t="str">
        <f>""</f>
        <v/>
      </c>
      <c r="DC182" t="str">
        <f>""</f>
        <v/>
      </c>
      <c r="DD182">
        <f>836.7907395</f>
        <v>836.79073949999997</v>
      </c>
      <c r="DE182" t="str">
        <f>""</f>
        <v/>
      </c>
      <c r="DF182" t="str">
        <f>""</f>
        <v/>
      </c>
      <c r="DG182">
        <f>66.28526884</f>
        <v>66.285268840000001</v>
      </c>
      <c r="DH182" t="str">
        <f>""</f>
        <v/>
      </c>
      <c r="DI182" t="str">
        <f>""</f>
        <v/>
      </c>
      <c r="DJ182">
        <f>2179.225203</f>
        <v>2179.225203</v>
      </c>
      <c r="DK182" t="str">
        <f>""</f>
        <v/>
      </c>
      <c r="DL182" t="str">
        <f>""</f>
        <v/>
      </c>
      <c r="DM182">
        <f>59.65791255</f>
        <v>59.657912549999999</v>
      </c>
      <c r="DN182" t="str">
        <f>""</f>
        <v/>
      </c>
      <c r="DO182" t="str">
        <f>""</f>
        <v/>
      </c>
      <c r="DP182">
        <f>61.75548848</f>
        <v>61.755488479999997</v>
      </c>
      <c r="DQ182" t="str">
        <f>""</f>
        <v/>
      </c>
      <c r="DR182" t="str">
        <f>""</f>
        <v/>
      </c>
      <c r="DS182">
        <f>64.63156588</f>
        <v>64.631565879999997</v>
      </c>
      <c r="DT182" t="str">
        <f>""</f>
        <v/>
      </c>
      <c r="DU182" t="str">
        <f>""</f>
        <v/>
      </c>
      <c r="DV182">
        <f>70.27734513</f>
        <v>70.27734513</v>
      </c>
      <c r="DW182" t="str">
        <f>""</f>
        <v/>
      </c>
      <c r="DX182" t="str">
        <f>""</f>
        <v/>
      </c>
      <c r="DY182">
        <f>58.16362559</f>
        <v>58.163625590000002</v>
      </c>
      <c r="DZ182" t="str">
        <f>""</f>
        <v/>
      </c>
      <c r="EA182" t="str">
        <f>""</f>
        <v/>
      </c>
      <c r="EB182">
        <f>61.11804657</f>
        <v>61.118046569999997</v>
      </c>
      <c r="EC182" t="str">
        <f>""</f>
        <v/>
      </c>
      <c r="ED182" t="str">
        <f>""</f>
        <v/>
      </c>
      <c r="EE182">
        <f>63.72733909</f>
        <v>63.727339090000001</v>
      </c>
      <c r="EF182" t="str">
        <f>""</f>
        <v/>
      </c>
      <c r="EG182" t="str">
        <f>""</f>
        <v/>
      </c>
      <c r="EH182">
        <f>70.8407521</f>
        <v>70.840752100000003</v>
      </c>
      <c r="EI182" t="str">
        <f>""</f>
        <v/>
      </c>
      <c r="EJ182" t="str">
        <f>""</f>
        <v/>
      </c>
      <c r="EK182">
        <f>84.55705228</f>
        <v>84.557052279999994</v>
      </c>
      <c r="EL182" t="str">
        <f>""</f>
        <v/>
      </c>
      <c r="EM182" t="str">
        <f>""</f>
        <v/>
      </c>
      <c r="EN182">
        <f>54.73200635</f>
        <v>54.732006349999999</v>
      </c>
      <c r="EO182" t="str">
        <f>""</f>
        <v/>
      </c>
      <c r="EP182" t="str">
        <f>""</f>
        <v/>
      </c>
      <c r="EQ182">
        <f>56.25963452</f>
        <v>56.259634519999999</v>
      </c>
      <c r="ER182" t="str">
        <f>""</f>
        <v/>
      </c>
      <c r="ES182" t="str">
        <f>""</f>
        <v/>
      </c>
      <c r="ET182">
        <f>62.54721027</f>
        <v>62.547210270000001</v>
      </c>
      <c r="EU182" t="str">
        <f>""</f>
        <v/>
      </c>
      <c r="EV182" t="str">
        <f>""</f>
        <v/>
      </c>
      <c r="EW182">
        <f>102.9366936</f>
        <v>102.9366936</v>
      </c>
      <c r="EX182" t="str">
        <f>""</f>
        <v/>
      </c>
      <c r="EY182" t="str">
        <f>""</f>
        <v/>
      </c>
      <c r="EZ182">
        <f>46.26971882</f>
        <v>46.269718820000001</v>
      </c>
      <c r="FA182" t="str">
        <f>""</f>
        <v/>
      </c>
      <c r="FB182" t="str">
        <f>""</f>
        <v/>
      </c>
      <c r="FC182">
        <f>49.86242116</f>
        <v>49.862421159999997</v>
      </c>
      <c r="FD182" t="str">
        <f>""</f>
        <v/>
      </c>
      <c r="FE182" t="str">
        <f>""</f>
        <v/>
      </c>
      <c r="FF182">
        <f>55.45398039</f>
        <v>55.453980389999998</v>
      </c>
      <c r="FG182" t="str">
        <f>""</f>
        <v/>
      </c>
      <c r="FH182" t="str">
        <f>""</f>
        <v/>
      </c>
      <c r="FI182">
        <f>86.72878264</f>
        <v>86.728782640000006</v>
      </c>
      <c r="FJ182" t="str">
        <f>""</f>
        <v/>
      </c>
      <c r="FK182" t="str">
        <f>""</f>
        <v/>
      </c>
      <c r="FL182">
        <f>54.67629681</f>
        <v>54.676296809999997</v>
      </c>
      <c r="FM182" t="str">
        <f>""</f>
        <v/>
      </c>
      <c r="FN182" t="str">
        <f>""</f>
        <v/>
      </c>
      <c r="FO182">
        <f>56.43147785</f>
        <v>56.43147785</v>
      </c>
      <c r="FP182" t="str">
        <f>""</f>
        <v/>
      </c>
      <c r="FQ182" t="str">
        <f>""</f>
        <v/>
      </c>
    </row>
    <row r="183" spans="1:173">
      <c r="A183" t="str">
        <f>"    Essex Property Trust Inc"</f>
        <v xml:space="preserve">    Essex Property Trust Inc</v>
      </c>
      <c r="B183" t="str">
        <f>"ESS US Equity"</f>
        <v>ESS US Equity</v>
      </c>
      <c r="C183" t="str">
        <f t="shared" si="57"/>
        <v>F0928</v>
      </c>
      <c r="D183" t="str">
        <f t="shared" si="58"/>
        <v>ADJUSTED_FFO_PAYOUT_RATIO</v>
      </c>
      <c r="E183" t="str">
        <f t="shared" si="59"/>
        <v>动态</v>
      </c>
      <c r="F183" t="str">
        <f ca="1">IF(AND(ISNUMBER($F$389),$B$252=1),$F$389,HLOOKUP(INDIRECT(ADDRESS(2,COLUMN())),OFFSET($CL$2,0,0,ROW()-1,84),ROW()-1,FALSE))</f>
        <v/>
      </c>
      <c r="G183" t="str">
        <f ca="1">IF(AND(ISNUMBER($G$389),$B$252=1),$G$389,HLOOKUP(INDIRECT(ADDRESS(2,COLUMN())),OFFSET($CL$2,0,0,ROW()-1,84),ROW()-1,FALSE))</f>
        <v/>
      </c>
      <c r="H183" t="str">
        <f ca="1">IF(AND(ISNUMBER($H$389),$B$252=1),$H$389,HLOOKUP(INDIRECT(ADDRESS(2,COLUMN())),OFFSET($CL$2,0,0,ROW()-1,84),ROW()-1,FALSE))</f>
        <v/>
      </c>
      <c r="I183">
        <f ca="1">IF(AND(ISNUMBER($I$389),$B$252=1),$I$389,HLOOKUP(INDIRECT(ADDRESS(2,COLUMN())),OFFSET($CL$2,0,0,ROW()-1,84),ROW()-1,FALSE))</f>
        <v>58.119710329999997</v>
      </c>
      <c r="J183" t="str">
        <f ca="1">IF(AND(ISNUMBER($J$389),$B$252=1),$J$389,HLOOKUP(INDIRECT(ADDRESS(2,COLUMN())),OFFSET($CL$2,0,0,ROW()-1,84),ROW()-1,FALSE))</f>
        <v/>
      </c>
      <c r="K183" t="str">
        <f ca="1">IF(AND(ISNUMBER($K$389),$B$252=1),$K$389,HLOOKUP(INDIRECT(ADDRESS(2,COLUMN())),OFFSET($CL$2,0,0,ROW()-1,84),ROW()-1,FALSE))</f>
        <v/>
      </c>
      <c r="L183">
        <f ca="1">IF(AND(ISNUMBER($L$389),$B$252=1),$L$389,HLOOKUP(INDIRECT(ADDRESS(2,COLUMN())),OFFSET($CL$2,0,0,ROW()-1,84),ROW()-1,FALSE))</f>
        <v>58.632927530000003</v>
      </c>
      <c r="M183" t="str">
        <f ca="1">IF(AND(ISNUMBER($M$389),$B$252=1),$M$389,HLOOKUP(INDIRECT(ADDRESS(2,COLUMN())),OFFSET($CL$2,0,0,ROW()-1,84),ROW()-1,FALSE))</f>
        <v/>
      </c>
      <c r="N183" t="str">
        <f ca="1">IF(AND(ISNUMBER($N$389),$B$252=1),$N$389,HLOOKUP(INDIRECT(ADDRESS(2,COLUMN())),OFFSET($CL$2,0,0,ROW()-1,84),ROW()-1,FALSE))</f>
        <v/>
      </c>
      <c r="O183">
        <f ca="1">IF(AND(ISNUMBER($O$389),$B$252=1),$O$389,HLOOKUP(INDIRECT(ADDRESS(2,COLUMN())),OFFSET($CL$2,0,0,ROW()-1,84),ROW()-1,FALSE))</f>
        <v>58.873793200000001</v>
      </c>
      <c r="P183" t="str">
        <f ca="1">IF(AND(ISNUMBER($P$389),$B$252=1),$P$389,HLOOKUP(INDIRECT(ADDRESS(2,COLUMN())),OFFSET($CL$2,0,0,ROW()-1,84),ROW()-1,FALSE))</f>
        <v/>
      </c>
      <c r="Q183" t="str">
        <f ca="1">IF(AND(ISNUMBER($Q$389),$B$252=1),$Q$389,HLOOKUP(INDIRECT(ADDRESS(2,COLUMN())),OFFSET($CL$2,0,0,ROW()-1,84),ROW()-1,FALSE))</f>
        <v/>
      </c>
      <c r="R183">
        <f ca="1">IF(AND(ISNUMBER($R$389),$B$252=1),$R$389,HLOOKUP(INDIRECT(ADDRESS(2,COLUMN())),OFFSET($CL$2,0,0,ROW()-1,84),ROW()-1,FALSE))</f>
        <v>59.564810270000002</v>
      </c>
      <c r="S183" t="str">
        <f ca="1">IF(AND(ISNUMBER($S$389),$B$252=1),$S$389,HLOOKUP(INDIRECT(ADDRESS(2,COLUMN())),OFFSET($CL$2,0,0,ROW()-1,84),ROW()-1,FALSE))</f>
        <v/>
      </c>
      <c r="T183" t="str">
        <f ca="1">IF(AND(ISNUMBER($T$389),$B$252=1),$T$389,HLOOKUP(INDIRECT(ADDRESS(2,COLUMN())),OFFSET($CL$2,0,0,ROW()-1,84),ROW()-1,FALSE))</f>
        <v/>
      </c>
      <c r="U183">
        <f ca="1">IF(AND(ISNUMBER($U$389),$B$252=1),$U$389,HLOOKUP(INDIRECT(ADDRESS(2,COLUMN())),OFFSET($CL$2,0,0,ROW()-1,84),ROW()-1,FALSE))</f>
        <v>56.948478710000003</v>
      </c>
      <c r="V183" t="str">
        <f ca="1">IF(AND(ISNUMBER($V$389),$B$252=1),$V$389,HLOOKUP(INDIRECT(ADDRESS(2,COLUMN())),OFFSET($CL$2,0,0,ROW()-1,84),ROW()-1,FALSE))</f>
        <v/>
      </c>
      <c r="W183" t="str">
        <f ca="1">IF(AND(ISNUMBER($W$389),$B$252=1),$W$389,HLOOKUP(INDIRECT(ADDRESS(2,COLUMN())),OFFSET($CL$2,0,0,ROW()-1,84),ROW()-1,FALSE))</f>
        <v/>
      </c>
      <c r="X183">
        <f ca="1">IF(AND(ISNUMBER($X$389),$B$252=1),$X$389,HLOOKUP(INDIRECT(ADDRESS(2,COLUMN())),OFFSET($CL$2,0,0,ROW()-1,84),ROW()-1,FALSE))</f>
        <v>57.031180159999998</v>
      </c>
      <c r="Y183" t="str">
        <f ca="1">IF(AND(ISNUMBER($Y$389),$B$252=1),$Y$389,HLOOKUP(INDIRECT(ADDRESS(2,COLUMN())),OFFSET($CL$2,0,0,ROW()-1,84),ROW()-1,FALSE))</f>
        <v/>
      </c>
      <c r="Z183" t="str">
        <f ca="1">IF(AND(ISNUMBER($Z$389),$B$252=1),$Z$389,HLOOKUP(INDIRECT(ADDRESS(2,COLUMN())),OFFSET($CL$2,0,0,ROW()-1,84),ROW()-1,FALSE))</f>
        <v/>
      </c>
      <c r="AA183">
        <f ca="1">IF(AND(ISNUMBER($AA$389),$B$252=1),$AA$389,HLOOKUP(INDIRECT(ADDRESS(2,COLUMN())),OFFSET($CL$2,0,0,ROW()-1,84),ROW()-1,FALSE))</f>
        <v>58.347583010000001</v>
      </c>
      <c r="AB183" t="str">
        <f ca="1">IF(AND(ISNUMBER($AB$389),$B$252=1),$AB$389,HLOOKUP(INDIRECT(ADDRESS(2,COLUMN())),OFFSET($CL$2,0,0,ROW()-1,84),ROW()-1,FALSE))</f>
        <v/>
      </c>
      <c r="AC183" t="str">
        <f ca="1">IF(AND(ISNUMBER($AC$389),$B$252=1),$AC$389,HLOOKUP(INDIRECT(ADDRESS(2,COLUMN())),OFFSET($CL$2,0,0,ROW()-1,84),ROW()-1,FALSE))</f>
        <v/>
      </c>
      <c r="AD183">
        <f ca="1">IF(AND(ISNUMBER($AD$389),$B$252=1),$AD$389,HLOOKUP(INDIRECT(ADDRESS(2,COLUMN())),OFFSET($CL$2,0,0,ROW()-1,84),ROW()-1,FALSE))</f>
        <v>59.75628167</v>
      </c>
      <c r="AE183" t="str">
        <f ca="1">IF(AND(ISNUMBER($AE$389),$B$252=1),$AE$389,HLOOKUP(INDIRECT(ADDRESS(2,COLUMN())),OFFSET($CL$2,0,0,ROW()-1,84),ROW()-1,FALSE))</f>
        <v/>
      </c>
      <c r="AF183" t="str">
        <f ca="1">IF(AND(ISNUMBER($AF$389),$B$252=1),$AF$389,HLOOKUP(INDIRECT(ADDRESS(2,COLUMN())),OFFSET($CL$2,0,0,ROW()-1,84),ROW()-1,FALSE))</f>
        <v/>
      </c>
      <c r="AG183">
        <f ca="1">IF(AND(ISNUMBER($AG$389),$B$252=1),$AG$389,HLOOKUP(INDIRECT(ADDRESS(2,COLUMN())),OFFSET($CL$2,0,0,ROW()-1,84),ROW()-1,FALSE))</f>
        <v>54.747973279999997</v>
      </c>
      <c r="AH183" t="str">
        <f ca="1">IF(AND(ISNUMBER($AH$389),$B$252=1),$AH$389,HLOOKUP(INDIRECT(ADDRESS(2,COLUMN())),OFFSET($CL$2,0,0,ROW()-1,84),ROW()-1,FALSE))</f>
        <v/>
      </c>
      <c r="AI183" t="str">
        <f ca="1">IF(AND(ISNUMBER($AI$389),$B$252=1),$AI$389,HLOOKUP(INDIRECT(ADDRESS(2,COLUMN())),OFFSET($CL$2,0,0,ROW()-1,84),ROW()-1,FALSE))</f>
        <v/>
      </c>
      <c r="AJ183">
        <f ca="1">IF(AND(ISNUMBER($AJ$389),$B$252=1),$AJ$389,HLOOKUP(INDIRECT(ADDRESS(2,COLUMN())),OFFSET($CL$2,0,0,ROW()-1,84),ROW()-1,FALSE))</f>
        <v>57.738229230000002</v>
      </c>
      <c r="AK183" t="str">
        <f ca="1">IF(AND(ISNUMBER($AK$389),$B$252=1),$AK$389,HLOOKUP(INDIRECT(ADDRESS(2,COLUMN())),OFFSET($CL$2,0,0,ROW()-1,84),ROW()-1,FALSE))</f>
        <v/>
      </c>
      <c r="AL183" t="str">
        <f ca="1">IF(AND(ISNUMBER($AL$389),$B$252=1),$AL$389,HLOOKUP(INDIRECT(ADDRESS(2,COLUMN())),OFFSET($CL$2,0,0,ROW()-1,84),ROW()-1,FALSE))</f>
        <v/>
      </c>
      <c r="AM183">
        <f ca="1">IF(AND(ISNUMBER($AM$389),$B$252=1),$AM$389,HLOOKUP(INDIRECT(ADDRESS(2,COLUMN())),OFFSET($CL$2,0,0,ROW()-1,84),ROW()-1,FALSE))</f>
        <v>59.98545266</v>
      </c>
      <c r="AN183" t="str">
        <f ca="1">IF(AND(ISNUMBER($AN$389),$B$252=1),$AN$389,HLOOKUP(INDIRECT(ADDRESS(2,COLUMN())),OFFSET($CL$2,0,0,ROW()-1,84),ROW()-1,FALSE))</f>
        <v/>
      </c>
      <c r="AO183" t="str">
        <f ca="1">IF(AND(ISNUMBER($AO$389),$B$252=1),$AO$389,HLOOKUP(INDIRECT(ADDRESS(2,COLUMN())),OFFSET($CL$2,0,0,ROW()-1,84),ROW()-1,FALSE))</f>
        <v/>
      </c>
      <c r="AP183">
        <f ca="1">IF(AND(ISNUMBER($AP$389),$B$252=1),$AP$389,HLOOKUP(INDIRECT(ADDRESS(2,COLUMN())),OFFSET($CL$2,0,0,ROW()-1,84),ROW()-1,FALSE))</f>
        <v>62.87814281</v>
      </c>
      <c r="AQ183" t="str">
        <f ca="1">IF(AND(ISNUMBER($AQ$389),$B$252=1),$AQ$389,HLOOKUP(INDIRECT(ADDRESS(2,COLUMN())),OFFSET($CL$2,0,0,ROW()-1,84),ROW()-1,FALSE))</f>
        <v/>
      </c>
      <c r="AR183" t="str">
        <f ca="1">IF(AND(ISNUMBER($AR$389),$B$252=1),$AR$389,HLOOKUP(INDIRECT(ADDRESS(2,COLUMN())),OFFSET($CL$2,0,0,ROW()-1,84),ROW()-1,FALSE))</f>
        <v/>
      </c>
      <c r="AS183">
        <f ca="1">IF(AND(ISNUMBER($AS$389),$B$252=1),$AS$389,HLOOKUP(INDIRECT(ADDRESS(2,COLUMN())),OFFSET($CL$2,0,0,ROW()-1,84),ROW()-1,FALSE))</f>
        <v>58.041214330000003</v>
      </c>
      <c r="AT183" t="str">
        <f ca="1">IF(AND(ISNUMBER($AT$389),$B$252=1),$AT$389,HLOOKUP(INDIRECT(ADDRESS(2,COLUMN())),OFFSET($CL$2,0,0,ROW()-1,84),ROW()-1,FALSE))</f>
        <v/>
      </c>
      <c r="AU183" t="str">
        <f ca="1">IF(AND(ISNUMBER($AU$389),$B$252=1),$AU$389,HLOOKUP(INDIRECT(ADDRESS(2,COLUMN())),OFFSET($CL$2,0,0,ROW()-1,84),ROW()-1,FALSE))</f>
        <v/>
      </c>
      <c r="AV183">
        <f ca="1">IF(AND(ISNUMBER($AV$389),$B$252=1),$AV$389,HLOOKUP(INDIRECT(ADDRESS(2,COLUMN())),OFFSET($CL$2,0,0,ROW()-1,84),ROW()-1,FALSE))</f>
        <v>60.099969139999999</v>
      </c>
      <c r="AW183" t="str">
        <f ca="1">IF(AND(ISNUMBER($AW$389),$B$252=1),$AW$389,HLOOKUP(INDIRECT(ADDRESS(2,COLUMN())),OFFSET($CL$2,0,0,ROW()-1,84),ROW()-1,FALSE))</f>
        <v/>
      </c>
      <c r="AX183" t="str">
        <f ca="1">IF(AND(ISNUMBER($AX$389),$B$252=1),$AX$389,HLOOKUP(INDIRECT(ADDRESS(2,COLUMN())),OFFSET($CL$2,0,0,ROW()-1,84),ROW()-1,FALSE))</f>
        <v/>
      </c>
      <c r="AY183">
        <f ca="1">IF(AND(ISNUMBER($AY$389),$B$252=1),$AY$389,HLOOKUP(INDIRECT(ADDRESS(2,COLUMN())),OFFSET($CL$2,0,0,ROW()-1,84),ROW()-1,FALSE))</f>
        <v>62.365225629999998</v>
      </c>
      <c r="AZ183" t="str">
        <f ca="1">IF(AND(ISNUMBER($AZ$389),$B$252=1),$AZ$389,HLOOKUP(INDIRECT(ADDRESS(2,COLUMN())),OFFSET($CL$2,0,0,ROW()-1,84),ROW()-1,FALSE))</f>
        <v/>
      </c>
      <c r="BA183" t="str">
        <f ca="1">IF(AND(ISNUMBER($BA$389),$B$252=1),$BA$389,HLOOKUP(INDIRECT(ADDRESS(2,COLUMN())),OFFSET($CL$2,0,0,ROW()-1,84),ROW()-1,FALSE))</f>
        <v/>
      </c>
      <c r="BB183">
        <f ca="1">IF(AND(ISNUMBER($BB$389),$B$252=1),$BB$389,HLOOKUP(INDIRECT(ADDRESS(2,COLUMN())),OFFSET($CL$2,0,0,ROW()-1,84),ROW()-1,FALSE))</f>
        <v>60.019794670000003</v>
      </c>
      <c r="BC183" t="str">
        <f ca="1">IF(AND(ISNUMBER($BC$389),$B$252=1),$BC$389,HLOOKUP(INDIRECT(ADDRESS(2,COLUMN())),OFFSET($CL$2,0,0,ROW()-1,84),ROW()-1,FALSE))</f>
        <v/>
      </c>
      <c r="BD183" t="str">
        <f ca="1">IF(AND(ISNUMBER($BD$389),$B$252=1),$BD$389,HLOOKUP(INDIRECT(ADDRESS(2,COLUMN())),OFFSET($CL$2,0,0,ROW()-1,84),ROW()-1,FALSE))</f>
        <v/>
      </c>
      <c r="BE183">
        <f ca="1">IF(AND(ISNUMBER($BE$389),$B$252=1),$BE$389,HLOOKUP(INDIRECT(ADDRESS(2,COLUMN())),OFFSET($CL$2,0,0,ROW()-1,84),ROW()-1,FALSE))</f>
        <v>62.25526807</v>
      </c>
      <c r="BF183" t="str">
        <f ca="1">IF(AND(ISNUMBER($BF$389),$B$252=1),$BF$389,HLOOKUP(INDIRECT(ADDRESS(2,COLUMN())),OFFSET($CL$2,0,0,ROW()-1,84),ROW()-1,FALSE))</f>
        <v/>
      </c>
      <c r="BG183" t="str">
        <f ca="1">IF(AND(ISNUMBER($BG$389),$B$252=1),$BG$389,HLOOKUP(INDIRECT(ADDRESS(2,COLUMN())),OFFSET($CL$2,0,0,ROW()-1,84),ROW()-1,FALSE))</f>
        <v/>
      </c>
      <c r="BH183">
        <f ca="1">IF(AND(ISNUMBER($BH$389),$B$252=1),$BH$389,HLOOKUP(INDIRECT(ADDRESS(2,COLUMN())),OFFSET($CL$2,0,0,ROW()-1,84),ROW()-1,FALSE))</f>
        <v>63.341797399999997</v>
      </c>
      <c r="BI183" t="str">
        <f ca="1">IF(AND(ISNUMBER($BI$389),$B$252=1),$BI$389,HLOOKUP(INDIRECT(ADDRESS(2,COLUMN())),OFFSET($CL$2,0,0,ROW()-1,84),ROW()-1,FALSE))</f>
        <v/>
      </c>
      <c r="BJ183" t="str">
        <f ca="1">IF(AND(ISNUMBER($BJ$389),$B$252=1),$BJ$389,HLOOKUP(INDIRECT(ADDRESS(2,COLUMN())),OFFSET($CL$2,0,0,ROW()-1,84),ROW()-1,FALSE))</f>
        <v/>
      </c>
      <c r="BK183">
        <f ca="1">IF(AND(ISNUMBER($BK$389),$B$252=1),$BK$389,HLOOKUP(INDIRECT(ADDRESS(2,COLUMN())),OFFSET($CL$2,0,0,ROW()-1,84),ROW()-1,FALSE))</f>
        <v>64.515775629999993</v>
      </c>
      <c r="BL183" t="str">
        <f ca="1">IF(AND(ISNUMBER($BL$389),$B$252=1),$BL$389,HLOOKUP(INDIRECT(ADDRESS(2,COLUMN())),OFFSET($CL$2,0,0,ROW()-1,84),ROW()-1,FALSE))</f>
        <v/>
      </c>
      <c r="BM183" t="str">
        <f ca="1">IF(AND(ISNUMBER($BM$389),$B$252=1),$BM$389,HLOOKUP(INDIRECT(ADDRESS(2,COLUMN())),OFFSET($CL$2,0,0,ROW()-1,84),ROW()-1,FALSE))</f>
        <v/>
      </c>
      <c r="BN183">
        <f ca="1">IF(AND(ISNUMBER($BN$389),$B$252=1),$BN$389,HLOOKUP(INDIRECT(ADDRESS(2,COLUMN())),OFFSET($CL$2,0,0,ROW()-1,84),ROW()-1,FALSE))</f>
        <v>64.795581810000002</v>
      </c>
      <c r="BO183" t="str">
        <f ca="1">IF(AND(ISNUMBER($BO$389),$B$252=1),$BO$389,HLOOKUP(INDIRECT(ADDRESS(2,COLUMN())),OFFSET($CL$2,0,0,ROW()-1,84),ROW()-1,FALSE))</f>
        <v/>
      </c>
      <c r="BP183" t="str">
        <f ca="1">IF(AND(ISNUMBER($BP$389),$B$252=1),$BP$389,HLOOKUP(INDIRECT(ADDRESS(2,COLUMN())),OFFSET($CL$2,0,0,ROW()-1,84),ROW()-1,FALSE))</f>
        <v/>
      </c>
      <c r="BQ183">
        <f ca="1">IF(AND(ISNUMBER($BQ$389),$B$252=1),$BQ$389,HLOOKUP(INDIRECT(ADDRESS(2,COLUMN())),OFFSET($CL$2,0,0,ROW()-1,84),ROW()-1,FALSE))</f>
        <v>60.830742309999998</v>
      </c>
      <c r="BR183" t="str">
        <f ca="1">IF(AND(ISNUMBER($BR$389),$B$252=1),$BR$389,HLOOKUP(INDIRECT(ADDRESS(2,COLUMN())),OFFSET($CL$2,0,0,ROW()-1,84),ROW()-1,FALSE))</f>
        <v/>
      </c>
      <c r="BS183" t="str">
        <f ca="1">IF(AND(ISNUMBER($BS$389),$B$252=1),$BS$389,HLOOKUP(INDIRECT(ADDRESS(2,COLUMN())),OFFSET($CL$2,0,0,ROW()-1,84),ROW()-1,FALSE))</f>
        <v/>
      </c>
      <c r="BT183">
        <f ca="1">IF(AND(ISNUMBER($BT$389),$B$252=1),$BT$389,HLOOKUP(INDIRECT(ADDRESS(2,COLUMN())),OFFSET($CL$2,0,0,ROW()-1,84),ROW()-1,FALSE))</f>
        <v>64.405406150000005</v>
      </c>
      <c r="BU183" t="str">
        <f ca="1">IF(AND(ISNUMBER($BU$389),$B$252=1),$BU$389,HLOOKUP(INDIRECT(ADDRESS(2,COLUMN())),OFFSET($CL$2,0,0,ROW()-1,84),ROW()-1,FALSE))</f>
        <v/>
      </c>
      <c r="BV183" t="str">
        <f ca="1">IF(AND(ISNUMBER($BV$389),$B$252=1),$BV$389,HLOOKUP(INDIRECT(ADDRESS(2,COLUMN())),OFFSET($CL$2,0,0,ROW()-1,84),ROW()-1,FALSE))</f>
        <v/>
      </c>
      <c r="BW183">
        <f ca="1">IF(AND(ISNUMBER($BW$389),$B$252=1),$BW$389,HLOOKUP(INDIRECT(ADDRESS(2,COLUMN())),OFFSET($CL$2,0,0,ROW()-1,84),ROW()-1,FALSE))</f>
        <v>64.004657409999993</v>
      </c>
      <c r="BX183" t="str">
        <f ca="1">IF(AND(ISNUMBER($BX$389),$B$252=1),$BX$389,HLOOKUP(INDIRECT(ADDRESS(2,COLUMN())),OFFSET($CL$2,0,0,ROW()-1,84),ROW()-1,FALSE))</f>
        <v/>
      </c>
      <c r="BY183" t="str">
        <f ca="1">IF(AND(ISNUMBER($BY$389),$B$252=1),$BY$389,HLOOKUP(INDIRECT(ADDRESS(2,COLUMN())),OFFSET($CL$2,0,0,ROW()-1,84),ROW()-1,FALSE))</f>
        <v/>
      </c>
      <c r="BZ183">
        <f ca="1">IF(AND(ISNUMBER($BZ$389),$B$252=1),$BZ$389,HLOOKUP(INDIRECT(ADDRESS(2,COLUMN())),OFFSET($CL$2,0,0,ROW()-1,84),ROW()-1,FALSE))</f>
        <v>67.349031220000001</v>
      </c>
      <c r="CA183" t="str">
        <f ca="1">IF(AND(ISNUMBER($CA$389),$B$252=1),$CA$389,HLOOKUP(INDIRECT(ADDRESS(2,COLUMN())),OFFSET($CL$2,0,0,ROW()-1,84),ROW()-1,FALSE))</f>
        <v/>
      </c>
      <c r="CB183" t="str">
        <f ca="1">IF(AND(ISNUMBER($CB$389),$B$252=1),$CB$389,HLOOKUP(INDIRECT(ADDRESS(2,COLUMN())),OFFSET($CL$2,0,0,ROW()-1,84),ROW()-1,FALSE))</f>
        <v/>
      </c>
      <c r="CC183">
        <f ca="1">IF(AND(ISNUMBER($CC$389),$B$252=1),$CC$389,HLOOKUP(INDIRECT(ADDRESS(2,COLUMN())),OFFSET($CL$2,0,0,ROW()-1,84),ROW()-1,FALSE))</f>
        <v>69.049574680000006</v>
      </c>
      <c r="CD183" t="str">
        <f ca="1">IF(AND(ISNUMBER($CD$389),$B$252=1),$CD$389,HLOOKUP(INDIRECT(ADDRESS(2,COLUMN())),OFFSET($CL$2,0,0,ROW()-1,84),ROW()-1,FALSE))</f>
        <v/>
      </c>
      <c r="CE183" t="str">
        <f ca="1">IF(AND(ISNUMBER($CE$389),$B$252=1),$CE$389,HLOOKUP(INDIRECT(ADDRESS(2,COLUMN())),OFFSET($CL$2,0,0,ROW()-1,84),ROW()-1,FALSE))</f>
        <v/>
      </c>
      <c r="CF183">
        <f ca="1">IF(AND(ISNUMBER($CF$389),$B$252=1),$CF$389,HLOOKUP(INDIRECT(ADDRESS(2,COLUMN())),OFFSET($CL$2,0,0,ROW()-1,84),ROW()-1,FALSE))</f>
        <v>73.449842039999993</v>
      </c>
      <c r="CG183" t="str">
        <f ca="1">IF(AND(ISNUMBER($CG$389),$B$252=1),$CG$389,HLOOKUP(INDIRECT(ADDRESS(2,COLUMN())),OFFSET($CL$2,0,0,ROW()-1,84),ROW()-1,FALSE))</f>
        <v/>
      </c>
      <c r="CH183" t="str">
        <f ca="1">IF(AND(ISNUMBER($CH$389),$B$252=1),$CH$389,HLOOKUP(INDIRECT(ADDRESS(2,COLUMN())),OFFSET($CL$2,0,0,ROW()-1,84),ROW()-1,FALSE))</f>
        <v/>
      </c>
      <c r="CI183">
        <f ca="1">IF(AND(ISNUMBER($CI$389),$B$252=1),$CI$389,HLOOKUP(INDIRECT(ADDRESS(2,COLUMN())),OFFSET($CL$2,0,0,ROW()-1,84),ROW()-1,FALSE))</f>
        <v>74.524609929999997</v>
      </c>
      <c r="CJ183" t="str">
        <f ca="1">IF(AND(ISNUMBER($CJ$389),$B$252=1),$CJ$389,HLOOKUP(INDIRECT(ADDRESS(2,COLUMN())),OFFSET($CL$2,0,0,ROW()-1,84),ROW()-1,FALSE))</f>
        <v/>
      </c>
      <c r="CK183" t="str">
        <f ca="1">IF(AND(ISNUMBER($CK$389),$B$252=1),$CK$389,HLOOKUP(INDIRECT(ADDRESS(2,COLUMN())),OFFSET($CL$2,0,0,ROW()-1,84),ROW()-1,FALSE))</f>
        <v/>
      </c>
      <c r="CL183" t="str">
        <f>""</f>
        <v/>
      </c>
      <c r="CM183" t="str">
        <f>""</f>
        <v/>
      </c>
      <c r="CN183" t="str">
        <f>""</f>
        <v/>
      </c>
      <c r="CO183">
        <f>58.11971033</f>
        <v>58.119710329999997</v>
      </c>
      <c r="CP183" t="str">
        <f>""</f>
        <v/>
      </c>
      <c r="CQ183" t="str">
        <f>""</f>
        <v/>
      </c>
      <c r="CR183">
        <f>58.63292753</f>
        <v>58.632927530000003</v>
      </c>
      <c r="CS183" t="str">
        <f>""</f>
        <v/>
      </c>
      <c r="CT183" t="str">
        <f>""</f>
        <v/>
      </c>
      <c r="CU183">
        <f>58.8737932</f>
        <v>58.873793200000001</v>
      </c>
      <c r="CV183" t="str">
        <f>""</f>
        <v/>
      </c>
      <c r="CW183" t="str">
        <f>""</f>
        <v/>
      </c>
      <c r="CX183">
        <f>59.56481027</f>
        <v>59.564810270000002</v>
      </c>
      <c r="CY183" t="str">
        <f>""</f>
        <v/>
      </c>
      <c r="CZ183" t="str">
        <f>""</f>
        <v/>
      </c>
      <c r="DA183">
        <f>56.94847871</f>
        <v>56.948478710000003</v>
      </c>
      <c r="DB183" t="str">
        <f>""</f>
        <v/>
      </c>
      <c r="DC183" t="str">
        <f>""</f>
        <v/>
      </c>
      <c r="DD183">
        <f>57.03118016</f>
        <v>57.031180159999998</v>
      </c>
      <c r="DE183" t="str">
        <f>""</f>
        <v/>
      </c>
      <c r="DF183" t="str">
        <f>""</f>
        <v/>
      </c>
      <c r="DG183">
        <f>58.34758301</f>
        <v>58.347583010000001</v>
      </c>
      <c r="DH183" t="str">
        <f>""</f>
        <v/>
      </c>
      <c r="DI183" t="str">
        <f>""</f>
        <v/>
      </c>
      <c r="DJ183">
        <f>59.75628167</f>
        <v>59.75628167</v>
      </c>
      <c r="DK183" t="str">
        <f>""</f>
        <v/>
      </c>
      <c r="DL183" t="str">
        <f>""</f>
        <v/>
      </c>
      <c r="DM183">
        <f>54.74797328</f>
        <v>54.747973279999997</v>
      </c>
      <c r="DN183" t="str">
        <f>""</f>
        <v/>
      </c>
      <c r="DO183" t="str">
        <f>""</f>
        <v/>
      </c>
      <c r="DP183">
        <f>57.73822923</f>
        <v>57.738229230000002</v>
      </c>
      <c r="DQ183" t="str">
        <f>""</f>
        <v/>
      </c>
      <c r="DR183" t="str">
        <f>""</f>
        <v/>
      </c>
      <c r="DS183">
        <f>59.98545266</f>
        <v>59.98545266</v>
      </c>
      <c r="DT183" t="str">
        <f>""</f>
        <v/>
      </c>
      <c r="DU183" t="str">
        <f>""</f>
        <v/>
      </c>
      <c r="DV183">
        <f>62.87814281</f>
        <v>62.87814281</v>
      </c>
      <c r="DW183" t="str">
        <f>""</f>
        <v/>
      </c>
      <c r="DX183" t="str">
        <f>""</f>
        <v/>
      </c>
      <c r="DY183">
        <f>58.04121433</f>
        <v>58.041214330000003</v>
      </c>
      <c r="DZ183" t="str">
        <f>""</f>
        <v/>
      </c>
      <c r="EA183" t="str">
        <f>""</f>
        <v/>
      </c>
      <c r="EB183">
        <f>60.09996914</f>
        <v>60.099969139999999</v>
      </c>
      <c r="EC183" t="str">
        <f>""</f>
        <v/>
      </c>
      <c r="ED183" t="str">
        <f>""</f>
        <v/>
      </c>
      <c r="EE183">
        <f>62.36522563</f>
        <v>62.365225629999998</v>
      </c>
      <c r="EF183" t="str">
        <f>""</f>
        <v/>
      </c>
      <c r="EG183" t="str">
        <f>""</f>
        <v/>
      </c>
      <c r="EH183">
        <f>60.01979467</f>
        <v>60.019794670000003</v>
      </c>
      <c r="EI183" t="str">
        <f>""</f>
        <v/>
      </c>
      <c r="EJ183" t="str">
        <f>""</f>
        <v/>
      </c>
      <c r="EK183">
        <f>62.25526807</f>
        <v>62.25526807</v>
      </c>
      <c r="EL183" t="str">
        <f>""</f>
        <v/>
      </c>
      <c r="EM183" t="str">
        <f>""</f>
        <v/>
      </c>
      <c r="EN183">
        <f>63.3417974</f>
        <v>63.341797399999997</v>
      </c>
      <c r="EO183" t="str">
        <f>""</f>
        <v/>
      </c>
      <c r="EP183" t="str">
        <f>""</f>
        <v/>
      </c>
      <c r="EQ183">
        <f>64.51577563</f>
        <v>64.515775629999993</v>
      </c>
      <c r="ER183" t="str">
        <f>""</f>
        <v/>
      </c>
      <c r="ES183" t="str">
        <f>""</f>
        <v/>
      </c>
      <c r="ET183">
        <f>64.79558181</f>
        <v>64.795581810000002</v>
      </c>
      <c r="EU183" t="str">
        <f>""</f>
        <v/>
      </c>
      <c r="EV183" t="str">
        <f>""</f>
        <v/>
      </c>
      <c r="EW183">
        <f>60.83074231</f>
        <v>60.830742309999998</v>
      </c>
      <c r="EX183" t="str">
        <f>""</f>
        <v/>
      </c>
      <c r="EY183" t="str">
        <f>""</f>
        <v/>
      </c>
      <c r="EZ183">
        <f>64.40540615</f>
        <v>64.405406150000005</v>
      </c>
      <c r="FA183" t="str">
        <f>""</f>
        <v/>
      </c>
      <c r="FB183" t="str">
        <f>""</f>
        <v/>
      </c>
      <c r="FC183">
        <f>64.00465741</f>
        <v>64.004657409999993</v>
      </c>
      <c r="FD183" t="str">
        <f>""</f>
        <v/>
      </c>
      <c r="FE183" t="str">
        <f>""</f>
        <v/>
      </c>
      <c r="FF183">
        <f>67.34903122</f>
        <v>67.349031220000001</v>
      </c>
      <c r="FG183" t="str">
        <f>""</f>
        <v/>
      </c>
      <c r="FH183" t="str">
        <f>""</f>
        <v/>
      </c>
      <c r="FI183">
        <f>69.04957468</f>
        <v>69.049574680000006</v>
      </c>
      <c r="FJ183" t="str">
        <f>""</f>
        <v/>
      </c>
      <c r="FK183" t="str">
        <f>""</f>
        <v/>
      </c>
      <c r="FL183">
        <f>73.44984204</f>
        <v>73.449842039999993</v>
      </c>
      <c r="FM183" t="str">
        <f>""</f>
        <v/>
      </c>
      <c r="FN183" t="str">
        <f>""</f>
        <v/>
      </c>
      <c r="FO183">
        <f>74.52460993</f>
        <v>74.524609929999997</v>
      </c>
      <c r="FP183" t="str">
        <f>""</f>
        <v/>
      </c>
      <c r="FQ183" t="str">
        <f>""</f>
        <v/>
      </c>
    </row>
    <row r="184" spans="1:173">
      <c r="A184" t="str">
        <f>"    Mid-America Apartment Communit"</f>
        <v xml:space="preserve">    Mid-America Apartment Communit</v>
      </c>
      <c r="B184" t="str">
        <f>"MAA US Equity"</f>
        <v>MAA US Equity</v>
      </c>
      <c r="C184" t="str">
        <f t="shared" si="57"/>
        <v>F0928</v>
      </c>
      <c r="D184" t="str">
        <f t="shared" si="58"/>
        <v>ADJUSTED_FFO_PAYOUT_RATIO</v>
      </c>
      <c r="E184" t="str">
        <f t="shared" si="59"/>
        <v>动态</v>
      </c>
      <c r="F184" t="str">
        <f ca="1">IF(AND(ISNUMBER($F$390),$B$252=1),$F$390,HLOOKUP(INDIRECT(ADDRESS(2,COLUMN())),OFFSET($CL$2,0,0,ROW()-1,84),ROW()-1,FALSE))</f>
        <v/>
      </c>
      <c r="G184" t="str">
        <f ca="1">IF(AND(ISNUMBER($G$390),$B$252=1),$G$390,HLOOKUP(INDIRECT(ADDRESS(2,COLUMN())),OFFSET($CL$2,0,0,ROW()-1,84),ROW()-1,FALSE))</f>
        <v/>
      </c>
      <c r="H184" t="str">
        <f ca="1">IF(AND(ISNUMBER($H$390),$B$252=1),$H$390,HLOOKUP(INDIRECT(ADDRESS(2,COLUMN())),OFFSET($CL$2,0,0,ROW()-1,84),ROW()-1,FALSE))</f>
        <v/>
      </c>
      <c r="I184">
        <f ca="1">IF(AND(ISNUMBER($I$390),$B$252=1),$I$390,HLOOKUP(INDIRECT(ADDRESS(2,COLUMN())),OFFSET($CL$2,0,0,ROW()-1,84),ROW()-1,FALSE))</f>
        <v>62.236631289999998</v>
      </c>
      <c r="J184" t="str">
        <f ca="1">IF(AND(ISNUMBER($J$390),$B$252=1),$J$390,HLOOKUP(INDIRECT(ADDRESS(2,COLUMN())),OFFSET($CL$2,0,0,ROW()-1,84),ROW()-1,FALSE))</f>
        <v/>
      </c>
      <c r="K184" t="str">
        <f ca="1">IF(AND(ISNUMBER($K$390),$B$252=1),$K$390,HLOOKUP(INDIRECT(ADDRESS(2,COLUMN())),OFFSET($CL$2,0,0,ROW()-1,84),ROW()-1,FALSE))</f>
        <v/>
      </c>
      <c r="L184">
        <f ca="1">IF(AND(ISNUMBER($L$390),$B$252=1),$L$390,HLOOKUP(INDIRECT(ADDRESS(2,COLUMN())),OFFSET($CL$2,0,0,ROW()-1,84),ROW()-1,FALSE))</f>
        <v>58.185464920000001</v>
      </c>
      <c r="M184" t="str">
        <f ca="1">IF(AND(ISNUMBER($M$390),$B$252=1),$M$390,HLOOKUP(INDIRECT(ADDRESS(2,COLUMN())),OFFSET($CL$2,0,0,ROW()-1,84),ROW()-1,FALSE))</f>
        <v/>
      </c>
      <c r="N184" t="str">
        <f ca="1">IF(AND(ISNUMBER($N$390),$B$252=1),$N$390,HLOOKUP(INDIRECT(ADDRESS(2,COLUMN())),OFFSET($CL$2,0,0,ROW()-1,84),ROW()-1,FALSE))</f>
        <v/>
      </c>
      <c r="O184">
        <f ca="1">IF(AND(ISNUMBER($O$390),$B$252=1),$O$390,HLOOKUP(INDIRECT(ADDRESS(2,COLUMN())),OFFSET($CL$2,0,0,ROW()-1,84),ROW()-1,FALSE))</f>
        <v>58.766504449999999</v>
      </c>
      <c r="P184" t="str">
        <f ca="1">IF(AND(ISNUMBER($P$390),$B$252=1),$P$390,HLOOKUP(INDIRECT(ADDRESS(2,COLUMN())),OFFSET($CL$2,0,0,ROW()-1,84),ROW()-1,FALSE))</f>
        <v/>
      </c>
      <c r="Q184" t="str">
        <f ca="1">IF(AND(ISNUMBER($Q$390),$B$252=1),$Q$390,HLOOKUP(INDIRECT(ADDRESS(2,COLUMN())),OFFSET($CL$2,0,0,ROW()-1,84),ROW()-1,FALSE))</f>
        <v/>
      </c>
      <c r="R184">
        <f ca="1">IF(AND(ISNUMBER($R$390),$B$252=1),$R$390,HLOOKUP(INDIRECT(ADDRESS(2,COLUMN())),OFFSET($CL$2,0,0,ROW()-1,84),ROW()-1,FALSE))</f>
        <v>59.694525499999997</v>
      </c>
      <c r="S184" t="str">
        <f ca="1">IF(AND(ISNUMBER($S$390),$B$252=1),$S$390,HLOOKUP(INDIRECT(ADDRESS(2,COLUMN())),OFFSET($CL$2,0,0,ROW()-1,84),ROW()-1,FALSE))</f>
        <v/>
      </c>
      <c r="T184" t="str">
        <f ca="1">IF(AND(ISNUMBER($T$390),$B$252=1),$T$390,HLOOKUP(INDIRECT(ADDRESS(2,COLUMN())),OFFSET($CL$2,0,0,ROW()-1,84),ROW()-1,FALSE))</f>
        <v/>
      </c>
      <c r="U184">
        <f ca="1">IF(AND(ISNUMBER($U$390),$B$252=1),$U$390,HLOOKUP(INDIRECT(ADDRESS(2,COLUMN())),OFFSET($CL$2,0,0,ROW()-1,84),ROW()-1,FALSE))</f>
        <v>77.278307859999998</v>
      </c>
      <c r="V184" t="str">
        <f ca="1">IF(AND(ISNUMBER($V$390),$B$252=1),$V$390,HLOOKUP(INDIRECT(ADDRESS(2,COLUMN())),OFFSET($CL$2,0,0,ROW()-1,84),ROW()-1,FALSE))</f>
        <v/>
      </c>
      <c r="W184" t="str">
        <f ca="1">IF(AND(ISNUMBER($W$390),$B$252=1),$W$390,HLOOKUP(INDIRECT(ADDRESS(2,COLUMN())),OFFSET($CL$2,0,0,ROW()-1,84),ROW()-1,FALSE))</f>
        <v/>
      </c>
      <c r="X184">
        <f ca="1">IF(AND(ISNUMBER($X$390),$B$252=1),$X$390,HLOOKUP(INDIRECT(ADDRESS(2,COLUMN())),OFFSET($CL$2,0,0,ROW()-1,84),ROW()-1,FALSE))</f>
        <v>55.122475829999999</v>
      </c>
      <c r="Y184" t="str">
        <f ca="1">IF(AND(ISNUMBER($Y$390),$B$252=1),$Y$390,HLOOKUP(INDIRECT(ADDRESS(2,COLUMN())),OFFSET($CL$2,0,0,ROW()-1,84),ROW()-1,FALSE))</f>
        <v/>
      </c>
      <c r="Z184" t="str">
        <f ca="1">IF(AND(ISNUMBER($Z$390),$B$252=1),$Z$390,HLOOKUP(INDIRECT(ADDRESS(2,COLUMN())),OFFSET($CL$2,0,0,ROW()-1,84),ROW()-1,FALSE))</f>
        <v/>
      </c>
      <c r="AA184">
        <f ca="1">IF(AND(ISNUMBER($AA$390),$B$252=1),$AA$390,HLOOKUP(INDIRECT(ADDRESS(2,COLUMN())),OFFSET($CL$2,0,0,ROW()-1,84),ROW()-1,FALSE))</f>
        <v>53.357603249999997</v>
      </c>
      <c r="AB184" t="str">
        <f ca="1">IF(AND(ISNUMBER($AB$390),$B$252=1),$AB$390,HLOOKUP(INDIRECT(ADDRESS(2,COLUMN())),OFFSET($CL$2,0,0,ROW()-1,84),ROW()-1,FALSE))</f>
        <v/>
      </c>
      <c r="AC184" t="str">
        <f ca="1">IF(AND(ISNUMBER($AC$390),$B$252=1),$AC$390,HLOOKUP(INDIRECT(ADDRESS(2,COLUMN())),OFFSET($CL$2,0,0,ROW()-1,84),ROW()-1,FALSE))</f>
        <v/>
      </c>
      <c r="AD184">
        <f ca="1">IF(AND(ISNUMBER($AD$390),$B$252=1),$AD$390,HLOOKUP(INDIRECT(ADDRESS(2,COLUMN())),OFFSET($CL$2,0,0,ROW()-1,84),ROW()-1,FALSE))</f>
        <v>57.024108169999998</v>
      </c>
      <c r="AE184" t="str">
        <f ca="1">IF(AND(ISNUMBER($AE$390),$B$252=1),$AE$390,HLOOKUP(INDIRECT(ADDRESS(2,COLUMN())),OFFSET($CL$2,0,0,ROW()-1,84),ROW()-1,FALSE))</f>
        <v/>
      </c>
      <c r="AF184" t="str">
        <f ca="1">IF(AND(ISNUMBER($AF$390),$B$252=1),$AF$390,HLOOKUP(INDIRECT(ADDRESS(2,COLUMN())),OFFSET($CL$2,0,0,ROW()-1,84),ROW()-1,FALSE))</f>
        <v/>
      </c>
      <c r="AG184">
        <f ca="1">IF(AND(ISNUMBER($AG$390),$B$252=1),$AG$390,HLOOKUP(INDIRECT(ADDRESS(2,COLUMN())),OFFSET($CL$2,0,0,ROW()-1,84),ROW()-1,FALSE))</f>
        <v>56.490671560000003</v>
      </c>
      <c r="AH184" t="str">
        <f ca="1">IF(AND(ISNUMBER($AH$390),$B$252=1),$AH$390,HLOOKUP(INDIRECT(ADDRESS(2,COLUMN())),OFFSET($CL$2,0,0,ROW()-1,84),ROW()-1,FALSE))</f>
        <v/>
      </c>
      <c r="AI184" t="str">
        <f ca="1">IF(AND(ISNUMBER($AI$390),$B$252=1),$AI$390,HLOOKUP(INDIRECT(ADDRESS(2,COLUMN())),OFFSET($CL$2,0,0,ROW()-1,84),ROW()-1,FALSE))</f>
        <v/>
      </c>
      <c r="AJ184">
        <f ca="1">IF(AND(ISNUMBER($AJ$390),$B$252=1),$AJ$390,HLOOKUP(INDIRECT(ADDRESS(2,COLUMN())),OFFSET($CL$2,0,0,ROW()-1,84),ROW()-1,FALSE))</f>
        <v>55.754561420000002</v>
      </c>
      <c r="AK184" t="str">
        <f ca="1">IF(AND(ISNUMBER($AK$390),$B$252=1),$AK$390,HLOOKUP(INDIRECT(ADDRESS(2,COLUMN())),OFFSET($CL$2,0,0,ROW()-1,84),ROW()-1,FALSE))</f>
        <v/>
      </c>
      <c r="AL184" t="str">
        <f ca="1">IF(AND(ISNUMBER($AL$390),$B$252=1),$AL$390,HLOOKUP(INDIRECT(ADDRESS(2,COLUMN())),OFFSET($CL$2,0,0,ROW()-1,84),ROW()-1,FALSE))</f>
        <v/>
      </c>
      <c r="AM184">
        <f ca="1">IF(AND(ISNUMBER($AM$390),$B$252=1),$AM$390,HLOOKUP(INDIRECT(ADDRESS(2,COLUMN())),OFFSET($CL$2,0,0,ROW()-1,84),ROW()-1,FALSE))</f>
        <v>56.746447189999998</v>
      </c>
      <c r="AN184" t="str">
        <f ca="1">IF(AND(ISNUMBER($AN$390),$B$252=1),$AN$390,HLOOKUP(INDIRECT(ADDRESS(2,COLUMN())),OFFSET($CL$2,0,0,ROW()-1,84),ROW()-1,FALSE))</f>
        <v/>
      </c>
      <c r="AO184" t="str">
        <f ca="1">IF(AND(ISNUMBER($AO$390),$B$252=1),$AO$390,HLOOKUP(INDIRECT(ADDRESS(2,COLUMN())),OFFSET($CL$2,0,0,ROW()-1,84),ROW()-1,FALSE))</f>
        <v/>
      </c>
      <c r="AP184">
        <f ca="1">IF(AND(ISNUMBER($AP$390),$B$252=1),$AP$390,HLOOKUP(INDIRECT(ADDRESS(2,COLUMN())),OFFSET($CL$2,0,0,ROW()-1,84),ROW()-1,FALSE))</f>
        <v>58.184152750000003</v>
      </c>
      <c r="AQ184" t="str">
        <f ca="1">IF(AND(ISNUMBER($AQ$390),$B$252=1),$AQ$390,HLOOKUP(INDIRECT(ADDRESS(2,COLUMN())),OFFSET($CL$2,0,0,ROW()-1,84),ROW()-1,FALSE))</f>
        <v/>
      </c>
      <c r="AR184" t="str">
        <f ca="1">IF(AND(ISNUMBER($AR$390),$B$252=1),$AR$390,HLOOKUP(INDIRECT(ADDRESS(2,COLUMN())),OFFSET($CL$2,0,0,ROW()-1,84),ROW()-1,FALSE))</f>
        <v/>
      </c>
      <c r="AS184">
        <f ca="1">IF(AND(ISNUMBER($AS$390),$B$252=1),$AS$390,HLOOKUP(INDIRECT(ADDRESS(2,COLUMN())),OFFSET($CL$2,0,0,ROW()-1,84),ROW()-1,FALSE))</f>
        <v>58.452882279999997</v>
      </c>
      <c r="AT184" t="str">
        <f ca="1">IF(AND(ISNUMBER($AT$390),$B$252=1),$AT$390,HLOOKUP(INDIRECT(ADDRESS(2,COLUMN())),OFFSET($CL$2,0,0,ROW()-1,84),ROW()-1,FALSE))</f>
        <v/>
      </c>
      <c r="AU184" t="str">
        <f ca="1">IF(AND(ISNUMBER($AU$390),$B$252=1),$AU$390,HLOOKUP(INDIRECT(ADDRESS(2,COLUMN())),OFFSET($CL$2,0,0,ROW()-1,84),ROW()-1,FALSE))</f>
        <v/>
      </c>
      <c r="AV184">
        <f ca="1">IF(AND(ISNUMBER($AV$390),$B$252=1),$AV$390,HLOOKUP(INDIRECT(ADDRESS(2,COLUMN())),OFFSET($CL$2,0,0,ROW()-1,84),ROW()-1,FALSE))</f>
        <v>57.082344720000002</v>
      </c>
      <c r="AW184" t="str">
        <f ca="1">IF(AND(ISNUMBER($AW$390),$B$252=1),$AW$390,HLOOKUP(INDIRECT(ADDRESS(2,COLUMN())),OFFSET($CL$2,0,0,ROW()-1,84),ROW()-1,FALSE))</f>
        <v/>
      </c>
      <c r="AX184" t="str">
        <f ca="1">IF(AND(ISNUMBER($AX$390),$B$252=1),$AX$390,HLOOKUP(INDIRECT(ADDRESS(2,COLUMN())),OFFSET($CL$2,0,0,ROW()-1,84),ROW()-1,FALSE))</f>
        <v/>
      </c>
      <c r="AY184">
        <f ca="1">IF(AND(ISNUMBER($AY$390),$B$252=1),$AY$390,HLOOKUP(INDIRECT(ADDRESS(2,COLUMN())),OFFSET($CL$2,0,0,ROW()-1,84),ROW()-1,FALSE))</f>
        <v>61.706361719999997</v>
      </c>
      <c r="AZ184" t="str">
        <f ca="1">IF(AND(ISNUMBER($AZ$390),$B$252=1),$AZ$390,HLOOKUP(INDIRECT(ADDRESS(2,COLUMN())),OFFSET($CL$2,0,0,ROW()-1,84),ROW()-1,FALSE))</f>
        <v/>
      </c>
      <c r="BA184" t="str">
        <f ca="1">IF(AND(ISNUMBER($BA$390),$B$252=1),$BA$390,HLOOKUP(INDIRECT(ADDRESS(2,COLUMN())),OFFSET($CL$2,0,0,ROW()-1,84),ROW()-1,FALSE))</f>
        <v/>
      </c>
      <c r="BB184">
        <f ca="1">IF(AND(ISNUMBER($BB$390),$B$252=1),$BB$390,HLOOKUP(INDIRECT(ADDRESS(2,COLUMN())),OFFSET($CL$2,0,0,ROW()-1,84),ROW()-1,FALSE))</f>
        <v>60.507882539999997</v>
      </c>
      <c r="BC184" t="str">
        <f ca="1">IF(AND(ISNUMBER($BC$390),$B$252=1),$BC$390,HLOOKUP(INDIRECT(ADDRESS(2,COLUMN())),OFFSET($CL$2,0,0,ROW()-1,84),ROW()-1,FALSE))</f>
        <v/>
      </c>
      <c r="BD184" t="str">
        <f ca="1">IF(AND(ISNUMBER($BD$390),$B$252=1),$BD$390,HLOOKUP(INDIRECT(ADDRESS(2,COLUMN())),OFFSET($CL$2,0,0,ROW()-1,84),ROW()-1,FALSE))</f>
        <v/>
      </c>
      <c r="BE184">
        <f ca="1">IF(AND(ISNUMBER($BE$390),$B$252=1),$BE$390,HLOOKUP(INDIRECT(ADDRESS(2,COLUMN())),OFFSET($CL$2,0,0,ROW()-1,84),ROW()-1,FALSE))</f>
        <v>60.791061280000001</v>
      </c>
      <c r="BF184" t="str">
        <f ca="1">IF(AND(ISNUMBER($BF$390),$B$252=1),$BF$390,HLOOKUP(INDIRECT(ADDRESS(2,COLUMN())),OFFSET($CL$2,0,0,ROW()-1,84),ROW()-1,FALSE))</f>
        <v/>
      </c>
      <c r="BG184" t="str">
        <f ca="1">IF(AND(ISNUMBER($BG$390),$B$252=1),$BG$390,HLOOKUP(INDIRECT(ADDRESS(2,COLUMN())),OFFSET($CL$2,0,0,ROW()-1,84),ROW()-1,FALSE))</f>
        <v/>
      </c>
      <c r="BH184">
        <f ca="1">IF(AND(ISNUMBER($BH$390),$B$252=1),$BH$390,HLOOKUP(INDIRECT(ADDRESS(2,COLUMN())),OFFSET($CL$2,0,0,ROW()-1,84),ROW()-1,FALSE))</f>
        <v>55.732669960000003</v>
      </c>
      <c r="BI184" t="str">
        <f ca="1">IF(AND(ISNUMBER($BI$390),$B$252=1),$BI$390,HLOOKUP(INDIRECT(ADDRESS(2,COLUMN())),OFFSET($CL$2,0,0,ROW()-1,84),ROW()-1,FALSE))</f>
        <v/>
      </c>
      <c r="BJ184" t="str">
        <f ca="1">IF(AND(ISNUMBER($BJ$390),$B$252=1),$BJ$390,HLOOKUP(INDIRECT(ADDRESS(2,COLUMN())),OFFSET($CL$2,0,0,ROW()-1,84),ROW()-1,FALSE))</f>
        <v/>
      </c>
      <c r="BK184">
        <f ca="1">IF(AND(ISNUMBER($BK$390),$B$252=1),$BK$390,HLOOKUP(INDIRECT(ADDRESS(2,COLUMN())),OFFSET($CL$2,0,0,ROW()-1,84),ROW()-1,FALSE))</f>
        <v>54.389707819999998</v>
      </c>
      <c r="BL184" t="str">
        <f ca="1">IF(AND(ISNUMBER($BL$390),$B$252=1),$BL$390,HLOOKUP(INDIRECT(ADDRESS(2,COLUMN())),OFFSET($CL$2,0,0,ROW()-1,84),ROW()-1,FALSE))</f>
        <v/>
      </c>
      <c r="BM184" t="str">
        <f ca="1">IF(AND(ISNUMBER($BM$390),$B$252=1),$BM$390,HLOOKUP(INDIRECT(ADDRESS(2,COLUMN())),OFFSET($CL$2,0,0,ROW()-1,84),ROW()-1,FALSE))</f>
        <v/>
      </c>
      <c r="BN184">
        <f ca="1">IF(AND(ISNUMBER($BN$390),$B$252=1),$BN$390,HLOOKUP(INDIRECT(ADDRESS(2,COLUMN())),OFFSET($CL$2,0,0,ROW()-1,84),ROW()-1,FALSE))</f>
        <v>55.614360550000001</v>
      </c>
      <c r="BO184" t="str">
        <f ca="1">IF(AND(ISNUMBER($BO$390),$B$252=1),$BO$390,HLOOKUP(INDIRECT(ADDRESS(2,COLUMN())),OFFSET($CL$2,0,0,ROW()-1,84),ROW()-1,FALSE))</f>
        <v/>
      </c>
      <c r="BP184" t="str">
        <f ca="1">IF(AND(ISNUMBER($BP$390),$B$252=1),$BP$390,HLOOKUP(INDIRECT(ADDRESS(2,COLUMN())),OFFSET($CL$2,0,0,ROW()-1,84),ROW()-1,FALSE))</f>
        <v/>
      </c>
      <c r="BQ184">
        <f ca="1">IF(AND(ISNUMBER($BQ$390),$B$252=1),$BQ$390,HLOOKUP(INDIRECT(ADDRESS(2,COLUMN())),OFFSET($CL$2,0,0,ROW()-1,84),ROW()-1,FALSE))</f>
        <v>57.308318819999997</v>
      </c>
      <c r="BR184" t="str">
        <f ca="1">IF(AND(ISNUMBER($BR$390),$B$252=1),$BR$390,HLOOKUP(INDIRECT(ADDRESS(2,COLUMN())),OFFSET($CL$2,0,0,ROW()-1,84),ROW()-1,FALSE))</f>
        <v/>
      </c>
      <c r="BS184" t="str">
        <f ca="1">IF(AND(ISNUMBER($BS$390),$B$252=1),$BS$390,HLOOKUP(INDIRECT(ADDRESS(2,COLUMN())),OFFSET($CL$2,0,0,ROW()-1,84),ROW()-1,FALSE))</f>
        <v/>
      </c>
      <c r="BT184">
        <f ca="1">IF(AND(ISNUMBER($BT$390),$B$252=1),$BT$390,HLOOKUP(INDIRECT(ADDRESS(2,COLUMN())),OFFSET($CL$2,0,0,ROW()-1,84),ROW()-1,FALSE))</f>
        <v>57.87587242</v>
      </c>
      <c r="BU184" t="str">
        <f ca="1">IF(AND(ISNUMBER($BU$390),$B$252=1),$BU$390,HLOOKUP(INDIRECT(ADDRESS(2,COLUMN())),OFFSET($CL$2,0,0,ROW()-1,84),ROW()-1,FALSE))</f>
        <v/>
      </c>
      <c r="BV184" t="str">
        <f ca="1">IF(AND(ISNUMBER($BV$390),$B$252=1),$BV$390,HLOOKUP(INDIRECT(ADDRESS(2,COLUMN())),OFFSET($CL$2,0,0,ROW()-1,84),ROW()-1,FALSE))</f>
        <v/>
      </c>
      <c r="BW184">
        <f ca="1">IF(AND(ISNUMBER($BW$390),$B$252=1),$BW$390,HLOOKUP(INDIRECT(ADDRESS(2,COLUMN())),OFFSET($CL$2,0,0,ROW()-1,84),ROW()-1,FALSE))</f>
        <v>58.623987739999997</v>
      </c>
      <c r="BX184" t="str">
        <f ca="1">IF(AND(ISNUMBER($BX$390),$B$252=1),$BX$390,HLOOKUP(INDIRECT(ADDRESS(2,COLUMN())),OFFSET($CL$2,0,0,ROW()-1,84),ROW()-1,FALSE))</f>
        <v/>
      </c>
      <c r="BY184" t="str">
        <f ca="1">IF(AND(ISNUMBER($BY$390),$B$252=1),$BY$390,HLOOKUP(INDIRECT(ADDRESS(2,COLUMN())),OFFSET($CL$2,0,0,ROW()-1,84),ROW()-1,FALSE))</f>
        <v/>
      </c>
      <c r="BZ184">
        <f ca="1">IF(AND(ISNUMBER($BZ$390),$B$252=1),$BZ$390,HLOOKUP(INDIRECT(ADDRESS(2,COLUMN())),OFFSET($CL$2,0,0,ROW()-1,84),ROW()-1,FALSE))</f>
        <v>59.032812300000003</v>
      </c>
      <c r="CA184" t="str">
        <f ca="1">IF(AND(ISNUMBER($CA$390),$B$252=1),$CA$390,HLOOKUP(INDIRECT(ADDRESS(2,COLUMN())),OFFSET($CL$2,0,0,ROW()-1,84),ROW()-1,FALSE))</f>
        <v/>
      </c>
      <c r="CB184" t="str">
        <f ca="1">IF(AND(ISNUMBER($CB$390),$B$252=1),$CB$390,HLOOKUP(INDIRECT(ADDRESS(2,COLUMN())),OFFSET($CL$2,0,0,ROW()-1,84),ROW()-1,FALSE))</f>
        <v/>
      </c>
      <c r="CC184">
        <f ca="1">IF(AND(ISNUMBER($CC$390),$B$252=1),$CC$390,HLOOKUP(INDIRECT(ADDRESS(2,COLUMN())),OFFSET($CL$2,0,0,ROW()-1,84),ROW()-1,FALSE))</f>
        <v>58.445312139999999</v>
      </c>
      <c r="CD184" t="str">
        <f ca="1">IF(AND(ISNUMBER($CD$390),$B$252=1),$CD$390,HLOOKUP(INDIRECT(ADDRESS(2,COLUMN())),OFFSET($CL$2,0,0,ROW()-1,84),ROW()-1,FALSE))</f>
        <v/>
      </c>
      <c r="CE184" t="str">
        <f ca="1">IF(AND(ISNUMBER($CE$390),$B$252=1),$CE$390,HLOOKUP(INDIRECT(ADDRESS(2,COLUMN())),OFFSET($CL$2,0,0,ROW()-1,84),ROW()-1,FALSE))</f>
        <v/>
      </c>
      <c r="CF184">
        <f ca="1">IF(AND(ISNUMBER($CF$390),$B$252=1),$CF$390,HLOOKUP(INDIRECT(ADDRESS(2,COLUMN())),OFFSET($CL$2,0,0,ROW()-1,84),ROW()-1,FALSE))</f>
        <v>62.833137989999997</v>
      </c>
      <c r="CG184" t="str">
        <f ca="1">IF(AND(ISNUMBER($CG$390),$B$252=1),$CG$390,HLOOKUP(INDIRECT(ADDRESS(2,COLUMN())),OFFSET($CL$2,0,0,ROW()-1,84),ROW()-1,FALSE))</f>
        <v/>
      </c>
      <c r="CH184" t="str">
        <f ca="1">IF(AND(ISNUMBER($CH$390),$B$252=1),$CH$390,HLOOKUP(INDIRECT(ADDRESS(2,COLUMN())),OFFSET($CL$2,0,0,ROW()-1,84),ROW()-1,FALSE))</f>
        <v/>
      </c>
      <c r="CI184">
        <f ca="1">IF(AND(ISNUMBER($CI$390),$B$252=1),$CI$390,HLOOKUP(INDIRECT(ADDRESS(2,COLUMN())),OFFSET($CL$2,0,0,ROW()-1,84),ROW()-1,FALSE))</f>
        <v>67.516744990000007</v>
      </c>
      <c r="CJ184" t="str">
        <f ca="1">IF(AND(ISNUMBER($CJ$390),$B$252=1),$CJ$390,HLOOKUP(INDIRECT(ADDRESS(2,COLUMN())),OFFSET($CL$2,0,0,ROW()-1,84),ROW()-1,FALSE))</f>
        <v/>
      </c>
      <c r="CK184" t="str">
        <f ca="1">IF(AND(ISNUMBER($CK$390),$B$252=1),$CK$390,HLOOKUP(INDIRECT(ADDRESS(2,COLUMN())),OFFSET($CL$2,0,0,ROW()-1,84),ROW()-1,FALSE))</f>
        <v/>
      </c>
      <c r="CL184" t="str">
        <f>""</f>
        <v/>
      </c>
      <c r="CM184" t="str">
        <f>""</f>
        <v/>
      </c>
      <c r="CN184" t="str">
        <f>""</f>
        <v/>
      </c>
      <c r="CO184">
        <f>62.23663129</f>
        <v>62.236631289999998</v>
      </c>
      <c r="CP184" t="str">
        <f>""</f>
        <v/>
      </c>
      <c r="CQ184" t="str">
        <f>""</f>
        <v/>
      </c>
      <c r="CR184">
        <f>58.18546492</f>
        <v>58.185464920000001</v>
      </c>
      <c r="CS184" t="str">
        <f>""</f>
        <v/>
      </c>
      <c r="CT184" t="str">
        <f>""</f>
        <v/>
      </c>
      <c r="CU184">
        <f>58.76650445</f>
        <v>58.766504449999999</v>
      </c>
      <c r="CV184" t="str">
        <f>""</f>
        <v/>
      </c>
      <c r="CW184" t="str">
        <f>""</f>
        <v/>
      </c>
      <c r="CX184">
        <f>59.6945255</f>
        <v>59.694525499999997</v>
      </c>
      <c r="CY184" t="str">
        <f>""</f>
        <v/>
      </c>
      <c r="CZ184" t="str">
        <f>""</f>
        <v/>
      </c>
      <c r="DA184">
        <f>77.27830786</f>
        <v>77.278307859999998</v>
      </c>
      <c r="DB184" t="str">
        <f>""</f>
        <v/>
      </c>
      <c r="DC184" t="str">
        <f>""</f>
        <v/>
      </c>
      <c r="DD184">
        <f>55.12247583</f>
        <v>55.122475829999999</v>
      </c>
      <c r="DE184" t="str">
        <f>""</f>
        <v/>
      </c>
      <c r="DF184" t="str">
        <f>""</f>
        <v/>
      </c>
      <c r="DG184">
        <f>53.35760325</f>
        <v>53.357603249999997</v>
      </c>
      <c r="DH184" t="str">
        <f>""</f>
        <v/>
      </c>
      <c r="DI184" t="str">
        <f>""</f>
        <v/>
      </c>
      <c r="DJ184">
        <f>57.02410817</f>
        <v>57.024108169999998</v>
      </c>
      <c r="DK184" t="str">
        <f>""</f>
        <v/>
      </c>
      <c r="DL184" t="str">
        <f>""</f>
        <v/>
      </c>
      <c r="DM184">
        <f>56.49067156</f>
        <v>56.490671560000003</v>
      </c>
      <c r="DN184" t="str">
        <f>""</f>
        <v/>
      </c>
      <c r="DO184" t="str">
        <f>""</f>
        <v/>
      </c>
      <c r="DP184">
        <f>55.75456142</f>
        <v>55.754561420000002</v>
      </c>
      <c r="DQ184" t="str">
        <f>""</f>
        <v/>
      </c>
      <c r="DR184" t="str">
        <f>""</f>
        <v/>
      </c>
      <c r="DS184">
        <f>56.74644719</f>
        <v>56.746447189999998</v>
      </c>
      <c r="DT184" t="str">
        <f>""</f>
        <v/>
      </c>
      <c r="DU184" t="str">
        <f>""</f>
        <v/>
      </c>
      <c r="DV184">
        <f>58.18415275</f>
        <v>58.184152750000003</v>
      </c>
      <c r="DW184" t="str">
        <f>""</f>
        <v/>
      </c>
      <c r="DX184" t="str">
        <f>""</f>
        <v/>
      </c>
      <c r="DY184">
        <f>58.45288228</f>
        <v>58.452882279999997</v>
      </c>
      <c r="DZ184" t="str">
        <f>""</f>
        <v/>
      </c>
      <c r="EA184" t="str">
        <f>""</f>
        <v/>
      </c>
      <c r="EB184">
        <f>57.08234472</f>
        <v>57.082344720000002</v>
      </c>
      <c r="EC184" t="str">
        <f>""</f>
        <v/>
      </c>
      <c r="ED184" t="str">
        <f>""</f>
        <v/>
      </c>
      <c r="EE184">
        <f>61.70636172</f>
        <v>61.706361719999997</v>
      </c>
      <c r="EF184" t="str">
        <f>""</f>
        <v/>
      </c>
      <c r="EG184" t="str">
        <f>""</f>
        <v/>
      </c>
      <c r="EH184">
        <f>60.50788254</f>
        <v>60.507882539999997</v>
      </c>
      <c r="EI184" t="str">
        <f>""</f>
        <v/>
      </c>
      <c r="EJ184" t="str">
        <f>""</f>
        <v/>
      </c>
      <c r="EK184">
        <f>60.79106128</f>
        <v>60.791061280000001</v>
      </c>
      <c r="EL184" t="str">
        <f>""</f>
        <v/>
      </c>
      <c r="EM184" t="str">
        <f>""</f>
        <v/>
      </c>
      <c r="EN184">
        <f>55.73266996</f>
        <v>55.732669960000003</v>
      </c>
      <c r="EO184" t="str">
        <f>""</f>
        <v/>
      </c>
      <c r="EP184" t="str">
        <f>""</f>
        <v/>
      </c>
      <c r="EQ184">
        <f>54.38970782</f>
        <v>54.389707819999998</v>
      </c>
      <c r="ER184" t="str">
        <f>""</f>
        <v/>
      </c>
      <c r="ES184" t="str">
        <f>""</f>
        <v/>
      </c>
      <c r="ET184">
        <f>55.61436055</f>
        <v>55.614360550000001</v>
      </c>
      <c r="EU184" t="str">
        <f>""</f>
        <v/>
      </c>
      <c r="EV184" t="str">
        <f>""</f>
        <v/>
      </c>
      <c r="EW184">
        <f>57.30831882</f>
        <v>57.308318819999997</v>
      </c>
      <c r="EX184" t="str">
        <f>""</f>
        <v/>
      </c>
      <c r="EY184" t="str">
        <f>""</f>
        <v/>
      </c>
      <c r="EZ184">
        <f>57.87587242</f>
        <v>57.87587242</v>
      </c>
      <c r="FA184" t="str">
        <f>""</f>
        <v/>
      </c>
      <c r="FB184" t="str">
        <f>""</f>
        <v/>
      </c>
      <c r="FC184">
        <f>58.62398774</f>
        <v>58.623987739999997</v>
      </c>
      <c r="FD184" t="str">
        <f>""</f>
        <v/>
      </c>
      <c r="FE184" t="str">
        <f>""</f>
        <v/>
      </c>
      <c r="FF184">
        <f>59.0328123</f>
        <v>59.032812300000003</v>
      </c>
      <c r="FG184" t="str">
        <f>""</f>
        <v/>
      </c>
      <c r="FH184" t="str">
        <f>""</f>
        <v/>
      </c>
      <c r="FI184">
        <f>58.44531214</f>
        <v>58.445312139999999</v>
      </c>
      <c r="FJ184" t="str">
        <f>""</f>
        <v/>
      </c>
      <c r="FK184" t="str">
        <f>""</f>
        <v/>
      </c>
      <c r="FL184">
        <f>62.83313799</f>
        <v>62.833137989999997</v>
      </c>
      <c r="FM184" t="str">
        <f>""</f>
        <v/>
      </c>
      <c r="FN184" t="str">
        <f>""</f>
        <v/>
      </c>
      <c r="FO184">
        <f>67.51674499</f>
        <v>67.516744990000007</v>
      </c>
      <c r="FP184" t="str">
        <f>""</f>
        <v/>
      </c>
      <c r="FQ184" t="str">
        <f>""</f>
        <v/>
      </c>
    </row>
    <row r="185" spans="1:173">
      <c r="A185" t="str">
        <f>"    Monogram Residential Trust Inc"</f>
        <v xml:space="preserve">    Monogram Residential Trust Inc</v>
      </c>
      <c r="B185" t="str">
        <f>"MORE US Equity"</f>
        <v>MORE US Equity</v>
      </c>
      <c r="C185" t="str">
        <f t="shared" si="57"/>
        <v>F0928</v>
      </c>
      <c r="D185" t="str">
        <f t="shared" si="58"/>
        <v>ADJUSTED_FFO_PAYOUT_RATIO</v>
      </c>
      <c r="E185" t="str">
        <f t="shared" si="59"/>
        <v>动态</v>
      </c>
      <c r="F185" t="str">
        <f ca="1">IF(AND(ISNUMBER($F$391),$B$252=1),$F$391,HLOOKUP(INDIRECT(ADDRESS(2,COLUMN())),OFFSET($CL$2,0,0,ROW()-1,84),ROW()-1,FALSE))</f>
        <v/>
      </c>
      <c r="G185" t="str">
        <f ca="1">IF(AND(ISNUMBER($G$391),$B$252=1),$G$391,HLOOKUP(INDIRECT(ADDRESS(2,COLUMN())),OFFSET($CL$2,0,0,ROW()-1,84),ROW()-1,FALSE))</f>
        <v/>
      </c>
      <c r="H185" t="str">
        <f ca="1">IF(AND(ISNUMBER($H$391),$B$252=1),$H$391,HLOOKUP(INDIRECT(ADDRESS(2,COLUMN())),OFFSET($CL$2,0,0,ROW()-1,84),ROW()-1,FALSE))</f>
        <v/>
      </c>
      <c r="I185" t="str">
        <f ca="1">IF(AND(ISNUMBER($I$391),$B$252=1),$I$391,HLOOKUP(INDIRECT(ADDRESS(2,COLUMN())),OFFSET($CL$2,0,0,ROW()-1,84),ROW()-1,FALSE))</f>
        <v/>
      </c>
      <c r="J185" t="str">
        <f ca="1">IF(AND(ISNUMBER($J$391),$B$252=1),$J$391,HLOOKUP(INDIRECT(ADDRESS(2,COLUMN())),OFFSET($CL$2,0,0,ROW()-1,84),ROW()-1,FALSE))</f>
        <v/>
      </c>
      <c r="K185" t="str">
        <f ca="1">IF(AND(ISNUMBER($K$391),$B$252=1),$K$391,HLOOKUP(INDIRECT(ADDRESS(2,COLUMN())),OFFSET($CL$2,0,0,ROW()-1,84),ROW()-1,FALSE))</f>
        <v/>
      </c>
      <c r="L185" t="str">
        <f ca="1">IF(AND(ISNUMBER($L$391),$B$252=1),$L$391,HLOOKUP(INDIRECT(ADDRESS(2,COLUMN())),OFFSET($CL$2,0,0,ROW()-1,84),ROW()-1,FALSE))</f>
        <v/>
      </c>
      <c r="M185" t="str">
        <f ca="1">IF(AND(ISNUMBER($M$391),$B$252=1),$M$391,HLOOKUP(INDIRECT(ADDRESS(2,COLUMN())),OFFSET($CL$2,0,0,ROW()-1,84),ROW()-1,FALSE))</f>
        <v/>
      </c>
      <c r="N185" t="str">
        <f ca="1">IF(AND(ISNUMBER($N$391),$B$252=1),$N$391,HLOOKUP(INDIRECT(ADDRESS(2,COLUMN())),OFFSET($CL$2,0,0,ROW()-1,84),ROW()-1,FALSE))</f>
        <v/>
      </c>
      <c r="O185">
        <f ca="1">IF(AND(ISNUMBER($O$391),$B$252=1),$O$391,HLOOKUP(INDIRECT(ADDRESS(2,COLUMN())),OFFSET($CL$2,0,0,ROW()-1,84),ROW()-1,FALSE))</f>
        <v>96.033800240000005</v>
      </c>
      <c r="P185" t="str">
        <f ca="1">IF(AND(ISNUMBER($P$391),$B$252=1),$P$391,HLOOKUP(INDIRECT(ADDRESS(2,COLUMN())),OFFSET($CL$2,0,0,ROW()-1,84),ROW()-1,FALSE))</f>
        <v/>
      </c>
      <c r="Q185" t="str">
        <f ca="1">IF(AND(ISNUMBER($Q$391),$B$252=1),$Q$391,HLOOKUP(INDIRECT(ADDRESS(2,COLUMN())),OFFSET($CL$2,0,0,ROW()-1,84),ROW()-1,FALSE))</f>
        <v/>
      </c>
      <c r="R185">
        <f ca="1">IF(AND(ISNUMBER($R$391),$B$252=1),$R$391,HLOOKUP(INDIRECT(ADDRESS(2,COLUMN())),OFFSET($CL$2,0,0,ROW()-1,84),ROW()-1,FALSE))</f>
        <v>116.603354</v>
      </c>
      <c r="S185" t="str">
        <f ca="1">IF(AND(ISNUMBER($S$391),$B$252=1),$S$391,HLOOKUP(INDIRECT(ADDRESS(2,COLUMN())),OFFSET($CL$2,0,0,ROW()-1,84),ROW()-1,FALSE))</f>
        <v/>
      </c>
      <c r="T185" t="str">
        <f ca="1">IF(AND(ISNUMBER($T$391),$B$252=1),$T$391,HLOOKUP(INDIRECT(ADDRESS(2,COLUMN())),OFFSET($CL$2,0,0,ROW()-1,84),ROW()-1,FALSE))</f>
        <v/>
      </c>
      <c r="U185">
        <f ca="1">IF(AND(ISNUMBER($U$391),$B$252=1),$U$391,HLOOKUP(INDIRECT(ADDRESS(2,COLUMN())),OFFSET($CL$2,0,0,ROW()-1,84),ROW()-1,FALSE))</f>
        <v>65.366221339999996</v>
      </c>
      <c r="V185" t="str">
        <f ca="1">IF(AND(ISNUMBER($V$391),$B$252=1),$V$391,HLOOKUP(INDIRECT(ADDRESS(2,COLUMN())),OFFSET($CL$2,0,0,ROW()-1,84),ROW()-1,FALSE))</f>
        <v/>
      </c>
      <c r="W185" t="str">
        <f ca="1">IF(AND(ISNUMBER($W$391),$B$252=1),$W$391,HLOOKUP(INDIRECT(ADDRESS(2,COLUMN())),OFFSET($CL$2,0,0,ROW()-1,84),ROW()-1,FALSE))</f>
        <v/>
      </c>
      <c r="X185">
        <f ca="1">IF(AND(ISNUMBER($X$391),$B$252=1),$X$391,HLOOKUP(INDIRECT(ADDRESS(2,COLUMN())),OFFSET($CL$2,0,0,ROW()-1,84),ROW()-1,FALSE))</f>
        <v>77.663218040000004</v>
      </c>
      <c r="Y185" t="str">
        <f ca="1">IF(AND(ISNUMBER($Y$391),$B$252=1),$Y$391,HLOOKUP(INDIRECT(ADDRESS(2,COLUMN())),OFFSET($CL$2,0,0,ROW()-1,84),ROW()-1,FALSE))</f>
        <v/>
      </c>
      <c r="Z185" t="str">
        <f ca="1">IF(AND(ISNUMBER($Z$391),$B$252=1),$Z$391,HLOOKUP(INDIRECT(ADDRESS(2,COLUMN())),OFFSET($CL$2,0,0,ROW()-1,84),ROW()-1,FALSE))</f>
        <v/>
      </c>
      <c r="AA185">
        <f ca="1">IF(AND(ISNUMBER($AA$391),$B$252=1),$AA$391,HLOOKUP(INDIRECT(ADDRESS(2,COLUMN())),OFFSET($CL$2,0,0,ROW()-1,84),ROW()-1,FALSE))</f>
        <v>103.6615537</v>
      </c>
      <c r="AB185" t="str">
        <f ca="1">IF(AND(ISNUMBER($AB$391),$B$252=1),$AB$391,HLOOKUP(INDIRECT(ADDRESS(2,COLUMN())),OFFSET($CL$2,0,0,ROW()-1,84),ROW()-1,FALSE))</f>
        <v/>
      </c>
      <c r="AC185" t="str">
        <f ca="1">IF(AND(ISNUMBER($AC$391),$B$252=1),$AC$391,HLOOKUP(INDIRECT(ADDRESS(2,COLUMN())),OFFSET($CL$2,0,0,ROW()-1,84),ROW()-1,FALSE))</f>
        <v/>
      </c>
      <c r="AD185">
        <f ca="1">IF(AND(ISNUMBER($AD$391),$B$252=1),$AD$391,HLOOKUP(INDIRECT(ADDRESS(2,COLUMN())),OFFSET($CL$2,0,0,ROW()-1,84),ROW()-1,FALSE))</f>
        <v>99.622866220000006</v>
      </c>
      <c r="AE185" t="str">
        <f ca="1">IF(AND(ISNUMBER($AE$391),$B$252=1),$AE$391,HLOOKUP(INDIRECT(ADDRESS(2,COLUMN())),OFFSET($CL$2,0,0,ROW()-1,84),ROW()-1,FALSE))</f>
        <v/>
      </c>
      <c r="AF185" t="str">
        <f ca="1">IF(AND(ISNUMBER($AF$391),$B$252=1),$AF$391,HLOOKUP(INDIRECT(ADDRESS(2,COLUMN())),OFFSET($CL$2,0,0,ROW()-1,84),ROW()-1,FALSE))</f>
        <v/>
      </c>
      <c r="AG185">
        <f ca="1">IF(AND(ISNUMBER($AG$391),$B$252=1),$AG$391,HLOOKUP(INDIRECT(ADDRESS(2,COLUMN())),OFFSET($CL$2,0,0,ROW()-1,84),ROW()-1,FALSE))</f>
        <v>90.150388100000001</v>
      </c>
      <c r="AH185" t="str">
        <f ca="1">IF(AND(ISNUMBER($AH$391),$B$252=1),$AH$391,HLOOKUP(INDIRECT(ADDRESS(2,COLUMN())),OFFSET($CL$2,0,0,ROW()-1,84),ROW()-1,FALSE))</f>
        <v/>
      </c>
      <c r="AI185" t="str">
        <f ca="1">IF(AND(ISNUMBER($AI$391),$B$252=1),$AI$391,HLOOKUP(INDIRECT(ADDRESS(2,COLUMN())),OFFSET($CL$2,0,0,ROW()-1,84),ROW()-1,FALSE))</f>
        <v/>
      </c>
      <c r="AJ185">
        <f ca="1">IF(AND(ISNUMBER($AJ$391),$B$252=1),$AJ$391,HLOOKUP(INDIRECT(ADDRESS(2,COLUMN())),OFFSET($CL$2,0,0,ROW()-1,84),ROW()-1,FALSE))</f>
        <v>84.643146250000001</v>
      </c>
      <c r="AK185" t="str">
        <f ca="1">IF(AND(ISNUMBER($AK$391),$B$252=1),$AK$391,HLOOKUP(INDIRECT(ADDRESS(2,COLUMN())),OFFSET($CL$2,0,0,ROW()-1,84),ROW()-1,FALSE))</f>
        <v/>
      </c>
      <c r="AL185" t="str">
        <f ca="1">IF(AND(ISNUMBER($AL$391),$B$252=1),$AL$391,HLOOKUP(INDIRECT(ADDRESS(2,COLUMN())),OFFSET($CL$2,0,0,ROW()-1,84),ROW()-1,FALSE))</f>
        <v/>
      </c>
      <c r="AM185">
        <f ca="1">IF(AND(ISNUMBER($AM$391),$B$252=1),$AM$391,HLOOKUP(INDIRECT(ADDRESS(2,COLUMN())),OFFSET($CL$2,0,0,ROW()-1,84),ROW()-1,FALSE))</f>
        <v>58.454062370000003</v>
      </c>
      <c r="AN185" t="str">
        <f ca="1">IF(AND(ISNUMBER($AN$391),$B$252=1),$AN$391,HLOOKUP(INDIRECT(ADDRESS(2,COLUMN())),OFFSET($CL$2,0,0,ROW()-1,84),ROW()-1,FALSE))</f>
        <v/>
      </c>
      <c r="AO185" t="str">
        <f ca="1">IF(AND(ISNUMBER($AO$391),$B$252=1),$AO$391,HLOOKUP(INDIRECT(ADDRESS(2,COLUMN())),OFFSET($CL$2,0,0,ROW()-1,84),ROW()-1,FALSE))</f>
        <v/>
      </c>
      <c r="AP185">
        <f ca="1">IF(AND(ISNUMBER($AP$391),$B$252=1),$AP$391,HLOOKUP(INDIRECT(ADDRESS(2,COLUMN())),OFFSET($CL$2,0,0,ROW()-1,84),ROW()-1,FALSE))</f>
        <v>88.471211120000007</v>
      </c>
      <c r="AQ185" t="str">
        <f ca="1">IF(AND(ISNUMBER($AQ$391),$B$252=1),$AQ$391,HLOOKUP(INDIRECT(ADDRESS(2,COLUMN())),OFFSET($CL$2,0,0,ROW()-1,84),ROW()-1,FALSE))</f>
        <v/>
      </c>
      <c r="AR185" t="str">
        <f ca="1">IF(AND(ISNUMBER($AR$391),$B$252=1),$AR$391,HLOOKUP(INDIRECT(ADDRESS(2,COLUMN())),OFFSET($CL$2,0,0,ROW()-1,84),ROW()-1,FALSE))</f>
        <v/>
      </c>
      <c r="AS185">
        <f ca="1">IF(AND(ISNUMBER($AS$391),$B$252=1),$AS$391,HLOOKUP(INDIRECT(ADDRESS(2,COLUMN())),OFFSET($CL$2,0,0,ROW()-1,84),ROW()-1,FALSE))</f>
        <v>81.774474400000003</v>
      </c>
      <c r="AT185" t="str">
        <f ca="1">IF(AND(ISNUMBER($AT$391),$B$252=1),$AT$391,HLOOKUP(INDIRECT(ADDRESS(2,COLUMN())),OFFSET($CL$2,0,0,ROW()-1,84),ROW()-1,FALSE))</f>
        <v/>
      </c>
      <c r="AU185" t="str">
        <f ca="1">IF(AND(ISNUMBER($AU$391),$B$252=1),$AU$391,HLOOKUP(INDIRECT(ADDRESS(2,COLUMN())),OFFSET($CL$2,0,0,ROW()-1,84),ROW()-1,FALSE))</f>
        <v/>
      </c>
      <c r="AV185">
        <f ca="1">IF(AND(ISNUMBER($AV$391),$B$252=1),$AV$391,HLOOKUP(INDIRECT(ADDRESS(2,COLUMN())),OFFSET($CL$2,0,0,ROW()-1,84),ROW()-1,FALSE))</f>
        <v>97.064454370000007</v>
      </c>
      <c r="AW185" t="str">
        <f ca="1">IF(AND(ISNUMBER($AW$391),$B$252=1),$AW$391,HLOOKUP(INDIRECT(ADDRESS(2,COLUMN())),OFFSET($CL$2,0,0,ROW()-1,84),ROW()-1,FALSE))</f>
        <v/>
      </c>
      <c r="AX185" t="str">
        <f ca="1">IF(AND(ISNUMBER($AX$391),$B$252=1),$AX$391,HLOOKUP(INDIRECT(ADDRESS(2,COLUMN())),OFFSET($CL$2,0,0,ROW()-1,84),ROW()-1,FALSE))</f>
        <v/>
      </c>
      <c r="AY185">
        <f ca="1">IF(AND(ISNUMBER($AY$391),$B$252=1),$AY$391,HLOOKUP(INDIRECT(ADDRESS(2,COLUMN())),OFFSET($CL$2,0,0,ROW()-1,84),ROW()-1,FALSE))</f>
        <v>112.652975</v>
      </c>
      <c r="AZ185" t="str">
        <f ca="1">IF(AND(ISNUMBER($AZ$391),$B$252=1),$AZ$391,HLOOKUP(INDIRECT(ADDRESS(2,COLUMN())),OFFSET($CL$2,0,0,ROW()-1,84),ROW()-1,FALSE))</f>
        <v/>
      </c>
      <c r="BA185" t="str">
        <f ca="1">IF(AND(ISNUMBER($BA$391),$B$252=1),$BA$391,HLOOKUP(INDIRECT(ADDRESS(2,COLUMN())),OFFSET($CL$2,0,0,ROW()-1,84),ROW()-1,FALSE))</f>
        <v/>
      </c>
      <c r="BB185">
        <f ca="1">IF(AND(ISNUMBER($BB$391),$B$252=1),$BB$391,HLOOKUP(INDIRECT(ADDRESS(2,COLUMN())),OFFSET($CL$2,0,0,ROW()-1,84),ROW()-1,FALSE))</f>
        <v>107.3569845</v>
      </c>
      <c r="BC185" t="str">
        <f ca="1">IF(AND(ISNUMBER($BC$391),$B$252=1),$BC$391,HLOOKUP(INDIRECT(ADDRESS(2,COLUMN())),OFFSET($CL$2,0,0,ROW()-1,84),ROW()-1,FALSE))</f>
        <v/>
      </c>
      <c r="BD185" t="str">
        <f ca="1">IF(AND(ISNUMBER($BD$391),$B$252=1),$BD$391,HLOOKUP(INDIRECT(ADDRESS(2,COLUMN())),OFFSET($CL$2,0,0,ROW()-1,84),ROW()-1,FALSE))</f>
        <v/>
      </c>
      <c r="BE185">
        <f ca="1">IF(AND(ISNUMBER($BE$391),$B$252=1),$BE$391,HLOOKUP(INDIRECT(ADDRESS(2,COLUMN())),OFFSET($CL$2,0,0,ROW()-1,84),ROW()-1,FALSE))</f>
        <v>64.090449169999999</v>
      </c>
      <c r="BF185" t="str">
        <f ca="1">IF(AND(ISNUMBER($BF$391),$B$252=1),$BF$391,HLOOKUP(INDIRECT(ADDRESS(2,COLUMN())),OFFSET($CL$2,0,0,ROW()-1,84),ROW()-1,FALSE))</f>
        <v/>
      </c>
      <c r="BG185" t="str">
        <f ca="1">IF(AND(ISNUMBER($BG$391),$B$252=1),$BG$391,HLOOKUP(INDIRECT(ADDRESS(2,COLUMN())),OFFSET($CL$2,0,0,ROW()-1,84),ROW()-1,FALSE))</f>
        <v/>
      </c>
      <c r="BH185">
        <f ca="1">IF(AND(ISNUMBER($BH$391),$B$252=1),$BH$391,HLOOKUP(INDIRECT(ADDRESS(2,COLUMN())),OFFSET($CL$2,0,0,ROW()-1,84),ROW()-1,FALSE))</f>
        <v>353.51162790000001</v>
      </c>
      <c r="BI185" t="str">
        <f ca="1">IF(AND(ISNUMBER($BI$391),$B$252=1),$BI$391,HLOOKUP(INDIRECT(ADDRESS(2,COLUMN())),OFFSET($CL$2,0,0,ROW()-1,84),ROW()-1,FALSE))</f>
        <v/>
      </c>
      <c r="BJ185" t="str">
        <f ca="1">IF(AND(ISNUMBER($BJ$391),$B$252=1),$BJ$391,HLOOKUP(INDIRECT(ADDRESS(2,COLUMN())),OFFSET($CL$2,0,0,ROW()-1,84),ROW()-1,FALSE))</f>
        <v/>
      </c>
      <c r="BK185">
        <f ca="1">IF(AND(ISNUMBER($BK$391),$B$252=1),$BK$391,HLOOKUP(INDIRECT(ADDRESS(2,COLUMN())),OFFSET($CL$2,0,0,ROW()-1,84),ROW()-1,FALSE))</f>
        <v>104.9592857</v>
      </c>
      <c r="BL185" t="str">
        <f ca="1">IF(AND(ISNUMBER($BL$391),$B$252=1),$BL$391,HLOOKUP(INDIRECT(ADDRESS(2,COLUMN())),OFFSET($CL$2,0,0,ROW()-1,84),ROW()-1,FALSE))</f>
        <v/>
      </c>
      <c r="BM185" t="str">
        <f ca="1">IF(AND(ISNUMBER($BM$391),$B$252=1),$BM$391,HLOOKUP(INDIRECT(ADDRESS(2,COLUMN())),OFFSET($CL$2,0,0,ROW()-1,84),ROW()-1,FALSE))</f>
        <v/>
      </c>
      <c r="BN185">
        <f ca="1">IF(AND(ISNUMBER($BN$391),$B$252=1),$BN$391,HLOOKUP(INDIRECT(ADDRESS(2,COLUMN())),OFFSET($CL$2,0,0,ROW()-1,84),ROW()-1,FALSE))</f>
        <v>105.5226277</v>
      </c>
      <c r="BO185" t="str">
        <f ca="1">IF(AND(ISNUMBER($BO$391),$B$252=1),$BO$391,HLOOKUP(INDIRECT(ADDRESS(2,COLUMN())),OFFSET($CL$2,0,0,ROW()-1,84),ROW()-1,FALSE))</f>
        <v/>
      </c>
      <c r="BP185" t="str">
        <f ca="1">IF(AND(ISNUMBER($BP$391),$B$252=1),$BP$391,HLOOKUP(INDIRECT(ADDRESS(2,COLUMN())),OFFSET($CL$2,0,0,ROW()-1,84),ROW()-1,FALSE))</f>
        <v/>
      </c>
      <c r="BQ185">
        <f ca="1">IF(AND(ISNUMBER($BQ$391),$B$252=1),$BQ$391,HLOOKUP(INDIRECT(ADDRESS(2,COLUMN())),OFFSET($CL$2,0,0,ROW()-1,84),ROW()-1,FALSE))</f>
        <v>0</v>
      </c>
      <c r="BR185" t="str">
        <f ca="1">IF(AND(ISNUMBER($BR$391),$B$252=1),$BR$391,HLOOKUP(INDIRECT(ADDRESS(2,COLUMN())),OFFSET($CL$2,0,0,ROW()-1,84),ROW()-1,FALSE))</f>
        <v/>
      </c>
      <c r="BS185" t="str">
        <f ca="1">IF(AND(ISNUMBER($BS$391),$B$252=1),$BS$391,HLOOKUP(INDIRECT(ADDRESS(2,COLUMN())),OFFSET($CL$2,0,0,ROW()-1,84),ROW()-1,FALSE))</f>
        <v/>
      </c>
      <c r="BT185">
        <f ca="1">IF(AND(ISNUMBER($BT$391),$B$252=1),$BT$391,HLOOKUP(INDIRECT(ADDRESS(2,COLUMN())),OFFSET($CL$2,0,0,ROW()-1,84),ROW()-1,FALSE))</f>
        <v>0</v>
      </c>
      <c r="BU185" t="str">
        <f ca="1">IF(AND(ISNUMBER($BU$391),$B$252=1),$BU$391,HLOOKUP(INDIRECT(ADDRESS(2,COLUMN())),OFFSET($CL$2,0,0,ROW()-1,84),ROW()-1,FALSE))</f>
        <v/>
      </c>
      <c r="BV185" t="str">
        <f ca="1">IF(AND(ISNUMBER($BV$391),$B$252=1),$BV$391,HLOOKUP(INDIRECT(ADDRESS(2,COLUMN())),OFFSET($CL$2,0,0,ROW()-1,84),ROW()-1,FALSE))</f>
        <v/>
      </c>
      <c r="BW185">
        <f ca="1">IF(AND(ISNUMBER($BW$391),$B$252=1),$BW$391,HLOOKUP(INDIRECT(ADDRESS(2,COLUMN())),OFFSET($CL$2,0,0,ROW()-1,84),ROW()-1,FALSE))</f>
        <v>0</v>
      </c>
      <c r="BX185" t="str">
        <f ca="1">IF(AND(ISNUMBER($BX$391),$B$252=1),$BX$391,HLOOKUP(INDIRECT(ADDRESS(2,COLUMN())),OFFSET($CL$2,0,0,ROW()-1,84),ROW()-1,FALSE))</f>
        <v/>
      </c>
      <c r="BY185" t="str">
        <f ca="1">IF(AND(ISNUMBER($BY$391),$B$252=1),$BY$391,HLOOKUP(INDIRECT(ADDRESS(2,COLUMN())),OFFSET($CL$2,0,0,ROW()-1,84),ROW()-1,FALSE))</f>
        <v/>
      </c>
      <c r="BZ185">
        <f ca="1">IF(AND(ISNUMBER($BZ$391),$B$252=1),$BZ$391,HLOOKUP(INDIRECT(ADDRESS(2,COLUMN())),OFFSET($CL$2,0,0,ROW()-1,84),ROW()-1,FALSE))</f>
        <v>0</v>
      </c>
      <c r="CA185" t="str">
        <f ca="1">IF(AND(ISNUMBER($CA$391),$B$252=1),$CA$391,HLOOKUP(INDIRECT(ADDRESS(2,COLUMN())),OFFSET($CL$2,0,0,ROW()-1,84),ROW()-1,FALSE))</f>
        <v/>
      </c>
      <c r="CB185" t="str">
        <f ca="1">IF(AND(ISNUMBER($CB$391),$B$252=1),$CB$391,HLOOKUP(INDIRECT(ADDRESS(2,COLUMN())),OFFSET($CL$2,0,0,ROW()-1,84),ROW()-1,FALSE))</f>
        <v/>
      </c>
      <c r="CC185" t="str">
        <f ca="1">IF(AND(ISNUMBER($CC$391),$B$252=1),$CC$391,HLOOKUP(INDIRECT(ADDRESS(2,COLUMN())),OFFSET($CL$2,0,0,ROW()-1,84),ROW()-1,FALSE))</f>
        <v/>
      </c>
      <c r="CD185" t="str">
        <f ca="1">IF(AND(ISNUMBER($CD$391),$B$252=1),$CD$391,HLOOKUP(INDIRECT(ADDRESS(2,COLUMN())),OFFSET($CL$2,0,0,ROW()-1,84),ROW()-1,FALSE))</f>
        <v/>
      </c>
      <c r="CE185" t="str">
        <f ca="1">IF(AND(ISNUMBER($CE$391),$B$252=1),$CE$391,HLOOKUP(INDIRECT(ADDRESS(2,COLUMN())),OFFSET($CL$2,0,0,ROW()-1,84),ROW()-1,FALSE))</f>
        <v/>
      </c>
      <c r="CF185" t="str">
        <f ca="1">IF(AND(ISNUMBER($CF$391),$B$252=1),$CF$391,HLOOKUP(INDIRECT(ADDRESS(2,COLUMN())),OFFSET($CL$2,0,0,ROW()-1,84),ROW()-1,FALSE))</f>
        <v/>
      </c>
      <c r="CG185" t="str">
        <f ca="1">IF(AND(ISNUMBER($CG$391),$B$252=1),$CG$391,HLOOKUP(INDIRECT(ADDRESS(2,COLUMN())),OFFSET($CL$2,0,0,ROW()-1,84),ROW()-1,FALSE))</f>
        <v/>
      </c>
      <c r="CH185" t="str">
        <f ca="1">IF(AND(ISNUMBER($CH$391),$B$252=1),$CH$391,HLOOKUP(INDIRECT(ADDRESS(2,COLUMN())),OFFSET($CL$2,0,0,ROW()-1,84),ROW()-1,FALSE))</f>
        <v/>
      </c>
      <c r="CI185" t="str">
        <f ca="1">IF(AND(ISNUMBER($CI$391),$B$252=1),$CI$391,HLOOKUP(INDIRECT(ADDRESS(2,COLUMN())),OFFSET($CL$2,0,0,ROW()-1,84),ROW()-1,FALSE))</f>
        <v/>
      </c>
      <c r="CJ185" t="str">
        <f ca="1">IF(AND(ISNUMBER($CJ$391),$B$252=1),$CJ$391,HLOOKUP(INDIRECT(ADDRESS(2,COLUMN())),OFFSET($CL$2,0,0,ROW()-1,84),ROW()-1,FALSE))</f>
        <v/>
      </c>
      <c r="CK185" t="str">
        <f ca="1">IF(AND(ISNUMBER($CK$391),$B$252=1),$CK$391,HLOOKUP(INDIRECT(ADDRESS(2,COLUMN())),OFFSET($CL$2,0,0,ROW()-1,84),ROW()-1,FALSE))</f>
        <v/>
      </c>
      <c r="CL185" t="str">
        <f>""</f>
        <v/>
      </c>
      <c r="CM185" t="str">
        <f>""</f>
        <v/>
      </c>
      <c r="CN185" t="str">
        <f>""</f>
        <v/>
      </c>
      <c r="CO185" t="str">
        <f>""</f>
        <v/>
      </c>
      <c r="CP185" t="str">
        <f>""</f>
        <v/>
      </c>
      <c r="CQ185" t="str">
        <f>""</f>
        <v/>
      </c>
      <c r="CR185" t="str">
        <f>""</f>
        <v/>
      </c>
      <c r="CS185" t="str">
        <f>""</f>
        <v/>
      </c>
      <c r="CT185" t="str">
        <f>""</f>
        <v/>
      </c>
      <c r="CU185">
        <f>96.03380024</f>
        <v>96.033800240000005</v>
      </c>
      <c r="CV185" t="str">
        <f>""</f>
        <v/>
      </c>
      <c r="CW185" t="str">
        <f>""</f>
        <v/>
      </c>
      <c r="CX185">
        <f>116.603354</f>
        <v>116.603354</v>
      </c>
      <c r="CY185" t="str">
        <f>""</f>
        <v/>
      </c>
      <c r="CZ185" t="str">
        <f>""</f>
        <v/>
      </c>
      <c r="DA185">
        <f>65.36622134</f>
        <v>65.366221339999996</v>
      </c>
      <c r="DB185" t="str">
        <f>""</f>
        <v/>
      </c>
      <c r="DC185" t="str">
        <f>""</f>
        <v/>
      </c>
      <c r="DD185">
        <f>77.66321804</f>
        <v>77.663218040000004</v>
      </c>
      <c r="DE185" t="str">
        <f>""</f>
        <v/>
      </c>
      <c r="DF185" t="str">
        <f>""</f>
        <v/>
      </c>
      <c r="DG185">
        <f>103.6615537</f>
        <v>103.6615537</v>
      </c>
      <c r="DH185" t="str">
        <f>""</f>
        <v/>
      </c>
      <c r="DI185" t="str">
        <f>""</f>
        <v/>
      </c>
      <c r="DJ185">
        <f>99.62286622</f>
        <v>99.622866220000006</v>
      </c>
      <c r="DK185" t="str">
        <f>""</f>
        <v/>
      </c>
      <c r="DL185" t="str">
        <f>""</f>
        <v/>
      </c>
      <c r="DM185">
        <f>90.1503881</f>
        <v>90.150388100000001</v>
      </c>
      <c r="DN185" t="str">
        <f>""</f>
        <v/>
      </c>
      <c r="DO185" t="str">
        <f>""</f>
        <v/>
      </c>
      <c r="DP185">
        <f>84.64314625</f>
        <v>84.643146250000001</v>
      </c>
      <c r="DQ185" t="str">
        <f>""</f>
        <v/>
      </c>
      <c r="DR185" t="str">
        <f>""</f>
        <v/>
      </c>
      <c r="DS185">
        <f>58.45406237</f>
        <v>58.454062370000003</v>
      </c>
      <c r="DT185" t="str">
        <f>""</f>
        <v/>
      </c>
      <c r="DU185" t="str">
        <f>""</f>
        <v/>
      </c>
      <c r="DV185">
        <f>88.47121112</f>
        <v>88.471211120000007</v>
      </c>
      <c r="DW185" t="str">
        <f>""</f>
        <v/>
      </c>
      <c r="DX185" t="str">
        <f>""</f>
        <v/>
      </c>
      <c r="DY185">
        <f>81.7744744</f>
        <v>81.774474400000003</v>
      </c>
      <c r="DZ185" t="str">
        <f>""</f>
        <v/>
      </c>
      <c r="EA185" t="str">
        <f>""</f>
        <v/>
      </c>
      <c r="EB185">
        <f>97.06445437</f>
        <v>97.064454370000007</v>
      </c>
      <c r="EC185" t="str">
        <f>""</f>
        <v/>
      </c>
      <c r="ED185" t="str">
        <f>""</f>
        <v/>
      </c>
      <c r="EE185">
        <f>112.652975</f>
        <v>112.652975</v>
      </c>
      <c r="EF185" t="str">
        <f>""</f>
        <v/>
      </c>
      <c r="EG185" t="str">
        <f>""</f>
        <v/>
      </c>
      <c r="EH185">
        <f>107.3569845</f>
        <v>107.3569845</v>
      </c>
      <c r="EI185" t="str">
        <f>""</f>
        <v/>
      </c>
      <c r="EJ185" t="str">
        <f>""</f>
        <v/>
      </c>
      <c r="EK185">
        <f>64.09044917</f>
        <v>64.090449169999999</v>
      </c>
      <c r="EL185" t="str">
        <f>""</f>
        <v/>
      </c>
      <c r="EM185" t="str">
        <f>""</f>
        <v/>
      </c>
      <c r="EN185">
        <f>353.5116279</f>
        <v>353.51162790000001</v>
      </c>
      <c r="EO185" t="str">
        <f>""</f>
        <v/>
      </c>
      <c r="EP185" t="str">
        <f>""</f>
        <v/>
      </c>
      <c r="EQ185">
        <f>104.9592857</f>
        <v>104.9592857</v>
      </c>
      <c r="ER185" t="str">
        <f>""</f>
        <v/>
      </c>
      <c r="ES185" t="str">
        <f>""</f>
        <v/>
      </c>
      <c r="ET185">
        <f>105.5226277</f>
        <v>105.5226277</v>
      </c>
      <c r="EU185" t="str">
        <f>""</f>
        <v/>
      </c>
      <c r="EV185" t="str">
        <f>""</f>
        <v/>
      </c>
      <c r="EW185">
        <f>0</f>
        <v>0</v>
      </c>
      <c r="EX185" t="str">
        <f>""</f>
        <v/>
      </c>
      <c r="EY185" t="str">
        <f>""</f>
        <v/>
      </c>
      <c r="EZ185">
        <f>0</f>
        <v>0</v>
      </c>
      <c r="FA185" t="str">
        <f>""</f>
        <v/>
      </c>
      <c r="FB185" t="str">
        <f>""</f>
        <v/>
      </c>
      <c r="FC185">
        <f>0</f>
        <v>0</v>
      </c>
      <c r="FD185" t="str">
        <f>""</f>
        <v/>
      </c>
      <c r="FE185" t="str">
        <f>""</f>
        <v/>
      </c>
      <c r="FF185">
        <f>0</f>
        <v>0</v>
      </c>
      <c r="FG185" t="str">
        <f>""</f>
        <v/>
      </c>
      <c r="FH185" t="str">
        <f>""</f>
        <v/>
      </c>
      <c r="FI185" t="str">
        <f>""</f>
        <v/>
      </c>
      <c r="FJ185" t="str">
        <f>""</f>
        <v/>
      </c>
      <c r="FK185" t="str">
        <f>""</f>
        <v/>
      </c>
      <c r="FL185" t="str">
        <f>""</f>
        <v/>
      </c>
      <c r="FM185" t="str">
        <f>""</f>
        <v/>
      </c>
      <c r="FN185" t="str">
        <f>""</f>
        <v/>
      </c>
      <c r="FO185" t="str">
        <f>""</f>
        <v/>
      </c>
      <c r="FP185" t="str">
        <f>""</f>
        <v/>
      </c>
      <c r="FQ185" t="str">
        <f>""</f>
        <v/>
      </c>
    </row>
    <row r="186" spans="1:173">
      <c r="A186" t="str">
        <f>"    UDR Inc"</f>
        <v xml:space="preserve">    UDR Inc</v>
      </c>
      <c r="B186" t="str">
        <f>"UDR US Equity"</f>
        <v>UDR US Equity</v>
      </c>
      <c r="C186" t="str">
        <f t="shared" si="57"/>
        <v>F0928</v>
      </c>
      <c r="D186" t="str">
        <f t="shared" si="58"/>
        <v>ADJUSTED_FFO_PAYOUT_RATIO</v>
      </c>
      <c r="E186" t="str">
        <f t="shared" si="59"/>
        <v>动态</v>
      </c>
      <c r="F186" t="str">
        <f ca="1">IF(AND(ISNUMBER($F$392),$B$252=1),$F$392,HLOOKUP(INDIRECT(ADDRESS(2,COLUMN())),OFFSET($CL$2,0,0,ROW()-1,84),ROW()-1,FALSE))</f>
        <v/>
      </c>
      <c r="G186" t="str">
        <f ca="1">IF(AND(ISNUMBER($G$392),$B$252=1),$G$392,HLOOKUP(INDIRECT(ADDRESS(2,COLUMN())),OFFSET($CL$2,0,0,ROW()-1,84),ROW()-1,FALSE))</f>
        <v/>
      </c>
      <c r="H186" t="str">
        <f ca="1">IF(AND(ISNUMBER($H$392),$B$252=1),$H$392,HLOOKUP(INDIRECT(ADDRESS(2,COLUMN())),OFFSET($CL$2,0,0,ROW()-1,84),ROW()-1,FALSE))</f>
        <v/>
      </c>
      <c r="I186">
        <f ca="1">IF(AND(ISNUMBER($I$392),$B$252=1),$I$392,HLOOKUP(INDIRECT(ADDRESS(2,COLUMN())),OFFSET($CL$2,0,0,ROW()-1,84),ROW()-1,FALSE))</f>
        <v>64.942932749999997</v>
      </c>
      <c r="J186" t="str">
        <f ca="1">IF(AND(ISNUMBER($J$392),$B$252=1),$J$392,HLOOKUP(INDIRECT(ADDRESS(2,COLUMN())),OFFSET($CL$2,0,0,ROW()-1,84),ROW()-1,FALSE))</f>
        <v/>
      </c>
      <c r="K186" t="str">
        <f ca="1">IF(AND(ISNUMBER($K$392),$B$252=1),$K$392,HLOOKUP(INDIRECT(ADDRESS(2,COLUMN())),OFFSET($CL$2,0,0,ROW()-1,84),ROW()-1,FALSE))</f>
        <v/>
      </c>
      <c r="L186">
        <f ca="1">IF(AND(ISNUMBER($L$392),$B$252=1),$L$392,HLOOKUP(INDIRECT(ADDRESS(2,COLUMN())),OFFSET($CL$2,0,0,ROW()-1,84),ROW()-1,FALSE))</f>
        <v>65.928626690000002</v>
      </c>
      <c r="M186" t="str">
        <f ca="1">IF(AND(ISNUMBER($M$392),$B$252=1),$M$392,HLOOKUP(INDIRECT(ADDRESS(2,COLUMN())),OFFSET($CL$2,0,0,ROW()-1,84),ROW()-1,FALSE))</f>
        <v/>
      </c>
      <c r="N186" t="str">
        <f ca="1">IF(AND(ISNUMBER($N$392),$B$252=1),$N$392,HLOOKUP(INDIRECT(ADDRESS(2,COLUMN())),OFFSET($CL$2,0,0,ROW()-1,84),ROW()-1,FALSE))</f>
        <v/>
      </c>
      <c r="O186">
        <f ca="1">IF(AND(ISNUMBER($O$392),$B$252=1),$O$392,HLOOKUP(INDIRECT(ADDRESS(2,COLUMN())),OFFSET($CL$2,0,0,ROW()-1,84),ROW()-1,FALSE))</f>
        <v>65.93615878</v>
      </c>
      <c r="P186" t="str">
        <f ca="1">IF(AND(ISNUMBER($P$392),$B$252=1),$P$392,HLOOKUP(INDIRECT(ADDRESS(2,COLUMN())),OFFSET($CL$2,0,0,ROW()-1,84),ROW()-1,FALSE))</f>
        <v/>
      </c>
      <c r="Q186" t="str">
        <f ca="1">IF(AND(ISNUMBER($Q$392),$B$252=1),$Q$392,HLOOKUP(INDIRECT(ADDRESS(2,COLUMN())),OFFSET($CL$2,0,0,ROW()-1,84),ROW()-1,FALSE))</f>
        <v/>
      </c>
      <c r="R186">
        <f ca="1">IF(AND(ISNUMBER($R$392),$B$252=1),$R$392,HLOOKUP(INDIRECT(ADDRESS(2,COLUMN())),OFFSET($CL$2,0,0,ROW()-1,84),ROW()-1,FALSE))</f>
        <v>68.612957129999998</v>
      </c>
      <c r="S186" t="str">
        <f ca="1">IF(AND(ISNUMBER($S$392),$B$252=1),$S$392,HLOOKUP(INDIRECT(ADDRESS(2,COLUMN())),OFFSET($CL$2,0,0,ROW()-1,84),ROW()-1,FALSE))</f>
        <v/>
      </c>
      <c r="T186" t="str">
        <f ca="1">IF(AND(ISNUMBER($T$392),$B$252=1),$T$392,HLOOKUP(INDIRECT(ADDRESS(2,COLUMN())),OFFSET($CL$2,0,0,ROW()-1,84),ROW()-1,FALSE))</f>
        <v/>
      </c>
      <c r="U186">
        <f ca="1">IF(AND(ISNUMBER($U$392),$B$252=1),$U$392,HLOOKUP(INDIRECT(ADDRESS(2,COLUMN())),OFFSET($CL$2,0,0,ROW()-1,84),ROW()-1,FALSE))</f>
        <v>64.321908890000003</v>
      </c>
      <c r="V186" t="str">
        <f ca="1">IF(AND(ISNUMBER($V$392),$B$252=1),$V$392,HLOOKUP(INDIRECT(ADDRESS(2,COLUMN())),OFFSET($CL$2,0,0,ROW()-1,84),ROW()-1,FALSE))</f>
        <v/>
      </c>
      <c r="W186" t="str">
        <f ca="1">IF(AND(ISNUMBER($W$392),$B$252=1),$W$392,HLOOKUP(INDIRECT(ADDRESS(2,COLUMN())),OFFSET($CL$2,0,0,ROW()-1,84),ROW()-1,FALSE))</f>
        <v/>
      </c>
      <c r="X186">
        <f ca="1">IF(AND(ISNUMBER($X$392),$B$252=1),$X$392,HLOOKUP(INDIRECT(ADDRESS(2,COLUMN())),OFFSET($CL$2,0,0,ROW()-1,84),ROW()-1,FALSE))</f>
        <v>65.223747489999994</v>
      </c>
      <c r="Y186" t="str">
        <f ca="1">IF(AND(ISNUMBER($Y$392),$B$252=1),$Y$392,HLOOKUP(INDIRECT(ADDRESS(2,COLUMN())),OFFSET($CL$2,0,0,ROW()-1,84),ROW()-1,FALSE))</f>
        <v/>
      </c>
      <c r="Z186" t="str">
        <f ca="1">IF(AND(ISNUMBER($Z$392),$B$252=1),$Z$392,HLOOKUP(INDIRECT(ADDRESS(2,COLUMN())),OFFSET($CL$2,0,0,ROW()-1,84),ROW()-1,FALSE))</f>
        <v/>
      </c>
      <c r="AA186">
        <f ca="1">IF(AND(ISNUMBER($AA$392),$B$252=1),$AA$392,HLOOKUP(INDIRECT(ADDRESS(2,COLUMN())),OFFSET($CL$2,0,0,ROW()-1,84),ROW()-1,FALSE))</f>
        <v>66.167047569999994</v>
      </c>
      <c r="AB186" t="str">
        <f ca="1">IF(AND(ISNUMBER($AB$392),$B$252=1),$AB$392,HLOOKUP(INDIRECT(ADDRESS(2,COLUMN())),OFFSET($CL$2,0,0,ROW()-1,84),ROW()-1,FALSE))</f>
        <v/>
      </c>
      <c r="AC186" t="str">
        <f ca="1">IF(AND(ISNUMBER($AC$392),$B$252=1),$AC$392,HLOOKUP(INDIRECT(ADDRESS(2,COLUMN())),OFFSET($CL$2,0,0,ROW()-1,84),ROW()-1,FALSE))</f>
        <v/>
      </c>
      <c r="AD186">
        <f ca="1">IF(AND(ISNUMBER($AD$392),$B$252=1),$AD$392,HLOOKUP(INDIRECT(ADDRESS(2,COLUMN())),OFFSET($CL$2,0,0,ROW()-1,84),ROW()-1,FALSE))</f>
        <v>68.661818069999995</v>
      </c>
      <c r="AE186" t="str">
        <f ca="1">IF(AND(ISNUMBER($AE$392),$B$252=1),$AE$392,HLOOKUP(INDIRECT(ADDRESS(2,COLUMN())),OFFSET($CL$2,0,0,ROW()-1,84),ROW()-1,FALSE))</f>
        <v/>
      </c>
      <c r="AF186" t="str">
        <f ca="1">IF(AND(ISNUMBER($AF$392),$B$252=1),$AF$392,HLOOKUP(INDIRECT(ADDRESS(2,COLUMN())),OFFSET($CL$2,0,0,ROW()-1,84),ROW()-1,FALSE))</f>
        <v/>
      </c>
      <c r="AG186">
        <f ca="1">IF(AND(ISNUMBER($AG$392),$B$252=1),$AG$392,HLOOKUP(INDIRECT(ADDRESS(2,COLUMN())),OFFSET($CL$2,0,0,ROW()-1,84),ROW()-1,FALSE))</f>
        <v>65.374810389999993</v>
      </c>
      <c r="AH186" t="str">
        <f ca="1">IF(AND(ISNUMBER($AH$392),$B$252=1),$AH$392,HLOOKUP(INDIRECT(ADDRESS(2,COLUMN())),OFFSET($CL$2,0,0,ROW()-1,84),ROW()-1,FALSE))</f>
        <v/>
      </c>
      <c r="AI186" t="str">
        <f ca="1">IF(AND(ISNUMBER($AI$392),$B$252=1),$AI$392,HLOOKUP(INDIRECT(ADDRESS(2,COLUMN())),OFFSET($CL$2,0,0,ROW()-1,84),ROW()-1,FALSE))</f>
        <v/>
      </c>
      <c r="AJ186">
        <f ca="1">IF(AND(ISNUMBER($AJ$392),$B$252=1),$AJ$392,HLOOKUP(INDIRECT(ADDRESS(2,COLUMN())),OFFSET($CL$2,0,0,ROW()-1,84),ROW()-1,FALSE))</f>
        <v>65.573132189999995</v>
      </c>
      <c r="AK186" t="str">
        <f ca="1">IF(AND(ISNUMBER($AK$392),$B$252=1),$AK$392,HLOOKUP(INDIRECT(ADDRESS(2,COLUMN())),OFFSET($CL$2,0,0,ROW()-1,84),ROW()-1,FALSE))</f>
        <v/>
      </c>
      <c r="AL186" t="str">
        <f ca="1">IF(AND(ISNUMBER($AL$392),$B$252=1),$AL$392,HLOOKUP(INDIRECT(ADDRESS(2,COLUMN())),OFFSET($CL$2,0,0,ROW()-1,84),ROW()-1,FALSE))</f>
        <v/>
      </c>
      <c r="AM186">
        <f ca="1">IF(AND(ISNUMBER($AM$392),$B$252=1),$AM$392,HLOOKUP(INDIRECT(ADDRESS(2,COLUMN())),OFFSET($CL$2,0,0,ROW()-1,84),ROW()-1,FALSE))</f>
        <v>66.106932490000005</v>
      </c>
      <c r="AN186" t="str">
        <f ca="1">IF(AND(ISNUMBER($AN$392),$B$252=1),$AN$392,HLOOKUP(INDIRECT(ADDRESS(2,COLUMN())),OFFSET($CL$2,0,0,ROW()-1,84),ROW()-1,FALSE))</f>
        <v/>
      </c>
      <c r="AO186" t="str">
        <f ca="1">IF(AND(ISNUMBER($AO$392),$B$252=1),$AO$392,HLOOKUP(INDIRECT(ADDRESS(2,COLUMN())),OFFSET($CL$2,0,0,ROW()-1,84),ROW()-1,FALSE))</f>
        <v/>
      </c>
      <c r="AP186">
        <f ca="1">IF(AND(ISNUMBER($AP$392),$B$252=1),$AP$392,HLOOKUP(INDIRECT(ADDRESS(2,COLUMN())),OFFSET($CL$2,0,0,ROW()-1,84),ROW()-1,FALSE))</f>
        <v>69.348245180000006</v>
      </c>
      <c r="AQ186" t="str">
        <f ca="1">IF(AND(ISNUMBER($AQ$392),$B$252=1),$AQ$392,HLOOKUP(INDIRECT(ADDRESS(2,COLUMN())),OFFSET($CL$2,0,0,ROW()-1,84),ROW()-1,FALSE))</f>
        <v/>
      </c>
      <c r="AR186" t="str">
        <f ca="1">IF(AND(ISNUMBER($AR$392),$B$252=1),$AR$392,HLOOKUP(INDIRECT(ADDRESS(2,COLUMN())),OFFSET($CL$2,0,0,ROW()-1,84),ROW()-1,FALSE))</f>
        <v/>
      </c>
      <c r="AS186">
        <f ca="1">IF(AND(ISNUMBER($AS$392),$B$252=1),$AS$392,HLOOKUP(INDIRECT(ADDRESS(2,COLUMN())),OFFSET($CL$2,0,0,ROW()-1,84),ROW()-1,FALSE))</f>
        <v>66.65306357</v>
      </c>
      <c r="AT186" t="str">
        <f ca="1">IF(AND(ISNUMBER($AT$392),$B$252=1),$AT$392,HLOOKUP(INDIRECT(ADDRESS(2,COLUMN())),OFFSET($CL$2,0,0,ROW()-1,84),ROW()-1,FALSE))</f>
        <v/>
      </c>
      <c r="AU186" t="str">
        <f ca="1">IF(AND(ISNUMBER($AU$392),$B$252=1),$AU$392,HLOOKUP(INDIRECT(ADDRESS(2,COLUMN())),OFFSET($CL$2,0,0,ROW()-1,84),ROW()-1,FALSE))</f>
        <v/>
      </c>
      <c r="AV186" t="str">
        <f ca="1">IF(AND(ISNUMBER($AV$392),$B$252=1),$AV$392,HLOOKUP(INDIRECT(ADDRESS(2,COLUMN())),OFFSET($CL$2,0,0,ROW()-1,84),ROW()-1,FALSE))</f>
        <v/>
      </c>
      <c r="AW186" t="str">
        <f ca="1">IF(AND(ISNUMBER($AW$392),$B$252=1),$AW$392,HLOOKUP(INDIRECT(ADDRESS(2,COLUMN())),OFFSET($CL$2,0,0,ROW()-1,84),ROW()-1,FALSE))</f>
        <v/>
      </c>
      <c r="AX186" t="str">
        <f ca="1">IF(AND(ISNUMBER($AX$392),$B$252=1),$AX$392,HLOOKUP(INDIRECT(ADDRESS(2,COLUMN())),OFFSET($CL$2,0,0,ROW()-1,84),ROW()-1,FALSE))</f>
        <v/>
      </c>
      <c r="AY186" t="str">
        <f ca="1">IF(AND(ISNUMBER($AY$392),$B$252=1),$AY$392,HLOOKUP(INDIRECT(ADDRESS(2,COLUMN())),OFFSET($CL$2,0,0,ROW()-1,84),ROW()-1,FALSE))</f>
        <v/>
      </c>
      <c r="AZ186" t="str">
        <f ca="1">IF(AND(ISNUMBER($AZ$392),$B$252=1),$AZ$392,HLOOKUP(INDIRECT(ADDRESS(2,COLUMN())),OFFSET($CL$2,0,0,ROW()-1,84),ROW()-1,FALSE))</f>
        <v/>
      </c>
      <c r="BA186" t="str">
        <f ca="1">IF(AND(ISNUMBER($BA$392),$B$252=1),$BA$392,HLOOKUP(INDIRECT(ADDRESS(2,COLUMN())),OFFSET($CL$2,0,0,ROW()-1,84),ROW()-1,FALSE))</f>
        <v/>
      </c>
      <c r="BB186">
        <f ca="1">IF(AND(ISNUMBER($BB$392),$B$252=1),$BB$392,HLOOKUP(INDIRECT(ADDRESS(2,COLUMN())),OFFSET($CL$2,0,0,ROW()-1,84),ROW()-1,FALSE))</f>
        <v>65.680908799999997</v>
      </c>
      <c r="BC186" t="str">
        <f ca="1">IF(AND(ISNUMBER($BC$392),$B$252=1),$BC$392,HLOOKUP(INDIRECT(ADDRESS(2,COLUMN())),OFFSET($CL$2,0,0,ROW()-1,84),ROW()-1,FALSE))</f>
        <v/>
      </c>
      <c r="BD186" t="str">
        <f ca="1">IF(AND(ISNUMBER($BD$392),$B$252=1),$BD$392,HLOOKUP(INDIRECT(ADDRESS(2,COLUMN())),OFFSET($CL$2,0,0,ROW()-1,84),ROW()-1,FALSE))</f>
        <v/>
      </c>
      <c r="BE186">
        <f ca="1">IF(AND(ISNUMBER($BE$392),$B$252=1),$BE$392,HLOOKUP(INDIRECT(ADDRESS(2,COLUMN())),OFFSET($CL$2,0,0,ROW()-1,84),ROW()-1,FALSE))</f>
        <v>64.366106060000007</v>
      </c>
      <c r="BF186" t="str">
        <f ca="1">IF(AND(ISNUMBER($BF$392),$B$252=1),$BF$392,HLOOKUP(INDIRECT(ADDRESS(2,COLUMN())),OFFSET($CL$2,0,0,ROW()-1,84),ROW()-1,FALSE))</f>
        <v/>
      </c>
      <c r="BG186" t="str">
        <f ca="1">IF(AND(ISNUMBER($BG$392),$B$252=1),$BG$392,HLOOKUP(INDIRECT(ADDRESS(2,COLUMN())),OFFSET($CL$2,0,0,ROW()-1,84),ROW()-1,FALSE))</f>
        <v/>
      </c>
      <c r="BH186">
        <f ca="1">IF(AND(ISNUMBER($BH$392),$B$252=1),$BH$392,HLOOKUP(INDIRECT(ADDRESS(2,COLUMN())),OFFSET($CL$2,0,0,ROW()-1,84),ROW()-1,FALSE))</f>
        <v>66.009428240000005</v>
      </c>
      <c r="BI186" t="str">
        <f ca="1">IF(AND(ISNUMBER($BI$392),$B$252=1),$BI$392,HLOOKUP(INDIRECT(ADDRESS(2,COLUMN())),OFFSET($CL$2,0,0,ROW()-1,84),ROW()-1,FALSE))</f>
        <v/>
      </c>
      <c r="BJ186" t="str">
        <f ca="1">IF(AND(ISNUMBER($BJ$392),$B$252=1),$BJ$392,HLOOKUP(INDIRECT(ADDRESS(2,COLUMN())),OFFSET($CL$2,0,0,ROW()-1,84),ROW()-1,FALSE))</f>
        <v/>
      </c>
      <c r="BK186">
        <f ca="1">IF(AND(ISNUMBER($BK$392),$B$252=1),$BK$392,HLOOKUP(INDIRECT(ADDRESS(2,COLUMN())),OFFSET($CL$2,0,0,ROW()-1,84),ROW()-1,FALSE))</f>
        <v>66.211982989999996</v>
      </c>
      <c r="BL186" t="str">
        <f ca="1">IF(AND(ISNUMBER($BL$392),$B$252=1),$BL$392,HLOOKUP(INDIRECT(ADDRESS(2,COLUMN())),OFFSET($CL$2,0,0,ROW()-1,84),ROW()-1,FALSE))</f>
        <v/>
      </c>
      <c r="BM186" t="str">
        <f ca="1">IF(AND(ISNUMBER($BM$392),$B$252=1),$BM$392,HLOOKUP(INDIRECT(ADDRESS(2,COLUMN())),OFFSET($CL$2,0,0,ROW()-1,84),ROW()-1,FALSE))</f>
        <v/>
      </c>
      <c r="BN186">
        <f ca="1">IF(AND(ISNUMBER($BN$392),$B$252=1),$BN$392,HLOOKUP(INDIRECT(ADDRESS(2,COLUMN())),OFFSET($CL$2,0,0,ROW()-1,84),ROW()-1,FALSE))</f>
        <v>64.944145840000004</v>
      </c>
      <c r="BO186" t="str">
        <f ca="1">IF(AND(ISNUMBER($BO$392),$B$252=1),$BO$392,HLOOKUP(INDIRECT(ADDRESS(2,COLUMN())),OFFSET($CL$2,0,0,ROW()-1,84),ROW()-1,FALSE))</f>
        <v/>
      </c>
      <c r="BP186" t="str">
        <f ca="1">IF(AND(ISNUMBER($BP$392),$B$252=1),$BP$392,HLOOKUP(INDIRECT(ADDRESS(2,COLUMN())),OFFSET($CL$2,0,0,ROW()-1,84),ROW()-1,FALSE))</f>
        <v/>
      </c>
      <c r="BQ186">
        <f ca="1">IF(AND(ISNUMBER($BQ$392),$B$252=1),$BQ$392,HLOOKUP(INDIRECT(ADDRESS(2,COLUMN())),OFFSET($CL$2,0,0,ROW()-1,84),ROW()-1,FALSE))</f>
        <v>58.948814759999998</v>
      </c>
      <c r="BR186" t="str">
        <f ca="1">IF(AND(ISNUMBER($BR$392),$B$252=1),$BR$392,HLOOKUP(INDIRECT(ADDRESS(2,COLUMN())),OFFSET($CL$2,0,0,ROW()-1,84),ROW()-1,FALSE))</f>
        <v/>
      </c>
      <c r="BS186" t="str">
        <f ca="1">IF(AND(ISNUMBER($BS$392),$B$252=1),$BS$392,HLOOKUP(INDIRECT(ADDRESS(2,COLUMN())),OFFSET($CL$2,0,0,ROW()-1,84),ROW()-1,FALSE))</f>
        <v/>
      </c>
      <c r="BT186">
        <f ca="1">IF(AND(ISNUMBER($BT$392),$B$252=1),$BT$392,HLOOKUP(INDIRECT(ADDRESS(2,COLUMN())),OFFSET($CL$2,0,0,ROW()-1,84),ROW()-1,FALSE))</f>
        <v>62.468317740000003</v>
      </c>
      <c r="BU186" t="str">
        <f ca="1">IF(AND(ISNUMBER($BU$392),$B$252=1),$BU$392,HLOOKUP(INDIRECT(ADDRESS(2,COLUMN())),OFFSET($CL$2,0,0,ROW()-1,84),ROW()-1,FALSE))</f>
        <v/>
      </c>
      <c r="BV186" t="str">
        <f ca="1">IF(AND(ISNUMBER($BV$392),$B$252=1),$BV$392,HLOOKUP(INDIRECT(ADDRESS(2,COLUMN())),OFFSET($CL$2,0,0,ROW()-1,84),ROW()-1,FALSE))</f>
        <v/>
      </c>
      <c r="BW186">
        <f ca="1">IF(AND(ISNUMBER($BW$392),$B$252=1),$BW$392,HLOOKUP(INDIRECT(ADDRESS(2,COLUMN())),OFFSET($CL$2,0,0,ROW()-1,84),ROW()-1,FALSE))</f>
        <v>63.791577359999998</v>
      </c>
      <c r="BX186" t="str">
        <f ca="1">IF(AND(ISNUMBER($BX$392),$B$252=1),$BX$392,HLOOKUP(INDIRECT(ADDRESS(2,COLUMN())),OFFSET($CL$2,0,0,ROW()-1,84),ROW()-1,FALSE))</f>
        <v/>
      </c>
      <c r="BY186" t="str">
        <f ca="1">IF(AND(ISNUMBER($BY$392),$B$252=1),$BY$392,HLOOKUP(INDIRECT(ADDRESS(2,COLUMN())),OFFSET($CL$2,0,0,ROW()-1,84),ROW()-1,FALSE))</f>
        <v/>
      </c>
      <c r="BZ186">
        <f ca="1">IF(AND(ISNUMBER($BZ$392),$B$252=1),$BZ$392,HLOOKUP(INDIRECT(ADDRESS(2,COLUMN())),OFFSET($CL$2,0,0,ROW()-1,84),ROW()-1,FALSE))</f>
        <v>61.14331602</v>
      </c>
      <c r="CA186" t="str">
        <f ca="1">IF(AND(ISNUMBER($CA$392),$B$252=1),$CA$392,HLOOKUP(INDIRECT(ADDRESS(2,COLUMN())),OFFSET($CL$2,0,0,ROW()-1,84),ROW()-1,FALSE))</f>
        <v/>
      </c>
      <c r="CB186" t="str">
        <f ca="1">IF(AND(ISNUMBER($CB$392),$B$252=1),$CB$392,HLOOKUP(INDIRECT(ADDRESS(2,COLUMN())),OFFSET($CL$2,0,0,ROW()-1,84),ROW()-1,FALSE))</f>
        <v/>
      </c>
      <c r="CC186">
        <f ca="1">IF(AND(ISNUMBER($CC$392),$B$252=1),$CC$392,HLOOKUP(INDIRECT(ADDRESS(2,COLUMN())),OFFSET($CL$2,0,0,ROW()-1,84),ROW()-1,FALSE))</f>
        <v>59.870554319999997</v>
      </c>
      <c r="CD186" t="str">
        <f ca="1">IF(AND(ISNUMBER($CD$392),$B$252=1),$CD$392,HLOOKUP(INDIRECT(ADDRESS(2,COLUMN())),OFFSET($CL$2,0,0,ROW()-1,84),ROW()-1,FALSE))</f>
        <v/>
      </c>
      <c r="CE186" t="str">
        <f ca="1">IF(AND(ISNUMBER($CE$392),$B$252=1),$CE$392,HLOOKUP(INDIRECT(ADDRESS(2,COLUMN())),OFFSET($CL$2,0,0,ROW()-1,84),ROW()-1,FALSE))</f>
        <v/>
      </c>
      <c r="CF186">
        <f ca="1">IF(AND(ISNUMBER($CF$392),$B$252=1),$CF$392,HLOOKUP(INDIRECT(ADDRESS(2,COLUMN())),OFFSET($CL$2,0,0,ROW()-1,84),ROW()-1,FALSE))</f>
        <v>58.593371060000003</v>
      </c>
      <c r="CG186" t="str">
        <f ca="1">IF(AND(ISNUMBER($CG$392),$B$252=1),$CG$392,HLOOKUP(INDIRECT(ADDRESS(2,COLUMN())),OFFSET($CL$2,0,0,ROW()-1,84),ROW()-1,FALSE))</f>
        <v/>
      </c>
      <c r="CH186" t="str">
        <f ca="1">IF(AND(ISNUMBER($CH$392),$B$252=1),$CH$392,HLOOKUP(INDIRECT(ADDRESS(2,COLUMN())),OFFSET($CL$2,0,0,ROW()-1,84),ROW()-1,FALSE))</f>
        <v/>
      </c>
      <c r="CI186">
        <f ca="1">IF(AND(ISNUMBER($CI$392),$B$252=1),$CI$392,HLOOKUP(INDIRECT(ADDRESS(2,COLUMN())),OFFSET($CL$2,0,0,ROW()-1,84),ROW()-1,FALSE))</f>
        <v>59.92166855</v>
      </c>
      <c r="CJ186" t="str">
        <f ca="1">IF(AND(ISNUMBER($CJ$392),$B$252=1),$CJ$392,HLOOKUP(INDIRECT(ADDRESS(2,COLUMN())),OFFSET($CL$2,0,0,ROW()-1,84),ROW()-1,FALSE))</f>
        <v/>
      </c>
      <c r="CK186" t="str">
        <f ca="1">IF(AND(ISNUMBER($CK$392),$B$252=1),$CK$392,HLOOKUP(INDIRECT(ADDRESS(2,COLUMN())),OFFSET($CL$2,0,0,ROW()-1,84),ROW()-1,FALSE))</f>
        <v/>
      </c>
      <c r="CL186" t="str">
        <f>""</f>
        <v/>
      </c>
      <c r="CM186" t="str">
        <f>""</f>
        <v/>
      </c>
      <c r="CN186" t="str">
        <f>""</f>
        <v/>
      </c>
      <c r="CO186">
        <f>64.94293275</f>
        <v>64.942932749999997</v>
      </c>
      <c r="CP186" t="str">
        <f>""</f>
        <v/>
      </c>
      <c r="CQ186" t="str">
        <f>""</f>
        <v/>
      </c>
      <c r="CR186">
        <f>65.92862669</f>
        <v>65.928626690000002</v>
      </c>
      <c r="CS186" t="str">
        <f>""</f>
        <v/>
      </c>
      <c r="CT186" t="str">
        <f>""</f>
        <v/>
      </c>
      <c r="CU186">
        <f>65.93615878</f>
        <v>65.93615878</v>
      </c>
      <c r="CV186" t="str">
        <f>""</f>
        <v/>
      </c>
      <c r="CW186" t="str">
        <f>""</f>
        <v/>
      </c>
      <c r="CX186">
        <f>68.61295713</f>
        <v>68.612957129999998</v>
      </c>
      <c r="CY186" t="str">
        <f>""</f>
        <v/>
      </c>
      <c r="CZ186" t="str">
        <f>""</f>
        <v/>
      </c>
      <c r="DA186">
        <f>64.32190889</f>
        <v>64.321908890000003</v>
      </c>
      <c r="DB186" t="str">
        <f>""</f>
        <v/>
      </c>
      <c r="DC186" t="str">
        <f>""</f>
        <v/>
      </c>
      <c r="DD186">
        <f>65.22374749</f>
        <v>65.223747489999994</v>
      </c>
      <c r="DE186" t="str">
        <f>""</f>
        <v/>
      </c>
      <c r="DF186" t="str">
        <f>""</f>
        <v/>
      </c>
      <c r="DG186">
        <f>66.16704757</f>
        <v>66.167047569999994</v>
      </c>
      <c r="DH186" t="str">
        <f>""</f>
        <v/>
      </c>
      <c r="DI186" t="str">
        <f>""</f>
        <v/>
      </c>
      <c r="DJ186">
        <f>68.66181807</f>
        <v>68.661818069999995</v>
      </c>
      <c r="DK186" t="str">
        <f>""</f>
        <v/>
      </c>
      <c r="DL186" t="str">
        <f>""</f>
        <v/>
      </c>
      <c r="DM186">
        <f>65.37481039</f>
        <v>65.374810389999993</v>
      </c>
      <c r="DN186" t="str">
        <f>""</f>
        <v/>
      </c>
      <c r="DO186" t="str">
        <f>""</f>
        <v/>
      </c>
      <c r="DP186">
        <f>65.57313219</f>
        <v>65.573132189999995</v>
      </c>
      <c r="DQ186" t="str">
        <f>""</f>
        <v/>
      </c>
      <c r="DR186" t="str">
        <f>""</f>
        <v/>
      </c>
      <c r="DS186">
        <f>66.10693249</f>
        <v>66.106932490000005</v>
      </c>
      <c r="DT186" t="str">
        <f>""</f>
        <v/>
      </c>
      <c r="DU186" t="str">
        <f>""</f>
        <v/>
      </c>
      <c r="DV186">
        <f>69.34824518</f>
        <v>69.348245180000006</v>
      </c>
      <c r="DW186" t="str">
        <f>""</f>
        <v/>
      </c>
      <c r="DX186" t="str">
        <f>""</f>
        <v/>
      </c>
      <c r="DY186">
        <f>66.65306357</f>
        <v>66.65306357</v>
      </c>
      <c r="DZ186" t="str">
        <f>""</f>
        <v/>
      </c>
      <c r="EA186" t="str">
        <f>""</f>
        <v/>
      </c>
      <c r="EB186" t="str">
        <f>""</f>
        <v/>
      </c>
      <c r="EC186" t="str">
        <f>""</f>
        <v/>
      </c>
      <c r="ED186" t="str">
        <f>""</f>
        <v/>
      </c>
      <c r="EE186" t="str">
        <f>""</f>
        <v/>
      </c>
      <c r="EF186" t="str">
        <f>""</f>
        <v/>
      </c>
      <c r="EG186" t="str">
        <f>""</f>
        <v/>
      </c>
      <c r="EH186">
        <f>65.6809088</f>
        <v>65.680908799999997</v>
      </c>
      <c r="EI186" t="str">
        <f>""</f>
        <v/>
      </c>
      <c r="EJ186" t="str">
        <f>""</f>
        <v/>
      </c>
      <c r="EK186">
        <f>64.36610606</f>
        <v>64.366106060000007</v>
      </c>
      <c r="EL186" t="str">
        <f>""</f>
        <v/>
      </c>
      <c r="EM186" t="str">
        <f>""</f>
        <v/>
      </c>
      <c r="EN186">
        <f>66.00942824</f>
        <v>66.009428240000005</v>
      </c>
      <c r="EO186" t="str">
        <f>""</f>
        <v/>
      </c>
      <c r="EP186" t="str">
        <f>""</f>
        <v/>
      </c>
      <c r="EQ186">
        <f>66.21198299</f>
        <v>66.211982989999996</v>
      </c>
      <c r="ER186" t="str">
        <f>""</f>
        <v/>
      </c>
      <c r="ES186" t="str">
        <f>""</f>
        <v/>
      </c>
      <c r="ET186">
        <f>64.94414584</f>
        <v>64.944145840000004</v>
      </c>
      <c r="EU186" t="str">
        <f>""</f>
        <v/>
      </c>
      <c r="EV186" t="str">
        <f>""</f>
        <v/>
      </c>
      <c r="EW186">
        <f>58.94881476</f>
        <v>58.948814759999998</v>
      </c>
      <c r="EX186" t="str">
        <f>""</f>
        <v/>
      </c>
      <c r="EY186" t="str">
        <f>""</f>
        <v/>
      </c>
      <c r="EZ186">
        <f>62.46831774</f>
        <v>62.468317740000003</v>
      </c>
      <c r="FA186" t="str">
        <f>""</f>
        <v/>
      </c>
      <c r="FB186" t="str">
        <f>""</f>
        <v/>
      </c>
      <c r="FC186">
        <f>63.79157736</f>
        <v>63.791577359999998</v>
      </c>
      <c r="FD186" t="str">
        <f>""</f>
        <v/>
      </c>
      <c r="FE186" t="str">
        <f>""</f>
        <v/>
      </c>
      <c r="FF186">
        <f>61.14331602</f>
        <v>61.14331602</v>
      </c>
      <c r="FG186" t="str">
        <f>""</f>
        <v/>
      </c>
      <c r="FH186" t="str">
        <f>""</f>
        <v/>
      </c>
      <c r="FI186">
        <f>59.87055432</f>
        <v>59.870554319999997</v>
      </c>
      <c r="FJ186" t="str">
        <f>""</f>
        <v/>
      </c>
      <c r="FK186" t="str">
        <f>""</f>
        <v/>
      </c>
      <c r="FL186">
        <f>58.59337106</f>
        <v>58.593371060000003</v>
      </c>
      <c r="FM186" t="str">
        <f>""</f>
        <v/>
      </c>
      <c r="FN186" t="str">
        <f>""</f>
        <v/>
      </c>
      <c r="FO186">
        <f>59.92166855</f>
        <v>59.92166855</v>
      </c>
      <c r="FP186" t="str">
        <f>""</f>
        <v/>
      </c>
      <c r="FQ186" t="str">
        <f>""</f>
        <v/>
      </c>
    </row>
    <row r="187" spans="1:173">
      <c r="A187" t="str">
        <f>"FAD支付"</f>
        <v>FAD支付</v>
      </c>
      <c r="B187" t="str">
        <f>""</f>
        <v/>
      </c>
      <c r="E187" t="str">
        <f>"Median"</f>
        <v>Median</v>
      </c>
      <c r="F187" t="str">
        <f ca="1">IF(ISERROR(IF(MEDIAN($F$188:$F$195) = 0, "", MEDIAN($F$188:$F$195))), "", (IF(MEDIAN($F$188:$F$195) = 0, "", MEDIAN($F$188:$F$195))))</f>
        <v/>
      </c>
      <c r="G187" t="str">
        <f ca="1">IF(ISERROR(IF(MEDIAN($G$188:$G$195) = 0, "", MEDIAN($G$188:$G$195))), "", (IF(MEDIAN($G$188:$G$195) = 0, "", MEDIAN($G$188:$G$195))))</f>
        <v/>
      </c>
      <c r="H187" t="str">
        <f ca="1">IF(ISERROR(IF(MEDIAN($H$188:$H$195) = 0, "", MEDIAN($H$188:$H$195))), "", (IF(MEDIAN($H$188:$H$195) = 0, "", MEDIAN($H$188:$H$195))))</f>
        <v/>
      </c>
      <c r="I187">
        <f ca="1">IF(ISERROR(IF(MEDIAN($I$188:$I$195) = 0, "", MEDIAN($I$188:$I$195))), "", (IF(MEDIAN($I$188:$I$195) = 0, "", MEDIAN($I$188:$I$195))))</f>
        <v>65.579993369999997</v>
      </c>
      <c r="J187" t="str">
        <f ca="1">IF(ISERROR(IF(MEDIAN($J$188:$J$195) = 0, "", MEDIAN($J$188:$J$195))), "", (IF(MEDIAN($J$188:$J$195) = 0, "", MEDIAN($J$188:$J$195))))</f>
        <v/>
      </c>
      <c r="K187" t="str">
        <f ca="1">IF(ISERROR(IF(MEDIAN($K$188:$K$195) = 0, "", MEDIAN($K$188:$K$195))), "", (IF(MEDIAN($K$188:$K$195) = 0, "", MEDIAN($K$188:$K$195))))</f>
        <v/>
      </c>
      <c r="L187">
        <f ca="1">IF(ISERROR(IF(MEDIAN($L$188:$L$195) = 0, "", MEDIAN($L$188:$L$195))), "", (IF(MEDIAN($L$188:$L$195) = 0, "", MEDIAN($L$188:$L$195))))</f>
        <v>67.900917539999995</v>
      </c>
      <c r="M187" t="str">
        <f ca="1">IF(ISERROR(IF(MEDIAN($M$188:$M$195) = 0, "", MEDIAN($M$188:$M$195))), "", (IF(MEDIAN($M$188:$M$195) = 0, "", MEDIAN($M$188:$M$195))))</f>
        <v/>
      </c>
      <c r="N187" t="str">
        <f ca="1">IF(ISERROR(IF(MEDIAN($N$188:$N$195) = 0, "", MEDIAN($N$188:$N$195))), "", (IF(MEDIAN($N$188:$N$195) = 0, "", MEDIAN($N$188:$N$195))))</f>
        <v/>
      </c>
      <c r="O187">
        <f ca="1">IF(ISERROR(IF(MEDIAN($O$188:$O$195) = 0, "", MEDIAN($O$188:$O$195))), "", (IF(MEDIAN($O$188:$O$195) = 0, "", MEDIAN($O$188:$O$195))))</f>
        <v>71.287711035000001</v>
      </c>
      <c r="P187" t="str">
        <f ca="1">IF(ISERROR(IF(MEDIAN($P$188:$P$195) = 0, "", MEDIAN($P$188:$P$195))), "", (IF(MEDIAN($P$188:$P$195) = 0, "", MEDIAN($P$188:$P$195))))</f>
        <v/>
      </c>
      <c r="Q187" t="str">
        <f ca="1">IF(ISERROR(IF(MEDIAN($Q$188:$Q$195) = 0, "", MEDIAN($Q$188:$Q$195))), "", (IF(MEDIAN($Q$188:$Q$195) = 0, "", MEDIAN($Q$188:$Q$195))))</f>
        <v/>
      </c>
      <c r="R187">
        <f ca="1">IF(ISERROR(IF(MEDIAN($R$188:$R$195) = 0, "", MEDIAN($R$188:$R$195))), "", (IF(MEDIAN($R$188:$R$195) = 0, "", MEDIAN($R$188:$R$195))))</f>
        <v>71.455302410000002</v>
      </c>
      <c r="S187" t="str">
        <f ca="1">IF(ISERROR(IF(MEDIAN($S$188:$S$195) = 0, "", MEDIAN($S$188:$S$195))), "", (IF(MEDIAN($S$188:$S$195) = 0, "", MEDIAN($S$188:$S$195))))</f>
        <v/>
      </c>
      <c r="T187" t="str">
        <f ca="1">IF(ISERROR(IF(MEDIAN($T$188:$T$195) = 0, "", MEDIAN($T$188:$T$195))), "", (IF(MEDIAN($T$188:$T$195) = 0, "", MEDIAN($T$188:$T$195))))</f>
        <v/>
      </c>
      <c r="U187">
        <f ca="1">IF(ISERROR(IF(MEDIAN($U$188:$U$195) = 0, "", MEDIAN($U$188:$U$195))), "", (IF(MEDIAN($U$188:$U$195) = 0, "", MEDIAN($U$188:$U$195))))</f>
        <v>67.223803260000011</v>
      </c>
      <c r="V187" t="str">
        <f ca="1">IF(ISERROR(IF(MEDIAN($V$188:$V$195) = 0, "", MEDIAN($V$188:$V$195))), "", (IF(MEDIAN($V$188:$V$195) = 0, "", MEDIAN($V$188:$V$195))))</f>
        <v/>
      </c>
      <c r="W187" t="str">
        <f ca="1">IF(ISERROR(IF(MEDIAN($W$188:$W$195) = 0, "", MEDIAN($W$188:$W$195))), "", (IF(MEDIAN($W$188:$W$195) = 0, "", MEDIAN($W$188:$W$195))))</f>
        <v/>
      </c>
      <c r="X187">
        <f ca="1">IF(ISERROR(IF(MEDIAN($X$188:$X$195) = 0, "", MEDIAN($X$188:$X$195))), "", (IF(MEDIAN($X$188:$X$195) = 0, "", MEDIAN($X$188:$X$195))))</f>
        <v>74.368009709999995</v>
      </c>
      <c r="Y187" t="str">
        <f ca="1">IF(ISERROR(IF(MEDIAN($Y$188:$Y$195) = 0, "", MEDIAN($Y$188:$Y$195))), "", (IF(MEDIAN($Y$188:$Y$195) = 0, "", MEDIAN($Y$188:$Y$195))))</f>
        <v/>
      </c>
      <c r="Z187" t="str">
        <f ca="1">IF(ISERROR(IF(MEDIAN($Z$188:$Z$195) = 0, "", MEDIAN($Z$188:$Z$195))), "", (IF(MEDIAN($Z$188:$Z$195) = 0, "", MEDIAN($Z$188:$Z$195))))</f>
        <v/>
      </c>
      <c r="AA187">
        <f ca="1">IF(ISERROR(IF(MEDIAN($AA$188:$AA$195) = 0, "", MEDIAN($AA$188:$AA$195))), "", (IF(MEDIAN($AA$188:$AA$195) = 0, "", MEDIAN($AA$188:$AA$195))))</f>
        <v>70.947504510000002</v>
      </c>
      <c r="AB187" t="str">
        <f ca="1">IF(ISERROR(IF(MEDIAN($AB$188:$AB$195) = 0, "", MEDIAN($AB$188:$AB$195))), "", (IF(MEDIAN($AB$188:$AB$195) = 0, "", MEDIAN($AB$188:$AB$195))))</f>
        <v/>
      </c>
      <c r="AC187" t="str">
        <f ca="1">IF(ISERROR(IF(MEDIAN($AC$188:$AC$195) = 0, "", MEDIAN($AC$188:$AC$195))), "", (IF(MEDIAN($AC$188:$AC$195) = 0, "", MEDIAN($AC$188:$AC$195))))</f>
        <v/>
      </c>
      <c r="AD187">
        <f ca="1">IF(ISERROR(IF(MEDIAN($AD$188:$AD$195) = 0, "", MEDIAN($AD$188:$AD$195))), "", (IF(MEDIAN($AD$188:$AD$195) = 0, "", MEDIAN($AD$188:$AD$195))))</f>
        <v>72.127334794999996</v>
      </c>
      <c r="AE187" t="str">
        <f ca="1">IF(ISERROR(IF(MEDIAN($AE$188:$AE$195) = 0, "", MEDIAN($AE$188:$AE$195))), "", (IF(MEDIAN($AE$188:$AE$195) = 0, "", MEDIAN($AE$188:$AE$195))))</f>
        <v/>
      </c>
      <c r="AF187" t="str">
        <f ca="1">IF(ISERROR(IF(MEDIAN($AF$188:$AF$195) = 0, "", MEDIAN($AF$188:$AF$195))), "", (IF(MEDIAN($AF$188:$AF$195) = 0, "", MEDIAN($AF$188:$AF$195))))</f>
        <v/>
      </c>
      <c r="AG187">
        <f ca="1">IF(ISERROR(IF(MEDIAN($AG$188:$AG$195) = 0, "", MEDIAN($AG$188:$AG$195))), "", (IF(MEDIAN($AG$188:$AG$195) = 0, "", MEDIAN($AG$188:$AG$195))))</f>
        <v>67.564856209999988</v>
      </c>
      <c r="AH187" t="str">
        <f ca="1">IF(ISERROR(IF(MEDIAN($AH$188:$AH$195) = 0, "", MEDIAN($AH$188:$AH$195))), "", (IF(MEDIAN($AH$188:$AH$195) = 0, "", MEDIAN($AH$188:$AH$195))))</f>
        <v/>
      </c>
      <c r="AI187" t="str">
        <f ca="1">IF(ISERROR(IF(MEDIAN($AI$188:$AI$195) = 0, "", MEDIAN($AI$188:$AI$195))), "", (IF(MEDIAN($AI$188:$AI$195) = 0, "", MEDIAN($AI$188:$AI$195))))</f>
        <v/>
      </c>
      <c r="AJ187">
        <f ca="1">IF(ISERROR(IF(MEDIAN($AJ$188:$AJ$195) = 0, "", MEDIAN($AJ$188:$AJ$195))), "", (IF(MEDIAN($AJ$188:$AJ$195) = 0, "", MEDIAN($AJ$188:$AJ$195))))</f>
        <v>70.964973764999996</v>
      </c>
      <c r="AK187" t="str">
        <f ca="1">IF(ISERROR(IF(MEDIAN($AK$188:$AK$195) = 0, "", MEDIAN($AK$188:$AK$195))), "", (IF(MEDIAN($AK$188:$AK$195) = 0, "", MEDIAN($AK$188:$AK$195))))</f>
        <v/>
      </c>
      <c r="AL187" t="str">
        <f ca="1">IF(ISERROR(IF(MEDIAN($AL$188:$AL$195) = 0, "", MEDIAN($AL$188:$AL$195))), "", (IF(MEDIAN($AL$188:$AL$195) = 0, "", MEDIAN($AL$188:$AL$195))))</f>
        <v/>
      </c>
      <c r="AM187">
        <f ca="1">IF(ISERROR(IF(MEDIAN($AM$188:$AM$195) = 0, "", MEDIAN($AM$188:$AM$195))), "", (IF(MEDIAN($AM$188:$AM$195) = 0, "", MEDIAN($AM$188:$AM$195))))</f>
        <v>70.423434014999998</v>
      </c>
      <c r="AN187" t="str">
        <f ca="1">IF(ISERROR(IF(MEDIAN($AN$188:$AN$195) = 0, "", MEDIAN($AN$188:$AN$195))), "", (IF(MEDIAN($AN$188:$AN$195) = 0, "", MEDIAN($AN$188:$AN$195))))</f>
        <v/>
      </c>
      <c r="AO187" t="str">
        <f ca="1">IF(ISERROR(IF(MEDIAN($AO$188:$AO$195) = 0, "", MEDIAN($AO$188:$AO$195))), "", (IF(MEDIAN($AO$188:$AO$195) = 0, "", MEDIAN($AO$188:$AO$195))))</f>
        <v/>
      </c>
      <c r="AP187">
        <f ca="1">IF(ISERROR(IF(MEDIAN($AP$188:$AP$195) = 0, "", MEDIAN($AP$188:$AP$195))), "", (IF(MEDIAN($AP$188:$AP$195) = 0, "", MEDIAN($AP$188:$AP$195))))</f>
        <v>74.500967419999995</v>
      </c>
      <c r="AQ187" t="str">
        <f ca="1">IF(ISERROR(IF(MEDIAN($AQ$188:$AQ$195) = 0, "", MEDIAN($AQ$188:$AQ$195))), "", (IF(MEDIAN($AQ$188:$AQ$195) = 0, "", MEDIAN($AQ$188:$AQ$195))))</f>
        <v/>
      </c>
      <c r="AR187" t="str">
        <f ca="1">IF(ISERROR(IF(MEDIAN($AR$188:$AR$195) = 0, "", MEDIAN($AR$188:$AR$195))), "", (IF(MEDIAN($AR$188:$AR$195) = 0, "", MEDIAN($AR$188:$AR$195))))</f>
        <v/>
      </c>
      <c r="AS187">
        <f ca="1">IF(ISERROR(IF(MEDIAN($AS$188:$AS$195) = 0, "", MEDIAN($AS$188:$AS$195))), "", (IF(MEDIAN($AS$188:$AS$195) = 0, "", MEDIAN($AS$188:$AS$195))))</f>
        <v>65.407135124999996</v>
      </c>
      <c r="AT187" t="str">
        <f ca="1">IF(ISERROR(IF(MEDIAN($AT$188:$AT$195) = 0, "", MEDIAN($AT$188:$AT$195))), "", (IF(MEDIAN($AT$188:$AT$195) = 0, "", MEDIAN($AT$188:$AT$195))))</f>
        <v/>
      </c>
      <c r="AU187" t="str">
        <f ca="1">IF(ISERROR(IF(MEDIAN($AU$188:$AU$195) = 0, "", MEDIAN($AU$188:$AU$195))), "", (IF(MEDIAN($AU$188:$AU$195) = 0, "", MEDIAN($AU$188:$AU$195))))</f>
        <v/>
      </c>
      <c r="AV187">
        <f ca="1">IF(ISERROR(IF(MEDIAN($AV$188:$AV$195) = 0, "", MEDIAN($AV$188:$AV$195))), "", (IF(MEDIAN($AV$188:$AV$195) = 0, "", MEDIAN($AV$188:$AV$195))))</f>
        <v>66.781239859999999</v>
      </c>
      <c r="AW187" t="str">
        <f ca="1">IF(ISERROR(IF(MEDIAN($AW$188:$AW$195) = 0, "", MEDIAN($AW$188:$AW$195))), "", (IF(MEDIAN($AW$188:$AW$195) = 0, "", MEDIAN($AW$188:$AW$195))))</f>
        <v/>
      </c>
      <c r="AX187" t="str">
        <f ca="1">IF(ISERROR(IF(MEDIAN($AX$188:$AX$195) = 0, "", MEDIAN($AX$188:$AX$195))), "", (IF(MEDIAN($AX$188:$AX$195) = 0, "", MEDIAN($AX$188:$AX$195))))</f>
        <v/>
      </c>
      <c r="AY187">
        <f ca="1">IF(ISERROR(IF(MEDIAN($AY$188:$AY$195) = 0, "", MEDIAN($AY$188:$AY$195))), "", (IF(MEDIAN($AY$188:$AY$195) = 0, "", MEDIAN($AY$188:$AY$195))))</f>
        <v>70.409066300000006</v>
      </c>
      <c r="AZ187" t="str">
        <f ca="1">IF(ISERROR(IF(MEDIAN($AZ$188:$AZ$195) = 0, "", MEDIAN($AZ$188:$AZ$195))), "", (IF(MEDIAN($AZ$188:$AZ$195) = 0, "", MEDIAN($AZ$188:$AZ$195))))</f>
        <v/>
      </c>
      <c r="BA187" t="str">
        <f ca="1">IF(ISERROR(IF(MEDIAN($BA$188:$BA$195) = 0, "", MEDIAN($BA$188:$BA$195))), "", (IF(MEDIAN($BA$188:$BA$195) = 0, "", MEDIAN($BA$188:$BA$195))))</f>
        <v/>
      </c>
      <c r="BB187">
        <f ca="1">IF(ISERROR(IF(MEDIAN($BB$188:$BB$195) = 0, "", MEDIAN($BB$188:$BB$195))), "", (IF(MEDIAN($BB$188:$BB$195) = 0, "", MEDIAN($BB$188:$BB$195))))</f>
        <v>68.903264100000001</v>
      </c>
      <c r="BC187" t="str">
        <f ca="1">IF(ISERROR(IF(MEDIAN($BC$188:$BC$195) = 0, "", MEDIAN($BC$188:$BC$195))), "", (IF(MEDIAN($BC$188:$BC$195) = 0, "", MEDIAN($BC$188:$BC$195))))</f>
        <v/>
      </c>
      <c r="BD187" t="str">
        <f ca="1">IF(ISERROR(IF(MEDIAN($BD$188:$BD$195) = 0, "", MEDIAN($BD$188:$BD$195))), "", (IF(MEDIAN($BD$188:$BD$195) = 0, "", MEDIAN($BD$188:$BD$195))))</f>
        <v/>
      </c>
      <c r="BE187">
        <f ca="1">IF(ISERROR(IF(MEDIAN($BE$188:$BE$195) = 0, "", MEDIAN($BE$188:$BE$195))), "", (IF(MEDIAN($BE$188:$BE$195) = 0, "", MEDIAN($BE$188:$BE$195))))</f>
        <v>68.858131099999994</v>
      </c>
      <c r="BF187" t="str">
        <f ca="1">IF(ISERROR(IF(MEDIAN($BF$188:$BF$195) = 0, "", MEDIAN($BF$188:$BF$195))), "", (IF(MEDIAN($BF$188:$BF$195) = 0, "", MEDIAN($BF$188:$BF$195))))</f>
        <v/>
      </c>
      <c r="BG187" t="str">
        <f ca="1">IF(ISERROR(IF(MEDIAN($BG$188:$BG$195) = 0, "", MEDIAN($BG$188:$BG$195))), "", (IF(MEDIAN($BG$188:$BG$195) = 0, "", MEDIAN($BG$188:$BG$195))))</f>
        <v/>
      </c>
      <c r="BH187">
        <f ca="1">IF(ISERROR(IF(MEDIAN($BH$188:$BH$195) = 0, "", MEDIAN($BH$188:$BH$195))), "", (IF(MEDIAN($BH$188:$BH$195) = 0, "", MEDIAN($BH$188:$BH$195))))</f>
        <v>68.467644184999997</v>
      </c>
      <c r="BI187" t="str">
        <f ca="1">IF(ISERROR(IF(MEDIAN($BI$188:$BI$195) = 0, "", MEDIAN($BI$188:$BI$195))), "", (IF(MEDIAN($BI$188:$BI$195) = 0, "", MEDIAN($BI$188:$BI$195))))</f>
        <v/>
      </c>
      <c r="BJ187" t="str">
        <f ca="1">IF(ISERROR(IF(MEDIAN($BJ$188:$BJ$195) = 0, "", MEDIAN($BJ$188:$BJ$195))), "", (IF(MEDIAN($BJ$188:$BJ$195) = 0, "", MEDIAN($BJ$188:$BJ$195))))</f>
        <v/>
      </c>
      <c r="BK187">
        <f ca="1">IF(ISERROR(IF(MEDIAN($BK$188:$BK$195) = 0, "", MEDIAN($BK$188:$BK$195))), "", (IF(MEDIAN($BK$188:$BK$195) = 0, "", MEDIAN($BK$188:$BK$195))))</f>
        <v>67.822552994999995</v>
      </c>
      <c r="BL187" t="str">
        <f ca="1">IF(ISERROR(IF(MEDIAN($BL$188:$BL$195) = 0, "", MEDIAN($BL$188:$BL$195))), "", (IF(MEDIAN($BL$188:$BL$195) = 0, "", MEDIAN($BL$188:$BL$195))))</f>
        <v/>
      </c>
      <c r="BM187" t="str">
        <f ca="1">IF(ISERROR(IF(MEDIAN($BM$188:$BM$195) = 0, "", MEDIAN($BM$188:$BM$195))), "", (IF(MEDIAN($BM$188:$BM$195) = 0, "", MEDIAN($BM$188:$BM$195))))</f>
        <v/>
      </c>
      <c r="BN187">
        <f ca="1">IF(ISERROR(IF(MEDIAN($BN$188:$BN$195) = 0, "", MEDIAN($BN$188:$BN$195))), "", (IF(MEDIAN($BN$188:$BN$195) = 0, "", MEDIAN($BN$188:$BN$195))))</f>
        <v>70.429679434999997</v>
      </c>
      <c r="BO187" t="str">
        <f ca="1">IF(ISERROR(IF(MEDIAN($BO$188:$BO$195) = 0, "", MEDIAN($BO$188:$BO$195))), "", (IF(MEDIAN($BO$188:$BO$195) = 0, "", MEDIAN($BO$188:$BO$195))))</f>
        <v/>
      </c>
      <c r="BP187" t="str">
        <f ca="1">IF(ISERROR(IF(MEDIAN($BP$188:$BP$195) = 0, "", MEDIAN($BP$188:$BP$195))), "", (IF(MEDIAN($BP$188:$BP$195) = 0, "", MEDIAN($BP$188:$BP$195))))</f>
        <v/>
      </c>
      <c r="BQ187">
        <f ca="1">IF(ISERROR(IF(MEDIAN($BQ$188:$BQ$195) = 0, "", MEDIAN($BQ$188:$BQ$195))), "", (IF(MEDIAN($BQ$188:$BQ$195) = 0, "", MEDIAN($BQ$188:$BQ$195))))</f>
        <v>71.426823369999994</v>
      </c>
      <c r="BR187" t="str">
        <f ca="1">IF(ISERROR(IF(MEDIAN($BR$188:$BR$195) = 0, "", MEDIAN($BR$188:$BR$195))), "", (IF(MEDIAN($BR$188:$BR$195) = 0, "", MEDIAN($BR$188:$BR$195))))</f>
        <v/>
      </c>
      <c r="BS187" t="str">
        <f ca="1">IF(ISERROR(IF(MEDIAN($BS$188:$BS$195) = 0, "", MEDIAN($BS$188:$BS$195))), "", (IF(MEDIAN($BS$188:$BS$195) = 0, "", MEDIAN($BS$188:$BS$195))))</f>
        <v/>
      </c>
      <c r="BT187">
        <f ca="1">IF(ISERROR(IF(MEDIAN($BT$188:$BT$195) = 0, "", MEDIAN($BT$188:$BT$195))), "", (IF(MEDIAN($BT$188:$BT$195) = 0, "", MEDIAN($BT$188:$BT$195))))</f>
        <v>63.309304139999995</v>
      </c>
      <c r="BU187" t="str">
        <f ca="1">IF(ISERROR(IF(MEDIAN($BU$188:$BU$195) = 0, "", MEDIAN($BU$188:$BU$195))), "", (IF(MEDIAN($BU$188:$BU$195) = 0, "", MEDIAN($BU$188:$BU$195))))</f>
        <v/>
      </c>
      <c r="BV187" t="str">
        <f ca="1">IF(ISERROR(IF(MEDIAN($BV$188:$BV$195) = 0, "", MEDIAN($BV$188:$BV$195))), "", (IF(MEDIAN($BV$188:$BV$195) = 0, "", MEDIAN($BV$188:$BV$195))))</f>
        <v/>
      </c>
      <c r="BW187">
        <f ca="1">IF(ISERROR(IF(MEDIAN($BW$188:$BW$195) = 0, "", MEDIAN($BW$188:$BW$195))), "", (IF(MEDIAN($BW$188:$BW$195) = 0, "", MEDIAN($BW$188:$BW$195))))</f>
        <v>69.937020574999991</v>
      </c>
      <c r="BX187" t="str">
        <f ca="1">IF(ISERROR(IF(MEDIAN($BX$188:$BX$195) = 0, "", MEDIAN($BX$188:$BX$195))), "", (IF(MEDIAN($BX$188:$BX$195) = 0, "", MEDIAN($BX$188:$BX$195))))</f>
        <v/>
      </c>
      <c r="BY187" t="str">
        <f ca="1">IF(ISERROR(IF(MEDIAN($BY$188:$BY$195) = 0, "", MEDIAN($BY$188:$BY$195))), "", (IF(MEDIAN($BY$188:$BY$195) = 0, "", MEDIAN($BY$188:$BY$195))))</f>
        <v/>
      </c>
      <c r="BZ187">
        <f ca="1">IF(ISERROR(IF(MEDIAN($BZ$188:$BZ$195) = 0, "", MEDIAN($BZ$188:$BZ$195))), "", (IF(MEDIAN($BZ$188:$BZ$195) = 0, "", MEDIAN($BZ$188:$BZ$195))))</f>
        <v>68.225493560000004</v>
      </c>
      <c r="CA187" t="str">
        <f ca="1">IF(ISERROR(IF(MEDIAN($CA$188:$CA$195) = 0, "", MEDIAN($CA$188:$CA$195))), "", (IF(MEDIAN($CA$188:$CA$195) = 0, "", MEDIAN($CA$188:$CA$195))))</f>
        <v/>
      </c>
      <c r="CB187" t="str">
        <f ca="1">IF(ISERROR(IF(MEDIAN($CB$188:$CB$195) = 0, "", MEDIAN($CB$188:$CB$195))), "", (IF(MEDIAN($CB$188:$CB$195) = 0, "", MEDIAN($CB$188:$CB$195))))</f>
        <v/>
      </c>
      <c r="CC187">
        <f ca="1">IF(ISERROR(IF(MEDIAN($CC$188:$CC$195) = 0, "", MEDIAN($CC$188:$CC$195))), "", (IF(MEDIAN($CC$188:$CC$195) = 0, "", MEDIAN($CC$188:$CC$195))))</f>
        <v>72.615547419999999</v>
      </c>
      <c r="CD187" t="str">
        <f ca="1">IF(ISERROR(IF(MEDIAN($CD$188:$CD$195) = 0, "", MEDIAN($CD$188:$CD$195))), "", (IF(MEDIAN($CD$188:$CD$195) = 0, "", MEDIAN($CD$188:$CD$195))))</f>
        <v/>
      </c>
      <c r="CE187" t="str">
        <f ca="1">IF(ISERROR(IF(MEDIAN($CE$188:$CE$195) = 0, "", MEDIAN($CE$188:$CE$195))), "", (IF(MEDIAN($CE$188:$CE$195) = 0, "", MEDIAN($CE$188:$CE$195))))</f>
        <v/>
      </c>
      <c r="CF187">
        <f ca="1">IF(ISERROR(IF(MEDIAN($CF$188:$CF$195) = 0, "", MEDIAN($CF$188:$CF$195))), "", (IF(MEDIAN($CF$188:$CF$195) = 0, "", MEDIAN($CF$188:$CF$195))))</f>
        <v>73.661779730000006</v>
      </c>
      <c r="CG187" t="str">
        <f ca="1">IF(ISERROR(IF(MEDIAN($CG$188:$CG$195) = 0, "", MEDIAN($CG$188:$CG$195))), "", (IF(MEDIAN($CG$188:$CG$195) = 0, "", MEDIAN($CG$188:$CG$195))))</f>
        <v/>
      </c>
      <c r="CH187" t="str">
        <f ca="1">IF(ISERROR(IF(MEDIAN($CH$188:$CH$195) = 0, "", MEDIAN($CH$188:$CH$195))), "", (IF(MEDIAN($CH$188:$CH$195) = 0, "", MEDIAN($CH$188:$CH$195))))</f>
        <v/>
      </c>
      <c r="CI187">
        <f ca="1">IF(ISERROR(IF(MEDIAN($CI$188:$CI$195) = 0, "", MEDIAN($CI$188:$CI$195))), "", (IF(MEDIAN($CI$188:$CI$195) = 0, "", MEDIAN($CI$188:$CI$195))))</f>
        <v>83.097151409999995</v>
      </c>
      <c r="CJ187" t="str">
        <f ca="1">IF(ISERROR(IF(MEDIAN($CJ$188:$CJ$195) = 0, "", MEDIAN($CJ$188:$CJ$195))), "", (IF(MEDIAN($CJ$188:$CJ$195) = 0, "", MEDIAN($CJ$188:$CJ$195))))</f>
        <v/>
      </c>
      <c r="CK187" t="str">
        <f ca="1">IF(ISERROR(IF(MEDIAN($CK$188:$CK$195) = 0, "", MEDIAN($CK$188:$CK$195))), "", (IF(MEDIAN($CK$188:$CK$195) = 0, "", MEDIAN($CK$188:$CK$195))))</f>
        <v/>
      </c>
      <c r="CL187" t="str">
        <f>""</f>
        <v/>
      </c>
      <c r="CM187" t="str">
        <f>""</f>
        <v/>
      </c>
      <c r="CN187" t="str">
        <f>""</f>
        <v/>
      </c>
      <c r="CO187">
        <f>65.57999337</f>
        <v>65.579993369999997</v>
      </c>
      <c r="CP187" t="str">
        <f>""</f>
        <v/>
      </c>
      <c r="CQ187" t="str">
        <f>""</f>
        <v/>
      </c>
      <c r="CR187">
        <f>67.90091754</f>
        <v>67.900917539999995</v>
      </c>
      <c r="CS187" t="str">
        <f>""</f>
        <v/>
      </c>
      <c r="CT187" t="str">
        <f>""</f>
        <v/>
      </c>
      <c r="CU187">
        <f>71.28771103</f>
        <v>71.287711029999997</v>
      </c>
      <c r="CV187" t="str">
        <f>""</f>
        <v/>
      </c>
      <c r="CW187" t="str">
        <f>""</f>
        <v/>
      </c>
      <c r="CX187">
        <f>71.45530241</f>
        <v>71.455302410000002</v>
      </c>
      <c r="CY187" t="str">
        <f>""</f>
        <v/>
      </c>
      <c r="CZ187" t="str">
        <f>""</f>
        <v/>
      </c>
      <c r="DA187">
        <f>67.22380326</f>
        <v>67.223803259999997</v>
      </c>
      <c r="DB187" t="str">
        <f>""</f>
        <v/>
      </c>
      <c r="DC187" t="str">
        <f>""</f>
        <v/>
      </c>
      <c r="DD187">
        <f>74.36800971</f>
        <v>74.368009709999995</v>
      </c>
      <c r="DE187" t="str">
        <f>""</f>
        <v/>
      </c>
      <c r="DF187" t="str">
        <f>""</f>
        <v/>
      </c>
      <c r="DG187">
        <f>70.94750451</f>
        <v>70.947504510000002</v>
      </c>
      <c r="DH187" t="str">
        <f>""</f>
        <v/>
      </c>
      <c r="DI187" t="str">
        <f>""</f>
        <v/>
      </c>
      <c r="DJ187">
        <f>72.12733479</f>
        <v>72.127334790000006</v>
      </c>
      <c r="DK187" t="str">
        <f>""</f>
        <v/>
      </c>
      <c r="DL187" t="str">
        <f>""</f>
        <v/>
      </c>
      <c r="DM187">
        <f>67.56485621</f>
        <v>67.564856210000002</v>
      </c>
      <c r="DN187" t="str">
        <f>""</f>
        <v/>
      </c>
      <c r="DO187" t="str">
        <f>""</f>
        <v/>
      </c>
      <c r="DP187">
        <f>70.96497377</f>
        <v>70.96497377</v>
      </c>
      <c r="DQ187" t="str">
        <f>""</f>
        <v/>
      </c>
      <c r="DR187" t="str">
        <f>""</f>
        <v/>
      </c>
      <c r="DS187">
        <f>70.42343401</f>
        <v>70.423434009999994</v>
      </c>
      <c r="DT187" t="str">
        <f>""</f>
        <v/>
      </c>
      <c r="DU187" t="str">
        <f>""</f>
        <v/>
      </c>
      <c r="DV187">
        <f>74.50096742</f>
        <v>74.500967419999995</v>
      </c>
      <c r="DW187" t="str">
        <f>""</f>
        <v/>
      </c>
      <c r="DX187" t="str">
        <f>""</f>
        <v/>
      </c>
      <c r="DY187">
        <f>65.40713513</f>
        <v>65.40713513</v>
      </c>
      <c r="DZ187" t="str">
        <f>""</f>
        <v/>
      </c>
      <c r="EA187" t="str">
        <f>""</f>
        <v/>
      </c>
      <c r="EB187">
        <f>66.78123986</f>
        <v>66.781239859999999</v>
      </c>
      <c r="EC187" t="str">
        <f>""</f>
        <v/>
      </c>
      <c r="ED187" t="str">
        <f>""</f>
        <v/>
      </c>
      <c r="EE187">
        <f>70.4090663</f>
        <v>70.409066300000006</v>
      </c>
      <c r="EF187" t="str">
        <f>""</f>
        <v/>
      </c>
      <c r="EG187" t="str">
        <f>""</f>
        <v/>
      </c>
      <c r="EH187">
        <f>68.9032641</f>
        <v>68.903264100000001</v>
      </c>
      <c r="EI187" t="str">
        <f>""</f>
        <v/>
      </c>
      <c r="EJ187" t="str">
        <f>""</f>
        <v/>
      </c>
      <c r="EK187">
        <f>68.8581311</f>
        <v>68.858131099999994</v>
      </c>
      <c r="EL187" t="str">
        <f>""</f>
        <v/>
      </c>
      <c r="EM187" t="str">
        <f>""</f>
        <v/>
      </c>
      <c r="EN187">
        <f>68.46764418</f>
        <v>68.467644179999994</v>
      </c>
      <c r="EO187" t="str">
        <f>""</f>
        <v/>
      </c>
      <c r="EP187" t="str">
        <f>""</f>
        <v/>
      </c>
      <c r="EQ187">
        <f>67.82255299</f>
        <v>67.822552990000005</v>
      </c>
      <c r="ER187" t="str">
        <f>""</f>
        <v/>
      </c>
      <c r="ES187" t="str">
        <f>""</f>
        <v/>
      </c>
      <c r="ET187">
        <f>70.42967944</f>
        <v>70.429679440000001</v>
      </c>
      <c r="EU187" t="str">
        <f>""</f>
        <v/>
      </c>
      <c r="EV187" t="str">
        <f>""</f>
        <v/>
      </c>
      <c r="EW187">
        <f>71.42682337</f>
        <v>71.426823369999994</v>
      </c>
      <c r="EX187" t="str">
        <f>""</f>
        <v/>
      </c>
      <c r="EY187" t="str">
        <f>""</f>
        <v/>
      </c>
      <c r="EZ187">
        <f>63.30930414</f>
        <v>63.309304140000002</v>
      </c>
      <c r="FA187" t="str">
        <f>""</f>
        <v/>
      </c>
      <c r="FB187" t="str">
        <f>""</f>
        <v/>
      </c>
      <c r="FC187">
        <f>69.93702058</f>
        <v>69.937020579999995</v>
      </c>
      <c r="FD187" t="str">
        <f>""</f>
        <v/>
      </c>
      <c r="FE187" t="str">
        <f>""</f>
        <v/>
      </c>
      <c r="FF187">
        <f>68.22549356</f>
        <v>68.225493560000004</v>
      </c>
      <c r="FG187" t="str">
        <f>""</f>
        <v/>
      </c>
      <c r="FH187" t="str">
        <f>""</f>
        <v/>
      </c>
      <c r="FI187">
        <f>72.61554742</f>
        <v>72.615547419999999</v>
      </c>
      <c r="FJ187" t="str">
        <f>""</f>
        <v/>
      </c>
      <c r="FK187" t="str">
        <f>""</f>
        <v/>
      </c>
      <c r="FL187">
        <f>73.66177973</f>
        <v>73.661779730000006</v>
      </c>
      <c r="FM187" t="str">
        <f>""</f>
        <v/>
      </c>
      <c r="FN187" t="str">
        <f>""</f>
        <v/>
      </c>
      <c r="FO187">
        <f>83.09715141</f>
        <v>83.097151409999995</v>
      </c>
      <c r="FP187" t="str">
        <f>""</f>
        <v/>
      </c>
      <c r="FQ187" t="str">
        <f>""</f>
        <v/>
      </c>
    </row>
    <row r="188" spans="1:173">
      <c r="A188" t="str">
        <f>"    Apartment Investment &amp; Managem"</f>
        <v xml:space="preserve">    Apartment Investment &amp; Managem</v>
      </c>
      <c r="B188" t="str">
        <f>"AIV US Equity"</f>
        <v>AIV US Equity</v>
      </c>
      <c r="C188" t="str">
        <f t="shared" ref="C188:C195" si="60">"F0929"</f>
        <v>F0929</v>
      </c>
      <c r="D188" t="str">
        <f t="shared" ref="D188:D195" si="61">"FUNDS_AVAIL_DIST_PAYOUT_RATIO"</f>
        <v>FUNDS_AVAIL_DIST_PAYOUT_RATIO</v>
      </c>
      <c r="E188" t="str">
        <f t="shared" ref="E188:E195" si="62">"动态"</f>
        <v>动态</v>
      </c>
      <c r="F188" t="str">
        <f ca="1">IF(AND(ISNUMBER($F$393),$B$252=1),$F$393,HLOOKUP(INDIRECT(ADDRESS(2,COLUMN())),OFFSET($CL$2,0,0,ROW()-1,84),ROW()-1,FALSE))</f>
        <v/>
      </c>
      <c r="G188" t="str">
        <f ca="1">IF(AND(ISNUMBER($G$393),$B$252=1),$G$393,HLOOKUP(INDIRECT(ADDRESS(2,COLUMN())),OFFSET($CL$2,0,0,ROW()-1,84),ROW()-1,FALSE))</f>
        <v/>
      </c>
      <c r="H188" t="str">
        <f ca="1">IF(AND(ISNUMBER($H$393),$B$252=1),$H$393,HLOOKUP(INDIRECT(ADDRESS(2,COLUMN())),OFFSET($CL$2,0,0,ROW()-1,84),ROW()-1,FALSE))</f>
        <v/>
      </c>
      <c r="I188">
        <f ca="1">IF(AND(ISNUMBER($I$393),$B$252=1),$I$393,HLOOKUP(INDIRECT(ADDRESS(2,COLUMN())),OFFSET($CL$2,0,0,ROW()-1,84),ROW()-1,FALSE))</f>
        <v>64.251837359999996</v>
      </c>
      <c r="J188" t="str">
        <f ca="1">IF(AND(ISNUMBER($J$393),$B$252=1),$J$393,HLOOKUP(INDIRECT(ADDRESS(2,COLUMN())),OFFSET($CL$2,0,0,ROW()-1,84),ROW()-1,FALSE))</f>
        <v/>
      </c>
      <c r="K188" t="str">
        <f ca="1">IF(AND(ISNUMBER($K$393),$B$252=1),$K$393,HLOOKUP(INDIRECT(ADDRESS(2,COLUMN())),OFFSET($CL$2,0,0,ROW()-1,84),ROW()-1,FALSE))</f>
        <v/>
      </c>
      <c r="L188">
        <f ca="1">IF(AND(ISNUMBER($L$393),$B$252=1),$L$393,HLOOKUP(INDIRECT(ADDRESS(2,COLUMN())),OFFSET($CL$2,0,0,ROW()-1,84),ROW()-1,FALSE))</f>
        <v>67.240987529999998</v>
      </c>
      <c r="M188" t="str">
        <f ca="1">IF(AND(ISNUMBER($M$393),$B$252=1),$M$393,HLOOKUP(INDIRECT(ADDRESS(2,COLUMN())),OFFSET($CL$2,0,0,ROW()-1,84),ROW()-1,FALSE))</f>
        <v/>
      </c>
      <c r="N188" t="str">
        <f ca="1">IF(AND(ISNUMBER($N$393),$B$252=1),$N$393,HLOOKUP(INDIRECT(ADDRESS(2,COLUMN())),OFFSET($CL$2,0,0,ROW()-1,84),ROW()-1,FALSE))</f>
        <v/>
      </c>
      <c r="O188">
        <f ca="1">IF(AND(ISNUMBER($O$393),$B$252=1),$O$393,HLOOKUP(INDIRECT(ADDRESS(2,COLUMN())),OFFSET($CL$2,0,0,ROW()-1,84),ROW()-1,FALSE))</f>
        <v>70.542030830000002</v>
      </c>
      <c r="P188" t="str">
        <f ca="1">IF(AND(ISNUMBER($P$393),$B$252=1),$P$393,HLOOKUP(INDIRECT(ADDRESS(2,COLUMN())),OFFSET($CL$2,0,0,ROW()-1,84),ROW()-1,FALSE))</f>
        <v/>
      </c>
      <c r="Q188" t="str">
        <f ca="1">IF(AND(ISNUMBER($Q$393),$B$252=1),$Q$393,HLOOKUP(INDIRECT(ADDRESS(2,COLUMN())),OFFSET($CL$2,0,0,ROW()-1,84),ROW()-1,FALSE))</f>
        <v/>
      </c>
      <c r="R188">
        <f ca="1">IF(AND(ISNUMBER($R$393),$B$252=1),$R$393,HLOOKUP(INDIRECT(ADDRESS(2,COLUMN())),OFFSET($CL$2,0,0,ROW()-1,84),ROW()-1,FALSE))</f>
        <v>70.423980729999997</v>
      </c>
      <c r="S188" t="str">
        <f ca="1">IF(AND(ISNUMBER($S$393),$B$252=1),$S$393,HLOOKUP(INDIRECT(ADDRESS(2,COLUMN())),OFFSET($CL$2,0,0,ROW()-1,84),ROW()-1,FALSE))</f>
        <v/>
      </c>
      <c r="T188" t="str">
        <f ca="1">IF(AND(ISNUMBER($T$393),$B$252=1),$T$393,HLOOKUP(INDIRECT(ADDRESS(2,COLUMN())),OFFSET($CL$2,0,0,ROW()-1,84),ROW()-1,FALSE))</f>
        <v/>
      </c>
      <c r="U188">
        <f ca="1">IF(AND(ISNUMBER($U$393),$B$252=1),$U$393,HLOOKUP(INDIRECT(ADDRESS(2,COLUMN())),OFFSET($CL$2,0,0,ROW()-1,84),ROW()-1,FALSE))</f>
        <v>65.412482749999995</v>
      </c>
      <c r="V188" t="str">
        <f ca="1">IF(AND(ISNUMBER($V$393),$B$252=1),$V$393,HLOOKUP(INDIRECT(ADDRESS(2,COLUMN())),OFFSET($CL$2,0,0,ROW()-1,84),ROW()-1,FALSE))</f>
        <v/>
      </c>
      <c r="W188" t="str">
        <f ca="1">IF(AND(ISNUMBER($W$393),$B$252=1),$W$393,HLOOKUP(INDIRECT(ADDRESS(2,COLUMN())),OFFSET($CL$2,0,0,ROW()-1,84),ROW()-1,FALSE))</f>
        <v/>
      </c>
      <c r="X188">
        <f ca="1">IF(AND(ISNUMBER($X$393),$B$252=1),$X$393,HLOOKUP(INDIRECT(ADDRESS(2,COLUMN())),OFFSET($CL$2,0,0,ROW()-1,84),ROW()-1,FALSE))</f>
        <v>72.605751799999993</v>
      </c>
      <c r="Y188" t="str">
        <f ca="1">IF(AND(ISNUMBER($Y$393),$B$252=1),$Y$393,HLOOKUP(INDIRECT(ADDRESS(2,COLUMN())),OFFSET($CL$2,0,0,ROW()-1,84),ROW()-1,FALSE))</f>
        <v/>
      </c>
      <c r="Z188" t="str">
        <f ca="1">IF(AND(ISNUMBER($Z$393),$B$252=1),$Z$393,HLOOKUP(INDIRECT(ADDRESS(2,COLUMN())),OFFSET($CL$2,0,0,ROW()-1,84),ROW()-1,FALSE))</f>
        <v/>
      </c>
      <c r="AA188">
        <f ca="1">IF(AND(ISNUMBER($AA$393),$B$252=1),$AA$393,HLOOKUP(INDIRECT(ADDRESS(2,COLUMN())),OFFSET($CL$2,0,0,ROW()-1,84),ROW()-1,FALSE))</f>
        <v>66.070371460000004</v>
      </c>
      <c r="AB188" t="str">
        <f ca="1">IF(AND(ISNUMBER($AB$393),$B$252=1),$AB$393,HLOOKUP(INDIRECT(ADDRESS(2,COLUMN())),OFFSET($CL$2,0,0,ROW()-1,84),ROW()-1,FALSE))</f>
        <v/>
      </c>
      <c r="AC188" t="str">
        <f ca="1">IF(AND(ISNUMBER($AC$393),$B$252=1),$AC$393,HLOOKUP(INDIRECT(ADDRESS(2,COLUMN())),OFFSET($CL$2,0,0,ROW()-1,84),ROW()-1,FALSE))</f>
        <v/>
      </c>
      <c r="AD188">
        <f ca="1">IF(AND(ISNUMBER($AD$393),$B$252=1),$AD$393,HLOOKUP(INDIRECT(ADDRESS(2,COLUMN())),OFFSET($CL$2,0,0,ROW()-1,84),ROW()-1,FALSE))</f>
        <v>65.301877230000002</v>
      </c>
      <c r="AE188" t="str">
        <f ca="1">IF(AND(ISNUMBER($AE$393),$B$252=1),$AE$393,HLOOKUP(INDIRECT(ADDRESS(2,COLUMN())),OFFSET($CL$2,0,0,ROW()-1,84),ROW()-1,FALSE))</f>
        <v/>
      </c>
      <c r="AF188" t="str">
        <f ca="1">IF(AND(ISNUMBER($AF$393),$B$252=1),$AF$393,HLOOKUP(INDIRECT(ADDRESS(2,COLUMN())),OFFSET($CL$2,0,0,ROW()-1,84),ROW()-1,FALSE))</f>
        <v/>
      </c>
      <c r="AG188">
        <f ca="1">IF(AND(ISNUMBER($AG$393),$B$252=1),$AG$393,HLOOKUP(INDIRECT(ADDRESS(2,COLUMN())),OFFSET($CL$2,0,0,ROW()-1,84),ROW()-1,FALSE))</f>
        <v>62.962071280000004</v>
      </c>
      <c r="AH188" t="str">
        <f ca="1">IF(AND(ISNUMBER($AH$393),$B$252=1),$AH$393,HLOOKUP(INDIRECT(ADDRESS(2,COLUMN())),OFFSET($CL$2,0,0,ROW()-1,84),ROW()-1,FALSE))</f>
        <v/>
      </c>
      <c r="AI188" t="str">
        <f ca="1">IF(AND(ISNUMBER($AI$393),$B$252=1),$AI$393,HLOOKUP(INDIRECT(ADDRESS(2,COLUMN())),OFFSET($CL$2,0,0,ROW()-1,84),ROW()-1,FALSE))</f>
        <v/>
      </c>
      <c r="AJ188">
        <f ca="1">IF(AND(ISNUMBER($AJ$393),$B$252=1),$AJ$393,HLOOKUP(INDIRECT(ADDRESS(2,COLUMN())),OFFSET($CL$2,0,0,ROW()-1,84),ROW()-1,FALSE))</f>
        <v>62.736119680000002</v>
      </c>
      <c r="AK188" t="str">
        <f ca="1">IF(AND(ISNUMBER($AK$393),$B$252=1),$AK$393,HLOOKUP(INDIRECT(ADDRESS(2,COLUMN())),OFFSET($CL$2,0,0,ROW()-1,84),ROW()-1,FALSE))</f>
        <v/>
      </c>
      <c r="AL188" t="str">
        <f ca="1">IF(AND(ISNUMBER($AL$393),$B$252=1),$AL$393,HLOOKUP(INDIRECT(ADDRESS(2,COLUMN())),OFFSET($CL$2,0,0,ROW()-1,84),ROW()-1,FALSE))</f>
        <v/>
      </c>
      <c r="AM188">
        <f ca="1">IF(AND(ISNUMBER($AM$393),$B$252=1),$AM$393,HLOOKUP(INDIRECT(ADDRESS(2,COLUMN())),OFFSET($CL$2,0,0,ROW()-1,84),ROW()-1,FALSE))</f>
        <v>64.562967459999996</v>
      </c>
      <c r="AN188" t="str">
        <f ca="1">IF(AND(ISNUMBER($AN$393),$B$252=1),$AN$393,HLOOKUP(INDIRECT(ADDRESS(2,COLUMN())),OFFSET($CL$2,0,0,ROW()-1,84),ROW()-1,FALSE))</f>
        <v/>
      </c>
      <c r="AO188" t="str">
        <f ca="1">IF(AND(ISNUMBER($AO$393),$B$252=1),$AO$393,HLOOKUP(INDIRECT(ADDRESS(2,COLUMN())),OFFSET($CL$2,0,0,ROW()-1,84),ROW()-1,FALSE))</f>
        <v/>
      </c>
      <c r="AP188">
        <f ca="1">IF(AND(ISNUMBER($AP$393),$B$252=1),$AP$393,HLOOKUP(INDIRECT(ADDRESS(2,COLUMN())),OFFSET($CL$2,0,0,ROW()-1,84),ROW()-1,FALSE))</f>
        <v>60.984216619999998</v>
      </c>
      <c r="AQ188" t="str">
        <f ca="1">IF(AND(ISNUMBER($AQ$393),$B$252=1),$AQ$393,HLOOKUP(INDIRECT(ADDRESS(2,COLUMN())),OFFSET($CL$2,0,0,ROW()-1,84),ROW()-1,FALSE))</f>
        <v/>
      </c>
      <c r="AR188" t="str">
        <f ca="1">IF(AND(ISNUMBER($AR$393),$B$252=1),$AR$393,HLOOKUP(INDIRECT(ADDRESS(2,COLUMN())),OFFSET($CL$2,0,0,ROW()-1,84),ROW()-1,FALSE))</f>
        <v/>
      </c>
      <c r="AS188">
        <f ca="1">IF(AND(ISNUMBER($AS$393),$B$252=1),$AS$393,HLOOKUP(INDIRECT(ADDRESS(2,COLUMN())),OFFSET($CL$2,0,0,ROW()-1,84),ROW()-1,FALSE))</f>
        <v>65.333780099999998</v>
      </c>
      <c r="AT188" t="str">
        <f ca="1">IF(AND(ISNUMBER($AT$393),$B$252=1),$AT$393,HLOOKUP(INDIRECT(ADDRESS(2,COLUMN())),OFFSET($CL$2,0,0,ROW()-1,84),ROW()-1,FALSE))</f>
        <v/>
      </c>
      <c r="AU188" t="str">
        <f ca="1">IF(AND(ISNUMBER($AU$393),$B$252=1),$AU$393,HLOOKUP(INDIRECT(ADDRESS(2,COLUMN())),OFFSET($CL$2,0,0,ROW()-1,84),ROW()-1,FALSE))</f>
        <v/>
      </c>
      <c r="AV188">
        <f ca="1">IF(AND(ISNUMBER($AV$393),$B$252=1),$AV$393,HLOOKUP(INDIRECT(ADDRESS(2,COLUMN())),OFFSET($CL$2,0,0,ROW()-1,84),ROW()-1,FALSE))</f>
        <v>66.102354390000002</v>
      </c>
      <c r="AW188" t="str">
        <f ca="1">IF(AND(ISNUMBER($AW$393),$B$252=1),$AW$393,HLOOKUP(INDIRECT(ADDRESS(2,COLUMN())),OFFSET($CL$2,0,0,ROW()-1,84),ROW()-1,FALSE))</f>
        <v/>
      </c>
      <c r="AX188" t="str">
        <f ca="1">IF(AND(ISNUMBER($AX$393),$B$252=1),$AX$393,HLOOKUP(INDIRECT(ADDRESS(2,COLUMN())),OFFSET($CL$2,0,0,ROW()-1,84),ROW()-1,FALSE))</f>
        <v/>
      </c>
      <c r="AY188">
        <f ca="1">IF(AND(ISNUMBER($AY$393),$B$252=1),$AY$393,HLOOKUP(INDIRECT(ADDRESS(2,COLUMN())),OFFSET($CL$2,0,0,ROW()-1,84),ROW()-1,FALSE))</f>
        <v>59.600684630000003</v>
      </c>
      <c r="AZ188" t="str">
        <f ca="1">IF(AND(ISNUMBER($AZ$393),$B$252=1),$AZ$393,HLOOKUP(INDIRECT(ADDRESS(2,COLUMN())),OFFSET($CL$2,0,0,ROW()-1,84),ROW()-1,FALSE))</f>
        <v/>
      </c>
      <c r="BA188" t="str">
        <f ca="1">IF(AND(ISNUMBER($BA$393),$B$252=1),$BA$393,HLOOKUP(INDIRECT(ADDRESS(2,COLUMN())),OFFSET($CL$2,0,0,ROW()-1,84),ROW()-1,FALSE))</f>
        <v/>
      </c>
      <c r="BB188">
        <f ca="1">IF(AND(ISNUMBER($BB$393),$B$252=1),$BB$393,HLOOKUP(INDIRECT(ADDRESS(2,COLUMN())),OFFSET($CL$2,0,0,ROW()-1,84),ROW()-1,FALSE))</f>
        <v>61.14035286</v>
      </c>
      <c r="BC188" t="str">
        <f ca="1">IF(AND(ISNUMBER($BC$393),$B$252=1),$BC$393,HLOOKUP(INDIRECT(ADDRESS(2,COLUMN())),OFFSET($CL$2,0,0,ROW()-1,84),ROW()-1,FALSE))</f>
        <v/>
      </c>
      <c r="BD188" t="str">
        <f ca="1">IF(AND(ISNUMBER($BD$393),$B$252=1),$BD$393,HLOOKUP(INDIRECT(ADDRESS(2,COLUMN())),OFFSET($CL$2,0,0,ROW()-1,84),ROW()-1,FALSE))</f>
        <v/>
      </c>
      <c r="BE188">
        <f ca="1">IF(AND(ISNUMBER($BE$393),$B$252=1),$BE$393,HLOOKUP(INDIRECT(ADDRESS(2,COLUMN())),OFFSET($CL$2,0,0,ROW()-1,84),ROW()-1,FALSE))</f>
        <v>55.938742490000003</v>
      </c>
      <c r="BF188" t="str">
        <f ca="1">IF(AND(ISNUMBER($BF$393),$B$252=1),$BF$393,HLOOKUP(INDIRECT(ADDRESS(2,COLUMN())),OFFSET($CL$2,0,0,ROW()-1,84),ROW()-1,FALSE))</f>
        <v/>
      </c>
      <c r="BG188" t="str">
        <f ca="1">IF(AND(ISNUMBER($BG$393),$B$252=1),$BG$393,HLOOKUP(INDIRECT(ADDRESS(2,COLUMN())),OFFSET($CL$2,0,0,ROW()-1,84),ROW()-1,FALSE))</f>
        <v/>
      </c>
      <c r="BH188">
        <f ca="1">IF(AND(ISNUMBER($BH$393),$B$252=1),$BH$393,HLOOKUP(INDIRECT(ADDRESS(2,COLUMN())),OFFSET($CL$2,0,0,ROW()-1,84),ROW()-1,FALSE))</f>
        <v>68.348795809999999</v>
      </c>
      <c r="BI188" t="str">
        <f ca="1">IF(AND(ISNUMBER($BI$393),$B$252=1),$BI$393,HLOOKUP(INDIRECT(ADDRESS(2,COLUMN())),OFFSET($CL$2,0,0,ROW()-1,84),ROW()-1,FALSE))</f>
        <v/>
      </c>
      <c r="BJ188" t="str">
        <f ca="1">IF(AND(ISNUMBER($BJ$393),$B$252=1),$BJ$393,HLOOKUP(INDIRECT(ADDRESS(2,COLUMN())),OFFSET($CL$2,0,0,ROW()-1,84),ROW()-1,FALSE))</f>
        <v/>
      </c>
      <c r="BK188">
        <f ca="1">IF(AND(ISNUMBER($BK$393),$B$252=1),$BK$393,HLOOKUP(INDIRECT(ADDRESS(2,COLUMN())),OFFSET($CL$2,0,0,ROW()-1,84),ROW()-1,FALSE))</f>
        <v>65.475139049999996</v>
      </c>
      <c r="BL188" t="str">
        <f ca="1">IF(AND(ISNUMBER($BL$393),$B$252=1),$BL$393,HLOOKUP(INDIRECT(ADDRESS(2,COLUMN())),OFFSET($CL$2,0,0,ROW()-1,84),ROW()-1,FALSE))</f>
        <v/>
      </c>
      <c r="BM188" t="str">
        <f ca="1">IF(AND(ISNUMBER($BM$393),$B$252=1),$BM$393,HLOOKUP(INDIRECT(ADDRESS(2,COLUMN())),OFFSET($CL$2,0,0,ROW()-1,84),ROW()-1,FALSE))</f>
        <v/>
      </c>
      <c r="BN188">
        <f ca="1">IF(AND(ISNUMBER($BN$393),$B$252=1),$BN$393,HLOOKUP(INDIRECT(ADDRESS(2,COLUMN())),OFFSET($CL$2,0,0,ROW()-1,84),ROW()-1,FALSE))</f>
        <v>63.419847330000003</v>
      </c>
      <c r="BO188" t="str">
        <f ca="1">IF(AND(ISNUMBER($BO$393),$B$252=1),$BO$393,HLOOKUP(INDIRECT(ADDRESS(2,COLUMN())),OFFSET($CL$2,0,0,ROW()-1,84),ROW()-1,FALSE))</f>
        <v/>
      </c>
      <c r="BP188" t="str">
        <f ca="1">IF(AND(ISNUMBER($BP$393),$B$252=1),$BP$393,HLOOKUP(INDIRECT(ADDRESS(2,COLUMN())),OFFSET($CL$2,0,0,ROW()-1,84),ROW()-1,FALSE))</f>
        <v/>
      </c>
      <c r="BQ188">
        <f ca="1">IF(AND(ISNUMBER($BQ$393),$B$252=1),$BQ$393,HLOOKUP(INDIRECT(ADDRESS(2,COLUMN())),OFFSET($CL$2,0,0,ROW()-1,84),ROW()-1,FALSE))</f>
        <v>52.794516059999999</v>
      </c>
      <c r="BR188" t="str">
        <f ca="1">IF(AND(ISNUMBER($BR$393),$B$252=1),$BR$393,HLOOKUP(INDIRECT(ADDRESS(2,COLUMN())),OFFSET($CL$2,0,0,ROW()-1,84),ROW()-1,FALSE))</f>
        <v/>
      </c>
      <c r="BS188" t="str">
        <f ca="1">IF(AND(ISNUMBER($BS$393),$B$252=1),$BS$393,HLOOKUP(INDIRECT(ADDRESS(2,COLUMN())),OFFSET($CL$2,0,0,ROW()-1,84),ROW()-1,FALSE))</f>
        <v/>
      </c>
      <c r="BT188">
        <f ca="1">IF(AND(ISNUMBER($BT$393),$B$252=1),$BT$393,HLOOKUP(INDIRECT(ADDRESS(2,COLUMN())),OFFSET($CL$2,0,0,ROW()-1,84),ROW()-1,FALSE))</f>
        <v>60.711626160000002</v>
      </c>
      <c r="BU188" t="str">
        <f ca="1">IF(AND(ISNUMBER($BU$393),$B$252=1),$BU$393,HLOOKUP(INDIRECT(ADDRESS(2,COLUMN())),OFFSET($CL$2,0,0,ROW()-1,84),ROW()-1,FALSE))</f>
        <v/>
      </c>
      <c r="BV188" t="str">
        <f ca="1">IF(AND(ISNUMBER($BV$393),$B$252=1),$BV$393,HLOOKUP(INDIRECT(ADDRESS(2,COLUMN())),OFFSET($CL$2,0,0,ROW()-1,84),ROW()-1,FALSE))</f>
        <v/>
      </c>
      <c r="BW188">
        <f ca="1">IF(AND(ISNUMBER($BW$393),$B$252=1),$BW$393,HLOOKUP(INDIRECT(ADDRESS(2,COLUMN())),OFFSET($CL$2,0,0,ROW()-1,84),ROW()-1,FALSE))</f>
        <v>53.26771325</v>
      </c>
      <c r="BX188" t="str">
        <f ca="1">IF(AND(ISNUMBER($BX$393),$B$252=1),$BX$393,HLOOKUP(INDIRECT(ADDRESS(2,COLUMN())),OFFSET($CL$2,0,0,ROW()-1,84),ROW()-1,FALSE))</f>
        <v/>
      </c>
      <c r="BY188" t="str">
        <f ca="1">IF(AND(ISNUMBER($BY$393),$B$252=1),$BY$393,HLOOKUP(INDIRECT(ADDRESS(2,COLUMN())),OFFSET($CL$2,0,0,ROW()-1,84),ROW()-1,FALSE))</f>
        <v/>
      </c>
      <c r="BZ188">
        <f ca="1">IF(AND(ISNUMBER($BZ$393),$B$252=1),$BZ$393,HLOOKUP(INDIRECT(ADDRESS(2,COLUMN())),OFFSET($CL$2,0,0,ROW()-1,84),ROW()-1,FALSE))</f>
        <v>61.892410099999999</v>
      </c>
      <c r="CA188" t="str">
        <f ca="1">IF(AND(ISNUMBER($CA$393),$B$252=1),$CA$393,HLOOKUP(INDIRECT(ADDRESS(2,COLUMN())),OFFSET($CL$2,0,0,ROW()-1,84),ROW()-1,FALSE))</f>
        <v/>
      </c>
      <c r="CB188" t="str">
        <f ca="1">IF(AND(ISNUMBER($CB$393),$B$252=1),$CB$393,HLOOKUP(INDIRECT(ADDRESS(2,COLUMN())),OFFSET($CL$2,0,0,ROW()-1,84),ROW()-1,FALSE))</f>
        <v/>
      </c>
      <c r="CC188">
        <f ca="1">IF(AND(ISNUMBER($CC$393),$B$252=1),$CC$393,HLOOKUP(INDIRECT(ADDRESS(2,COLUMN())),OFFSET($CL$2,0,0,ROW()-1,84),ROW()-1,FALSE))</f>
        <v>59.463010099999998</v>
      </c>
      <c r="CD188" t="str">
        <f ca="1">IF(AND(ISNUMBER($CD$393),$B$252=1),$CD$393,HLOOKUP(INDIRECT(ADDRESS(2,COLUMN())),OFFSET($CL$2,0,0,ROW()-1,84),ROW()-1,FALSE))</f>
        <v/>
      </c>
      <c r="CE188" t="str">
        <f ca="1">IF(AND(ISNUMBER($CE$393),$B$252=1),$CE$393,HLOOKUP(INDIRECT(ADDRESS(2,COLUMN())),OFFSET($CL$2,0,0,ROW()-1,84),ROW()-1,FALSE))</f>
        <v/>
      </c>
      <c r="CF188">
        <f ca="1">IF(AND(ISNUMBER($CF$393),$B$252=1),$CF$393,HLOOKUP(INDIRECT(ADDRESS(2,COLUMN())),OFFSET($CL$2,0,0,ROW()-1,84),ROW()-1,FALSE))</f>
        <v>49.157755369999997</v>
      </c>
      <c r="CG188" t="str">
        <f ca="1">IF(AND(ISNUMBER($CG$393),$B$252=1),$CG$393,HLOOKUP(INDIRECT(ADDRESS(2,COLUMN())),OFFSET($CL$2,0,0,ROW()-1,84),ROW()-1,FALSE))</f>
        <v/>
      </c>
      <c r="CH188" t="str">
        <f ca="1">IF(AND(ISNUMBER($CH$393),$B$252=1),$CH$393,HLOOKUP(INDIRECT(ADDRESS(2,COLUMN())),OFFSET($CL$2,0,0,ROW()-1,84),ROW()-1,FALSE))</f>
        <v/>
      </c>
      <c r="CI188">
        <f ca="1">IF(AND(ISNUMBER($CI$393),$B$252=1),$CI$393,HLOOKUP(INDIRECT(ADDRESS(2,COLUMN())),OFFSET($CL$2,0,0,ROW()-1,84),ROW()-1,FALSE))</f>
        <v>88.824680959999995</v>
      </c>
      <c r="CJ188" t="str">
        <f ca="1">IF(AND(ISNUMBER($CJ$393),$B$252=1),$CJ$393,HLOOKUP(INDIRECT(ADDRESS(2,COLUMN())),OFFSET($CL$2,0,0,ROW()-1,84),ROW()-1,FALSE))</f>
        <v/>
      </c>
      <c r="CK188" t="str">
        <f ca="1">IF(AND(ISNUMBER($CK$393),$B$252=1),$CK$393,HLOOKUP(INDIRECT(ADDRESS(2,COLUMN())),OFFSET($CL$2,0,0,ROW()-1,84),ROW()-1,FALSE))</f>
        <v/>
      </c>
      <c r="CL188" t="str">
        <f>""</f>
        <v/>
      </c>
      <c r="CM188" t="str">
        <f>""</f>
        <v/>
      </c>
      <c r="CN188" t="str">
        <f>""</f>
        <v/>
      </c>
      <c r="CO188">
        <f>64.25183736</f>
        <v>64.251837359999996</v>
      </c>
      <c r="CP188" t="str">
        <f>""</f>
        <v/>
      </c>
      <c r="CQ188" t="str">
        <f>""</f>
        <v/>
      </c>
      <c r="CR188">
        <f>67.24098753</f>
        <v>67.240987529999998</v>
      </c>
      <c r="CS188" t="str">
        <f>""</f>
        <v/>
      </c>
      <c r="CT188" t="str">
        <f>""</f>
        <v/>
      </c>
      <c r="CU188">
        <f>70.54203083</f>
        <v>70.542030830000002</v>
      </c>
      <c r="CV188" t="str">
        <f>""</f>
        <v/>
      </c>
      <c r="CW188" t="str">
        <f>""</f>
        <v/>
      </c>
      <c r="CX188">
        <f>70.42398073</f>
        <v>70.423980729999997</v>
      </c>
      <c r="CY188" t="str">
        <f>""</f>
        <v/>
      </c>
      <c r="CZ188" t="str">
        <f>""</f>
        <v/>
      </c>
      <c r="DA188">
        <f>65.41248275</f>
        <v>65.412482749999995</v>
      </c>
      <c r="DB188" t="str">
        <f>""</f>
        <v/>
      </c>
      <c r="DC188" t="str">
        <f>""</f>
        <v/>
      </c>
      <c r="DD188">
        <f>72.6057518</f>
        <v>72.605751799999993</v>
      </c>
      <c r="DE188" t="str">
        <f>""</f>
        <v/>
      </c>
      <c r="DF188" t="str">
        <f>""</f>
        <v/>
      </c>
      <c r="DG188">
        <f>66.07037146</f>
        <v>66.070371460000004</v>
      </c>
      <c r="DH188" t="str">
        <f>""</f>
        <v/>
      </c>
      <c r="DI188" t="str">
        <f>""</f>
        <v/>
      </c>
      <c r="DJ188">
        <f>65.30187723</f>
        <v>65.301877230000002</v>
      </c>
      <c r="DK188" t="str">
        <f>""</f>
        <v/>
      </c>
      <c r="DL188" t="str">
        <f>""</f>
        <v/>
      </c>
      <c r="DM188">
        <f>62.96207128</f>
        <v>62.962071280000004</v>
      </c>
      <c r="DN188" t="str">
        <f>""</f>
        <v/>
      </c>
      <c r="DO188" t="str">
        <f>""</f>
        <v/>
      </c>
      <c r="DP188">
        <f>62.73611968</f>
        <v>62.736119680000002</v>
      </c>
      <c r="DQ188" t="str">
        <f>""</f>
        <v/>
      </c>
      <c r="DR188" t="str">
        <f>""</f>
        <v/>
      </c>
      <c r="DS188">
        <f>64.56296746</f>
        <v>64.562967459999996</v>
      </c>
      <c r="DT188" t="str">
        <f>""</f>
        <v/>
      </c>
      <c r="DU188" t="str">
        <f>""</f>
        <v/>
      </c>
      <c r="DV188">
        <f>60.98421662</f>
        <v>60.984216619999998</v>
      </c>
      <c r="DW188" t="str">
        <f>""</f>
        <v/>
      </c>
      <c r="DX188" t="str">
        <f>""</f>
        <v/>
      </c>
      <c r="DY188">
        <f>65.3337801</f>
        <v>65.333780099999998</v>
      </c>
      <c r="DZ188" t="str">
        <f>""</f>
        <v/>
      </c>
      <c r="EA188" t="str">
        <f>""</f>
        <v/>
      </c>
      <c r="EB188">
        <f>66.10235439</f>
        <v>66.102354390000002</v>
      </c>
      <c r="EC188" t="str">
        <f>""</f>
        <v/>
      </c>
      <c r="ED188" t="str">
        <f>""</f>
        <v/>
      </c>
      <c r="EE188">
        <f>59.60068463</f>
        <v>59.600684630000003</v>
      </c>
      <c r="EF188" t="str">
        <f>""</f>
        <v/>
      </c>
      <c r="EG188" t="str">
        <f>""</f>
        <v/>
      </c>
      <c r="EH188">
        <f>61.14035286</f>
        <v>61.14035286</v>
      </c>
      <c r="EI188" t="str">
        <f>""</f>
        <v/>
      </c>
      <c r="EJ188" t="str">
        <f>""</f>
        <v/>
      </c>
      <c r="EK188">
        <f>55.93874249</f>
        <v>55.938742490000003</v>
      </c>
      <c r="EL188" t="str">
        <f>""</f>
        <v/>
      </c>
      <c r="EM188" t="str">
        <f>""</f>
        <v/>
      </c>
      <c r="EN188">
        <f>68.34879581</f>
        <v>68.348795809999999</v>
      </c>
      <c r="EO188" t="str">
        <f>""</f>
        <v/>
      </c>
      <c r="EP188" t="str">
        <f>""</f>
        <v/>
      </c>
      <c r="EQ188">
        <f>65.47513905</f>
        <v>65.475139049999996</v>
      </c>
      <c r="ER188" t="str">
        <f>""</f>
        <v/>
      </c>
      <c r="ES188" t="str">
        <f>""</f>
        <v/>
      </c>
      <c r="ET188">
        <f>63.41984733</f>
        <v>63.419847330000003</v>
      </c>
      <c r="EU188" t="str">
        <f>""</f>
        <v/>
      </c>
      <c r="EV188" t="str">
        <f>""</f>
        <v/>
      </c>
      <c r="EW188">
        <f>52.79451606</f>
        <v>52.794516059999999</v>
      </c>
      <c r="EX188" t="str">
        <f>""</f>
        <v/>
      </c>
      <c r="EY188" t="str">
        <f>""</f>
        <v/>
      </c>
      <c r="EZ188">
        <f>60.71162616</f>
        <v>60.711626160000002</v>
      </c>
      <c r="FA188" t="str">
        <f>""</f>
        <v/>
      </c>
      <c r="FB188" t="str">
        <f>""</f>
        <v/>
      </c>
      <c r="FC188">
        <f>53.26771325</f>
        <v>53.26771325</v>
      </c>
      <c r="FD188" t="str">
        <f>""</f>
        <v/>
      </c>
      <c r="FE188" t="str">
        <f>""</f>
        <v/>
      </c>
      <c r="FF188">
        <f>61.8924101</f>
        <v>61.892410099999999</v>
      </c>
      <c r="FG188" t="str">
        <f>""</f>
        <v/>
      </c>
      <c r="FH188" t="str">
        <f>""</f>
        <v/>
      </c>
      <c r="FI188">
        <f>59.4630101</f>
        <v>59.463010099999998</v>
      </c>
      <c r="FJ188" t="str">
        <f>""</f>
        <v/>
      </c>
      <c r="FK188" t="str">
        <f>""</f>
        <v/>
      </c>
      <c r="FL188">
        <f>49.15775537</f>
        <v>49.157755369999997</v>
      </c>
      <c r="FM188" t="str">
        <f>""</f>
        <v/>
      </c>
      <c r="FN188" t="str">
        <f>""</f>
        <v/>
      </c>
      <c r="FO188">
        <f>88.82468096</f>
        <v>88.824680959999995</v>
      </c>
      <c r="FP188" t="str">
        <f>""</f>
        <v/>
      </c>
      <c r="FQ188" t="str">
        <f>""</f>
        <v/>
      </c>
    </row>
    <row r="189" spans="1:173">
      <c r="A189" t="str">
        <f>"    AvalonBay Communities Inc"</f>
        <v xml:space="preserve">    AvalonBay Communities Inc</v>
      </c>
      <c r="B189" t="str">
        <f>"AVB US Equity"</f>
        <v>AVB US Equity</v>
      </c>
      <c r="C189" t="str">
        <f t="shared" si="60"/>
        <v>F0929</v>
      </c>
      <c r="D189" t="str">
        <f t="shared" si="61"/>
        <v>FUNDS_AVAIL_DIST_PAYOUT_RATIO</v>
      </c>
      <c r="E189" t="str">
        <f t="shared" si="62"/>
        <v>动态</v>
      </c>
      <c r="F189" t="str">
        <f ca="1">IF(AND(ISNUMBER($F$394),$B$252=1),$F$394,HLOOKUP(INDIRECT(ADDRESS(2,COLUMN())),OFFSET($CL$2,0,0,ROW()-1,84),ROW()-1,FALSE))</f>
        <v/>
      </c>
      <c r="G189" t="str">
        <f ca="1">IF(AND(ISNUMBER($G$394),$B$252=1),$G$394,HLOOKUP(INDIRECT(ADDRESS(2,COLUMN())),OFFSET($CL$2,0,0,ROW()-1,84),ROW()-1,FALSE))</f>
        <v/>
      </c>
      <c r="H189" t="str">
        <f ca="1">IF(AND(ISNUMBER($H$394),$B$252=1),$H$394,HLOOKUP(INDIRECT(ADDRESS(2,COLUMN())),OFFSET($CL$2,0,0,ROW()-1,84),ROW()-1,FALSE))</f>
        <v/>
      </c>
      <c r="I189">
        <f ca="1">IF(AND(ISNUMBER($I$394),$B$252=1),$I$394,HLOOKUP(INDIRECT(ADDRESS(2,COLUMN())),OFFSET($CL$2,0,0,ROW()-1,84),ROW()-1,FALSE))</f>
        <v>65.579993369999997</v>
      </c>
      <c r="J189" t="str">
        <f ca="1">IF(AND(ISNUMBER($J$394),$B$252=1),$J$394,HLOOKUP(INDIRECT(ADDRESS(2,COLUMN())),OFFSET($CL$2,0,0,ROW()-1,84),ROW()-1,FALSE))</f>
        <v/>
      </c>
      <c r="K189" t="str">
        <f ca="1">IF(AND(ISNUMBER($K$394),$B$252=1),$K$394,HLOOKUP(INDIRECT(ADDRESS(2,COLUMN())),OFFSET($CL$2,0,0,ROW()-1,84),ROW()-1,FALSE))</f>
        <v/>
      </c>
      <c r="L189">
        <f ca="1">IF(AND(ISNUMBER($L$394),$B$252=1),$L$394,HLOOKUP(INDIRECT(ADDRESS(2,COLUMN())),OFFSET($CL$2,0,0,ROW()-1,84),ROW()-1,FALSE))</f>
        <v>67.433732239999998</v>
      </c>
      <c r="M189" t="str">
        <f ca="1">IF(AND(ISNUMBER($M$394),$B$252=1),$M$394,HLOOKUP(INDIRECT(ADDRESS(2,COLUMN())),OFFSET($CL$2,0,0,ROW()-1,84),ROW()-1,FALSE))</f>
        <v/>
      </c>
      <c r="N189" t="str">
        <f ca="1">IF(AND(ISNUMBER($N$394),$B$252=1),$N$394,HLOOKUP(INDIRECT(ADDRESS(2,COLUMN())),OFFSET($CL$2,0,0,ROW()-1,84),ROW()-1,FALSE))</f>
        <v/>
      </c>
      <c r="O189">
        <f ca="1">IF(AND(ISNUMBER($O$394),$B$252=1),$O$394,HLOOKUP(INDIRECT(ADDRESS(2,COLUMN())),OFFSET($CL$2,0,0,ROW()-1,84),ROW()-1,FALSE))</f>
        <v>71.133672349999998</v>
      </c>
      <c r="P189" t="str">
        <f ca="1">IF(AND(ISNUMBER($P$394),$B$252=1),$P$394,HLOOKUP(INDIRECT(ADDRESS(2,COLUMN())),OFFSET($CL$2,0,0,ROW()-1,84),ROW()-1,FALSE))</f>
        <v/>
      </c>
      <c r="Q189" t="str">
        <f ca="1">IF(AND(ISNUMBER($Q$394),$B$252=1),$Q$394,HLOOKUP(INDIRECT(ADDRESS(2,COLUMN())),OFFSET($CL$2,0,0,ROW()-1,84),ROW()-1,FALSE))</f>
        <v/>
      </c>
      <c r="R189">
        <f ca="1">IF(AND(ISNUMBER($R$394),$B$252=1),$R$394,HLOOKUP(INDIRECT(ADDRESS(2,COLUMN())),OFFSET($CL$2,0,0,ROW()-1,84),ROW()-1,FALSE))</f>
        <v>70.635982220000002</v>
      </c>
      <c r="S189" t="str">
        <f ca="1">IF(AND(ISNUMBER($S$394),$B$252=1),$S$394,HLOOKUP(INDIRECT(ADDRESS(2,COLUMN())),OFFSET($CL$2,0,0,ROW()-1,84),ROW()-1,FALSE))</f>
        <v/>
      </c>
      <c r="T189" t="str">
        <f ca="1">IF(AND(ISNUMBER($T$394),$B$252=1),$T$394,HLOOKUP(INDIRECT(ADDRESS(2,COLUMN())),OFFSET($CL$2,0,0,ROW()-1,84),ROW()-1,FALSE))</f>
        <v/>
      </c>
      <c r="U189">
        <f ca="1">IF(AND(ISNUMBER($U$394),$B$252=1),$U$394,HLOOKUP(INDIRECT(ADDRESS(2,COLUMN())),OFFSET($CL$2,0,0,ROW()-1,84),ROW()-1,FALSE))</f>
        <v>66.086023440000005</v>
      </c>
      <c r="V189" t="str">
        <f ca="1">IF(AND(ISNUMBER($V$394),$B$252=1),$V$394,HLOOKUP(INDIRECT(ADDRESS(2,COLUMN())),OFFSET($CL$2,0,0,ROW()-1,84),ROW()-1,FALSE))</f>
        <v/>
      </c>
      <c r="W189" t="str">
        <f ca="1">IF(AND(ISNUMBER($W$394),$B$252=1),$W$394,HLOOKUP(INDIRECT(ADDRESS(2,COLUMN())),OFFSET($CL$2,0,0,ROW()-1,84),ROW()-1,FALSE))</f>
        <v/>
      </c>
      <c r="X189">
        <f ca="1">IF(AND(ISNUMBER($X$394),$B$252=1),$X$394,HLOOKUP(INDIRECT(ADDRESS(2,COLUMN())),OFFSET($CL$2,0,0,ROW()-1,84),ROW()-1,FALSE))</f>
        <v>67.793417020000007</v>
      </c>
      <c r="Y189" t="str">
        <f ca="1">IF(AND(ISNUMBER($Y$394),$B$252=1),$Y$394,HLOOKUP(INDIRECT(ADDRESS(2,COLUMN())),OFFSET($CL$2,0,0,ROW()-1,84),ROW()-1,FALSE))</f>
        <v/>
      </c>
      <c r="Z189" t="str">
        <f ca="1">IF(AND(ISNUMBER($Z$394),$B$252=1),$Z$394,HLOOKUP(INDIRECT(ADDRESS(2,COLUMN())),OFFSET($CL$2,0,0,ROW()-1,84),ROW()-1,FALSE))</f>
        <v/>
      </c>
      <c r="AA189">
        <f ca="1">IF(AND(ISNUMBER($AA$394),$B$252=1),$AA$394,HLOOKUP(INDIRECT(ADDRESS(2,COLUMN())),OFFSET($CL$2,0,0,ROW()-1,84),ROW()-1,FALSE))</f>
        <v>69.688831800000003</v>
      </c>
      <c r="AB189" t="str">
        <f ca="1">IF(AND(ISNUMBER($AB$394),$B$252=1),$AB$394,HLOOKUP(INDIRECT(ADDRESS(2,COLUMN())),OFFSET($CL$2,0,0,ROW()-1,84),ROW()-1,FALSE))</f>
        <v/>
      </c>
      <c r="AC189" t="str">
        <f ca="1">IF(AND(ISNUMBER($AC$394),$B$252=1),$AC$394,HLOOKUP(INDIRECT(ADDRESS(2,COLUMN())),OFFSET($CL$2,0,0,ROW()-1,84),ROW()-1,FALSE))</f>
        <v/>
      </c>
      <c r="AD189">
        <f ca="1">IF(AND(ISNUMBER($AD$394),$B$252=1),$AD$394,HLOOKUP(INDIRECT(ADDRESS(2,COLUMN())),OFFSET($CL$2,0,0,ROW()-1,84),ROW()-1,FALSE))</f>
        <v>71.566645730000005</v>
      </c>
      <c r="AE189" t="str">
        <f ca="1">IF(AND(ISNUMBER($AE$394),$B$252=1),$AE$394,HLOOKUP(INDIRECT(ADDRESS(2,COLUMN())),OFFSET($CL$2,0,0,ROW()-1,84),ROW()-1,FALSE))</f>
        <v/>
      </c>
      <c r="AF189" t="str">
        <f ca="1">IF(AND(ISNUMBER($AF$394),$B$252=1),$AF$394,HLOOKUP(INDIRECT(ADDRESS(2,COLUMN())),OFFSET($CL$2,0,0,ROW()-1,84),ROW()-1,FALSE))</f>
        <v/>
      </c>
      <c r="AG189">
        <f ca="1">IF(AND(ISNUMBER($AG$394),$B$252=1),$AG$394,HLOOKUP(INDIRECT(ADDRESS(2,COLUMN())),OFFSET($CL$2,0,0,ROW()-1,84),ROW()-1,FALSE))</f>
        <v>65.624216129999994</v>
      </c>
      <c r="AH189" t="str">
        <f ca="1">IF(AND(ISNUMBER($AH$394),$B$252=1),$AH$394,HLOOKUP(INDIRECT(ADDRESS(2,COLUMN())),OFFSET($CL$2,0,0,ROW()-1,84),ROW()-1,FALSE))</f>
        <v/>
      </c>
      <c r="AI189" t="str">
        <f ca="1">IF(AND(ISNUMBER($AI$394),$B$252=1),$AI$394,HLOOKUP(INDIRECT(ADDRESS(2,COLUMN())),OFFSET($CL$2,0,0,ROW()-1,84),ROW()-1,FALSE))</f>
        <v/>
      </c>
      <c r="AJ189">
        <f ca="1">IF(AND(ISNUMBER($AJ$394),$B$252=1),$AJ$394,HLOOKUP(INDIRECT(ADDRESS(2,COLUMN())),OFFSET($CL$2,0,0,ROW()-1,84),ROW()-1,FALSE))</f>
        <v>67.573757349999994</v>
      </c>
      <c r="AK189" t="str">
        <f ca="1">IF(AND(ISNUMBER($AK$394),$B$252=1),$AK$394,HLOOKUP(INDIRECT(ADDRESS(2,COLUMN())),OFFSET($CL$2,0,0,ROW()-1,84),ROW()-1,FALSE))</f>
        <v/>
      </c>
      <c r="AL189" t="str">
        <f ca="1">IF(AND(ISNUMBER($AL$394),$B$252=1),$AL$394,HLOOKUP(INDIRECT(ADDRESS(2,COLUMN())),OFFSET($CL$2,0,0,ROW()-1,84),ROW()-1,FALSE))</f>
        <v/>
      </c>
      <c r="AM189">
        <f ca="1">IF(AND(ISNUMBER($AM$394),$B$252=1),$AM$394,HLOOKUP(INDIRECT(ADDRESS(2,COLUMN())),OFFSET($CL$2,0,0,ROW()-1,84),ROW()-1,FALSE))</f>
        <v>70.108641120000001</v>
      </c>
      <c r="AN189" t="str">
        <f ca="1">IF(AND(ISNUMBER($AN$394),$B$252=1),$AN$394,HLOOKUP(INDIRECT(ADDRESS(2,COLUMN())),OFFSET($CL$2,0,0,ROW()-1,84),ROW()-1,FALSE))</f>
        <v/>
      </c>
      <c r="AO189" t="str">
        <f ca="1">IF(AND(ISNUMBER($AO$394),$B$252=1),$AO$394,HLOOKUP(INDIRECT(ADDRESS(2,COLUMN())),OFFSET($CL$2,0,0,ROW()-1,84),ROW()-1,FALSE))</f>
        <v/>
      </c>
      <c r="AP189">
        <f ca="1">IF(AND(ISNUMBER($AP$394),$B$252=1),$AP$394,HLOOKUP(INDIRECT(ADDRESS(2,COLUMN())),OFFSET($CL$2,0,0,ROW()-1,84),ROW()-1,FALSE))</f>
        <v>74.687608240000003</v>
      </c>
      <c r="AQ189" t="str">
        <f ca="1">IF(AND(ISNUMBER($AQ$394),$B$252=1),$AQ$394,HLOOKUP(INDIRECT(ADDRESS(2,COLUMN())),OFFSET($CL$2,0,0,ROW()-1,84),ROW()-1,FALSE))</f>
        <v/>
      </c>
      <c r="AR189" t="str">
        <f ca="1">IF(AND(ISNUMBER($AR$394),$B$252=1),$AR$394,HLOOKUP(INDIRECT(ADDRESS(2,COLUMN())),OFFSET($CL$2,0,0,ROW()-1,84),ROW()-1,FALSE))</f>
        <v/>
      </c>
      <c r="AS189">
        <f ca="1">IF(AND(ISNUMBER($AS$394),$B$252=1),$AS$394,HLOOKUP(INDIRECT(ADDRESS(2,COLUMN())),OFFSET($CL$2,0,0,ROW()-1,84),ROW()-1,FALSE))</f>
        <v>70.525350200000005</v>
      </c>
      <c r="AT189" t="str">
        <f ca="1">IF(AND(ISNUMBER($AT$394),$B$252=1),$AT$394,HLOOKUP(INDIRECT(ADDRESS(2,COLUMN())),OFFSET($CL$2,0,0,ROW()-1,84),ROW()-1,FALSE))</f>
        <v/>
      </c>
      <c r="AU189" t="str">
        <f ca="1">IF(AND(ISNUMBER($AU$394),$B$252=1),$AU$394,HLOOKUP(INDIRECT(ADDRESS(2,COLUMN())),OFFSET($CL$2,0,0,ROW()-1,84),ROW()-1,FALSE))</f>
        <v/>
      </c>
      <c r="AV189">
        <f ca="1">IF(AND(ISNUMBER($AV$394),$B$252=1),$AV$394,HLOOKUP(INDIRECT(ADDRESS(2,COLUMN())),OFFSET($CL$2,0,0,ROW()-1,84),ROW()-1,FALSE))</f>
        <v>69.854937750000005</v>
      </c>
      <c r="AW189" t="str">
        <f ca="1">IF(AND(ISNUMBER($AW$394),$B$252=1),$AW$394,HLOOKUP(INDIRECT(ADDRESS(2,COLUMN())),OFFSET($CL$2,0,0,ROW()-1,84),ROW()-1,FALSE))</f>
        <v/>
      </c>
      <c r="AX189" t="str">
        <f ca="1">IF(AND(ISNUMBER($AX$394),$B$252=1),$AX$394,HLOOKUP(INDIRECT(ADDRESS(2,COLUMN())),OFFSET($CL$2,0,0,ROW()-1,84),ROW()-1,FALSE))</f>
        <v/>
      </c>
      <c r="AY189">
        <f ca="1">IF(AND(ISNUMBER($AY$394),$B$252=1),$AY$394,HLOOKUP(INDIRECT(ADDRESS(2,COLUMN())),OFFSET($CL$2,0,0,ROW()-1,84),ROW()-1,FALSE))</f>
        <v>70.934690020000005</v>
      </c>
      <c r="AZ189" t="str">
        <f ca="1">IF(AND(ISNUMBER($AZ$394),$B$252=1),$AZ$394,HLOOKUP(INDIRECT(ADDRESS(2,COLUMN())),OFFSET($CL$2,0,0,ROW()-1,84),ROW()-1,FALSE))</f>
        <v/>
      </c>
      <c r="BA189" t="str">
        <f ca="1">IF(AND(ISNUMBER($BA$394),$B$252=1),$BA$394,HLOOKUP(INDIRECT(ADDRESS(2,COLUMN())),OFFSET($CL$2,0,0,ROW()-1,84),ROW()-1,FALSE))</f>
        <v/>
      </c>
      <c r="BB189">
        <f ca="1">IF(AND(ISNUMBER($BB$394),$B$252=1),$BB$394,HLOOKUP(INDIRECT(ADDRESS(2,COLUMN())),OFFSET($CL$2,0,0,ROW()-1,84),ROW()-1,FALSE))</f>
        <v>74.299493100000007</v>
      </c>
      <c r="BC189" t="str">
        <f ca="1">IF(AND(ISNUMBER($BC$394),$B$252=1),$BC$394,HLOOKUP(INDIRECT(ADDRESS(2,COLUMN())),OFFSET($CL$2,0,0,ROW()-1,84),ROW()-1,FALSE))</f>
        <v/>
      </c>
      <c r="BD189" t="str">
        <f ca="1">IF(AND(ISNUMBER($BD$394),$B$252=1),$BD$394,HLOOKUP(INDIRECT(ADDRESS(2,COLUMN())),OFFSET($CL$2,0,0,ROW()-1,84),ROW()-1,FALSE))</f>
        <v/>
      </c>
      <c r="BE189">
        <f ca="1">IF(AND(ISNUMBER($BE$394),$B$252=1),$BE$394,HLOOKUP(INDIRECT(ADDRESS(2,COLUMN())),OFFSET($CL$2,0,0,ROW()-1,84),ROW()-1,FALSE))</f>
        <v>70.998167089999995</v>
      </c>
      <c r="BF189" t="str">
        <f ca="1">IF(AND(ISNUMBER($BF$394),$B$252=1),$BF$394,HLOOKUP(INDIRECT(ADDRESS(2,COLUMN())),OFFSET($CL$2,0,0,ROW()-1,84),ROW()-1,FALSE))</f>
        <v/>
      </c>
      <c r="BG189" t="str">
        <f ca="1">IF(AND(ISNUMBER($BG$394),$B$252=1),$BG$394,HLOOKUP(INDIRECT(ADDRESS(2,COLUMN())),OFFSET($CL$2,0,0,ROW()-1,84),ROW()-1,FALSE))</f>
        <v/>
      </c>
      <c r="BH189">
        <f ca="1">IF(AND(ISNUMBER($BH$394),$B$252=1),$BH$394,HLOOKUP(INDIRECT(ADDRESS(2,COLUMN())),OFFSET($CL$2,0,0,ROW()-1,84),ROW()-1,FALSE))</f>
        <v>68.586492559999996</v>
      </c>
      <c r="BI189" t="str">
        <f ca="1">IF(AND(ISNUMBER($BI$394),$B$252=1),$BI$394,HLOOKUP(INDIRECT(ADDRESS(2,COLUMN())),OFFSET($CL$2,0,0,ROW()-1,84),ROW()-1,FALSE))</f>
        <v/>
      </c>
      <c r="BJ189" t="str">
        <f ca="1">IF(AND(ISNUMBER($BJ$394),$B$252=1),$BJ$394,HLOOKUP(INDIRECT(ADDRESS(2,COLUMN())),OFFSET($CL$2,0,0,ROW()-1,84),ROW()-1,FALSE))</f>
        <v/>
      </c>
      <c r="BK189">
        <f ca="1">IF(AND(ISNUMBER($BK$394),$B$252=1),$BK$394,HLOOKUP(INDIRECT(ADDRESS(2,COLUMN())),OFFSET($CL$2,0,0,ROW()-1,84),ROW()-1,FALSE))</f>
        <v>69.035649640000003</v>
      </c>
      <c r="BL189" t="str">
        <f ca="1">IF(AND(ISNUMBER($BL$394),$B$252=1),$BL$394,HLOOKUP(INDIRECT(ADDRESS(2,COLUMN())),OFFSET($CL$2,0,0,ROW()-1,84),ROW()-1,FALSE))</f>
        <v/>
      </c>
      <c r="BM189" t="str">
        <f ca="1">IF(AND(ISNUMBER($BM$394),$B$252=1),$BM$394,HLOOKUP(INDIRECT(ADDRESS(2,COLUMN())),OFFSET($CL$2,0,0,ROW()-1,84),ROW()-1,FALSE))</f>
        <v/>
      </c>
      <c r="BN189">
        <f ca="1">IF(AND(ISNUMBER($BN$394),$B$252=1),$BN$394,HLOOKUP(INDIRECT(ADDRESS(2,COLUMN())),OFFSET($CL$2,0,0,ROW()-1,84),ROW()-1,FALSE))</f>
        <v>82.680717290000004</v>
      </c>
      <c r="BO189" t="str">
        <f ca="1">IF(AND(ISNUMBER($BO$394),$B$252=1),$BO$394,HLOOKUP(INDIRECT(ADDRESS(2,COLUMN())),OFFSET($CL$2,0,0,ROW()-1,84),ROW()-1,FALSE))</f>
        <v/>
      </c>
      <c r="BP189" t="str">
        <f ca="1">IF(AND(ISNUMBER($BP$394),$B$252=1),$BP$394,HLOOKUP(INDIRECT(ADDRESS(2,COLUMN())),OFFSET($CL$2,0,0,ROW()-1,84),ROW()-1,FALSE))</f>
        <v/>
      </c>
      <c r="BQ189">
        <f ca="1">IF(AND(ISNUMBER($BQ$394),$B$252=1),$BQ$394,HLOOKUP(INDIRECT(ADDRESS(2,COLUMN())),OFFSET($CL$2,0,0,ROW()-1,84),ROW()-1,FALSE))</f>
        <v>80.425666179999993</v>
      </c>
      <c r="BR189" t="str">
        <f ca="1">IF(AND(ISNUMBER($BR$394),$B$252=1),$BR$394,HLOOKUP(INDIRECT(ADDRESS(2,COLUMN())),OFFSET($CL$2,0,0,ROW()-1,84),ROW()-1,FALSE))</f>
        <v/>
      </c>
      <c r="BS189" t="str">
        <f ca="1">IF(AND(ISNUMBER($BS$394),$B$252=1),$BS$394,HLOOKUP(INDIRECT(ADDRESS(2,COLUMN())),OFFSET($CL$2,0,0,ROW()-1,84),ROW()-1,FALSE))</f>
        <v/>
      </c>
      <c r="BT189">
        <f ca="1">IF(AND(ISNUMBER($BT$394),$B$252=1),$BT$394,HLOOKUP(INDIRECT(ADDRESS(2,COLUMN())),OFFSET($CL$2,0,0,ROW()-1,84),ROW()-1,FALSE))</f>
        <v>70.84799889</v>
      </c>
      <c r="BU189" t="str">
        <f ca="1">IF(AND(ISNUMBER($BU$394),$B$252=1),$BU$394,HLOOKUP(INDIRECT(ADDRESS(2,COLUMN())),OFFSET($CL$2,0,0,ROW()-1,84),ROW()-1,FALSE))</f>
        <v/>
      </c>
      <c r="BV189" t="str">
        <f ca="1">IF(AND(ISNUMBER($BV$394),$B$252=1),$BV$394,HLOOKUP(INDIRECT(ADDRESS(2,COLUMN())),OFFSET($CL$2,0,0,ROW()-1,84),ROW()-1,FALSE))</f>
        <v/>
      </c>
      <c r="BW189">
        <f ca="1">IF(AND(ISNUMBER($BW$394),$B$252=1),$BW$394,HLOOKUP(INDIRECT(ADDRESS(2,COLUMN())),OFFSET($CL$2,0,0,ROW()-1,84),ROW()-1,FALSE))</f>
        <v>76.1792394</v>
      </c>
      <c r="BX189" t="str">
        <f ca="1">IF(AND(ISNUMBER($BX$394),$B$252=1),$BX$394,HLOOKUP(INDIRECT(ADDRESS(2,COLUMN())),OFFSET($CL$2,0,0,ROW()-1,84),ROW()-1,FALSE))</f>
        <v/>
      </c>
      <c r="BY189" t="str">
        <f ca="1">IF(AND(ISNUMBER($BY$394),$B$252=1),$BY$394,HLOOKUP(INDIRECT(ADDRESS(2,COLUMN())),OFFSET($CL$2,0,0,ROW()-1,84),ROW()-1,FALSE))</f>
        <v/>
      </c>
      <c r="BZ189">
        <f ca="1">IF(AND(ISNUMBER($BZ$394),$B$252=1),$BZ$394,HLOOKUP(INDIRECT(ADDRESS(2,COLUMN())),OFFSET($CL$2,0,0,ROW()-1,84),ROW()-1,FALSE))</f>
        <v>80.441258869999999</v>
      </c>
      <c r="CA189" t="str">
        <f ca="1">IF(AND(ISNUMBER($CA$394),$B$252=1),$CA$394,HLOOKUP(INDIRECT(ADDRESS(2,COLUMN())),OFFSET($CL$2,0,0,ROW()-1,84),ROW()-1,FALSE))</f>
        <v/>
      </c>
      <c r="CB189" t="str">
        <f ca="1">IF(AND(ISNUMBER($CB$394),$B$252=1),$CB$394,HLOOKUP(INDIRECT(ADDRESS(2,COLUMN())),OFFSET($CL$2,0,0,ROW()-1,84),ROW()-1,FALSE))</f>
        <v/>
      </c>
      <c r="CC189">
        <f ca="1">IF(AND(ISNUMBER($CC$394),$B$252=1),$CC$394,HLOOKUP(INDIRECT(ADDRESS(2,COLUMN())),OFFSET($CL$2,0,0,ROW()-1,84),ROW()-1,FALSE))</f>
        <v>74.349457450000003</v>
      </c>
      <c r="CD189" t="str">
        <f ca="1">IF(AND(ISNUMBER($CD$394),$B$252=1),$CD$394,HLOOKUP(INDIRECT(ADDRESS(2,COLUMN())),OFFSET($CL$2,0,0,ROW()-1,84),ROW()-1,FALSE))</f>
        <v/>
      </c>
      <c r="CE189" t="str">
        <f ca="1">IF(AND(ISNUMBER($CE$394),$B$252=1),$CE$394,HLOOKUP(INDIRECT(ADDRESS(2,COLUMN())),OFFSET($CL$2,0,0,ROW()-1,84),ROW()-1,FALSE))</f>
        <v/>
      </c>
      <c r="CF189">
        <f ca="1">IF(AND(ISNUMBER($CF$394),$B$252=1),$CF$394,HLOOKUP(INDIRECT(ADDRESS(2,COLUMN())),OFFSET($CL$2,0,0,ROW()-1,84),ROW()-1,FALSE))</f>
        <v>80.71847606</v>
      </c>
      <c r="CG189" t="str">
        <f ca="1">IF(AND(ISNUMBER($CG$394),$B$252=1),$CG$394,HLOOKUP(INDIRECT(ADDRESS(2,COLUMN())),OFFSET($CL$2,0,0,ROW()-1,84),ROW()-1,FALSE))</f>
        <v/>
      </c>
      <c r="CH189" t="str">
        <f ca="1">IF(AND(ISNUMBER($CH$394),$B$252=1),$CH$394,HLOOKUP(INDIRECT(ADDRESS(2,COLUMN())),OFFSET($CL$2,0,0,ROW()-1,84),ROW()-1,FALSE))</f>
        <v/>
      </c>
      <c r="CI189">
        <f ca="1">IF(AND(ISNUMBER($CI$394),$B$252=1),$CI$394,HLOOKUP(INDIRECT(ADDRESS(2,COLUMN())),OFFSET($CL$2,0,0,ROW()-1,84),ROW()-1,FALSE))</f>
        <v>83.097151409999995</v>
      </c>
      <c r="CJ189" t="str">
        <f ca="1">IF(AND(ISNUMBER($CJ$394),$B$252=1),$CJ$394,HLOOKUP(INDIRECT(ADDRESS(2,COLUMN())),OFFSET($CL$2,0,0,ROW()-1,84),ROW()-1,FALSE))</f>
        <v/>
      </c>
      <c r="CK189" t="str">
        <f ca="1">IF(AND(ISNUMBER($CK$394),$B$252=1),$CK$394,HLOOKUP(INDIRECT(ADDRESS(2,COLUMN())),OFFSET($CL$2,0,0,ROW()-1,84),ROW()-1,FALSE))</f>
        <v/>
      </c>
      <c r="CL189" t="str">
        <f>""</f>
        <v/>
      </c>
      <c r="CM189" t="str">
        <f>""</f>
        <v/>
      </c>
      <c r="CN189" t="str">
        <f>""</f>
        <v/>
      </c>
      <c r="CO189">
        <f>65.57999337</f>
        <v>65.579993369999997</v>
      </c>
      <c r="CP189" t="str">
        <f>""</f>
        <v/>
      </c>
      <c r="CQ189" t="str">
        <f>""</f>
        <v/>
      </c>
      <c r="CR189">
        <f>67.43373224</f>
        <v>67.433732239999998</v>
      </c>
      <c r="CS189" t="str">
        <f>""</f>
        <v/>
      </c>
      <c r="CT189" t="str">
        <f>""</f>
        <v/>
      </c>
      <c r="CU189">
        <f>71.13367235</f>
        <v>71.133672349999998</v>
      </c>
      <c r="CV189" t="str">
        <f>""</f>
        <v/>
      </c>
      <c r="CW189" t="str">
        <f>""</f>
        <v/>
      </c>
      <c r="CX189">
        <f>70.63598222</f>
        <v>70.635982220000002</v>
      </c>
      <c r="CY189" t="str">
        <f>""</f>
        <v/>
      </c>
      <c r="CZ189" t="str">
        <f>""</f>
        <v/>
      </c>
      <c r="DA189">
        <f>66.08602344</f>
        <v>66.086023440000005</v>
      </c>
      <c r="DB189" t="str">
        <f>""</f>
        <v/>
      </c>
      <c r="DC189" t="str">
        <f>""</f>
        <v/>
      </c>
      <c r="DD189">
        <f>67.79341702</f>
        <v>67.793417020000007</v>
      </c>
      <c r="DE189" t="str">
        <f>""</f>
        <v/>
      </c>
      <c r="DF189" t="str">
        <f>""</f>
        <v/>
      </c>
      <c r="DG189">
        <f>69.6888318</f>
        <v>69.688831800000003</v>
      </c>
      <c r="DH189" t="str">
        <f>""</f>
        <v/>
      </c>
      <c r="DI189" t="str">
        <f>""</f>
        <v/>
      </c>
      <c r="DJ189">
        <f>71.56664573</f>
        <v>71.566645730000005</v>
      </c>
      <c r="DK189" t="str">
        <f>""</f>
        <v/>
      </c>
      <c r="DL189" t="str">
        <f>""</f>
        <v/>
      </c>
      <c r="DM189">
        <f>65.62421613</f>
        <v>65.624216129999994</v>
      </c>
      <c r="DN189" t="str">
        <f>""</f>
        <v/>
      </c>
      <c r="DO189" t="str">
        <f>""</f>
        <v/>
      </c>
      <c r="DP189">
        <f>67.57375735</f>
        <v>67.573757349999994</v>
      </c>
      <c r="DQ189" t="str">
        <f>""</f>
        <v/>
      </c>
      <c r="DR189" t="str">
        <f>""</f>
        <v/>
      </c>
      <c r="DS189">
        <f>70.10864112</f>
        <v>70.108641120000001</v>
      </c>
      <c r="DT189" t="str">
        <f>""</f>
        <v/>
      </c>
      <c r="DU189" t="str">
        <f>""</f>
        <v/>
      </c>
      <c r="DV189">
        <f>74.68760824</f>
        <v>74.687608240000003</v>
      </c>
      <c r="DW189" t="str">
        <f>""</f>
        <v/>
      </c>
      <c r="DX189" t="str">
        <f>""</f>
        <v/>
      </c>
      <c r="DY189">
        <f>70.5253502</f>
        <v>70.525350200000005</v>
      </c>
      <c r="DZ189" t="str">
        <f>""</f>
        <v/>
      </c>
      <c r="EA189" t="str">
        <f>""</f>
        <v/>
      </c>
      <c r="EB189">
        <f>69.85493775</f>
        <v>69.854937750000005</v>
      </c>
      <c r="EC189" t="str">
        <f>""</f>
        <v/>
      </c>
      <c r="ED189" t="str">
        <f>""</f>
        <v/>
      </c>
      <c r="EE189">
        <f>70.93469002</f>
        <v>70.934690020000005</v>
      </c>
      <c r="EF189" t="str">
        <f>""</f>
        <v/>
      </c>
      <c r="EG189" t="str">
        <f>""</f>
        <v/>
      </c>
      <c r="EH189">
        <f>74.2994931</f>
        <v>74.299493100000007</v>
      </c>
      <c r="EI189" t="str">
        <f>""</f>
        <v/>
      </c>
      <c r="EJ189" t="str">
        <f>""</f>
        <v/>
      </c>
      <c r="EK189">
        <f>70.99816709</f>
        <v>70.998167089999995</v>
      </c>
      <c r="EL189" t="str">
        <f>""</f>
        <v/>
      </c>
      <c r="EM189" t="str">
        <f>""</f>
        <v/>
      </c>
      <c r="EN189">
        <f>68.58649256</f>
        <v>68.586492559999996</v>
      </c>
      <c r="EO189" t="str">
        <f>""</f>
        <v/>
      </c>
      <c r="EP189" t="str">
        <f>""</f>
        <v/>
      </c>
      <c r="EQ189">
        <f>69.03564964</f>
        <v>69.035649640000003</v>
      </c>
      <c r="ER189" t="str">
        <f>""</f>
        <v/>
      </c>
      <c r="ES189" t="str">
        <f>""</f>
        <v/>
      </c>
      <c r="ET189">
        <f>82.68071729</f>
        <v>82.680717290000004</v>
      </c>
      <c r="EU189" t="str">
        <f>""</f>
        <v/>
      </c>
      <c r="EV189" t="str">
        <f>""</f>
        <v/>
      </c>
      <c r="EW189">
        <f>80.42566618</f>
        <v>80.425666179999993</v>
      </c>
      <c r="EX189" t="str">
        <f>""</f>
        <v/>
      </c>
      <c r="EY189" t="str">
        <f>""</f>
        <v/>
      </c>
      <c r="EZ189">
        <f>70.84799889</f>
        <v>70.84799889</v>
      </c>
      <c r="FA189" t="str">
        <f>""</f>
        <v/>
      </c>
      <c r="FB189" t="str">
        <f>""</f>
        <v/>
      </c>
      <c r="FC189">
        <f>76.1792394</f>
        <v>76.1792394</v>
      </c>
      <c r="FD189" t="str">
        <f>""</f>
        <v/>
      </c>
      <c r="FE189" t="str">
        <f>""</f>
        <v/>
      </c>
      <c r="FF189">
        <f>80.44125887</f>
        <v>80.441258869999999</v>
      </c>
      <c r="FG189" t="str">
        <f>""</f>
        <v/>
      </c>
      <c r="FH189" t="str">
        <f>""</f>
        <v/>
      </c>
      <c r="FI189">
        <f>74.34945745</f>
        <v>74.349457450000003</v>
      </c>
      <c r="FJ189" t="str">
        <f>""</f>
        <v/>
      </c>
      <c r="FK189" t="str">
        <f>""</f>
        <v/>
      </c>
      <c r="FL189">
        <f>80.71847606</f>
        <v>80.71847606</v>
      </c>
      <c r="FM189" t="str">
        <f>""</f>
        <v/>
      </c>
      <c r="FN189" t="str">
        <f>""</f>
        <v/>
      </c>
      <c r="FO189">
        <f>83.09715141</f>
        <v>83.097151409999995</v>
      </c>
      <c r="FP189" t="str">
        <f>""</f>
        <v/>
      </c>
      <c r="FQ189" t="str">
        <f>""</f>
        <v/>
      </c>
    </row>
    <row r="190" spans="1:173">
      <c r="A190" t="str">
        <f>"    Camden Property Trust"</f>
        <v xml:space="preserve">    Camden Property Trust</v>
      </c>
      <c r="B190" t="str">
        <f>"CPT US Equity"</f>
        <v>CPT US Equity</v>
      </c>
      <c r="C190" t="str">
        <f t="shared" si="60"/>
        <v>F0929</v>
      </c>
      <c r="D190" t="str">
        <f t="shared" si="61"/>
        <v>FUNDS_AVAIL_DIST_PAYOUT_RATIO</v>
      </c>
      <c r="E190" t="str">
        <f t="shared" si="62"/>
        <v>动态</v>
      </c>
      <c r="F190" t="str">
        <f ca="1">IF(AND(ISNUMBER($F$395),$B$252=1),$F$395,HLOOKUP(INDIRECT(ADDRESS(2,COLUMN())),OFFSET($CL$2,0,0,ROW()-1,84),ROW()-1,FALSE))</f>
        <v/>
      </c>
      <c r="G190" t="str">
        <f ca="1">IF(AND(ISNUMBER($G$395),$B$252=1),$G$395,HLOOKUP(INDIRECT(ADDRESS(2,COLUMN())),OFFSET($CL$2,0,0,ROW()-1,84),ROW()-1,FALSE))</f>
        <v/>
      </c>
      <c r="H190" t="str">
        <f ca="1">IF(AND(ISNUMBER($H$395),$B$252=1),$H$395,HLOOKUP(INDIRECT(ADDRESS(2,COLUMN())),OFFSET($CL$2,0,0,ROW()-1,84),ROW()-1,FALSE))</f>
        <v/>
      </c>
      <c r="I190">
        <f ca="1">IF(AND(ISNUMBER($I$395),$B$252=1),$I$395,HLOOKUP(INDIRECT(ADDRESS(2,COLUMN())),OFFSET($CL$2,0,0,ROW()-1,84),ROW()-1,FALSE))</f>
        <v>77.638665230000001</v>
      </c>
      <c r="J190" t="str">
        <f ca="1">IF(AND(ISNUMBER($J$395),$B$252=1),$J$395,HLOOKUP(INDIRECT(ADDRESS(2,COLUMN())),OFFSET($CL$2,0,0,ROW()-1,84),ROW()-1,FALSE))</f>
        <v/>
      </c>
      <c r="K190" t="str">
        <f ca="1">IF(AND(ISNUMBER($K$395),$B$252=1),$K$395,HLOOKUP(INDIRECT(ADDRESS(2,COLUMN())),OFFSET($CL$2,0,0,ROW()-1,84),ROW()-1,FALSE))</f>
        <v/>
      </c>
      <c r="L190">
        <f ca="1">IF(AND(ISNUMBER($L$395),$B$252=1),$L$395,HLOOKUP(INDIRECT(ADDRESS(2,COLUMN())),OFFSET($CL$2,0,0,ROW()-1,84),ROW()-1,FALSE))</f>
        <v>81.503775630000007</v>
      </c>
      <c r="M190" t="str">
        <f ca="1">IF(AND(ISNUMBER($M$395),$B$252=1),$M$395,HLOOKUP(INDIRECT(ADDRESS(2,COLUMN())),OFFSET($CL$2,0,0,ROW()-1,84),ROW()-1,FALSE))</f>
        <v/>
      </c>
      <c r="N190" t="str">
        <f ca="1">IF(AND(ISNUMBER($N$395),$B$252=1),$N$395,HLOOKUP(INDIRECT(ADDRESS(2,COLUMN())),OFFSET($CL$2,0,0,ROW()-1,84),ROW()-1,FALSE))</f>
        <v/>
      </c>
      <c r="O190">
        <f ca="1">IF(AND(ISNUMBER($O$395),$B$252=1),$O$395,HLOOKUP(INDIRECT(ADDRESS(2,COLUMN())),OFFSET($CL$2,0,0,ROW()-1,84),ROW()-1,FALSE))</f>
        <v>77.451711270000004</v>
      </c>
      <c r="P190" t="str">
        <f ca="1">IF(AND(ISNUMBER($P$395),$B$252=1),$P$395,HLOOKUP(INDIRECT(ADDRESS(2,COLUMN())),OFFSET($CL$2,0,0,ROW()-1,84),ROW()-1,FALSE))</f>
        <v/>
      </c>
      <c r="Q190" t="str">
        <f ca="1">IF(AND(ISNUMBER($Q$395),$B$252=1),$Q$395,HLOOKUP(INDIRECT(ADDRESS(2,COLUMN())),OFFSET($CL$2,0,0,ROW()-1,84),ROW()-1,FALSE))</f>
        <v/>
      </c>
      <c r="R190">
        <f ca="1">IF(AND(ISNUMBER($R$395),$B$252=1),$R$395,HLOOKUP(INDIRECT(ADDRESS(2,COLUMN())),OFFSET($CL$2,0,0,ROW()-1,84),ROW()-1,FALSE))</f>
        <v>76.13168838</v>
      </c>
      <c r="S190" t="str">
        <f ca="1">IF(AND(ISNUMBER($S$395),$B$252=1),$S$395,HLOOKUP(INDIRECT(ADDRESS(2,COLUMN())),OFFSET($CL$2,0,0,ROW()-1,84),ROW()-1,FALSE))</f>
        <v/>
      </c>
      <c r="T190" t="str">
        <f ca="1">IF(AND(ISNUMBER($T$395),$B$252=1),$T$395,HLOOKUP(INDIRECT(ADDRESS(2,COLUMN())),OFFSET($CL$2,0,0,ROW()-1,84),ROW()-1,FALSE))</f>
        <v/>
      </c>
      <c r="U190">
        <f ca="1">IF(AND(ISNUMBER($U$395),$B$252=1),$U$395,HLOOKUP(INDIRECT(ADDRESS(2,COLUMN())),OFFSET($CL$2,0,0,ROW()-1,84),ROW()-1,FALSE))</f>
        <v>76.54631449</v>
      </c>
      <c r="V190" t="str">
        <f ca="1">IF(AND(ISNUMBER($V$395),$B$252=1),$V$395,HLOOKUP(INDIRECT(ADDRESS(2,COLUMN())),OFFSET($CL$2,0,0,ROW()-1,84),ROW()-1,FALSE))</f>
        <v/>
      </c>
      <c r="W190" t="str">
        <f ca="1">IF(AND(ISNUMBER($W$395),$B$252=1),$W$395,HLOOKUP(INDIRECT(ADDRESS(2,COLUMN())),OFFSET($CL$2,0,0,ROW()-1,84),ROW()-1,FALSE))</f>
        <v/>
      </c>
      <c r="X190">
        <f ca="1">IF(AND(ISNUMBER($X$395),$B$252=1),$X$395,HLOOKUP(INDIRECT(ADDRESS(2,COLUMN())),OFFSET($CL$2,0,0,ROW()-1,84),ROW()-1,FALSE))</f>
        <v>540.68317130000003</v>
      </c>
      <c r="Y190" t="str">
        <f ca="1">IF(AND(ISNUMBER($Y$395),$B$252=1),$Y$395,HLOOKUP(INDIRECT(ADDRESS(2,COLUMN())),OFFSET($CL$2,0,0,ROW()-1,84),ROW()-1,FALSE))</f>
        <v/>
      </c>
      <c r="Z190" t="str">
        <f ca="1">IF(AND(ISNUMBER($Z$395),$B$252=1),$Z$395,HLOOKUP(INDIRECT(ADDRESS(2,COLUMN())),OFFSET($CL$2,0,0,ROW()-1,84),ROW()-1,FALSE))</f>
        <v/>
      </c>
      <c r="AA190">
        <f ca="1">IF(AND(ISNUMBER($AA$395),$B$252=1),$AA$395,HLOOKUP(INDIRECT(ADDRESS(2,COLUMN())),OFFSET($CL$2,0,0,ROW()-1,84),ROW()-1,FALSE))</f>
        <v>76.030836710000003</v>
      </c>
      <c r="AB190" t="str">
        <f ca="1">IF(AND(ISNUMBER($AB$395),$B$252=1),$AB$395,HLOOKUP(INDIRECT(ADDRESS(2,COLUMN())),OFFSET($CL$2,0,0,ROW()-1,84),ROW()-1,FALSE))</f>
        <v/>
      </c>
      <c r="AC190" t="str">
        <f ca="1">IF(AND(ISNUMBER($AC$395),$B$252=1),$AC$395,HLOOKUP(INDIRECT(ADDRESS(2,COLUMN())),OFFSET($CL$2,0,0,ROW()-1,84),ROW()-1,FALSE))</f>
        <v/>
      </c>
      <c r="AD190">
        <f ca="1">IF(AND(ISNUMBER($AD$395),$B$252=1),$AD$395,HLOOKUP(INDIRECT(ADDRESS(2,COLUMN())),OFFSET($CL$2,0,0,ROW()-1,84),ROW()-1,FALSE))</f>
        <v>68.138737899999995</v>
      </c>
      <c r="AE190" t="str">
        <f ca="1">IF(AND(ISNUMBER($AE$395),$B$252=1),$AE$395,HLOOKUP(INDIRECT(ADDRESS(2,COLUMN())),OFFSET($CL$2,0,0,ROW()-1,84),ROW()-1,FALSE))</f>
        <v/>
      </c>
      <c r="AF190" t="str">
        <f ca="1">IF(AND(ISNUMBER($AF$395),$B$252=1),$AF$395,HLOOKUP(INDIRECT(ADDRESS(2,COLUMN())),OFFSET($CL$2,0,0,ROW()-1,84),ROW()-1,FALSE))</f>
        <v/>
      </c>
      <c r="AG190">
        <f ca="1">IF(AND(ISNUMBER($AG$395),$B$252=1),$AG$395,HLOOKUP(INDIRECT(ADDRESS(2,COLUMN())),OFFSET($CL$2,0,0,ROW()-1,84),ROW()-1,FALSE))</f>
        <v>69.505496289999996</v>
      </c>
      <c r="AH190" t="str">
        <f ca="1">IF(AND(ISNUMBER($AH$395),$B$252=1),$AH$395,HLOOKUP(INDIRECT(ADDRESS(2,COLUMN())),OFFSET($CL$2,0,0,ROW()-1,84),ROW()-1,FALSE))</f>
        <v/>
      </c>
      <c r="AI190" t="str">
        <f ca="1">IF(AND(ISNUMBER($AI$395),$B$252=1),$AI$395,HLOOKUP(INDIRECT(ADDRESS(2,COLUMN())),OFFSET($CL$2,0,0,ROW()-1,84),ROW()-1,FALSE))</f>
        <v/>
      </c>
      <c r="AJ190">
        <f ca="1">IF(AND(ISNUMBER($AJ$395),$B$252=1),$AJ$395,HLOOKUP(INDIRECT(ADDRESS(2,COLUMN())),OFFSET($CL$2,0,0,ROW()-1,84),ROW()-1,FALSE))</f>
        <v>74.293740709999994</v>
      </c>
      <c r="AK190" t="str">
        <f ca="1">IF(AND(ISNUMBER($AK$395),$B$252=1),$AK$395,HLOOKUP(INDIRECT(ADDRESS(2,COLUMN())),OFFSET($CL$2,0,0,ROW()-1,84),ROW()-1,FALSE))</f>
        <v/>
      </c>
      <c r="AL190" t="str">
        <f ca="1">IF(AND(ISNUMBER($AL$395),$B$252=1),$AL$395,HLOOKUP(INDIRECT(ADDRESS(2,COLUMN())),OFFSET($CL$2,0,0,ROW()-1,84),ROW()-1,FALSE))</f>
        <v/>
      </c>
      <c r="AM190">
        <f ca="1">IF(AND(ISNUMBER($AM$395),$B$252=1),$AM$395,HLOOKUP(INDIRECT(ADDRESS(2,COLUMN())),OFFSET($CL$2,0,0,ROW()-1,84),ROW()-1,FALSE))</f>
        <v>75.98203144</v>
      </c>
      <c r="AN190" t="str">
        <f ca="1">IF(AND(ISNUMBER($AN$395),$B$252=1),$AN$395,HLOOKUP(INDIRECT(ADDRESS(2,COLUMN())),OFFSET($CL$2,0,0,ROW()-1,84),ROW()-1,FALSE))</f>
        <v/>
      </c>
      <c r="AO190" t="str">
        <f ca="1">IF(AND(ISNUMBER($AO$395),$B$252=1),$AO$395,HLOOKUP(INDIRECT(ADDRESS(2,COLUMN())),OFFSET($CL$2,0,0,ROW()-1,84),ROW()-1,FALSE))</f>
        <v/>
      </c>
      <c r="AP190">
        <f ca="1">IF(AND(ISNUMBER($AP$395),$B$252=1),$AP$395,HLOOKUP(INDIRECT(ADDRESS(2,COLUMN())),OFFSET($CL$2,0,0,ROW()-1,84),ROW()-1,FALSE))</f>
        <v>70.068321890000007</v>
      </c>
      <c r="AQ190" t="str">
        <f ca="1">IF(AND(ISNUMBER($AQ$395),$B$252=1),$AQ$395,HLOOKUP(INDIRECT(ADDRESS(2,COLUMN())),OFFSET($CL$2,0,0,ROW()-1,84),ROW()-1,FALSE))</f>
        <v/>
      </c>
      <c r="AR190" t="str">
        <f ca="1">IF(AND(ISNUMBER($AR$395),$B$252=1),$AR$395,HLOOKUP(INDIRECT(ADDRESS(2,COLUMN())),OFFSET($CL$2,0,0,ROW()-1,84),ROW()-1,FALSE))</f>
        <v/>
      </c>
      <c r="AS190">
        <f ca="1">IF(AND(ISNUMBER($AS$395),$B$252=1),$AS$395,HLOOKUP(INDIRECT(ADDRESS(2,COLUMN())),OFFSET($CL$2,0,0,ROW()-1,84),ROW()-1,FALSE))</f>
        <v>64.096363690000004</v>
      </c>
      <c r="AT190" t="str">
        <f ca="1">IF(AND(ISNUMBER($AT$395),$B$252=1),$AT$395,HLOOKUP(INDIRECT(ADDRESS(2,COLUMN())),OFFSET($CL$2,0,0,ROW()-1,84),ROW()-1,FALSE))</f>
        <v/>
      </c>
      <c r="AU190" t="str">
        <f ca="1">IF(AND(ISNUMBER($AU$395),$B$252=1),$AU$395,HLOOKUP(INDIRECT(ADDRESS(2,COLUMN())),OFFSET($CL$2,0,0,ROW()-1,84),ROW()-1,FALSE))</f>
        <v/>
      </c>
      <c r="AV190">
        <f ca="1">IF(AND(ISNUMBER($AV$395),$B$252=1),$AV$395,HLOOKUP(INDIRECT(ADDRESS(2,COLUMN())),OFFSET($CL$2,0,0,ROW()-1,84),ROW()-1,FALSE))</f>
        <v>66.781239859999999</v>
      </c>
      <c r="AW190" t="str">
        <f ca="1">IF(AND(ISNUMBER($AW$395),$B$252=1),$AW$395,HLOOKUP(INDIRECT(ADDRESS(2,COLUMN())),OFFSET($CL$2,0,0,ROW()-1,84),ROW()-1,FALSE))</f>
        <v/>
      </c>
      <c r="AX190" t="str">
        <f ca="1">IF(AND(ISNUMBER($AX$395),$B$252=1),$AX$395,HLOOKUP(INDIRECT(ADDRESS(2,COLUMN())),OFFSET($CL$2,0,0,ROW()-1,84),ROW()-1,FALSE))</f>
        <v/>
      </c>
      <c r="AY190">
        <f ca="1">IF(AND(ISNUMBER($AY$395),$B$252=1),$AY$395,HLOOKUP(INDIRECT(ADDRESS(2,COLUMN())),OFFSET($CL$2,0,0,ROW()-1,84),ROW()-1,FALSE))</f>
        <v>67.917819800000004</v>
      </c>
      <c r="AZ190" t="str">
        <f ca="1">IF(AND(ISNUMBER($AZ$395),$B$252=1),$AZ$395,HLOOKUP(INDIRECT(ADDRESS(2,COLUMN())),OFFSET($CL$2,0,0,ROW()-1,84),ROW()-1,FALSE))</f>
        <v/>
      </c>
      <c r="BA190" t="str">
        <f ca="1">IF(AND(ISNUMBER($BA$395),$B$252=1),$BA$395,HLOOKUP(INDIRECT(ADDRESS(2,COLUMN())),OFFSET($CL$2,0,0,ROW()-1,84),ROW()-1,FALSE))</f>
        <v/>
      </c>
      <c r="BB190">
        <f ca="1">IF(AND(ISNUMBER($BB$395),$B$252=1),$BB$395,HLOOKUP(INDIRECT(ADDRESS(2,COLUMN())),OFFSET($CL$2,0,0,ROW()-1,84),ROW()-1,FALSE))</f>
        <v>67.194265779999995</v>
      </c>
      <c r="BC190" t="str">
        <f ca="1">IF(AND(ISNUMBER($BC$395),$B$252=1),$BC$395,HLOOKUP(INDIRECT(ADDRESS(2,COLUMN())),OFFSET($CL$2,0,0,ROW()-1,84),ROW()-1,FALSE))</f>
        <v/>
      </c>
      <c r="BD190" t="str">
        <f ca="1">IF(AND(ISNUMBER($BD$395),$B$252=1),$BD$395,HLOOKUP(INDIRECT(ADDRESS(2,COLUMN())),OFFSET($CL$2,0,0,ROW()-1,84),ROW()-1,FALSE))</f>
        <v/>
      </c>
      <c r="BE190">
        <f ca="1">IF(AND(ISNUMBER($BE$395),$B$252=1),$BE$395,HLOOKUP(INDIRECT(ADDRESS(2,COLUMN())),OFFSET($CL$2,0,0,ROW()-1,84),ROW()-1,FALSE))</f>
        <v>62.657301439999998</v>
      </c>
      <c r="BF190" t="str">
        <f ca="1">IF(AND(ISNUMBER($BF$395),$B$252=1),$BF$395,HLOOKUP(INDIRECT(ADDRESS(2,COLUMN())),OFFSET($CL$2,0,0,ROW()-1,84),ROW()-1,FALSE))</f>
        <v/>
      </c>
      <c r="BG190" t="str">
        <f ca="1">IF(AND(ISNUMBER($BG$395),$B$252=1),$BG$395,HLOOKUP(INDIRECT(ADDRESS(2,COLUMN())),OFFSET($CL$2,0,0,ROW()-1,84),ROW()-1,FALSE))</f>
        <v/>
      </c>
      <c r="BH190">
        <f ca="1">IF(AND(ISNUMBER($BH$395),$B$252=1),$BH$395,HLOOKUP(INDIRECT(ADDRESS(2,COLUMN())),OFFSET($CL$2,0,0,ROW()-1,84),ROW()-1,FALSE))</f>
        <v>65.634836480000004</v>
      </c>
      <c r="BI190" t="str">
        <f ca="1">IF(AND(ISNUMBER($BI$395),$B$252=1),$BI$395,HLOOKUP(INDIRECT(ADDRESS(2,COLUMN())),OFFSET($CL$2,0,0,ROW()-1,84),ROW()-1,FALSE))</f>
        <v/>
      </c>
      <c r="BJ190" t="str">
        <f ca="1">IF(AND(ISNUMBER($BJ$395),$B$252=1),$BJ$395,HLOOKUP(INDIRECT(ADDRESS(2,COLUMN())),OFFSET($CL$2,0,0,ROW()-1,84),ROW()-1,FALSE))</f>
        <v/>
      </c>
      <c r="BK190">
        <f ca="1">IF(AND(ISNUMBER($BK$395),$B$252=1),$BK$395,HLOOKUP(INDIRECT(ADDRESS(2,COLUMN())),OFFSET($CL$2,0,0,ROW()-1,84),ROW()-1,FALSE))</f>
        <v>66.609456350000002</v>
      </c>
      <c r="BL190" t="str">
        <f ca="1">IF(AND(ISNUMBER($BL$395),$B$252=1),$BL$395,HLOOKUP(INDIRECT(ADDRESS(2,COLUMN())),OFFSET($CL$2,0,0,ROW()-1,84),ROW()-1,FALSE))</f>
        <v/>
      </c>
      <c r="BM190" t="str">
        <f ca="1">IF(AND(ISNUMBER($BM$395),$B$252=1),$BM$395,HLOOKUP(INDIRECT(ADDRESS(2,COLUMN())),OFFSET($CL$2,0,0,ROW()-1,84),ROW()-1,FALSE))</f>
        <v/>
      </c>
      <c r="BN190">
        <f ca="1">IF(AND(ISNUMBER($BN$395),$B$252=1),$BN$395,HLOOKUP(INDIRECT(ADDRESS(2,COLUMN())),OFFSET($CL$2,0,0,ROW()-1,84),ROW()-1,FALSE))</f>
        <v>70.594863219999993</v>
      </c>
      <c r="BO190" t="str">
        <f ca="1">IF(AND(ISNUMBER($BO$395),$B$252=1),$BO$395,HLOOKUP(INDIRECT(ADDRESS(2,COLUMN())),OFFSET($CL$2,0,0,ROW()-1,84),ROW()-1,FALSE))</f>
        <v/>
      </c>
      <c r="BP190" t="str">
        <f ca="1">IF(AND(ISNUMBER($BP$395),$B$252=1),$BP$395,HLOOKUP(INDIRECT(ADDRESS(2,COLUMN())),OFFSET($CL$2,0,0,ROW()-1,84),ROW()-1,FALSE))</f>
        <v/>
      </c>
      <c r="BQ190">
        <f ca="1">IF(AND(ISNUMBER($BQ$395),$B$252=1),$BQ$395,HLOOKUP(INDIRECT(ADDRESS(2,COLUMN())),OFFSET($CL$2,0,0,ROW()-1,84),ROW()-1,FALSE))</f>
        <v>63.009647119999997</v>
      </c>
      <c r="BR190" t="str">
        <f ca="1">IF(AND(ISNUMBER($BR$395),$B$252=1),$BR$395,HLOOKUP(INDIRECT(ADDRESS(2,COLUMN())),OFFSET($CL$2,0,0,ROW()-1,84),ROW()-1,FALSE))</f>
        <v/>
      </c>
      <c r="BS190" t="str">
        <f ca="1">IF(AND(ISNUMBER($BS$395),$B$252=1),$BS$395,HLOOKUP(INDIRECT(ADDRESS(2,COLUMN())),OFFSET($CL$2,0,0,ROW()-1,84),ROW()-1,FALSE))</f>
        <v/>
      </c>
      <c r="BT190">
        <f ca="1">IF(AND(ISNUMBER($BT$395),$B$252=1),$BT$395,HLOOKUP(INDIRECT(ADDRESS(2,COLUMN())),OFFSET($CL$2,0,0,ROW()-1,84),ROW()-1,FALSE))</f>
        <v>67.288182989999996</v>
      </c>
      <c r="BU190" t="str">
        <f ca="1">IF(AND(ISNUMBER($BU$395),$B$252=1),$BU$395,HLOOKUP(INDIRECT(ADDRESS(2,COLUMN())),OFFSET($CL$2,0,0,ROW()-1,84),ROW()-1,FALSE))</f>
        <v/>
      </c>
      <c r="BV190" t="str">
        <f ca="1">IF(AND(ISNUMBER($BV$395),$B$252=1),$BV$395,HLOOKUP(INDIRECT(ADDRESS(2,COLUMN())),OFFSET($CL$2,0,0,ROW()-1,84),ROW()-1,FALSE))</f>
        <v/>
      </c>
      <c r="BW190">
        <f ca="1">IF(AND(ISNUMBER($BW$395),$B$252=1),$BW$395,HLOOKUP(INDIRECT(ADDRESS(2,COLUMN())),OFFSET($CL$2,0,0,ROW()-1,84),ROW()-1,FALSE))</f>
        <v>69.386887790000003</v>
      </c>
      <c r="BX190" t="str">
        <f ca="1">IF(AND(ISNUMBER($BX$395),$B$252=1),$BX$395,HLOOKUP(INDIRECT(ADDRESS(2,COLUMN())),OFFSET($CL$2,0,0,ROW()-1,84),ROW()-1,FALSE))</f>
        <v/>
      </c>
      <c r="BY190" t="str">
        <f ca="1">IF(AND(ISNUMBER($BY$395),$B$252=1),$BY$395,HLOOKUP(INDIRECT(ADDRESS(2,COLUMN())),OFFSET($CL$2,0,0,ROW()-1,84),ROW()-1,FALSE))</f>
        <v/>
      </c>
      <c r="BZ190">
        <f ca="1">IF(AND(ISNUMBER($BZ$395),$B$252=1),$BZ$395,HLOOKUP(INDIRECT(ADDRESS(2,COLUMN())),OFFSET($CL$2,0,0,ROW()-1,84),ROW()-1,FALSE))</f>
        <v>75.04981884</v>
      </c>
      <c r="CA190" t="str">
        <f ca="1">IF(AND(ISNUMBER($CA$395),$B$252=1),$CA$395,HLOOKUP(INDIRECT(ADDRESS(2,COLUMN())),OFFSET($CL$2,0,0,ROW()-1,84),ROW()-1,FALSE))</f>
        <v/>
      </c>
      <c r="CB190" t="str">
        <f ca="1">IF(AND(ISNUMBER($CB$395),$B$252=1),$CB$395,HLOOKUP(INDIRECT(ADDRESS(2,COLUMN())),OFFSET($CL$2,0,0,ROW()-1,84),ROW()-1,FALSE))</f>
        <v/>
      </c>
      <c r="CC190">
        <f ca="1">IF(AND(ISNUMBER($CC$395),$B$252=1),$CC$395,HLOOKUP(INDIRECT(ADDRESS(2,COLUMN())),OFFSET($CL$2,0,0,ROW()-1,84),ROW()-1,FALSE))</f>
        <v>65.3819546</v>
      </c>
      <c r="CD190" t="str">
        <f ca="1">IF(AND(ISNUMBER($CD$395),$B$252=1),$CD$395,HLOOKUP(INDIRECT(ADDRESS(2,COLUMN())),OFFSET($CL$2,0,0,ROW()-1,84),ROW()-1,FALSE))</f>
        <v/>
      </c>
      <c r="CE190" t="str">
        <f ca="1">IF(AND(ISNUMBER($CE$395),$B$252=1),$CE$395,HLOOKUP(INDIRECT(ADDRESS(2,COLUMN())),OFFSET($CL$2,0,0,ROW()-1,84),ROW()-1,FALSE))</f>
        <v/>
      </c>
      <c r="CF190">
        <f ca="1">IF(AND(ISNUMBER($CF$395),$B$252=1),$CF$395,HLOOKUP(INDIRECT(ADDRESS(2,COLUMN())),OFFSET($CL$2,0,0,ROW()-1,84),ROW()-1,FALSE))</f>
        <v>73.661779730000006</v>
      </c>
      <c r="CG190" t="str">
        <f ca="1">IF(AND(ISNUMBER($CG$395),$B$252=1),$CG$395,HLOOKUP(INDIRECT(ADDRESS(2,COLUMN())),OFFSET($CL$2,0,0,ROW()-1,84),ROW()-1,FALSE))</f>
        <v/>
      </c>
      <c r="CH190" t="str">
        <f ca="1">IF(AND(ISNUMBER($CH$395),$B$252=1),$CH$395,HLOOKUP(INDIRECT(ADDRESS(2,COLUMN())),OFFSET($CL$2,0,0,ROW()-1,84),ROW()-1,FALSE))</f>
        <v/>
      </c>
      <c r="CI190">
        <f ca="1">IF(AND(ISNUMBER($CI$395),$B$252=1),$CI$395,HLOOKUP(INDIRECT(ADDRESS(2,COLUMN())),OFFSET($CL$2,0,0,ROW()-1,84),ROW()-1,FALSE))</f>
        <v>157.16584560000001</v>
      </c>
      <c r="CJ190" t="str">
        <f ca="1">IF(AND(ISNUMBER($CJ$395),$B$252=1),$CJ$395,HLOOKUP(INDIRECT(ADDRESS(2,COLUMN())),OFFSET($CL$2,0,0,ROW()-1,84),ROW()-1,FALSE))</f>
        <v/>
      </c>
      <c r="CK190" t="str">
        <f ca="1">IF(AND(ISNUMBER($CK$395),$B$252=1),$CK$395,HLOOKUP(INDIRECT(ADDRESS(2,COLUMN())),OFFSET($CL$2,0,0,ROW()-1,84),ROW()-1,FALSE))</f>
        <v/>
      </c>
      <c r="CL190" t="str">
        <f>""</f>
        <v/>
      </c>
      <c r="CM190" t="str">
        <f>""</f>
        <v/>
      </c>
      <c r="CN190" t="str">
        <f>""</f>
        <v/>
      </c>
      <c r="CO190">
        <f>77.63866523</f>
        <v>77.638665230000001</v>
      </c>
      <c r="CP190" t="str">
        <f>""</f>
        <v/>
      </c>
      <c r="CQ190" t="str">
        <f>""</f>
        <v/>
      </c>
      <c r="CR190">
        <f>81.50377563</f>
        <v>81.503775630000007</v>
      </c>
      <c r="CS190" t="str">
        <f>""</f>
        <v/>
      </c>
      <c r="CT190" t="str">
        <f>""</f>
        <v/>
      </c>
      <c r="CU190">
        <f>77.45171127</f>
        <v>77.451711270000004</v>
      </c>
      <c r="CV190" t="str">
        <f>""</f>
        <v/>
      </c>
      <c r="CW190" t="str">
        <f>""</f>
        <v/>
      </c>
      <c r="CX190">
        <f>76.13168838</f>
        <v>76.13168838</v>
      </c>
      <c r="CY190" t="str">
        <f>""</f>
        <v/>
      </c>
      <c r="CZ190" t="str">
        <f>""</f>
        <v/>
      </c>
      <c r="DA190">
        <f>76.54631449</f>
        <v>76.54631449</v>
      </c>
      <c r="DB190" t="str">
        <f>""</f>
        <v/>
      </c>
      <c r="DC190" t="str">
        <f>""</f>
        <v/>
      </c>
      <c r="DD190">
        <f>540.6831713</f>
        <v>540.68317130000003</v>
      </c>
      <c r="DE190" t="str">
        <f>""</f>
        <v/>
      </c>
      <c r="DF190" t="str">
        <f>""</f>
        <v/>
      </c>
      <c r="DG190">
        <f>76.03083671</f>
        <v>76.030836710000003</v>
      </c>
      <c r="DH190" t="str">
        <f>""</f>
        <v/>
      </c>
      <c r="DI190" t="str">
        <f>""</f>
        <v/>
      </c>
      <c r="DJ190">
        <f>68.1387379</f>
        <v>68.138737899999995</v>
      </c>
      <c r="DK190" t="str">
        <f>""</f>
        <v/>
      </c>
      <c r="DL190" t="str">
        <f>""</f>
        <v/>
      </c>
      <c r="DM190">
        <f>69.50549629</f>
        <v>69.505496289999996</v>
      </c>
      <c r="DN190" t="str">
        <f>""</f>
        <v/>
      </c>
      <c r="DO190" t="str">
        <f>""</f>
        <v/>
      </c>
      <c r="DP190">
        <f>74.29374071</f>
        <v>74.293740709999994</v>
      </c>
      <c r="DQ190" t="str">
        <f>""</f>
        <v/>
      </c>
      <c r="DR190" t="str">
        <f>""</f>
        <v/>
      </c>
      <c r="DS190">
        <f>75.98203144</f>
        <v>75.98203144</v>
      </c>
      <c r="DT190" t="str">
        <f>""</f>
        <v/>
      </c>
      <c r="DU190" t="str">
        <f>""</f>
        <v/>
      </c>
      <c r="DV190">
        <f>70.06832189</f>
        <v>70.068321890000007</v>
      </c>
      <c r="DW190" t="str">
        <f>""</f>
        <v/>
      </c>
      <c r="DX190" t="str">
        <f>""</f>
        <v/>
      </c>
      <c r="DY190">
        <f>64.09636369</f>
        <v>64.096363690000004</v>
      </c>
      <c r="DZ190" t="str">
        <f>""</f>
        <v/>
      </c>
      <c r="EA190" t="str">
        <f>""</f>
        <v/>
      </c>
      <c r="EB190">
        <f>66.78123986</f>
        <v>66.781239859999999</v>
      </c>
      <c r="EC190" t="str">
        <f>""</f>
        <v/>
      </c>
      <c r="ED190" t="str">
        <f>""</f>
        <v/>
      </c>
      <c r="EE190">
        <f>67.9178198</f>
        <v>67.917819800000004</v>
      </c>
      <c r="EF190" t="str">
        <f>""</f>
        <v/>
      </c>
      <c r="EG190" t="str">
        <f>""</f>
        <v/>
      </c>
      <c r="EH190">
        <f>67.19426578</f>
        <v>67.194265779999995</v>
      </c>
      <c r="EI190" t="str">
        <f>""</f>
        <v/>
      </c>
      <c r="EJ190" t="str">
        <f>""</f>
        <v/>
      </c>
      <c r="EK190">
        <f>62.65730144</f>
        <v>62.657301439999998</v>
      </c>
      <c r="EL190" t="str">
        <f>""</f>
        <v/>
      </c>
      <c r="EM190" t="str">
        <f>""</f>
        <v/>
      </c>
      <c r="EN190">
        <f>65.63483648</f>
        <v>65.634836480000004</v>
      </c>
      <c r="EO190" t="str">
        <f>""</f>
        <v/>
      </c>
      <c r="EP190" t="str">
        <f>""</f>
        <v/>
      </c>
      <c r="EQ190">
        <f>66.60945635</f>
        <v>66.609456350000002</v>
      </c>
      <c r="ER190" t="str">
        <f>""</f>
        <v/>
      </c>
      <c r="ES190" t="str">
        <f>""</f>
        <v/>
      </c>
      <c r="ET190">
        <f>70.59486322</f>
        <v>70.594863219999993</v>
      </c>
      <c r="EU190" t="str">
        <f>""</f>
        <v/>
      </c>
      <c r="EV190" t="str">
        <f>""</f>
        <v/>
      </c>
      <c r="EW190">
        <f>63.00964712</f>
        <v>63.009647119999997</v>
      </c>
      <c r="EX190" t="str">
        <f>""</f>
        <v/>
      </c>
      <c r="EY190" t="str">
        <f>""</f>
        <v/>
      </c>
      <c r="EZ190">
        <f>67.28818299</f>
        <v>67.288182989999996</v>
      </c>
      <c r="FA190" t="str">
        <f>""</f>
        <v/>
      </c>
      <c r="FB190" t="str">
        <f>""</f>
        <v/>
      </c>
      <c r="FC190">
        <f>69.38688779</f>
        <v>69.386887790000003</v>
      </c>
      <c r="FD190" t="str">
        <f>""</f>
        <v/>
      </c>
      <c r="FE190" t="str">
        <f>""</f>
        <v/>
      </c>
      <c r="FF190">
        <f>75.04981884</f>
        <v>75.04981884</v>
      </c>
      <c r="FG190" t="str">
        <f>""</f>
        <v/>
      </c>
      <c r="FH190" t="str">
        <f>""</f>
        <v/>
      </c>
      <c r="FI190">
        <f>65.3819546</f>
        <v>65.3819546</v>
      </c>
      <c r="FJ190" t="str">
        <f>""</f>
        <v/>
      </c>
      <c r="FK190" t="str">
        <f>""</f>
        <v/>
      </c>
      <c r="FL190">
        <f>73.66177973</f>
        <v>73.661779730000006</v>
      </c>
      <c r="FM190" t="str">
        <f>""</f>
        <v/>
      </c>
      <c r="FN190" t="str">
        <f>""</f>
        <v/>
      </c>
      <c r="FO190">
        <f>157.1658456</f>
        <v>157.16584560000001</v>
      </c>
      <c r="FP190" t="str">
        <f>""</f>
        <v/>
      </c>
      <c r="FQ190" t="str">
        <f>""</f>
        <v/>
      </c>
    </row>
    <row r="191" spans="1:173">
      <c r="A191" t="str">
        <f>"    Equity Residential"</f>
        <v xml:space="preserve">    Equity Residential</v>
      </c>
      <c r="B191" t="str">
        <f>"EQR US Equity"</f>
        <v>EQR US Equity</v>
      </c>
      <c r="C191" t="str">
        <f t="shared" si="60"/>
        <v>F0929</v>
      </c>
      <c r="D191" t="str">
        <f t="shared" si="61"/>
        <v>FUNDS_AVAIL_DIST_PAYOUT_RATIO</v>
      </c>
      <c r="E191" t="str">
        <f t="shared" si="62"/>
        <v>动态</v>
      </c>
      <c r="F191" t="str">
        <f ca="1">IF(AND(ISNUMBER($F$396),$B$252=1),$F$396,HLOOKUP(INDIRECT(ADDRESS(2,COLUMN())),OFFSET($CL$2,0,0,ROW()-1,84),ROW()-1,FALSE))</f>
        <v/>
      </c>
      <c r="G191" t="str">
        <f ca="1">IF(AND(ISNUMBER($G$396),$B$252=1),$G$396,HLOOKUP(INDIRECT(ADDRESS(2,COLUMN())),OFFSET($CL$2,0,0,ROW()-1,84),ROW()-1,FALSE))</f>
        <v/>
      </c>
      <c r="H191" t="str">
        <f ca="1">IF(AND(ISNUMBER($H$396),$B$252=1),$H$396,HLOOKUP(INDIRECT(ADDRESS(2,COLUMN())),OFFSET($CL$2,0,0,ROW()-1,84),ROW()-1,FALSE))</f>
        <v/>
      </c>
      <c r="I191">
        <f ca="1">IF(AND(ISNUMBER($I$396),$B$252=1),$I$396,HLOOKUP(INDIRECT(ADDRESS(2,COLUMN())),OFFSET($CL$2,0,0,ROW()-1,84),ROW()-1,FALSE))</f>
        <v>64.801034099999995</v>
      </c>
      <c r="J191" t="str">
        <f ca="1">IF(AND(ISNUMBER($J$396),$B$252=1),$J$396,HLOOKUP(INDIRECT(ADDRESS(2,COLUMN())),OFFSET($CL$2,0,0,ROW()-1,84),ROW()-1,FALSE))</f>
        <v/>
      </c>
      <c r="K191" t="str">
        <f ca="1">IF(AND(ISNUMBER($K$396),$B$252=1),$K$396,HLOOKUP(INDIRECT(ADDRESS(2,COLUMN())),OFFSET($CL$2,0,0,ROW()-1,84),ROW()-1,FALSE))</f>
        <v/>
      </c>
      <c r="L191">
        <f ca="1">IF(AND(ISNUMBER($L$396),$B$252=1),$L$396,HLOOKUP(INDIRECT(ADDRESS(2,COLUMN())),OFFSET($CL$2,0,0,ROW()-1,84),ROW()-1,FALSE))</f>
        <v>67.900917539999995</v>
      </c>
      <c r="M191" t="str">
        <f ca="1">IF(AND(ISNUMBER($M$396),$B$252=1),$M$396,HLOOKUP(INDIRECT(ADDRESS(2,COLUMN())),OFFSET($CL$2,0,0,ROW()-1,84),ROW()-1,FALSE))</f>
        <v/>
      </c>
      <c r="N191" t="str">
        <f ca="1">IF(AND(ISNUMBER($N$396),$B$252=1),$N$396,HLOOKUP(INDIRECT(ADDRESS(2,COLUMN())),OFFSET($CL$2,0,0,ROW()-1,84),ROW()-1,FALSE))</f>
        <v/>
      </c>
      <c r="O191">
        <f ca="1">IF(AND(ISNUMBER($O$396),$B$252=1),$O$396,HLOOKUP(INDIRECT(ADDRESS(2,COLUMN())),OFFSET($CL$2,0,0,ROW()-1,84),ROW()-1,FALSE))</f>
        <v>71.172390309999997</v>
      </c>
      <c r="P191" t="str">
        <f ca="1">IF(AND(ISNUMBER($P$396),$B$252=1),$P$396,HLOOKUP(INDIRECT(ADDRESS(2,COLUMN())),OFFSET($CL$2,0,0,ROW()-1,84),ROW()-1,FALSE))</f>
        <v/>
      </c>
      <c r="Q191" t="str">
        <f ca="1">IF(AND(ISNUMBER($Q$396),$B$252=1),$Q$396,HLOOKUP(INDIRECT(ADDRESS(2,COLUMN())),OFFSET($CL$2,0,0,ROW()-1,84),ROW()-1,FALSE))</f>
        <v/>
      </c>
      <c r="R191">
        <f ca="1">IF(AND(ISNUMBER($R$396),$B$252=1),$R$396,HLOOKUP(INDIRECT(ADDRESS(2,COLUMN())),OFFSET($CL$2,0,0,ROW()-1,84),ROW()-1,FALSE))</f>
        <v>73.509210909999993</v>
      </c>
      <c r="S191" t="str">
        <f ca="1">IF(AND(ISNUMBER($S$396),$B$252=1),$S$396,HLOOKUP(INDIRECT(ADDRESS(2,COLUMN())),OFFSET($CL$2,0,0,ROW()-1,84),ROW()-1,FALSE))</f>
        <v/>
      </c>
      <c r="T191" t="str">
        <f ca="1">IF(AND(ISNUMBER($T$396),$B$252=1),$T$396,HLOOKUP(INDIRECT(ADDRESS(2,COLUMN())),OFFSET($CL$2,0,0,ROW()-1,84),ROW()-1,FALSE))</f>
        <v/>
      </c>
      <c r="U191">
        <f ca="1">IF(AND(ISNUMBER($U$396),$B$252=1),$U$396,HLOOKUP(INDIRECT(ADDRESS(2,COLUMN())),OFFSET($CL$2,0,0,ROW()-1,84),ROW()-1,FALSE))</f>
        <v>68.361583080000003</v>
      </c>
      <c r="V191" t="str">
        <f ca="1">IF(AND(ISNUMBER($V$396),$B$252=1),$V$396,HLOOKUP(INDIRECT(ADDRESS(2,COLUMN())),OFFSET($CL$2,0,0,ROW()-1,84),ROW()-1,FALSE))</f>
        <v/>
      </c>
      <c r="W191" t="str">
        <f ca="1">IF(AND(ISNUMBER($W$396),$B$252=1),$W$396,HLOOKUP(INDIRECT(ADDRESS(2,COLUMN())),OFFSET($CL$2,0,0,ROW()-1,84),ROW()-1,FALSE))</f>
        <v/>
      </c>
      <c r="X191">
        <f ca="1">IF(AND(ISNUMBER($X$396),$B$252=1),$X$396,HLOOKUP(INDIRECT(ADDRESS(2,COLUMN())),OFFSET($CL$2,0,0,ROW()-1,84),ROW()-1,FALSE))</f>
        <v>911.74535619999995</v>
      </c>
      <c r="Y191" t="str">
        <f ca="1">IF(AND(ISNUMBER($Y$396),$B$252=1),$Y$396,HLOOKUP(INDIRECT(ADDRESS(2,COLUMN())),OFFSET($CL$2,0,0,ROW()-1,84),ROW()-1,FALSE))</f>
        <v/>
      </c>
      <c r="Z191" t="str">
        <f ca="1">IF(AND(ISNUMBER($Z$396),$B$252=1),$Z$396,HLOOKUP(INDIRECT(ADDRESS(2,COLUMN())),OFFSET($CL$2,0,0,ROW()-1,84),ROW()-1,FALSE))</f>
        <v/>
      </c>
      <c r="AA191">
        <f ca="1">IF(AND(ISNUMBER($AA$396),$B$252=1),$AA$396,HLOOKUP(INDIRECT(ADDRESS(2,COLUMN())),OFFSET($CL$2,0,0,ROW()-1,84),ROW()-1,FALSE))</f>
        <v>61.467516539999998</v>
      </c>
      <c r="AB191" t="str">
        <f ca="1">IF(AND(ISNUMBER($AB$396),$B$252=1),$AB$396,HLOOKUP(INDIRECT(ADDRESS(2,COLUMN())),OFFSET($CL$2,0,0,ROW()-1,84),ROW()-1,FALSE))</f>
        <v/>
      </c>
      <c r="AC191" t="str">
        <f ca="1">IF(AND(ISNUMBER($AC$396),$B$252=1),$AC$396,HLOOKUP(INDIRECT(ADDRESS(2,COLUMN())),OFFSET($CL$2,0,0,ROW()-1,84),ROW()-1,FALSE))</f>
        <v/>
      </c>
      <c r="AD191">
        <f ca="1">IF(AND(ISNUMBER($AD$396),$B$252=1),$AD$396,HLOOKUP(INDIRECT(ADDRESS(2,COLUMN())),OFFSET($CL$2,0,0,ROW()-1,84),ROW()-1,FALSE))</f>
        <v>2365.1664500000002</v>
      </c>
      <c r="AE191" t="str">
        <f ca="1">IF(AND(ISNUMBER($AE$396),$B$252=1),$AE$396,HLOOKUP(INDIRECT(ADDRESS(2,COLUMN())),OFFSET($CL$2,0,0,ROW()-1,84),ROW()-1,FALSE))</f>
        <v/>
      </c>
      <c r="AF191" t="str">
        <f ca="1">IF(AND(ISNUMBER($AF$396),$B$252=1),$AF$396,HLOOKUP(INDIRECT(ADDRESS(2,COLUMN())),OFFSET($CL$2,0,0,ROW()-1,84),ROW()-1,FALSE))</f>
        <v/>
      </c>
      <c r="AG191">
        <f ca="1">IF(AND(ISNUMBER($AG$396),$B$252=1),$AG$396,HLOOKUP(INDIRECT(ADDRESS(2,COLUMN())),OFFSET($CL$2,0,0,ROW()-1,84),ROW()-1,FALSE))</f>
        <v>64.166719979999996</v>
      </c>
      <c r="AH191" t="str">
        <f ca="1">IF(AND(ISNUMBER($AH$396),$B$252=1),$AH$396,HLOOKUP(INDIRECT(ADDRESS(2,COLUMN())),OFFSET($CL$2,0,0,ROW()-1,84),ROW()-1,FALSE))</f>
        <v/>
      </c>
      <c r="AI191" t="str">
        <f ca="1">IF(AND(ISNUMBER($AI$396),$B$252=1),$AI$396,HLOOKUP(INDIRECT(ADDRESS(2,COLUMN())),OFFSET($CL$2,0,0,ROW()-1,84),ROW()-1,FALSE))</f>
        <v/>
      </c>
      <c r="AJ191">
        <f ca="1">IF(AND(ISNUMBER($AJ$396),$B$252=1),$AJ$396,HLOOKUP(INDIRECT(ADDRESS(2,COLUMN())),OFFSET($CL$2,0,0,ROW()-1,84),ROW()-1,FALSE))</f>
        <v>67.636206819999998</v>
      </c>
      <c r="AK191" t="str">
        <f ca="1">IF(AND(ISNUMBER($AK$396),$B$252=1),$AK$396,HLOOKUP(INDIRECT(ADDRESS(2,COLUMN())),OFFSET($CL$2,0,0,ROW()-1,84),ROW()-1,FALSE))</f>
        <v/>
      </c>
      <c r="AL191" t="str">
        <f ca="1">IF(AND(ISNUMBER($AL$396),$B$252=1),$AL$396,HLOOKUP(INDIRECT(ADDRESS(2,COLUMN())),OFFSET($CL$2,0,0,ROW()-1,84),ROW()-1,FALSE))</f>
        <v/>
      </c>
      <c r="AM191">
        <f ca="1">IF(AND(ISNUMBER($AM$396),$B$252=1),$AM$396,HLOOKUP(INDIRECT(ADDRESS(2,COLUMN())),OFFSET($CL$2,0,0,ROW()-1,84),ROW()-1,FALSE))</f>
        <v>70.738226909999995</v>
      </c>
      <c r="AN191" t="str">
        <f ca="1">IF(AND(ISNUMBER($AN$396),$B$252=1),$AN$396,HLOOKUP(INDIRECT(ADDRESS(2,COLUMN())),OFFSET($CL$2,0,0,ROW()-1,84),ROW()-1,FALSE))</f>
        <v/>
      </c>
      <c r="AO191" t="str">
        <f ca="1">IF(AND(ISNUMBER($AO$396),$B$252=1),$AO$396,HLOOKUP(INDIRECT(ADDRESS(2,COLUMN())),OFFSET($CL$2,0,0,ROW()-1,84),ROW()-1,FALSE))</f>
        <v/>
      </c>
      <c r="AP191">
        <f ca="1">IF(AND(ISNUMBER($AP$396),$B$252=1),$AP$396,HLOOKUP(INDIRECT(ADDRESS(2,COLUMN())),OFFSET($CL$2,0,0,ROW()-1,84),ROW()-1,FALSE))</f>
        <v>77.330114780000002</v>
      </c>
      <c r="AQ191" t="str">
        <f ca="1">IF(AND(ISNUMBER($AQ$396),$B$252=1),$AQ$396,HLOOKUP(INDIRECT(ADDRESS(2,COLUMN())),OFFSET($CL$2,0,0,ROW()-1,84),ROW()-1,FALSE))</f>
        <v/>
      </c>
      <c r="AR191" t="str">
        <f ca="1">IF(AND(ISNUMBER($AR$396),$B$252=1),$AR$396,HLOOKUP(INDIRECT(ADDRESS(2,COLUMN())),OFFSET($CL$2,0,0,ROW()-1,84),ROW()-1,FALSE))</f>
        <v/>
      </c>
      <c r="AS191">
        <f ca="1">IF(AND(ISNUMBER($AS$396),$B$252=1),$AS$396,HLOOKUP(INDIRECT(ADDRESS(2,COLUMN())),OFFSET($CL$2,0,0,ROW()-1,84),ROW()-1,FALSE))</f>
        <v>63.053926500000003</v>
      </c>
      <c r="AT191" t="str">
        <f ca="1">IF(AND(ISNUMBER($AT$396),$B$252=1),$AT$396,HLOOKUP(INDIRECT(ADDRESS(2,COLUMN())),OFFSET($CL$2,0,0,ROW()-1,84),ROW()-1,FALSE))</f>
        <v/>
      </c>
      <c r="AU191" t="str">
        <f ca="1">IF(AND(ISNUMBER($AU$396),$B$252=1),$AU$396,HLOOKUP(INDIRECT(ADDRESS(2,COLUMN())),OFFSET($CL$2,0,0,ROW()-1,84),ROW()-1,FALSE))</f>
        <v/>
      </c>
      <c r="AV191">
        <f ca="1">IF(AND(ISNUMBER($AV$396),$B$252=1),$AV$396,HLOOKUP(INDIRECT(ADDRESS(2,COLUMN())),OFFSET($CL$2,0,0,ROW()-1,84),ROW()-1,FALSE))</f>
        <v>66.698078580000001</v>
      </c>
      <c r="AW191" t="str">
        <f ca="1">IF(AND(ISNUMBER($AW$396),$B$252=1),$AW$396,HLOOKUP(INDIRECT(ADDRESS(2,COLUMN())),OFFSET($CL$2,0,0,ROW()-1,84),ROW()-1,FALSE))</f>
        <v/>
      </c>
      <c r="AX191" t="str">
        <f ca="1">IF(AND(ISNUMBER($AX$396),$B$252=1),$AX$396,HLOOKUP(INDIRECT(ADDRESS(2,COLUMN())),OFFSET($CL$2,0,0,ROW()-1,84),ROW()-1,FALSE))</f>
        <v/>
      </c>
      <c r="AY191">
        <f ca="1">IF(AND(ISNUMBER($AY$396),$B$252=1),$AY$396,HLOOKUP(INDIRECT(ADDRESS(2,COLUMN())),OFFSET($CL$2,0,0,ROW()-1,84),ROW()-1,FALSE))</f>
        <v>70.409066300000006</v>
      </c>
      <c r="AZ191" t="str">
        <f ca="1">IF(AND(ISNUMBER($AZ$396),$B$252=1),$AZ$396,HLOOKUP(INDIRECT(ADDRESS(2,COLUMN())),OFFSET($CL$2,0,0,ROW()-1,84),ROW()-1,FALSE))</f>
        <v/>
      </c>
      <c r="BA191" t="str">
        <f ca="1">IF(AND(ISNUMBER($BA$396),$B$252=1),$BA$396,HLOOKUP(INDIRECT(ADDRESS(2,COLUMN())),OFFSET($CL$2,0,0,ROW()-1,84),ROW()-1,FALSE))</f>
        <v/>
      </c>
      <c r="BB191">
        <f ca="1">IF(AND(ISNUMBER($BB$396),$B$252=1),$BB$396,HLOOKUP(INDIRECT(ADDRESS(2,COLUMN())),OFFSET($CL$2,0,0,ROW()-1,84),ROW()-1,FALSE))</f>
        <v>78.680519259999997</v>
      </c>
      <c r="BC191" t="str">
        <f ca="1">IF(AND(ISNUMBER($BC$396),$B$252=1),$BC$396,HLOOKUP(INDIRECT(ADDRESS(2,COLUMN())),OFFSET($CL$2,0,0,ROW()-1,84),ROW()-1,FALSE))</f>
        <v/>
      </c>
      <c r="BD191" t="str">
        <f ca="1">IF(AND(ISNUMBER($BD$396),$B$252=1),$BD$396,HLOOKUP(INDIRECT(ADDRESS(2,COLUMN())),OFFSET($CL$2,0,0,ROW()-1,84),ROW()-1,FALSE))</f>
        <v/>
      </c>
      <c r="BE191">
        <f ca="1">IF(AND(ISNUMBER($BE$396),$B$252=1),$BE$396,HLOOKUP(INDIRECT(ADDRESS(2,COLUMN())),OFFSET($CL$2,0,0,ROW()-1,84),ROW()-1,FALSE))</f>
        <v>92.907286279999994</v>
      </c>
      <c r="BF191" t="str">
        <f ca="1">IF(AND(ISNUMBER($BF$396),$B$252=1),$BF$396,HLOOKUP(INDIRECT(ADDRESS(2,COLUMN())),OFFSET($CL$2,0,0,ROW()-1,84),ROW()-1,FALSE))</f>
        <v/>
      </c>
      <c r="BG191" t="str">
        <f ca="1">IF(AND(ISNUMBER($BG$396),$B$252=1),$BG$396,HLOOKUP(INDIRECT(ADDRESS(2,COLUMN())),OFFSET($CL$2,0,0,ROW()-1,84),ROW()-1,FALSE))</f>
        <v/>
      </c>
      <c r="BH191">
        <f ca="1">IF(AND(ISNUMBER($BH$396),$B$252=1),$BH$396,HLOOKUP(INDIRECT(ADDRESS(2,COLUMN())),OFFSET($CL$2,0,0,ROW()-1,84),ROW()-1,FALSE))</f>
        <v>61.209009969999997</v>
      </c>
      <c r="BI191" t="str">
        <f ca="1">IF(AND(ISNUMBER($BI$396),$B$252=1),$BI$396,HLOOKUP(INDIRECT(ADDRESS(2,COLUMN())),OFFSET($CL$2,0,0,ROW()-1,84),ROW()-1,FALSE))</f>
        <v/>
      </c>
      <c r="BJ191" t="str">
        <f ca="1">IF(AND(ISNUMBER($BJ$396),$B$252=1),$BJ$396,HLOOKUP(INDIRECT(ADDRESS(2,COLUMN())),OFFSET($CL$2,0,0,ROW()-1,84),ROW()-1,FALSE))</f>
        <v/>
      </c>
      <c r="BK191">
        <f ca="1">IF(AND(ISNUMBER($BK$396),$B$252=1),$BK$396,HLOOKUP(INDIRECT(ADDRESS(2,COLUMN())),OFFSET($CL$2,0,0,ROW()-1,84),ROW()-1,FALSE))</f>
        <v>63.12536996</v>
      </c>
      <c r="BL191" t="str">
        <f ca="1">IF(AND(ISNUMBER($BL$396),$B$252=1),$BL$396,HLOOKUP(INDIRECT(ADDRESS(2,COLUMN())),OFFSET($CL$2,0,0,ROW()-1,84),ROW()-1,FALSE))</f>
        <v/>
      </c>
      <c r="BM191" t="str">
        <f ca="1">IF(AND(ISNUMBER($BM$396),$B$252=1),$BM$396,HLOOKUP(INDIRECT(ADDRESS(2,COLUMN())),OFFSET($CL$2,0,0,ROW()-1,84),ROW()-1,FALSE))</f>
        <v/>
      </c>
      <c r="BN191">
        <f ca="1">IF(AND(ISNUMBER($BN$396),$B$252=1),$BN$396,HLOOKUP(INDIRECT(ADDRESS(2,COLUMN())),OFFSET($CL$2,0,0,ROW()-1,84),ROW()-1,FALSE))</f>
        <v>70.755256790000004</v>
      </c>
      <c r="BO191" t="str">
        <f ca="1">IF(AND(ISNUMBER($BO$396),$B$252=1),$BO$396,HLOOKUP(INDIRECT(ADDRESS(2,COLUMN())),OFFSET($CL$2,0,0,ROW()-1,84),ROW()-1,FALSE))</f>
        <v/>
      </c>
      <c r="BP191" t="str">
        <f ca="1">IF(AND(ISNUMBER($BP$396),$B$252=1),$BP$396,HLOOKUP(INDIRECT(ADDRESS(2,COLUMN())),OFFSET($CL$2,0,0,ROW()-1,84),ROW()-1,FALSE))</f>
        <v/>
      </c>
      <c r="BQ191">
        <f ca="1">IF(AND(ISNUMBER($BQ$396),$B$252=1),$BQ$396,HLOOKUP(INDIRECT(ADDRESS(2,COLUMN())),OFFSET($CL$2,0,0,ROW()-1,84),ROW()-1,FALSE))</f>
        <v>114.66910420000001</v>
      </c>
      <c r="BR191" t="str">
        <f ca="1">IF(AND(ISNUMBER($BR$396),$B$252=1),$BR$396,HLOOKUP(INDIRECT(ADDRESS(2,COLUMN())),OFFSET($CL$2,0,0,ROW()-1,84),ROW()-1,FALSE))</f>
        <v/>
      </c>
      <c r="BS191" t="str">
        <f ca="1">IF(AND(ISNUMBER($BS$396),$B$252=1),$BS$396,HLOOKUP(INDIRECT(ADDRESS(2,COLUMN())),OFFSET($CL$2,0,0,ROW()-1,84),ROW()-1,FALSE))</f>
        <v/>
      </c>
      <c r="BT191">
        <f ca="1">IF(AND(ISNUMBER($BT$396),$B$252=1),$BT$396,HLOOKUP(INDIRECT(ADDRESS(2,COLUMN())),OFFSET($CL$2,0,0,ROW()-1,84),ROW()-1,FALSE))</f>
        <v>52.781388440000001</v>
      </c>
      <c r="BU191" t="str">
        <f ca="1">IF(AND(ISNUMBER($BU$396),$B$252=1),$BU$396,HLOOKUP(INDIRECT(ADDRESS(2,COLUMN())),OFFSET($CL$2,0,0,ROW()-1,84),ROW()-1,FALSE))</f>
        <v/>
      </c>
      <c r="BV191" t="str">
        <f ca="1">IF(AND(ISNUMBER($BV$396),$B$252=1),$BV$396,HLOOKUP(INDIRECT(ADDRESS(2,COLUMN())),OFFSET($CL$2,0,0,ROW()-1,84),ROW()-1,FALSE))</f>
        <v/>
      </c>
      <c r="BW191">
        <f ca="1">IF(AND(ISNUMBER($BW$396),$B$252=1),$BW$396,HLOOKUP(INDIRECT(ADDRESS(2,COLUMN())),OFFSET($CL$2,0,0,ROW()-1,84),ROW()-1,FALSE))</f>
        <v>44.494239329999999</v>
      </c>
      <c r="BX191" t="str">
        <f ca="1">IF(AND(ISNUMBER($BX$396),$B$252=1),$BX$396,HLOOKUP(INDIRECT(ADDRESS(2,COLUMN())),OFFSET($CL$2,0,0,ROW()-1,84),ROW()-1,FALSE))</f>
        <v/>
      </c>
      <c r="BY191" t="str">
        <f ca="1">IF(AND(ISNUMBER($BY$396),$B$252=1),$BY$396,HLOOKUP(INDIRECT(ADDRESS(2,COLUMN())),OFFSET($CL$2,0,0,ROW()-1,84),ROW()-1,FALSE))</f>
        <v/>
      </c>
      <c r="BZ191">
        <f ca="1">IF(AND(ISNUMBER($BZ$396),$B$252=1),$BZ$396,HLOOKUP(INDIRECT(ADDRESS(2,COLUMN())),OFFSET($CL$2,0,0,ROW()-1,84),ROW()-1,FALSE))</f>
        <v>64.124043929999999</v>
      </c>
      <c r="CA191" t="str">
        <f ca="1">IF(AND(ISNUMBER($CA$396),$B$252=1),$CA$396,HLOOKUP(INDIRECT(ADDRESS(2,COLUMN())),OFFSET($CL$2,0,0,ROW()-1,84),ROW()-1,FALSE))</f>
        <v/>
      </c>
      <c r="CB191" t="str">
        <f ca="1">IF(AND(ISNUMBER($CB$396),$B$252=1),$CB$396,HLOOKUP(INDIRECT(ADDRESS(2,COLUMN())),OFFSET($CL$2,0,0,ROW()-1,84),ROW()-1,FALSE))</f>
        <v/>
      </c>
      <c r="CC191">
        <f ca="1">IF(AND(ISNUMBER($CC$396),$B$252=1),$CC$396,HLOOKUP(INDIRECT(ADDRESS(2,COLUMN())),OFFSET($CL$2,0,0,ROW()-1,84),ROW()-1,FALSE))</f>
        <v>99.072683600000005</v>
      </c>
      <c r="CD191" t="str">
        <f ca="1">IF(AND(ISNUMBER($CD$396),$B$252=1),$CD$396,HLOOKUP(INDIRECT(ADDRESS(2,COLUMN())),OFFSET($CL$2,0,0,ROW()-1,84),ROW()-1,FALSE))</f>
        <v/>
      </c>
      <c r="CE191" t="str">
        <f ca="1">IF(AND(ISNUMBER($CE$396),$B$252=1),$CE$396,HLOOKUP(INDIRECT(ADDRESS(2,COLUMN())),OFFSET($CL$2,0,0,ROW()-1,84),ROW()-1,FALSE))</f>
        <v/>
      </c>
      <c r="CF191">
        <f ca="1">IF(AND(ISNUMBER($CF$396),$B$252=1),$CF$396,HLOOKUP(INDIRECT(ADDRESS(2,COLUMN())),OFFSET($CL$2,0,0,ROW()-1,84),ROW()-1,FALSE))</f>
        <v>63.676295869999997</v>
      </c>
      <c r="CG191" t="str">
        <f ca="1">IF(AND(ISNUMBER($CG$396),$B$252=1),$CG$396,HLOOKUP(INDIRECT(ADDRESS(2,COLUMN())),OFFSET($CL$2,0,0,ROW()-1,84),ROW()-1,FALSE))</f>
        <v/>
      </c>
      <c r="CH191" t="str">
        <f ca="1">IF(AND(ISNUMBER($CH$396),$B$252=1),$CH$396,HLOOKUP(INDIRECT(ADDRESS(2,COLUMN())),OFFSET($CL$2,0,0,ROW()-1,84),ROW()-1,FALSE))</f>
        <v/>
      </c>
      <c r="CI191">
        <f ca="1">IF(AND(ISNUMBER($CI$396),$B$252=1),$CI$396,HLOOKUP(INDIRECT(ADDRESS(2,COLUMN())),OFFSET($CL$2,0,0,ROW()-1,84),ROW()-1,FALSE))</f>
        <v>49.489062279999999</v>
      </c>
      <c r="CJ191" t="str">
        <f ca="1">IF(AND(ISNUMBER($CJ$396),$B$252=1),$CJ$396,HLOOKUP(INDIRECT(ADDRESS(2,COLUMN())),OFFSET($CL$2,0,0,ROW()-1,84),ROW()-1,FALSE))</f>
        <v/>
      </c>
      <c r="CK191" t="str">
        <f ca="1">IF(AND(ISNUMBER($CK$396),$B$252=1),$CK$396,HLOOKUP(INDIRECT(ADDRESS(2,COLUMN())),OFFSET($CL$2,0,0,ROW()-1,84),ROW()-1,FALSE))</f>
        <v/>
      </c>
      <c r="CL191" t="str">
        <f>""</f>
        <v/>
      </c>
      <c r="CM191" t="str">
        <f>""</f>
        <v/>
      </c>
      <c r="CN191" t="str">
        <f>""</f>
        <v/>
      </c>
      <c r="CO191">
        <f>64.8010341</f>
        <v>64.801034099999995</v>
      </c>
      <c r="CP191" t="str">
        <f>""</f>
        <v/>
      </c>
      <c r="CQ191" t="str">
        <f>""</f>
        <v/>
      </c>
      <c r="CR191">
        <f>67.90091754</f>
        <v>67.900917539999995</v>
      </c>
      <c r="CS191" t="str">
        <f>""</f>
        <v/>
      </c>
      <c r="CT191" t="str">
        <f>""</f>
        <v/>
      </c>
      <c r="CU191">
        <f>71.17239031</f>
        <v>71.172390309999997</v>
      </c>
      <c r="CV191" t="str">
        <f>""</f>
        <v/>
      </c>
      <c r="CW191" t="str">
        <f>""</f>
        <v/>
      </c>
      <c r="CX191">
        <f>73.50921091</f>
        <v>73.509210909999993</v>
      </c>
      <c r="CY191" t="str">
        <f>""</f>
        <v/>
      </c>
      <c r="CZ191" t="str">
        <f>""</f>
        <v/>
      </c>
      <c r="DA191">
        <f>68.36158308</f>
        <v>68.361583080000003</v>
      </c>
      <c r="DB191" t="str">
        <f>""</f>
        <v/>
      </c>
      <c r="DC191" t="str">
        <f>""</f>
        <v/>
      </c>
      <c r="DD191">
        <f>911.7453562</f>
        <v>911.74535619999995</v>
      </c>
      <c r="DE191" t="str">
        <f>""</f>
        <v/>
      </c>
      <c r="DF191" t="str">
        <f>""</f>
        <v/>
      </c>
      <c r="DG191">
        <f>61.46751654</f>
        <v>61.467516539999998</v>
      </c>
      <c r="DH191" t="str">
        <f>""</f>
        <v/>
      </c>
      <c r="DI191" t="str">
        <f>""</f>
        <v/>
      </c>
      <c r="DJ191">
        <f>2365.16645</f>
        <v>2365.1664500000002</v>
      </c>
      <c r="DK191" t="str">
        <f>""</f>
        <v/>
      </c>
      <c r="DL191" t="str">
        <f>""</f>
        <v/>
      </c>
      <c r="DM191">
        <f>64.16671998</f>
        <v>64.166719979999996</v>
      </c>
      <c r="DN191" t="str">
        <f>""</f>
        <v/>
      </c>
      <c r="DO191" t="str">
        <f>""</f>
        <v/>
      </c>
      <c r="DP191">
        <f>67.63620682</f>
        <v>67.636206819999998</v>
      </c>
      <c r="DQ191" t="str">
        <f>""</f>
        <v/>
      </c>
      <c r="DR191" t="str">
        <f>""</f>
        <v/>
      </c>
      <c r="DS191">
        <f>70.73822691</f>
        <v>70.738226909999995</v>
      </c>
      <c r="DT191" t="str">
        <f>""</f>
        <v/>
      </c>
      <c r="DU191" t="str">
        <f>""</f>
        <v/>
      </c>
      <c r="DV191">
        <f>77.33011478</f>
        <v>77.330114780000002</v>
      </c>
      <c r="DW191" t="str">
        <f>""</f>
        <v/>
      </c>
      <c r="DX191" t="str">
        <f>""</f>
        <v/>
      </c>
      <c r="DY191">
        <f>63.0539265</f>
        <v>63.053926500000003</v>
      </c>
      <c r="DZ191" t="str">
        <f>""</f>
        <v/>
      </c>
      <c r="EA191" t="str">
        <f>""</f>
        <v/>
      </c>
      <c r="EB191">
        <f>66.69807858</f>
        <v>66.698078580000001</v>
      </c>
      <c r="EC191" t="str">
        <f>""</f>
        <v/>
      </c>
      <c r="ED191" t="str">
        <f>""</f>
        <v/>
      </c>
      <c r="EE191">
        <f>70.4090663</f>
        <v>70.409066300000006</v>
      </c>
      <c r="EF191" t="str">
        <f>""</f>
        <v/>
      </c>
      <c r="EG191" t="str">
        <f>""</f>
        <v/>
      </c>
      <c r="EH191">
        <f>78.68051926</f>
        <v>78.680519259999997</v>
      </c>
      <c r="EI191" t="str">
        <f>""</f>
        <v/>
      </c>
      <c r="EJ191" t="str">
        <f>""</f>
        <v/>
      </c>
      <c r="EK191">
        <f>92.90728628</f>
        <v>92.907286279999994</v>
      </c>
      <c r="EL191" t="str">
        <f>""</f>
        <v/>
      </c>
      <c r="EM191" t="str">
        <f>""</f>
        <v/>
      </c>
      <c r="EN191">
        <f>61.20900997</f>
        <v>61.209009969999997</v>
      </c>
      <c r="EO191" t="str">
        <f>""</f>
        <v/>
      </c>
      <c r="EP191" t="str">
        <f>""</f>
        <v/>
      </c>
      <c r="EQ191">
        <f>63.12536996</f>
        <v>63.12536996</v>
      </c>
      <c r="ER191" t="str">
        <f>""</f>
        <v/>
      </c>
      <c r="ES191" t="str">
        <f>""</f>
        <v/>
      </c>
      <c r="ET191">
        <f>70.75525679</f>
        <v>70.755256790000004</v>
      </c>
      <c r="EU191" t="str">
        <f>""</f>
        <v/>
      </c>
      <c r="EV191" t="str">
        <f>""</f>
        <v/>
      </c>
      <c r="EW191">
        <f>114.6691042</f>
        <v>114.66910420000001</v>
      </c>
      <c r="EX191" t="str">
        <f>""</f>
        <v/>
      </c>
      <c r="EY191" t="str">
        <f>""</f>
        <v/>
      </c>
      <c r="EZ191">
        <f>52.78138844</f>
        <v>52.781388440000001</v>
      </c>
      <c r="FA191" t="str">
        <f>""</f>
        <v/>
      </c>
      <c r="FB191" t="str">
        <f>""</f>
        <v/>
      </c>
      <c r="FC191">
        <f>44.49423933</f>
        <v>44.494239329999999</v>
      </c>
      <c r="FD191" t="str">
        <f>""</f>
        <v/>
      </c>
      <c r="FE191" t="str">
        <f>""</f>
        <v/>
      </c>
      <c r="FF191">
        <f>64.12404393</f>
        <v>64.124043929999999</v>
      </c>
      <c r="FG191" t="str">
        <f>""</f>
        <v/>
      </c>
      <c r="FH191" t="str">
        <f>""</f>
        <v/>
      </c>
      <c r="FI191">
        <f>99.0726836</f>
        <v>99.072683600000005</v>
      </c>
      <c r="FJ191" t="str">
        <f>""</f>
        <v/>
      </c>
      <c r="FK191" t="str">
        <f>""</f>
        <v/>
      </c>
      <c r="FL191">
        <f>63.67629587</f>
        <v>63.676295869999997</v>
      </c>
      <c r="FM191" t="str">
        <f>""</f>
        <v/>
      </c>
      <c r="FN191" t="str">
        <f>""</f>
        <v/>
      </c>
      <c r="FO191">
        <f>49.48906228</f>
        <v>49.489062279999999</v>
      </c>
      <c r="FP191" t="str">
        <f>""</f>
        <v/>
      </c>
      <c r="FQ191" t="str">
        <f>""</f>
        <v/>
      </c>
    </row>
    <row r="192" spans="1:173">
      <c r="A192" t="str">
        <f>"    Essex Property Trust Inc"</f>
        <v xml:space="preserve">    Essex Property Trust Inc</v>
      </c>
      <c r="B192" t="str">
        <f>"ESS US Equity"</f>
        <v>ESS US Equity</v>
      </c>
      <c r="C192" t="str">
        <f t="shared" si="60"/>
        <v>F0929</v>
      </c>
      <c r="D192" t="str">
        <f t="shared" si="61"/>
        <v>FUNDS_AVAIL_DIST_PAYOUT_RATIO</v>
      </c>
      <c r="E192" t="str">
        <f t="shared" si="62"/>
        <v>动态</v>
      </c>
      <c r="F192" t="str">
        <f ca="1">IF(AND(ISNUMBER($F$397),$B$252=1),$F$397,HLOOKUP(INDIRECT(ADDRESS(2,COLUMN())),OFFSET($CL$2,0,0,ROW()-1,84),ROW()-1,FALSE))</f>
        <v/>
      </c>
      <c r="G192" t="str">
        <f ca="1">IF(AND(ISNUMBER($G$397),$B$252=1),$G$397,HLOOKUP(INDIRECT(ADDRESS(2,COLUMN())),OFFSET($CL$2,0,0,ROW()-1,84),ROW()-1,FALSE))</f>
        <v/>
      </c>
      <c r="H192" t="str">
        <f ca="1">IF(AND(ISNUMBER($H$397),$B$252=1),$H$397,HLOOKUP(INDIRECT(ADDRESS(2,COLUMN())),OFFSET($CL$2,0,0,ROW()-1,84),ROW()-1,FALSE))</f>
        <v/>
      </c>
      <c r="I192">
        <f ca="1">IF(AND(ISNUMBER($I$397),$B$252=1),$I$397,HLOOKUP(INDIRECT(ADDRESS(2,COLUMN())),OFFSET($CL$2,0,0,ROW()-1,84),ROW()-1,FALSE))</f>
        <v>58.119710329999997</v>
      </c>
      <c r="J192" t="str">
        <f ca="1">IF(AND(ISNUMBER($J$397),$B$252=1),$J$397,HLOOKUP(INDIRECT(ADDRESS(2,COLUMN())),OFFSET($CL$2,0,0,ROW()-1,84),ROW()-1,FALSE))</f>
        <v/>
      </c>
      <c r="K192" t="str">
        <f ca="1">IF(AND(ISNUMBER($K$397),$B$252=1),$K$397,HLOOKUP(INDIRECT(ADDRESS(2,COLUMN())),OFFSET($CL$2,0,0,ROW()-1,84),ROW()-1,FALSE))</f>
        <v/>
      </c>
      <c r="L192">
        <f ca="1">IF(AND(ISNUMBER($L$397),$B$252=1),$L$397,HLOOKUP(INDIRECT(ADDRESS(2,COLUMN())),OFFSET($CL$2,0,0,ROW()-1,84),ROW()-1,FALSE))</f>
        <v>65.31525791</v>
      </c>
      <c r="M192" t="str">
        <f ca="1">IF(AND(ISNUMBER($M$397),$B$252=1),$M$397,HLOOKUP(INDIRECT(ADDRESS(2,COLUMN())),OFFSET($CL$2,0,0,ROW()-1,84),ROW()-1,FALSE))</f>
        <v/>
      </c>
      <c r="N192" t="str">
        <f ca="1">IF(AND(ISNUMBER($N$397),$B$252=1),$N$397,HLOOKUP(INDIRECT(ADDRESS(2,COLUMN())),OFFSET($CL$2,0,0,ROW()-1,84),ROW()-1,FALSE))</f>
        <v/>
      </c>
      <c r="O192">
        <f ca="1">IF(AND(ISNUMBER($O$397),$B$252=1),$O$397,HLOOKUP(INDIRECT(ADDRESS(2,COLUMN())),OFFSET($CL$2,0,0,ROW()-1,84),ROW()-1,FALSE))</f>
        <v>58.873793200000001</v>
      </c>
      <c r="P192" t="str">
        <f ca="1">IF(AND(ISNUMBER($P$397),$B$252=1),$P$397,HLOOKUP(INDIRECT(ADDRESS(2,COLUMN())),OFFSET($CL$2,0,0,ROW()-1,84),ROW()-1,FALSE))</f>
        <v/>
      </c>
      <c r="Q192" t="str">
        <f ca="1">IF(AND(ISNUMBER($Q$397),$B$252=1),$Q$397,HLOOKUP(INDIRECT(ADDRESS(2,COLUMN())),OFFSET($CL$2,0,0,ROW()-1,84),ROW()-1,FALSE))</f>
        <v/>
      </c>
      <c r="R192">
        <f ca="1">IF(AND(ISNUMBER($R$397),$B$252=1),$R$397,HLOOKUP(INDIRECT(ADDRESS(2,COLUMN())),OFFSET($CL$2,0,0,ROW()-1,84),ROW()-1,FALSE))</f>
        <v>62.500722449999998</v>
      </c>
      <c r="S192" t="str">
        <f ca="1">IF(AND(ISNUMBER($S$397),$B$252=1),$S$397,HLOOKUP(INDIRECT(ADDRESS(2,COLUMN())),OFFSET($CL$2,0,0,ROW()-1,84),ROW()-1,FALSE))</f>
        <v/>
      </c>
      <c r="T192" t="str">
        <f ca="1">IF(AND(ISNUMBER($T$397),$B$252=1),$T$397,HLOOKUP(INDIRECT(ADDRESS(2,COLUMN())),OFFSET($CL$2,0,0,ROW()-1,84),ROW()-1,FALSE))</f>
        <v/>
      </c>
      <c r="U192">
        <f ca="1">IF(AND(ISNUMBER($U$397),$B$252=1),$U$397,HLOOKUP(INDIRECT(ADDRESS(2,COLUMN())),OFFSET($CL$2,0,0,ROW()-1,84),ROW()-1,FALSE))</f>
        <v>56.948478710000003</v>
      </c>
      <c r="V192" t="str">
        <f ca="1">IF(AND(ISNUMBER($V$397),$B$252=1),$V$397,HLOOKUP(INDIRECT(ADDRESS(2,COLUMN())),OFFSET($CL$2,0,0,ROW()-1,84),ROW()-1,FALSE))</f>
        <v/>
      </c>
      <c r="W192" t="str">
        <f ca="1">IF(AND(ISNUMBER($W$397),$B$252=1),$W$397,HLOOKUP(INDIRECT(ADDRESS(2,COLUMN())),OFFSET($CL$2,0,0,ROW()-1,84),ROW()-1,FALSE))</f>
        <v/>
      </c>
      <c r="X192">
        <f ca="1">IF(AND(ISNUMBER($X$397),$B$252=1),$X$397,HLOOKUP(INDIRECT(ADDRESS(2,COLUMN())),OFFSET($CL$2,0,0,ROW()-1,84),ROW()-1,FALSE))</f>
        <v>57.031180159999998</v>
      </c>
      <c r="Y192" t="str">
        <f ca="1">IF(AND(ISNUMBER($Y$397),$B$252=1),$Y$397,HLOOKUP(INDIRECT(ADDRESS(2,COLUMN())),OFFSET($CL$2,0,0,ROW()-1,84),ROW()-1,FALSE))</f>
        <v/>
      </c>
      <c r="Z192" t="str">
        <f ca="1">IF(AND(ISNUMBER($Z$397),$B$252=1),$Z$397,HLOOKUP(INDIRECT(ADDRESS(2,COLUMN())),OFFSET($CL$2,0,0,ROW()-1,84),ROW()-1,FALSE))</f>
        <v/>
      </c>
      <c r="AA192">
        <f ca="1">IF(AND(ISNUMBER($AA$397),$B$252=1),$AA$397,HLOOKUP(INDIRECT(ADDRESS(2,COLUMN())),OFFSET($CL$2,0,0,ROW()-1,84),ROW()-1,FALSE))</f>
        <v>58.347583010000001</v>
      </c>
      <c r="AB192" t="str">
        <f ca="1">IF(AND(ISNUMBER($AB$397),$B$252=1),$AB$397,HLOOKUP(INDIRECT(ADDRESS(2,COLUMN())),OFFSET($CL$2,0,0,ROW()-1,84),ROW()-1,FALSE))</f>
        <v/>
      </c>
      <c r="AC192" t="str">
        <f ca="1">IF(AND(ISNUMBER($AC$397),$B$252=1),$AC$397,HLOOKUP(INDIRECT(ADDRESS(2,COLUMN())),OFFSET($CL$2,0,0,ROW()-1,84),ROW()-1,FALSE))</f>
        <v/>
      </c>
      <c r="AD192">
        <f ca="1">IF(AND(ISNUMBER($AD$397),$B$252=1),$AD$397,HLOOKUP(INDIRECT(ADDRESS(2,COLUMN())),OFFSET($CL$2,0,0,ROW()-1,84),ROW()-1,FALSE))</f>
        <v>59.75628167</v>
      </c>
      <c r="AE192" t="str">
        <f ca="1">IF(AND(ISNUMBER($AE$397),$B$252=1),$AE$397,HLOOKUP(INDIRECT(ADDRESS(2,COLUMN())),OFFSET($CL$2,0,0,ROW()-1,84),ROW()-1,FALSE))</f>
        <v/>
      </c>
      <c r="AF192" t="str">
        <f ca="1">IF(AND(ISNUMBER($AF$397),$B$252=1),$AF$397,HLOOKUP(INDIRECT(ADDRESS(2,COLUMN())),OFFSET($CL$2,0,0,ROW()-1,84),ROW()-1,FALSE))</f>
        <v/>
      </c>
      <c r="AG192">
        <f ca="1">IF(AND(ISNUMBER($AG$397),$B$252=1),$AG$397,HLOOKUP(INDIRECT(ADDRESS(2,COLUMN())),OFFSET($CL$2,0,0,ROW()-1,84),ROW()-1,FALSE))</f>
        <v>54.747973279999997</v>
      </c>
      <c r="AH192" t="str">
        <f ca="1">IF(AND(ISNUMBER($AH$397),$B$252=1),$AH$397,HLOOKUP(INDIRECT(ADDRESS(2,COLUMN())),OFFSET($CL$2,0,0,ROW()-1,84),ROW()-1,FALSE))</f>
        <v/>
      </c>
      <c r="AI192" t="str">
        <f ca="1">IF(AND(ISNUMBER($AI$397),$B$252=1),$AI$397,HLOOKUP(INDIRECT(ADDRESS(2,COLUMN())),OFFSET($CL$2,0,0,ROW()-1,84),ROW()-1,FALSE))</f>
        <v/>
      </c>
      <c r="AJ192">
        <f ca="1">IF(AND(ISNUMBER($AJ$397),$B$252=1),$AJ$397,HLOOKUP(INDIRECT(ADDRESS(2,COLUMN())),OFFSET($CL$2,0,0,ROW()-1,84),ROW()-1,FALSE))</f>
        <v>57.738229230000002</v>
      </c>
      <c r="AK192" t="str">
        <f ca="1">IF(AND(ISNUMBER($AK$397),$B$252=1),$AK$397,HLOOKUP(INDIRECT(ADDRESS(2,COLUMN())),OFFSET($CL$2,0,0,ROW()-1,84),ROW()-1,FALSE))</f>
        <v/>
      </c>
      <c r="AL192" t="str">
        <f ca="1">IF(AND(ISNUMBER($AL$397),$B$252=1),$AL$397,HLOOKUP(INDIRECT(ADDRESS(2,COLUMN())),OFFSET($CL$2,0,0,ROW()-1,84),ROW()-1,FALSE))</f>
        <v/>
      </c>
      <c r="AM192">
        <f ca="1">IF(AND(ISNUMBER($AM$397),$B$252=1),$AM$397,HLOOKUP(INDIRECT(ADDRESS(2,COLUMN())),OFFSET($CL$2,0,0,ROW()-1,84),ROW()-1,FALSE))</f>
        <v>59.98545266</v>
      </c>
      <c r="AN192" t="str">
        <f ca="1">IF(AND(ISNUMBER($AN$397),$B$252=1),$AN$397,HLOOKUP(INDIRECT(ADDRESS(2,COLUMN())),OFFSET($CL$2,0,0,ROW()-1,84),ROW()-1,FALSE))</f>
        <v/>
      </c>
      <c r="AO192" t="str">
        <f ca="1">IF(AND(ISNUMBER($AO$397),$B$252=1),$AO$397,HLOOKUP(INDIRECT(ADDRESS(2,COLUMN())),OFFSET($CL$2,0,0,ROW()-1,84),ROW()-1,FALSE))</f>
        <v/>
      </c>
      <c r="AP192">
        <f ca="1">IF(AND(ISNUMBER($AP$397),$B$252=1),$AP$397,HLOOKUP(INDIRECT(ADDRESS(2,COLUMN())),OFFSET($CL$2,0,0,ROW()-1,84),ROW()-1,FALSE))</f>
        <v>62.87814281</v>
      </c>
      <c r="AQ192" t="str">
        <f ca="1">IF(AND(ISNUMBER($AQ$397),$B$252=1),$AQ$397,HLOOKUP(INDIRECT(ADDRESS(2,COLUMN())),OFFSET($CL$2,0,0,ROW()-1,84),ROW()-1,FALSE))</f>
        <v/>
      </c>
      <c r="AR192" t="str">
        <f ca="1">IF(AND(ISNUMBER($AR$397),$B$252=1),$AR$397,HLOOKUP(INDIRECT(ADDRESS(2,COLUMN())),OFFSET($CL$2,0,0,ROW()-1,84),ROW()-1,FALSE))</f>
        <v/>
      </c>
      <c r="AS192">
        <f ca="1">IF(AND(ISNUMBER($AS$397),$B$252=1),$AS$397,HLOOKUP(INDIRECT(ADDRESS(2,COLUMN())),OFFSET($CL$2,0,0,ROW()-1,84),ROW()-1,FALSE))</f>
        <v>62.785433410000003</v>
      </c>
      <c r="AT192" t="str">
        <f ca="1">IF(AND(ISNUMBER($AT$397),$B$252=1),$AT$397,HLOOKUP(INDIRECT(ADDRESS(2,COLUMN())),OFFSET($CL$2,0,0,ROW()-1,84),ROW()-1,FALSE))</f>
        <v/>
      </c>
      <c r="AU192" t="str">
        <f ca="1">IF(AND(ISNUMBER($AU$397),$B$252=1),$AU$397,HLOOKUP(INDIRECT(ADDRESS(2,COLUMN())),OFFSET($CL$2,0,0,ROW()-1,84),ROW()-1,FALSE))</f>
        <v/>
      </c>
      <c r="AV192">
        <f ca="1">IF(AND(ISNUMBER($AV$397),$B$252=1),$AV$397,HLOOKUP(INDIRECT(ADDRESS(2,COLUMN())),OFFSET($CL$2,0,0,ROW()-1,84),ROW()-1,FALSE))</f>
        <v>66.731190740000002</v>
      </c>
      <c r="AW192" t="str">
        <f ca="1">IF(AND(ISNUMBER($AW$397),$B$252=1),$AW$397,HLOOKUP(INDIRECT(ADDRESS(2,COLUMN())),OFFSET($CL$2,0,0,ROW()-1,84),ROW()-1,FALSE))</f>
        <v/>
      </c>
      <c r="AX192" t="str">
        <f ca="1">IF(AND(ISNUMBER($AX$397),$B$252=1),$AX$397,HLOOKUP(INDIRECT(ADDRESS(2,COLUMN())),OFFSET($CL$2,0,0,ROW()-1,84),ROW()-1,FALSE))</f>
        <v/>
      </c>
      <c r="AY192">
        <f ca="1">IF(AND(ISNUMBER($AY$397),$B$252=1),$AY$397,HLOOKUP(INDIRECT(ADDRESS(2,COLUMN())),OFFSET($CL$2,0,0,ROW()-1,84),ROW()-1,FALSE))</f>
        <v>64.492265250000003</v>
      </c>
      <c r="AZ192" t="str">
        <f ca="1">IF(AND(ISNUMBER($AZ$397),$B$252=1),$AZ$397,HLOOKUP(INDIRECT(ADDRESS(2,COLUMN())),OFFSET($CL$2,0,0,ROW()-1,84),ROW()-1,FALSE))</f>
        <v/>
      </c>
      <c r="BA192" t="str">
        <f ca="1">IF(AND(ISNUMBER($BA$397),$B$252=1),$BA$397,HLOOKUP(INDIRECT(ADDRESS(2,COLUMN())),OFFSET($CL$2,0,0,ROW()-1,84),ROW()-1,FALSE))</f>
        <v/>
      </c>
      <c r="BB192">
        <f ca="1">IF(AND(ISNUMBER($BB$397),$B$252=1),$BB$397,HLOOKUP(INDIRECT(ADDRESS(2,COLUMN())),OFFSET($CL$2,0,0,ROW()-1,84),ROW()-1,FALSE))</f>
        <v>60.019794670000003</v>
      </c>
      <c r="BC192" t="str">
        <f ca="1">IF(AND(ISNUMBER($BC$397),$B$252=1),$BC$397,HLOOKUP(INDIRECT(ADDRESS(2,COLUMN())),OFFSET($CL$2,0,0,ROW()-1,84),ROW()-1,FALSE))</f>
        <v/>
      </c>
      <c r="BD192" t="str">
        <f ca="1">IF(AND(ISNUMBER($BD$397),$B$252=1),$BD$397,HLOOKUP(INDIRECT(ADDRESS(2,COLUMN())),OFFSET($CL$2,0,0,ROW()-1,84),ROW()-1,FALSE))</f>
        <v/>
      </c>
      <c r="BE192">
        <f ca="1">IF(AND(ISNUMBER($BE$397),$B$252=1),$BE$397,HLOOKUP(INDIRECT(ADDRESS(2,COLUMN())),OFFSET($CL$2,0,0,ROW()-1,84),ROW()-1,FALSE))</f>
        <v>66.718095109999993</v>
      </c>
      <c r="BF192" t="str">
        <f ca="1">IF(AND(ISNUMBER($BF$397),$B$252=1),$BF$397,HLOOKUP(INDIRECT(ADDRESS(2,COLUMN())),OFFSET($CL$2,0,0,ROW()-1,84),ROW()-1,FALSE))</f>
        <v/>
      </c>
      <c r="BG192" t="str">
        <f ca="1">IF(AND(ISNUMBER($BG$397),$B$252=1),$BG$397,HLOOKUP(INDIRECT(ADDRESS(2,COLUMN())),OFFSET($CL$2,0,0,ROW()-1,84),ROW()-1,FALSE))</f>
        <v/>
      </c>
      <c r="BH192">
        <f ca="1">IF(AND(ISNUMBER($BH$397),$B$252=1),$BH$397,HLOOKUP(INDIRECT(ADDRESS(2,COLUMN())),OFFSET($CL$2,0,0,ROW()-1,84),ROW()-1,FALSE))</f>
        <v>72.482647580000005</v>
      </c>
      <c r="BI192" t="str">
        <f ca="1">IF(AND(ISNUMBER($BI$397),$B$252=1),$BI$397,HLOOKUP(INDIRECT(ADDRESS(2,COLUMN())),OFFSET($CL$2,0,0,ROW()-1,84),ROW()-1,FALSE))</f>
        <v/>
      </c>
      <c r="BJ192" t="str">
        <f ca="1">IF(AND(ISNUMBER($BJ$397),$B$252=1),$BJ$397,HLOOKUP(INDIRECT(ADDRESS(2,COLUMN())),OFFSET($CL$2,0,0,ROW()-1,84),ROW()-1,FALSE))</f>
        <v/>
      </c>
      <c r="BK192">
        <f ca="1">IF(AND(ISNUMBER($BK$397),$B$252=1),$BK$397,HLOOKUP(INDIRECT(ADDRESS(2,COLUMN())),OFFSET($CL$2,0,0,ROW()-1,84),ROW()-1,FALSE))</f>
        <v>72.670928380000007</v>
      </c>
      <c r="BL192" t="str">
        <f ca="1">IF(AND(ISNUMBER($BL$397),$B$252=1),$BL$397,HLOOKUP(INDIRECT(ADDRESS(2,COLUMN())),OFFSET($CL$2,0,0,ROW()-1,84),ROW()-1,FALSE))</f>
        <v/>
      </c>
      <c r="BM192" t="str">
        <f ca="1">IF(AND(ISNUMBER($BM$397),$B$252=1),$BM$397,HLOOKUP(INDIRECT(ADDRESS(2,COLUMN())),OFFSET($CL$2,0,0,ROW()-1,84),ROW()-1,FALSE))</f>
        <v/>
      </c>
      <c r="BN192">
        <f ca="1">IF(AND(ISNUMBER($BN$397),$B$252=1),$BN$397,HLOOKUP(INDIRECT(ADDRESS(2,COLUMN())),OFFSET($CL$2,0,0,ROW()-1,84),ROW()-1,FALSE))</f>
        <v>68.559108170000002</v>
      </c>
      <c r="BO192" t="str">
        <f ca="1">IF(AND(ISNUMBER($BO$397),$B$252=1),$BO$397,HLOOKUP(INDIRECT(ADDRESS(2,COLUMN())),OFFSET($CL$2,0,0,ROW()-1,84),ROW()-1,FALSE))</f>
        <v/>
      </c>
      <c r="BP192" t="str">
        <f ca="1">IF(AND(ISNUMBER($BP$397),$B$252=1),$BP$397,HLOOKUP(INDIRECT(ADDRESS(2,COLUMN())),OFFSET($CL$2,0,0,ROW()-1,84),ROW()-1,FALSE))</f>
        <v/>
      </c>
      <c r="BQ192">
        <f ca="1">IF(AND(ISNUMBER($BQ$397),$B$252=1),$BQ$397,HLOOKUP(INDIRECT(ADDRESS(2,COLUMN())),OFFSET($CL$2,0,0,ROW()-1,84),ROW()-1,FALSE))</f>
        <v>77.303402829999996</v>
      </c>
      <c r="BR192" t="str">
        <f ca="1">IF(AND(ISNUMBER($BR$397),$B$252=1),$BR$397,HLOOKUP(INDIRECT(ADDRESS(2,COLUMN())),OFFSET($CL$2,0,0,ROW()-1,84),ROW()-1,FALSE))</f>
        <v/>
      </c>
      <c r="BS192" t="str">
        <f ca="1">IF(AND(ISNUMBER($BS$397),$B$252=1),$BS$397,HLOOKUP(INDIRECT(ADDRESS(2,COLUMN())),OFFSET($CL$2,0,0,ROW()-1,84),ROW()-1,FALSE))</f>
        <v/>
      </c>
      <c r="BT192">
        <f ca="1">IF(AND(ISNUMBER($BT$397),$B$252=1),$BT$397,HLOOKUP(INDIRECT(ADDRESS(2,COLUMN())),OFFSET($CL$2,0,0,ROW()-1,84),ROW()-1,FALSE))</f>
        <v>56.760868330000001</v>
      </c>
      <c r="BU192" t="str">
        <f ca="1">IF(AND(ISNUMBER($BU$397),$B$252=1),$BU$397,HLOOKUP(INDIRECT(ADDRESS(2,COLUMN())),OFFSET($CL$2,0,0,ROW()-1,84),ROW()-1,FALSE))</f>
        <v/>
      </c>
      <c r="BV192" t="str">
        <f ca="1">IF(AND(ISNUMBER($BV$397),$B$252=1),$BV$397,HLOOKUP(INDIRECT(ADDRESS(2,COLUMN())),OFFSET($CL$2,0,0,ROW()-1,84),ROW()-1,FALSE))</f>
        <v/>
      </c>
      <c r="BW192">
        <f ca="1">IF(AND(ISNUMBER($BW$397),$B$252=1),$BW$397,HLOOKUP(INDIRECT(ADDRESS(2,COLUMN())),OFFSET($CL$2,0,0,ROW()-1,84),ROW()-1,FALSE))</f>
        <v>70.487153359999994</v>
      </c>
      <c r="BX192" t="str">
        <f ca="1">IF(AND(ISNUMBER($BX$397),$B$252=1),$BX$397,HLOOKUP(INDIRECT(ADDRESS(2,COLUMN())),OFFSET($CL$2,0,0,ROW()-1,84),ROW()-1,FALSE))</f>
        <v/>
      </c>
      <c r="BY192" t="str">
        <f ca="1">IF(AND(ISNUMBER($BY$397),$B$252=1),$BY$397,HLOOKUP(INDIRECT(ADDRESS(2,COLUMN())),OFFSET($CL$2,0,0,ROW()-1,84),ROW()-1,FALSE))</f>
        <v/>
      </c>
      <c r="BZ192">
        <f ca="1">IF(AND(ISNUMBER($BZ$397),$B$252=1),$BZ$397,HLOOKUP(INDIRECT(ADDRESS(2,COLUMN())),OFFSET($CL$2,0,0,ROW()-1,84),ROW()-1,FALSE))</f>
        <v>68.736574360000006</v>
      </c>
      <c r="CA192" t="str">
        <f ca="1">IF(AND(ISNUMBER($CA$397),$B$252=1),$CA$397,HLOOKUP(INDIRECT(ADDRESS(2,COLUMN())),OFFSET($CL$2,0,0,ROW()-1,84),ROW()-1,FALSE))</f>
        <v/>
      </c>
      <c r="CB192" t="str">
        <f ca="1">IF(AND(ISNUMBER($CB$397),$B$252=1),$CB$397,HLOOKUP(INDIRECT(ADDRESS(2,COLUMN())),OFFSET($CL$2,0,0,ROW()-1,84),ROW()-1,FALSE))</f>
        <v/>
      </c>
      <c r="CC192">
        <f ca="1">IF(AND(ISNUMBER($CC$397),$B$252=1),$CC$397,HLOOKUP(INDIRECT(ADDRESS(2,COLUMN())),OFFSET($CL$2,0,0,ROW()-1,84),ROW()-1,FALSE))</f>
        <v>89.100699379999995</v>
      </c>
      <c r="CD192" t="str">
        <f ca="1">IF(AND(ISNUMBER($CD$397),$B$252=1),$CD$397,HLOOKUP(INDIRECT(ADDRESS(2,COLUMN())),OFFSET($CL$2,0,0,ROW()-1,84),ROW()-1,FALSE))</f>
        <v/>
      </c>
      <c r="CE192" t="str">
        <f ca="1">IF(AND(ISNUMBER($CE$397),$B$252=1),$CE$397,HLOOKUP(INDIRECT(ADDRESS(2,COLUMN())),OFFSET($CL$2,0,0,ROW()-1,84),ROW()-1,FALSE))</f>
        <v/>
      </c>
      <c r="CF192">
        <f ca="1">IF(AND(ISNUMBER($CF$397),$B$252=1),$CF$397,HLOOKUP(INDIRECT(ADDRESS(2,COLUMN())),OFFSET($CL$2,0,0,ROW()-1,84),ROW()-1,FALSE))</f>
        <v>83.866067419999993</v>
      </c>
      <c r="CG192" t="str">
        <f ca="1">IF(AND(ISNUMBER($CG$397),$B$252=1),$CG$397,HLOOKUP(INDIRECT(ADDRESS(2,COLUMN())),OFFSET($CL$2,0,0,ROW()-1,84),ROW()-1,FALSE))</f>
        <v/>
      </c>
      <c r="CH192" t="str">
        <f ca="1">IF(AND(ISNUMBER($CH$397),$B$252=1),$CH$397,HLOOKUP(INDIRECT(ADDRESS(2,COLUMN())),OFFSET($CL$2,0,0,ROW()-1,84),ROW()-1,FALSE))</f>
        <v/>
      </c>
      <c r="CI192">
        <f ca="1">IF(AND(ISNUMBER($CI$397),$B$252=1),$CI$397,HLOOKUP(INDIRECT(ADDRESS(2,COLUMN())),OFFSET($CL$2,0,0,ROW()-1,84),ROW()-1,FALSE))</f>
        <v>82.769460039999998</v>
      </c>
      <c r="CJ192" t="str">
        <f ca="1">IF(AND(ISNUMBER($CJ$397),$B$252=1),$CJ$397,HLOOKUP(INDIRECT(ADDRESS(2,COLUMN())),OFFSET($CL$2,0,0,ROW()-1,84),ROW()-1,FALSE))</f>
        <v/>
      </c>
      <c r="CK192" t="str">
        <f ca="1">IF(AND(ISNUMBER($CK$397),$B$252=1),$CK$397,HLOOKUP(INDIRECT(ADDRESS(2,COLUMN())),OFFSET($CL$2,0,0,ROW()-1,84),ROW()-1,FALSE))</f>
        <v/>
      </c>
      <c r="CL192" t="str">
        <f>""</f>
        <v/>
      </c>
      <c r="CM192" t="str">
        <f>""</f>
        <v/>
      </c>
      <c r="CN192" t="str">
        <f>""</f>
        <v/>
      </c>
      <c r="CO192">
        <f>58.11971033</f>
        <v>58.119710329999997</v>
      </c>
      <c r="CP192" t="str">
        <f>""</f>
        <v/>
      </c>
      <c r="CQ192" t="str">
        <f>""</f>
        <v/>
      </c>
      <c r="CR192">
        <f>65.31525791</f>
        <v>65.31525791</v>
      </c>
      <c r="CS192" t="str">
        <f>""</f>
        <v/>
      </c>
      <c r="CT192" t="str">
        <f>""</f>
        <v/>
      </c>
      <c r="CU192">
        <f>58.8737932</f>
        <v>58.873793200000001</v>
      </c>
      <c r="CV192" t="str">
        <f>""</f>
        <v/>
      </c>
      <c r="CW192" t="str">
        <f>""</f>
        <v/>
      </c>
      <c r="CX192">
        <f>62.50072245</f>
        <v>62.500722449999998</v>
      </c>
      <c r="CY192" t="str">
        <f>""</f>
        <v/>
      </c>
      <c r="CZ192" t="str">
        <f>""</f>
        <v/>
      </c>
      <c r="DA192">
        <f>56.94847871</f>
        <v>56.948478710000003</v>
      </c>
      <c r="DB192" t="str">
        <f>""</f>
        <v/>
      </c>
      <c r="DC192" t="str">
        <f>""</f>
        <v/>
      </c>
      <c r="DD192">
        <f>57.03118016</f>
        <v>57.031180159999998</v>
      </c>
      <c r="DE192" t="str">
        <f>""</f>
        <v/>
      </c>
      <c r="DF192" t="str">
        <f>""</f>
        <v/>
      </c>
      <c r="DG192">
        <f>58.34758301</f>
        <v>58.347583010000001</v>
      </c>
      <c r="DH192" t="str">
        <f>""</f>
        <v/>
      </c>
      <c r="DI192" t="str">
        <f>""</f>
        <v/>
      </c>
      <c r="DJ192">
        <f>59.75628167</f>
        <v>59.75628167</v>
      </c>
      <c r="DK192" t="str">
        <f>""</f>
        <v/>
      </c>
      <c r="DL192" t="str">
        <f>""</f>
        <v/>
      </c>
      <c r="DM192">
        <f>54.74797328</f>
        <v>54.747973279999997</v>
      </c>
      <c r="DN192" t="str">
        <f>""</f>
        <v/>
      </c>
      <c r="DO192" t="str">
        <f>""</f>
        <v/>
      </c>
      <c r="DP192">
        <f>57.73822923</f>
        <v>57.738229230000002</v>
      </c>
      <c r="DQ192" t="str">
        <f>""</f>
        <v/>
      </c>
      <c r="DR192" t="str">
        <f>""</f>
        <v/>
      </c>
      <c r="DS192">
        <f>59.98545266</f>
        <v>59.98545266</v>
      </c>
      <c r="DT192" t="str">
        <f>""</f>
        <v/>
      </c>
      <c r="DU192" t="str">
        <f>""</f>
        <v/>
      </c>
      <c r="DV192">
        <f>62.87814281</f>
        <v>62.87814281</v>
      </c>
      <c r="DW192" t="str">
        <f>""</f>
        <v/>
      </c>
      <c r="DX192" t="str">
        <f>""</f>
        <v/>
      </c>
      <c r="DY192">
        <f>62.78543341</f>
        <v>62.785433410000003</v>
      </c>
      <c r="DZ192" t="str">
        <f>""</f>
        <v/>
      </c>
      <c r="EA192" t="str">
        <f>""</f>
        <v/>
      </c>
      <c r="EB192">
        <f>66.73119074</f>
        <v>66.731190740000002</v>
      </c>
      <c r="EC192" t="str">
        <f>""</f>
        <v/>
      </c>
      <c r="ED192" t="str">
        <f>""</f>
        <v/>
      </c>
      <c r="EE192">
        <f>64.49226525</f>
        <v>64.492265250000003</v>
      </c>
      <c r="EF192" t="str">
        <f>""</f>
        <v/>
      </c>
      <c r="EG192" t="str">
        <f>""</f>
        <v/>
      </c>
      <c r="EH192">
        <f>60.01979467</f>
        <v>60.019794670000003</v>
      </c>
      <c r="EI192" t="str">
        <f>""</f>
        <v/>
      </c>
      <c r="EJ192" t="str">
        <f>""</f>
        <v/>
      </c>
      <c r="EK192">
        <f>66.71809511</f>
        <v>66.718095109999993</v>
      </c>
      <c r="EL192" t="str">
        <f>""</f>
        <v/>
      </c>
      <c r="EM192" t="str">
        <f>""</f>
        <v/>
      </c>
      <c r="EN192">
        <f>72.48264758</f>
        <v>72.482647580000005</v>
      </c>
      <c r="EO192" t="str">
        <f>""</f>
        <v/>
      </c>
      <c r="EP192" t="str">
        <f>""</f>
        <v/>
      </c>
      <c r="EQ192">
        <f>72.67092838</f>
        <v>72.670928380000007</v>
      </c>
      <c r="ER192" t="str">
        <f>""</f>
        <v/>
      </c>
      <c r="ES192" t="str">
        <f>""</f>
        <v/>
      </c>
      <c r="ET192">
        <f>68.55910817</f>
        <v>68.559108170000002</v>
      </c>
      <c r="EU192" t="str">
        <f>""</f>
        <v/>
      </c>
      <c r="EV192" t="str">
        <f>""</f>
        <v/>
      </c>
      <c r="EW192">
        <f>77.30340283</f>
        <v>77.303402829999996</v>
      </c>
      <c r="EX192" t="str">
        <f>""</f>
        <v/>
      </c>
      <c r="EY192" t="str">
        <f>""</f>
        <v/>
      </c>
      <c r="EZ192">
        <f>56.76086833</f>
        <v>56.760868330000001</v>
      </c>
      <c r="FA192" t="str">
        <f>""</f>
        <v/>
      </c>
      <c r="FB192" t="str">
        <f>""</f>
        <v/>
      </c>
      <c r="FC192">
        <f>70.48715336</f>
        <v>70.487153359999994</v>
      </c>
      <c r="FD192" t="str">
        <f>""</f>
        <v/>
      </c>
      <c r="FE192" t="str">
        <f>""</f>
        <v/>
      </c>
      <c r="FF192">
        <f>68.73657436</f>
        <v>68.736574360000006</v>
      </c>
      <c r="FG192" t="str">
        <f>""</f>
        <v/>
      </c>
      <c r="FH192" t="str">
        <f>""</f>
        <v/>
      </c>
      <c r="FI192">
        <f>89.10069938</f>
        <v>89.100699379999995</v>
      </c>
      <c r="FJ192" t="str">
        <f>""</f>
        <v/>
      </c>
      <c r="FK192" t="str">
        <f>""</f>
        <v/>
      </c>
      <c r="FL192">
        <f>83.86606742</f>
        <v>83.866067419999993</v>
      </c>
      <c r="FM192" t="str">
        <f>""</f>
        <v/>
      </c>
      <c r="FN192" t="str">
        <f>""</f>
        <v/>
      </c>
      <c r="FO192">
        <f>82.76946004</f>
        <v>82.769460039999998</v>
      </c>
      <c r="FP192" t="str">
        <f>""</f>
        <v/>
      </c>
      <c r="FQ192" t="str">
        <f>""</f>
        <v/>
      </c>
    </row>
    <row r="193" spans="1:173">
      <c r="A193" t="str">
        <f>"    Mid-America Apartment Communit"</f>
        <v xml:space="preserve">    Mid-America Apartment Communit</v>
      </c>
      <c r="B193" t="str">
        <f>"MAA US Equity"</f>
        <v>MAA US Equity</v>
      </c>
      <c r="C193" t="str">
        <f t="shared" si="60"/>
        <v>F0929</v>
      </c>
      <c r="D193" t="str">
        <f t="shared" si="61"/>
        <v>FUNDS_AVAIL_DIST_PAYOUT_RATIO</v>
      </c>
      <c r="E193" t="str">
        <f t="shared" si="62"/>
        <v>动态</v>
      </c>
      <c r="F193" t="str">
        <f ca="1">IF(AND(ISNUMBER($F$398),$B$252=1),$F$398,HLOOKUP(INDIRECT(ADDRESS(2,COLUMN())),OFFSET($CL$2,0,0,ROW()-1,84),ROW()-1,FALSE))</f>
        <v/>
      </c>
      <c r="G193" t="str">
        <f ca="1">IF(AND(ISNUMBER($G$398),$B$252=1),$G$398,HLOOKUP(INDIRECT(ADDRESS(2,COLUMN())),OFFSET($CL$2,0,0,ROW()-1,84),ROW()-1,FALSE))</f>
        <v/>
      </c>
      <c r="H193" t="str">
        <f ca="1">IF(AND(ISNUMBER($H$398),$B$252=1),$H$398,HLOOKUP(INDIRECT(ADDRESS(2,COLUMN())),OFFSET($CL$2,0,0,ROW()-1,84),ROW()-1,FALSE))</f>
        <v/>
      </c>
      <c r="I193">
        <f ca="1">IF(AND(ISNUMBER($I$398),$B$252=1),$I$398,HLOOKUP(INDIRECT(ADDRESS(2,COLUMN())),OFFSET($CL$2,0,0,ROW()-1,84),ROW()-1,FALSE))</f>
        <v>85.731115410000001</v>
      </c>
      <c r="J193" t="str">
        <f ca="1">IF(AND(ISNUMBER($J$398),$B$252=1),$J$398,HLOOKUP(INDIRECT(ADDRESS(2,COLUMN())),OFFSET($CL$2,0,0,ROW()-1,84),ROW()-1,FALSE))</f>
        <v/>
      </c>
      <c r="K193" t="str">
        <f ca="1">IF(AND(ISNUMBER($K$398),$B$252=1),$K$398,HLOOKUP(INDIRECT(ADDRESS(2,COLUMN())),OFFSET($CL$2,0,0,ROW()-1,84),ROW()-1,FALSE))</f>
        <v/>
      </c>
      <c r="L193">
        <f ca="1">IF(AND(ISNUMBER($L$398),$B$252=1),$L$398,HLOOKUP(INDIRECT(ADDRESS(2,COLUMN())),OFFSET($CL$2,0,0,ROW()-1,84),ROW()-1,FALSE))</f>
        <v>80.784392359999998</v>
      </c>
      <c r="M193" t="str">
        <f ca="1">IF(AND(ISNUMBER($M$398),$B$252=1),$M$398,HLOOKUP(INDIRECT(ADDRESS(2,COLUMN())),OFFSET($CL$2,0,0,ROW()-1,84),ROW()-1,FALSE))</f>
        <v/>
      </c>
      <c r="N193" t="str">
        <f ca="1">IF(AND(ISNUMBER($N$398),$B$252=1),$N$398,HLOOKUP(INDIRECT(ADDRESS(2,COLUMN())),OFFSET($CL$2,0,0,ROW()-1,84),ROW()-1,FALSE))</f>
        <v/>
      </c>
      <c r="O193">
        <f ca="1">IF(AND(ISNUMBER($O$398),$B$252=1),$O$398,HLOOKUP(INDIRECT(ADDRESS(2,COLUMN())),OFFSET($CL$2,0,0,ROW()-1,84),ROW()-1,FALSE))</f>
        <v>82.4340495</v>
      </c>
      <c r="P193" t="str">
        <f ca="1">IF(AND(ISNUMBER($P$398),$B$252=1),$P$398,HLOOKUP(INDIRECT(ADDRESS(2,COLUMN())),OFFSET($CL$2,0,0,ROW()-1,84),ROW()-1,FALSE))</f>
        <v/>
      </c>
      <c r="Q193" t="str">
        <f ca="1">IF(AND(ISNUMBER($Q$398),$B$252=1),$Q$398,HLOOKUP(INDIRECT(ADDRESS(2,COLUMN())),OFFSET($CL$2,0,0,ROW()-1,84),ROW()-1,FALSE))</f>
        <v/>
      </c>
      <c r="R193">
        <f ca="1">IF(AND(ISNUMBER($R$398),$B$252=1),$R$398,HLOOKUP(INDIRECT(ADDRESS(2,COLUMN())),OFFSET($CL$2,0,0,ROW()-1,84),ROW()-1,FALSE))</f>
        <v>70.595025379999996</v>
      </c>
      <c r="S193" t="str">
        <f ca="1">IF(AND(ISNUMBER($S$398),$B$252=1),$S$398,HLOOKUP(INDIRECT(ADDRESS(2,COLUMN())),OFFSET($CL$2,0,0,ROW()-1,84),ROW()-1,FALSE))</f>
        <v/>
      </c>
      <c r="T193" t="str">
        <f ca="1">IF(AND(ISNUMBER($T$398),$B$252=1),$T$398,HLOOKUP(INDIRECT(ADDRESS(2,COLUMN())),OFFSET($CL$2,0,0,ROW()-1,84),ROW()-1,FALSE))</f>
        <v/>
      </c>
      <c r="U193">
        <f ca="1">IF(AND(ISNUMBER($U$398),$B$252=1),$U$398,HLOOKUP(INDIRECT(ADDRESS(2,COLUMN())),OFFSET($CL$2,0,0,ROW()-1,84),ROW()-1,FALSE))</f>
        <v>101.1336884</v>
      </c>
      <c r="V193" t="str">
        <f ca="1">IF(AND(ISNUMBER($V$398),$B$252=1),$V$398,HLOOKUP(INDIRECT(ADDRESS(2,COLUMN())),OFFSET($CL$2,0,0,ROW()-1,84),ROW()-1,FALSE))</f>
        <v/>
      </c>
      <c r="W193" t="str">
        <f ca="1">IF(AND(ISNUMBER($W$398),$B$252=1),$W$398,HLOOKUP(INDIRECT(ADDRESS(2,COLUMN())),OFFSET($CL$2,0,0,ROW()-1,84),ROW()-1,FALSE))</f>
        <v/>
      </c>
      <c r="X193">
        <f ca="1">IF(AND(ISNUMBER($X$398),$B$252=1),$X$398,HLOOKUP(INDIRECT(ADDRESS(2,COLUMN())),OFFSET($CL$2,0,0,ROW()-1,84),ROW()-1,FALSE))</f>
        <v>78.259604330000002</v>
      </c>
      <c r="Y193" t="str">
        <f ca="1">IF(AND(ISNUMBER($Y$398),$B$252=1),$Y$398,HLOOKUP(INDIRECT(ADDRESS(2,COLUMN())),OFFSET($CL$2,0,0,ROW()-1,84),ROW()-1,FALSE))</f>
        <v/>
      </c>
      <c r="Z193" t="str">
        <f ca="1">IF(AND(ISNUMBER($Z$398),$B$252=1),$Z$398,HLOOKUP(INDIRECT(ADDRESS(2,COLUMN())),OFFSET($CL$2,0,0,ROW()-1,84),ROW()-1,FALSE))</f>
        <v/>
      </c>
      <c r="AA193">
        <f ca="1">IF(AND(ISNUMBER($AA$398),$B$252=1),$AA$398,HLOOKUP(INDIRECT(ADDRESS(2,COLUMN())),OFFSET($CL$2,0,0,ROW()-1,84),ROW()-1,FALSE))</f>
        <v>79.745247469999995</v>
      </c>
      <c r="AB193" t="str">
        <f ca="1">IF(AND(ISNUMBER($AB$398),$B$252=1),$AB$398,HLOOKUP(INDIRECT(ADDRESS(2,COLUMN())),OFFSET($CL$2,0,0,ROW()-1,84),ROW()-1,FALSE))</f>
        <v/>
      </c>
      <c r="AC193" t="str">
        <f ca="1">IF(AND(ISNUMBER($AC$398),$B$252=1),$AC$398,HLOOKUP(INDIRECT(ADDRESS(2,COLUMN())),OFFSET($CL$2,0,0,ROW()-1,84),ROW()-1,FALSE))</f>
        <v/>
      </c>
      <c r="AD193">
        <f ca="1">IF(AND(ISNUMBER($AD$398),$B$252=1),$AD$398,HLOOKUP(INDIRECT(ADDRESS(2,COLUMN())),OFFSET($CL$2,0,0,ROW()-1,84),ROW()-1,FALSE))</f>
        <v>72.846392469999998</v>
      </c>
      <c r="AE193" t="str">
        <f ca="1">IF(AND(ISNUMBER($AE$398),$B$252=1),$AE$398,HLOOKUP(INDIRECT(ADDRESS(2,COLUMN())),OFFSET($CL$2,0,0,ROW()-1,84),ROW()-1,FALSE))</f>
        <v/>
      </c>
      <c r="AF193" t="str">
        <f ca="1">IF(AND(ISNUMBER($AF$398),$B$252=1),$AF$398,HLOOKUP(INDIRECT(ADDRESS(2,COLUMN())),OFFSET($CL$2,0,0,ROW()-1,84),ROW()-1,FALSE))</f>
        <v/>
      </c>
      <c r="AG193">
        <f ca="1">IF(AND(ISNUMBER($AG$398),$B$252=1),$AG$398,HLOOKUP(INDIRECT(ADDRESS(2,COLUMN())),OFFSET($CL$2,0,0,ROW()-1,84),ROW()-1,FALSE))</f>
        <v>73.381331529999997</v>
      </c>
      <c r="AH193" t="str">
        <f ca="1">IF(AND(ISNUMBER($AH$398),$B$252=1),$AH$398,HLOOKUP(INDIRECT(ADDRESS(2,COLUMN())),OFFSET($CL$2,0,0,ROW()-1,84),ROW()-1,FALSE))</f>
        <v/>
      </c>
      <c r="AI193" t="str">
        <f ca="1">IF(AND(ISNUMBER($AI$398),$B$252=1),$AI$398,HLOOKUP(INDIRECT(ADDRESS(2,COLUMN())),OFFSET($CL$2,0,0,ROW()-1,84),ROW()-1,FALSE))</f>
        <v/>
      </c>
      <c r="AJ193">
        <f ca="1">IF(AND(ISNUMBER($AJ$398),$B$252=1),$AJ$398,HLOOKUP(INDIRECT(ADDRESS(2,COLUMN())),OFFSET($CL$2,0,0,ROW()-1,84),ROW()-1,FALSE))</f>
        <v>84.837755130000005</v>
      </c>
      <c r="AK193" t="str">
        <f ca="1">IF(AND(ISNUMBER($AK$398),$B$252=1),$AK$398,HLOOKUP(INDIRECT(ADDRESS(2,COLUMN())),OFFSET($CL$2,0,0,ROW()-1,84),ROW()-1,FALSE))</f>
        <v/>
      </c>
      <c r="AL193" t="str">
        <f ca="1">IF(AND(ISNUMBER($AL$398),$B$252=1),$AL$398,HLOOKUP(INDIRECT(ADDRESS(2,COLUMN())),OFFSET($CL$2,0,0,ROW()-1,84),ROW()-1,FALSE))</f>
        <v/>
      </c>
      <c r="AM193">
        <f ca="1">IF(AND(ISNUMBER($AM$398),$B$252=1),$AM$398,HLOOKUP(INDIRECT(ADDRESS(2,COLUMN())),OFFSET($CL$2,0,0,ROW()-1,84),ROW()-1,FALSE))</f>
        <v>71.177206960000007</v>
      </c>
      <c r="AN193" t="str">
        <f ca="1">IF(AND(ISNUMBER($AN$398),$B$252=1),$AN$398,HLOOKUP(INDIRECT(ADDRESS(2,COLUMN())),OFFSET($CL$2,0,0,ROW()-1,84),ROW()-1,FALSE))</f>
        <v/>
      </c>
      <c r="AO193" t="str">
        <f ca="1">IF(AND(ISNUMBER($AO$398),$B$252=1),$AO$398,HLOOKUP(INDIRECT(ADDRESS(2,COLUMN())),OFFSET($CL$2,0,0,ROW()-1,84),ROW()-1,FALSE))</f>
        <v/>
      </c>
      <c r="AP193">
        <f ca="1">IF(AND(ISNUMBER($AP$398),$B$252=1),$AP$398,HLOOKUP(INDIRECT(ADDRESS(2,COLUMN())),OFFSET($CL$2,0,0,ROW()-1,84),ROW()-1,FALSE))</f>
        <v>76.129602689999999</v>
      </c>
      <c r="AQ193" t="str">
        <f ca="1">IF(AND(ISNUMBER($AQ$398),$B$252=1),$AQ$398,HLOOKUP(INDIRECT(ADDRESS(2,COLUMN())),OFFSET($CL$2,0,0,ROW()-1,84),ROW()-1,FALSE))</f>
        <v/>
      </c>
      <c r="AR193" t="str">
        <f ca="1">IF(AND(ISNUMBER($AR$398),$B$252=1),$AR$398,HLOOKUP(INDIRECT(ADDRESS(2,COLUMN())),OFFSET($CL$2,0,0,ROW()-1,84),ROW()-1,FALSE))</f>
        <v/>
      </c>
      <c r="AS193">
        <f ca="1">IF(AND(ISNUMBER($AS$398),$B$252=1),$AS$398,HLOOKUP(INDIRECT(ADDRESS(2,COLUMN())),OFFSET($CL$2,0,0,ROW()-1,84),ROW()-1,FALSE))</f>
        <v>65.480490149999994</v>
      </c>
      <c r="AT193" t="str">
        <f ca="1">IF(AND(ISNUMBER($AT$398),$B$252=1),$AT$398,HLOOKUP(INDIRECT(ADDRESS(2,COLUMN())),OFFSET($CL$2,0,0,ROW()-1,84),ROW()-1,FALSE))</f>
        <v/>
      </c>
      <c r="AU193" t="str">
        <f ca="1">IF(AND(ISNUMBER($AU$398),$B$252=1),$AU$398,HLOOKUP(INDIRECT(ADDRESS(2,COLUMN())),OFFSET($CL$2,0,0,ROW()-1,84),ROW()-1,FALSE))</f>
        <v/>
      </c>
      <c r="AV193">
        <f ca="1">IF(AND(ISNUMBER($AV$398),$B$252=1),$AV$398,HLOOKUP(INDIRECT(ADDRESS(2,COLUMN())),OFFSET($CL$2,0,0,ROW()-1,84),ROW()-1,FALSE))</f>
        <v>70.391717659999998</v>
      </c>
      <c r="AW193" t="str">
        <f ca="1">IF(AND(ISNUMBER($AW$398),$B$252=1),$AW$398,HLOOKUP(INDIRECT(ADDRESS(2,COLUMN())),OFFSET($CL$2,0,0,ROW()-1,84),ROW()-1,FALSE))</f>
        <v/>
      </c>
      <c r="AX193" t="str">
        <f ca="1">IF(AND(ISNUMBER($AX$398),$B$252=1),$AX$398,HLOOKUP(INDIRECT(ADDRESS(2,COLUMN())),OFFSET($CL$2,0,0,ROW()-1,84),ROW()-1,FALSE))</f>
        <v/>
      </c>
      <c r="AY193">
        <f ca="1">IF(AND(ISNUMBER($AY$398),$B$252=1),$AY$398,HLOOKUP(INDIRECT(ADDRESS(2,COLUMN())),OFFSET($CL$2,0,0,ROW()-1,84),ROW()-1,FALSE))</f>
        <v>77.996216410000002</v>
      </c>
      <c r="AZ193" t="str">
        <f ca="1">IF(AND(ISNUMBER($AZ$398),$B$252=1),$AZ$398,HLOOKUP(INDIRECT(ADDRESS(2,COLUMN())),OFFSET($CL$2,0,0,ROW()-1,84),ROW()-1,FALSE))</f>
        <v/>
      </c>
      <c r="BA193" t="str">
        <f ca="1">IF(AND(ISNUMBER($BA$398),$B$252=1),$BA$398,HLOOKUP(INDIRECT(ADDRESS(2,COLUMN())),OFFSET($CL$2,0,0,ROW()-1,84),ROW()-1,FALSE))</f>
        <v/>
      </c>
      <c r="BB193">
        <f ca="1">IF(AND(ISNUMBER($BB$398),$B$252=1),$BB$398,HLOOKUP(INDIRECT(ADDRESS(2,COLUMN())),OFFSET($CL$2,0,0,ROW()-1,84),ROW()-1,FALSE))</f>
        <v>64.598371639999996</v>
      </c>
      <c r="BC193" t="str">
        <f ca="1">IF(AND(ISNUMBER($BC$398),$B$252=1),$BC$398,HLOOKUP(INDIRECT(ADDRESS(2,COLUMN())),OFFSET($CL$2,0,0,ROW()-1,84),ROW()-1,FALSE))</f>
        <v/>
      </c>
      <c r="BD193" t="str">
        <f ca="1">IF(AND(ISNUMBER($BD$398),$B$252=1),$BD$398,HLOOKUP(INDIRECT(ADDRESS(2,COLUMN())),OFFSET($CL$2,0,0,ROW()-1,84),ROW()-1,FALSE))</f>
        <v/>
      </c>
      <c r="BE193">
        <f ca="1">IF(AND(ISNUMBER($BE$398),$B$252=1),$BE$398,HLOOKUP(INDIRECT(ADDRESS(2,COLUMN())),OFFSET($CL$2,0,0,ROW()-1,84),ROW()-1,FALSE))</f>
        <v>75.091491959999999</v>
      </c>
      <c r="BF193" t="str">
        <f ca="1">IF(AND(ISNUMBER($BF$398),$B$252=1),$BF$398,HLOOKUP(INDIRECT(ADDRESS(2,COLUMN())),OFFSET($CL$2,0,0,ROW()-1,84),ROW()-1,FALSE))</f>
        <v/>
      </c>
      <c r="BG193" t="str">
        <f ca="1">IF(AND(ISNUMBER($BG$398),$B$252=1),$BG$398,HLOOKUP(INDIRECT(ADDRESS(2,COLUMN())),OFFSET($CL$2,0,0,ROW()-1,84),ROW()-1,FALSE))</f>
        <v/>
      </c>
      <c r="BH193">
        <f ca="1">IF(AND(ISNUMBER($BH$398),$B$252=1),$BH$398,HLOOKUP(INDIRECT(ADDRESS(2,COLUMN())),OFFSET($CL$2,0,0,ROW()-1,84),ROW()-1,FALSE))</f>
        <v>64.561134910000007</v>
      </c>
      <c r="BI193" t="str">
        <f ca="1">IF(AND(ISNUMBER($BI$398),$B$252=1),$BI$398,HLOOKUP(INDIRECT(ADDRESS(2,COLUMN())),OFFSET($CL$2,0,0,ROW()-1,84),ROW()-1,FALSE))</f>
        <v/>
      </c>
      <c r="BJ193" t="str">
        <f ca="1">IF(AND(ISNUMBER($BJ$398),$B$252=1),$BJ$398,HLOOKUP(INDIRECT(ADDRESS(2,COLUMN())),OFFSET($CL$2,0,0,ROW()-1,84),ROW()-1,FALSE))</f>
        <v/>
      </c>
      <c r="BK193">
        <f ca="1">IF(AND(ISNUMBER($BK$398),$B$252=1),$BK$398,HLOOKUP(INDIRECT(ADDRESS(2,COLUMN())),OFFSET($CL$2,0,0,ROW()-1,84),ROW()-1,FALSE))</f>
        <v>66.224256980000007</v>
      </c>
      <c r="BL193" t="str">
        <f ca="1">IF(AND(ISNUMBER($BL$398),$B$252=1),$BL$398,HLOOKUP(INDIRECT(ADDRESS(2,COLUMN())),OFFSET($CL$2,0,0,ROW()-1,84),ROW()-1,FALSE))</f>
        <v/>
      </c>
      <c r="BM193" t="str">
        <f ca="1">IF(AND(ISNUMBER($BM$398),$B$252=1),$BM$398,HLOOKUP(INDIRECT(ADDRESS(2,COLUMN())),OFFSET($CL$2,0,0,ROW()-1,84),ROW()-1,FALSE))</f>
        <v/>
      </c>
      <c r="BN193">
        <f ca="1">IF(AND(ISNUMBER($BN$398),$B$252=1),$BN$398,HLOOKUP(INDIRECT(ADDRESS(2,COLUMN())),OFFSET($CL$2,0,0,ROW()-1,84),ROW()-1,FALSE))</f>
        <v>61.903191640000003</v>
      </c>
      <c r="BO193" t="str">
        <f ca="1">IF(AND(ISNUMBER($BO$398),$B$252=1),$BO$398,HLOOKUP(INDIRECT(ADDRESS(2,COLUMN())),OFFSET($CL$2,0,0,ROW()-1,84),ROW()-1,FALSE))</f>
        <v/>
      </c>
      <c r="BP193" t="str">
        <f ca="1">IF(AND(ISNUMBER($BP$398),$B$252=1),$BP$398,HLOOKUP(INDIRECT(ADDRESS(2,COLUMN())),OFFSET($CL$2,0,0,ROW()-1,84),ROW()-1,FALSE))</f>
        <v/>
      </c>
      <c r="BQ193">
        <f ca="1">IF(AND(ISNUMBER($BQ$398),$B$252=1),$BQ$398,HLOOKUP(INDIRECT(ADDRESS(2,COLUMN())),OFFSET($CL$2,0,0,ROW()-1,84),ROW()-1,FALSE))</f>
        <v>762.7161724</v>
      </c>
      <c r="BR193" t="str">
        <f ca="1">IF(AND(ISNUMBER($BR$398),$B$252=1),$BR$398,HLOOKUP(INDIRECT(ADDRESS(2,COLUMN())),OFFSET($CL$2,0,0,ROW()-1,84),ROW()-1,FALSE))</f>
        <v/>
      </c>
      <c r="BS193" t="str">
        <f ca="1">IF(AND(ISNUMBER($BS$398),$B$252=1),$BS$398,HLOOKUP(INDIRECT(ADDRESS(2,COLUMN())),OFFSET($CL$2,0,0,ROW()-1,84),ROW()-1,FALSE))</f>
        <v/>
      </c>
      <c r="BT193">
        <f ca="1">IF(AND(ISNUMBER($BT$398),$B$252=1),$BT$398,HLOOKUP(INDIRECT(ADDRESS(2,COLUMN())),OFFSET($CL$2,0,0,ROW()-1,84),ROW()-1,FALSE))</f>
        <v>65.906982119999995</v>
      </c>
      <c r="BU193" t="str">
        <f ca="1">IF(AND(ISNUMBER($BU$398),$B$252=1),$BU$398,HLOOKUP(INDIRECT(ADDRESS(2,COLUMN())),OFFSET($CL$2,0,0,ROW()-1,84),ROW()-1,FALSE))</f>
        <v/>
      </c>
      <c r="BV193" t="str">
        <f ca="1">IF(AND(ISNUMBER($BV$398),$B$252=1),$BV$398,HLOOKUP(INDIRECT(ADDRESS(2,COLUMN())),OFFSET($CL$2,0,0,ROW()-1,84),ROW()-1,FALSE))</f>
        <v/>
      </c>
      <c r="BW193">
        <f ca="1">IF(AND(ISNUMBER($BW$398),$B$252=1),$BW$398,HLOOKUP(INDIRECT(ADDRESS(2,COLUMN())),OFFSET($CL$2,0,0,ROW()-1,84),ROW()-1,FALSE))</f>
        <v>72.749614480000005</v>
      </c>
      <c r="BX193" t="str">
        <f ca="1">IF(AND(ISNUMBER($BX$398),$B$252=1),$BX$398,HLOOKUP(INDIRECT(ADDRESS(2,COLUMN())),OFFSET($CL$2,0,0,ROW()-1,84),ROW()-1,FALSE))</f>
        <v/>
      </c>
      <c r="BY193" t="str">
        <f ca="1">IF(AND(ISNUMBER($BY$398),$B$252=1),$BY$398,HLOOKUP(INDIRECT(ADDRESS(2,COLUMN())),OFFSET($CL$2,0,0,ROW()-1,84),ROW()-1,FALSE))</f>
        <v/>
      </c>
      <c r="BZ193">
        <f ca="1">IF(AND(ISNUMBER($BZ$398),$B$252=1),$BZ$398,HLOOKUP(INDIRECT(ADDRESS(2,COLUMN())),OFFSET($CL$2,0,0,ROW()-1,84),ROW()-1,FALSE))</f>
        <v>70.49332819</v>
      </c>
      <c r="CA193" t="str">
        <f ca="1">IF(AND(ISNUMBER($CA$398),$B$252=1),$CA$398,HLOOKUP(INDIRECT(ADDRESS(2,COLUMN())),OFFSET($CL$2,0,0,ROW()-1,84),ROW()-1,FALSE))</f>
        <v/>
      </c>
      <c r="CB193" t="str">
        <f ca="1">IF(AND(ISNUMBER($CB$398),$B$252=1),$CB$398,HLOOKUP(INDIRECT(ADDRESS(2,COLUMN())),OFFSET($CL$2,0,0,ROW()-1,84),ROW()-1,FALSE))</f>
        <v/>
      </c>
      <c r="CC193">
        <f ca="1">IF(AND(ISNUMBER($CC$398),$B$252=1),$CC$398,HLOOKUP(INDIRECT(ADDRESS(2,COLUMN())),OFFSET($CL$2,0,0,ROW()-1,84),ROW()-1,FALSE))</f>
        <v>64.38307854</v>
      </c>
      <c r="CD193" t="str">
        <f ca="1">IF(AND(ISNUMBER($CD$398),$B$252=1),$CD$398,HLOOKUP(INDIRECT(ADDRESS(2,COLUMN())),OFFSET($CL$2,0,0,ROW()-1,84),ROW()-1,FALSE))</f>
        <v/>
      </c>
      <c r="CE193" t="str">
        <f ca="1">IF(AND(ISNUMBER($CE$398),$B$252=1),$CE$398,HLOOKUP(INDIRECT(ADDRESS(2,COLUMN())),OFFSET($CL$2,0,0,ROW()-1,84),ROW()-1,FALSE))</f>
        <v/>
      </c>
      <c r="CF193">
        <f ca="1">IF(AND(ISNUMBER($CF$398),$B$252=1),$CF$398,HLOOKUP(INDIRECT(ADDRESS(2,COLUMN())),OFFSET($CL$2,0,0,ROW()-1,84),ROW()-1,FALSE))</f>
        <v>76.903826359999996</v>
      </c>
      <c r="CG193" t="str">
        <f ca="1">IF(AND(ISNUMBER($CG$398),$B$252=1),$CG$398,HLOOKUP(INDIRECT(ADDRESS(2,COLUMN())),OFFSET($CL$2,0,0,ROW()-1,84),ROW()-1,FALSE))</f>
        <v/>
      </c>
      <c r="CH193" t="str">
        <f ca="1">IF(AND(ISNUMBER($CH$398),$B$252=1),$CH$398,HLOOKUP(INDIRECT(ADDRESS(2,COLUMN())),OFFSET($CL$2,0,0,ROW()-1,84),ROW()-1,FALSE))</f>
        <v/>
      </c>
      <c r="CI193">
        <f ca="1">IF(AND(ISNUMBER($CI$398),$B$252=1),$CI$398,HLOOKUP(INDIRECT(ADDRESS(2,COLUMN())),OFFSET($CL$2,0,0,ROW()-1,84),ROW()-1,FALSE))</f>
        <v>91.575803309999998</v>
      </c>
      <c r="CJ193" t="str">
        <f ca="1">IF(AND(ISNUMBER($CJ$398),$B$252=1),$CJ$398,HLOOKUP(INDIRECT(ADDRESS(2,COLUMN())),OFFSET($CL$2,0,0,ROW()-1,84),ROW()-1,FALSE))</f>
        <v/>
      </c>
      <c r="CK193" t="str">
        <f ca="1">IF(AND(ISNUMBER($CK$398),$B$252=1),$CK$398,HLOOKUP(INDIRECT(ADDRESS(2,COLUMN())),OFFSET($CL$2,0,0,ROW()-1,84),ROW()-1,FALSE))</f>
        <v/>
      </c>
      <c r="CL193" t="str">
        <f>""</f>
        <v/>
      </c>
      <c r="CM193" t="str">
        <f>""</f>
        <v/>
      </c>
      <c r="CN193" t="str">
        <f>""</f>
        <v/>
      </c>
      <c r="CO193">
        <f>85.73111541</f>
        <v>85.731115410000001</v>
      </c>
      <c r="CP193" t="str">
        <f>""</f>
        <v/>
      </c>
      <c r="CQ193" t="str">
        <f>""</f>
        <v/>
      </c>
      <c r="CR193">
        <f>80.78439236</f>
        <v>80.784392359999998</v>
      </c>
      <c r="CS193" t="str">
        <f>""</f>
        <v/>
      </c>
      <c r="CT193" t="str">
        <f>""</f>
        <v/>
      </c>
      <c r="CU193">
        <f>82.4340495</f>
        <v>82.4340495</v>
      </c>
      <c r="CV193" t="str">
        <f>""</f>
        <v/>
      </c>
      <c r="CW193" t="str">
        <f>""</f>
        <v/>
      </c>
      <c r="CX193">
        <f>70.59502538</f>
        <v>70.595025379999996</v>
      </c>
      <c r="CY193" t="str">
        <f>""</f>
        <v/>
      </c>
      <c r="CZ193" t="str">
        <f>""</f>
        <v/>
      </c>
      <c r="DA193">
        <f>101.1336884</f>
        <v>101.1336884</v>
      </c>
      <c r="DB193" t="str">
        <f>""</f>
        <v/>
      </c>
      <c r="DC193" t="str">
        <f>""</f>
        <v/>
      </c>
      <c r="DD193">
        <f>78.25960433</f>
        <v>78.259604330000002</v>
      </c>
      <c r="DE193" t="str">
        <f>""</f>
        <v/>
      </c>
      <c r="DF193" t="str">
        <f>""</f>
        <v/>
      </c>
      <c r="DG193">
        <f>79.74524747</f>
        <v>79.745247469999995</v>
      </c>
      <c r="DH193" t="str">
        <f>""</f>
        <v/>
      </c>
      <c r="DI193" t="str">
        <f>""</f>
        <v/>
      </c>
      <c r="DJ193">
        <f>72.84639247</f>
        <v>72.846392469999998</v>
      </c>
      <c r="DK193" t="str">
        <f>""</f>
        <v/>
      </c>
      <c r="DL193" t="str">
        <f>""</f>
        <v/>
      </c>
      <c r="DM193">
        <f>73.38133153</f>
        <v>73.381331529999997</v>
      </c>
      <c r="DN193" t="str">
        <f>""</f>
        <v/>
      </c>
      <c r="DO193" t="str">
        <f>""</f>
        <v/>
      </c>
      <c r="DP193">
        <f>84.83775513</f>
        <v>84.837755130000005</v>
      </c>
      <c r="DQ193" t="str">
        <f>""</f>
        <v/>
      </c>
      <c r="DR193" t="str">
        <f>""</f>
        <v/>
      </c>
      <c r="DS193">
        <f>71.17720696</f>
        <v>71.177206960000007</v>
      </c>
      <c r="DT193" t="str">
        <f>""</f>
        <v/>
      </c>
      <c r="DU193" t="str">
        <f>""</f>
        <v/>
      </c>
      <c r="DV193">
        <f>76.12960269</f>
        <v>76.129602689999999</v>
      </c>
      <c r="DW193" t="str">
        <f>""</f>
        <v/>
      </c>
      <c r="DX193" t="str">
        <f>""</f>
        <v/>
      </c>
      <c r="DY193">
        <f>65.48049015</f>
        <v>65.480490149999994</v>
      </c>
      <c r="DZ193" t="str">
        <f>""</f>
        <v/>
      </c>
      <c r="EA193" t="str">
        <f>""</f>
        <v/>
      </c>
      <c r="EB193">
        <f>70.39171766</f>
        <v>70.391717659999998</v>
      </c>
      <c r="EC193" t="str">
        <f>""</f>
        <v/>
      </c>
      <c r="ED193" t="str">
        <f>""</f>
        <v/>
      </c>
      <c r="EE193">
        <f>77.99621641</f>
        <v>77.996216410000002</v>
      </c>
      <c r="EF193" t="str">
        <f>""</f>
        <v/>
      </c>
      <c r="EG193" t="str">
        <f>""</f>
        <v/>
      </c>
      <c r="EH193">
        <f>64.59837164</f>
        <v>64.598371639999996</v>
      </c>
      <c r="EI193" t="str">
        <f>""</f>
        <v/>
      </c>
      <c r="EJ193" t="str">
        <f>""</f>
        <v/>
      </c>
      <c r="EK193">
        <f>75.09149196</f>
        <v>75.091491959999999</v>
      </c>
      <c r="EL193" t="str">
        <f>""</f>
        <v/>
      </c>
      <c r="EM193" t="str">
        <f>""</f>
        <v/>
      </c>
      <c r="EN193">
        <f>64.56113491</f>
        <v>64.561134910000007</v>
      </c>
      <c r="EO193" t="str">
        <f>""</f>
        <v/>
      </c>
      <c r="EP193" t="str">
        <f>""</f>
        <v/>
      </c>
      <c r="EQ193">
        <f>66.22425698</f>
        <v>66.224256980000007</v>
      </c>
      <c r="ER193" t="str">
        <f>""</f>
        <v/>
      </c>
      <c r="ES193" t="str">
        <f>""</f>
        <v/>
      </c>
      <c r="ET193">
        <f>61.90319164</f>
        <v>61.903191640000003</v>
      </c>
      <c r="EU193" t="str">
        <f>""</f>
        <v/>
      </c>
      <c r="EV193" t="str">
        <f>""</f>
        <v/>
      </c>
      <c r="EW193">
        <f>762.7161724</f>
        <v>762.7161724</v>
      </c>
      <c r="EX193" t="str">
        <f>""</f>
        <v/>
      </c>
      <c r="EY193" t="str">
        <f>""</f>
        <v/>
      </c>
      <c r="EZ193">
        <f>65.90698212</f>
        <v>65.906982119999995</v>
      </c>
      <c r="FA193" t="str">
        <f>""</f>
        <v/>
      </c>
      <c r="FB193" t="str">
        <f>""</f>
        <v/>
      </c>
      <c r="FC193">
        <f>72.74961448</f>
        <v>72.749614480000005</v>
      </c>
      <c r="FD193" t="str">
        <f>""</f>
        <v/>
      </c>
      <c r="FE193" t="str">
        <f>""</f>
        <v/>
      </c>
      <c r="FF193">
        <f>70.49332819</f>
        <v>70.49332819</v>
      </c>
      <c r="FG193" t="str">
        <f>""</f>
        <v/>
      </c>
      <c r="FH193" t="str">
        <f>""</f>
        <v/>
      </c>
      <c r="FI193">
        <f>64.38307854</f>
        <v>64.38307854</v>
      </c>
      <c r="FJ193" t="str">
        <f>""</f>
        <v/>
      </c>
      <c r="FK193" t="str">
        <f>""</f>
        <v/>
      </c>
      <c r="FL193">
        <f>76.90382636</f>
        <v>76.903826359999996</v>
      </c>
      <c r="FM193" t="str">
        <f>""</f>
        <v/>
      </c>
      <c r="FN193" t="str">
        <f>""</f>
        <v/>
      </c>
      <c r="FO193">
        <f>91.57580331</f>
        <v>91.575803309999998</v>
      </c>
      <c r="FP193" t="str">
        <f>""</f>
        <v/>
      </c>
      <c r="FQ193" t="str">
        <f>""</f>
        <v/>
      </c>
    </row>
    <row r="194" spans="1:173">
      <c r="A194" t="str">
        <f>"    Monogram Residential Trust Inc"</f>
        <v xml:space="preserve">    Monogram Residential Trust Inc</v>
      </c>
      <c r="B194" t="str">
        <f>"MORE US Equity"</f>
        <v>MORE US Equity</v>
      </c>
      <c r="C194" t="str">
        <f t="shared" si="60"/>
        <v>F0929</v>
      </c>
      <c r="D194" t="str">
        <f t="shared" si="61"/>
        <v>FUNDS_AVAIL_DIST_PAYOUT_RATIO</v>
      </c>
      <c r="E194" t="str">
        <f t="shared" si="62"/>
        <v>动态</v>
      </c>
      <c r="F194" t="str">
        <f ca="1">IF(AND(ISNUMBER($F$399),$B$252=1),$F$399,HLOOKUP(INDIRECT(ADDRESS(2,COLUMN())),OFFSET($CL$2,0,0,ROW()-1,84),ROW()-1,FALSE))</f>
        <v/>
      </c>
      <c r="G194" t="str">
        <f ca="1">IF(AND(ISNUMBER($G$399),$B$252=1),$G$399,HLOOKUP(INDIRECT(ADDRESS(2,COLUMN())),OFFSET($CL$2,0,0,ROW()-1,84),ROW()-1,FALSE))</f>
        <v/>
      </c>
      <c r="H194" t="str">
        <f ca="1">IF(AND(ISNUMBER($H$399),$B$252=1),$H$399,HLOOKUP(INDIRECT(ADDRESS(2,COLUMN())),OFFSET($CL$2,0,0,ROW()-1,84),ROW()-1,FALSE))</f>
        <v/>
      </c>
      <c r="I194" t="str">
        <f ca="1">IF(AND(ISNUMBER($I$399),$B$252=1),$I$399,HLOOKUP(INDIRECT(ADDRESS(2,COLUMN())),OFFSET($CL$2,0,0,ROW()-1,84),ROW()-1,FALSE))</f>
        <v/>
      </c>
      <c r="J194" t="str">
        <f ca="1">IF(AND(ISNUMBER($J$399),$B$252=1),$J$399,HLOOKUP(INDIRECT(ADDRESS(2,COLUMN())),OFFSET($CL$2,0,0,ROW()-1,84),ROW()-1,FALSE))</f>
        <v/>
      </c>
      <c r="K194" t="str">
        <f ca="1">IF(AND(ISNUMBER($K$399),$B$252=1),$K$399,HLOOKUP(INDIRECT(ADDRESS(2,COLUMN())),OFFSET($CL$2,0,0,ROW()-1,84),ROW()-1,FALSE))</f>
        <v/>
      </c>
      <c r="L194" t="str">
        <f ca="1">IF(AND(ISNUMBER($L$399),$B$252=1),$L$399,HLOOKUP(INDIRECT(ADDRESS(2,COLUMN())),OFFSET($CL$2,0,0,ROW()-1,84),ROW()-1,FALSE))</f>
        <v/>
      </c>
      <c r="M194" t="str">
        <f ca="1">IF(AND(ISNUMBER($M$399),$B$252=1),$M$399,HLOOKUP(INDIRECT(ADDRESS(2,COLUMN())),OFFSET($CL$2,0,0,ROW()-1,84),ROW()-1,FALSE))</f>
        <v/>
      </c>
      <c r="N194" t="str">
        <f ca="1">IF(AND(ISNUMBER($N$399),$B$252=1),$N$399,HLOOKUP(INDIRECT(ADDRESS(2,COLUMN())),OFFSET($CL$2,0,0,ROW()-1,84),ROW()-1,FALSE))</f>
        <v/>
      </c>
      <c r="O194">
        <f ca="1">IF(AND(ISNUMBER($O$399),$B$252=1),$O$399,HLOOKUP(INDIRECT(ADDRESS(2,COLUMN())),OFFSET($CL$2,0,0,ROW()-1,84),ROW()-1,FALSE))</f>
        <v>87.982982280000002</v>
      </c>
      <c r="P194" t="str">
        <f ca="1">IF(AND(ISNUMBER($P$399),$B$252=1),$P$399,HLOOKUP(INDIRECT(ADDRESS(2,COLUMN())),OFFSET($CL$2,0,0,ROW()-1,84),ROW()-1,FALSE))</f>
        <v/>
      </c>
      <c r="Q194" t="str">
        <f ca="1">IF(AND(ISNUMBER($Q$399),$B$252=1),$Q$399,HLOOKUP(INDIRECT(ADDRESS(2,COLUMN())),OFFSET($CL$2,0,0,ROW()-1,84),ROW()-1,FALSE))</f>
        <v/>
      </c>
      <c r="R194">
        <f ca="1">IF(AND(ISNUMBER($R$399),$B$252=1),$R$399,HLOOKUP(INDIRECT(ADDRESS(2,COLUMN())),OFFSET($CL$2,0,0,ROW()-1,84),ROW()-1,FALSE))</f>
        <v>108.3419421</v>
      </c>
      <c r="S194" t="str">
        <f ca="1">IF(AND(ISNUMBER($S$399),$B$252=1),$S$399,HLOOKUP(INDIRECT(ADDRESS(2,COLUMN())),OFFSET($CL$2,0,0,ROW()-1,84),ROW()-1,FALSE))</f>
        <v/>
      </c>
      <c r="T194" t="str">
        <f ca="1">IF(AND(ISNUMBER($T$399),$B$252=1),$T$399,HLOOKUP(INDIRECT(ADDRESS(2,COLUMN())),OFFSET($CL$2,0,0,ROW()-1,84),ROW()-1,FALSE))</f>
        <v/>
      </c>
      <c r="U194">
        <f ca="1">IF(AND(ISNUMBER($U$399),$B$252=1),$U$399,HLOOKUP(INDIRECT(ADDRESS(2,COLUMN())),OFFSET($CL$2,0,0,ROW()-1,84),ROW()-1,FALSE))</f>
        <v>63.56857591</v>
      </c>
      <c r="V194" t="str">
        <f ca="1">IF(AND(ISNUMBER($V$399),$B$252=1),$V$399,HLOOKUP(INDIRECT(ADDRESS(2,COLUMN())),OFFSET($CL$2,0,0,ROW()-1,84),ROW()-1,FALSE))</f>
        <v/>
      </c>
      <c r="W194" t="str">
        <f ca="1">IF(AND(ISNUMBER($W$399),$B$252=1),$W$399,HLOOKUP(INDIRECT(ADDRESS(2,COLUMN())),OFFSET($CL$2,0,0,ROW()-1,84),ROW()-1,FALSE))</f>
        <v/>
      </c>
      <c r="X194">
        <f ca="1">IF(AND(ISNUMBER($X$399),$B$252=1),$X$399,HLOOKUP(INDIRECT(ADDRESS(2,COLUMN())),OFFSET($CL$2,0,0,ROW()-1,84),ROW()-1,FALSE))</f>
        <v>76.130267619999998</v>
      </c>
      <c r="Y194" t="str">
        <f ca="1">IF(AND(ISNUMBER($Y$399),$B$252=1),$Y$399,HLOOKUP(INDIRECT(ADDRESS(2,COLUMN())),OFFSET($CL$2,0,0,ROW()-1,84),ROW()-1,FALSE))</f>
        <v/>
      </c>
      <c r="Z194" t="str">
        <f ca="1">IF(AND(ISNUMBER($Z$399),$B$252=1),$Z$399,HLOOKUP(INDIRECT(ADDRESS(2,COLUMN())),OFFSET($CL$2,0,0,ROW()-1,84),ROW()-1,FALSE))</f>
        <v/>
      </c>
      <c r="AA194">
        <f ca="1">IF(AND(ISNUMBER($AA$399),$B$252=1),$AA$399,HLOOKUP(INDIRECT(ADDRESS(2,COLUMN())),OFFSET($CL$2,0,0,ROW()-1,84),ROW()-1,FALSE))</f>
        <v>85.272369580000003</v>
      </c>
      <c r="AB194" t="str">
        <f ca="1">IF(AND(ISNUMBER($AB$399),$B$252=1),$AB$399,HLOOKUP(INDIRECT(ADDRESS(2,COLUMN())),OFFSET($CL$2,0,0,ROW()-1,84),ROW()-1,FALSE))</f>
        <v/>
      </c>
      <c r="AC194" t="str">
        <f ca="1">IF(AND(ISNUMBER($AC$399),$B$252=1),$AC$399,HLOOKUP(INDIRECT(ADDRESS(2,COLUMN())),OFFSET($CL$2,0,0,ROW()-1,84),ROW()-1,FALSE))</f>
        <v/>
      </c>
      <c r="AD194">
        <f ca="1">IF(AND(ISNUMBER($AD$399),$B$252=1),$AD$399,HLOOKUP(INDIRECT(ADDRESS(2,COLUMN())),OFFSET($CL$2,0,0,ROW()-1,84),ROW()-1,FALSE))</f>
        <v>96.966769709999994</v>
      </c>
      <c r="AE194" t="str">
        <f ca="1">IF(AND(ISNUMBER($AE$399),$B$252=1),$AE$399,HLOOKUP(INDIRECT(ADDRESS(2,COLUMN())),OFFSET($CL$2,0,0,ROW()-1,84),ROW()-1,FALSE))</f>
        <v/>
      </c>
      <c r="AF194" t="str">
        <f ca="1">IF(AND(ISNUMBER($AF$399),$B$252=1),$AF$399,HLOOKUP(INDIRECT(ADDRESS(2,COLUMN())),OFFSET($CL$2,0,0,ROW()-1,84),ROW()-1,FALSE))</f>
        <v/>
      </c>
      <c r="AG194">
        <f ca="1">IF(AND(ISNUMBER($AG$399),$B$252=1),$AG$399,HLOOKUP(INDIRECT(ADDRESS(2,COLUMN())),OFFSET($CL$2,0,0,ROW()-1,84),ROW()-1,FALSE))</f>
        <v>86.038308529999995</v>
      </c>
      <c r="AH194" t="str">
        <f ca="1">IF(AND(ISNUMBER($AH$399),$B$252=1),$AH$399,HLOOKUP(INDIRECT(ADDRESS(2,COLUMN())),OFFSET($CL$2,0,0,ROW()-1,84),ROW()-1,FALSE))</f>
        <v/>
      </c>
      <c r="AI194" t="str">
        <f ca="1">IF(AND(ISNUMBER($AI$399),$B$252=1),$AI$399,HLOOKUP(INDIRECT(ADDRESS(2,COLUMN())),OFFSET($CL$2,0,0,ROW()-1,84),ROW()-1,FALSE))</f>
        <v/>
      </c>
      <c r="AJ194">
        <f ca="1">IF(AND(ISNUMBER($AJ$399),$B$252=1),$AJ$399,HLOOKUP(INDIRECT(ADDRESS(2,COLUMN())),OFFSET($CL$2,0,0,ROW()-1,84),ROW()-1,FALSE))</f>
        <v>82.723496839999996</v>
      </c>
      <c r="AK194" t="str">
        <f ca="1">IF(AND(ISNUMBER($AK$399),$B$252=1),$AK$399,HLOOKUP(INDIRECT(ADDRESS(2,COLUMN())),OFFSET($CL$2,0,0,ROW()-1,84),ROW()-1,FALSE))</f>
        <v/>
      </c>
      <c r="AL194" t="str">
        <f ca="1">IF(AND(ISNUMBER($AL$399),$B$252=1),$AL$399,HLOOKUP(INDIRECT(ADDRESS(2,COLUMN())),OFFSET($CL$2,0,0,ROW()-1,84),ROW()-1,FALSE))</f>
        <v/>
      </c>
      <c r="AM194">
        <f ca="1">IF(AND(ISNUMBER($AM$399),$B$252=1),$AM$399,HLOOKUP(INDIRECT(ADDRESS(2,COLUMN())),OFFSET($CL$2,0,0,ROW()-1,84),ROW()-1,FALSE))</f>
        <v>57.847356769999998</v>
      </c>
      <c r="AN194" t="str">
        <f ca="1">IF(AND(ISNUMBER($AN$399),$B$252=1),$AN$399,HLOOKUP(INDIRECT(ADDRESS(2,COLUMN())),OFFSET($CL$2,0,0,ROW()-1,84),ROW()-1,FALSE))</f>
        <v/>
      </c>
      <c r="AO194" t="str">
        <f ca="1">IF(AND(ISNUMBER($AO$399),$B$252=1),$AO$399,HLOOKUP(INDIRECT(ADDRESS(2,COLUMN())),OFFSET($CL$2,0,0,ROW()-1,84),ROW()-1,FALSE))</f>
        <v/>
      </c>
      <c r="AP194">
        <f ca="1">IF(AND(ISNUMBER($AP$399),$B$252=1),$AP$399,HLOOKUP(INDIRECT(ADDRESS(2,COLUMN())),OFFSET($CL$2,0,0,ROW()-1,84),ROW()-1,FALSE))</f>
        <v>86.867242840000003</v>
      </c>
      <c r="AQ194" t="str">
        <f ca="1">IF(AND(ISNUMBER($AQ$399),$B$252=1),$AQ$399,HLOOKUP(INDIRECT(ADDRESS(2,COLUMN())),OFFSET($CL$2,0,0,ROW()-1,84),ROW()-1,FALSE))</f>
        <v/>
      </c>
      <c r="AR194" t="str">
        <f ca="1">IF(AND(ISNUMBER($AR$399),$B$252=1),$AR$399,HLOOKUP(INDIRECT(ADDRESS(2,COLUMN())),OFFSET($CL$2,0,0,ROW()-1,84),ROW()-1,FALSE))</f>
        <v/>
      </c>
      <c r="AS194">
        <f ca="1">IF(AND(ISNUMBER($AS$399),$B$252=1),$AS$399,HLOOKUP(INDIRECT(ADDRESS(2,COLUMN())),OFFSET($CL$2,0,0,ROW()-1,84),ROW()-1,FALSE))</f>
        <v>80.075465739999999</v>
      </c>
      <c r="AT194" t="str">
        <f ca="1">IF(AND(ISNUMBER($AT$399),$B$252=1),$AT$399,HLOOKUP(INDIRECT(ADDRESS(2,COLUMN())),OFFSET($CL$2,0,0,ROW()-1,84),ROW()-1,FALSE))</f>
        <v/>
      </c>
      <c r="AU194" t="str">
        <f ca="1">IF(AND(ISNUMBER($AU$399),$B$252=1),$AU$399,HLOOKUP(INDIRECT(ADDRESS(2,COLUMN())),OFFSET($CL$2,0,0,ROW()-1,84),ROW()-1,FALSE))</f>
        <v/>
      </c>
      <c r="AV194">
        <f ca="1">IF(AND(ISNUMBER($AV$399),$B$252=1),$AV$399,HLOOKUP(INDIRECT(ADDRESS(2,COLUMN())),OFFSET($CL$2,0,0,ROW()-1,84),ROW()-1,FALSE))</f>
        <v>95.276872960000006</v>
      </c>
      <c r="AW194" t="str">
        <f ca="1">IF(AND(ISNUMBER($AW$399),$B$252=1),$AW$399,HLOOKUP(INDIRECT(ADDRESS(2,COLUMN())),OFFSET($CL$2,0,0,ROW()-1,84),ROW()-1,FALSE))</f>
        <v/>
      </c>
      <c r="AX194" t="str">
        <f ca="1">IF(AND(ISNUMBER($AX$399),$B$252=1),$AX$399,HLOOKUP(INDIRECT(ADDRESS(2,COLUMN())),OFFSET($CL$2,0,0,ROW()-1,84),ROW()-1,FALSE))</f>
        <v/>
      </c>
      <c r="AY194">
        <f ca="1">IF(AND(ISNUMBER($AY$399),$B$252=1),$AY$399,HLOOKUP(INDIRECT(ADDRESS(2,COLUMN())),OFFSET($CL$2,0,0,ROW()-1,84),ROW()-1,FALSE))</f>
        <v>106.9372101</v>
      </c>
      <c r="AZ194" t="str">
        <f ca="1">IF(AND(ISNUMBER($AZ$399),$B$252=1),$AZ$399,HLOOKUP(INDIRECT(ADDRESS(2,COLUMN())),OFFSET($CL$2,0,0,ROW()-1,84),ROW()-1,FALSE))</f>
        <v/>
      </c>
      <c r="BA194" t="str">
        <f ca="1">IF(AND(ISNUMBER($BA$399),$B$252=1),$BA$399,HLOOKUP(INDIRECT(ADDRESS(2,COLUMN())),OFFSET($CL$2,0,0,ROW()-1,84),ROW()-1,FALSE))</f>
        <v/>
      </c>
      <c r="BB194">
        <f ca="1">IF(AND(ISNUMBER($BB$399),$B$252=1),$BB$399,HLOOKUP(INDIRECT(ADDRESS(2,COLUMN())),OFFSET($CL$2,0,0,ROW()-1,84),ROW()-1,FALSE))</f>
        <v>104.54440769999999</v>
      </c>
      <c r="BC194" t="str">
        <f ca="1">IF(AND(ISNUMBER($BC$399),$B$252=1),$BC$399,HLOOKUP(INDIRECT(ADDRESS(2,COLUMN())),OFFSET($CL$2,0,0,ROW()-1,84),ROW()-1,FALSE))</f>
        <v/>
      </c>
      <c r="BD194" t="str">
        <f ca="1">IF(AND(ISNUMBER($BD$399),$B$252=1),$BD$399,HLOOKUP(INDIRECT(ADDRESS(2,COLUMN())),OFFSET($CL$2,0,0,ROW()-1,84),ROW()-1,FALSE))</f>
        <v/>
      </c>
      <c r="BE194">
        <f ca="1">IF(AND(ISNUMBER($BE$399),$B$252=1),$BE$399,HLOOKUP(INDIRECT(ADDRESS(2,COLUMN())),OFFSET($CL$2,0,0,ROW()-1,84),ROW()-1,FALSE))</f>
        <v>64.090449169999999</v>
      </c>
      <c r="BF194" t="str">
        <f ca="1">IF(AND(ISNUMBER($BF$399),$B$252=1),$BF$399,HLOOKUP(INDIRECT(ADDRESS(2,COLUMN())),OFFSET($CL$2,0,0,ROW()-1,84),ROW()-1,FALSE))</f>
        <v/>
      </c>
      <c r="BG194" t="str">
        <f ca="1">IF(AND(ISNUMBER($BG$399),$B$252=1),$BG$399,HLOOKUP(INDIRECT(ADDRESS(2,COLUMN())),OFFSET($CL$2,0,0,ROW()-1,84),ROW()-1,FALSE))</f>
        <v/>
      </c>
      <c r="BH194">
        <f ca="1">IF(AND(ISNUMBER($BH$399),$B$252=1),$BH$399,HLOOKUP(INDIRECT(ADDRESS(2,COLUMN())),OFFSET($CL$2,0,0,ROW()-1,84),ROW()-1,FALSE))</f>
        <v>330.4565217</v>
      </c>
      <c r="BI194" t="str">
        <f ca="1">IF(AND(ISNUMBER($BI$399),$B$252=1),$BI$399,HLOOKUP(INDIRECT(ADDRESS(2,COLUMN())),OFFSET($CL$2,0,0,ROW()-1,84),ROW()-1,FALSE))</f>
        <v/>
      </c>
      <c r="BJ194" t="str">
        <f ca="1">IF(AND(ISNUMBER($BJ$399),$B$252=1),$BJ$399,HLOOKUP(INDIRECT(ADDRESS(2,COLUMN())),OFFSET($CL$2,0,0,ROW()-1,84),ROW()-1,FALSE))</f>
        <v/>
      </c>
      <c r="BK194">
        <f ca="1">IF(AND(ISNUMBER($BK$399),$B$252=1),$BK$399,HLOOKUP(INDIRECT(ADDRESS(2,COLUMN())),OFFSET($CL$2,0,0,ROW()-1,84),ROW()-1,FALSE))</f>
        <v>104.2148936</v>
      </c>
      <c r="BL194" t="str">
        <f ca="1">IF(AND(ISNUMBER($BL$399),$B$252=1),$BL$399,HLOOKUP(INDIRECT(ADDRESS(2,COLUMN())),OFFSET($CL$2,0,0,ROW()-1,84),ROW()-1,FALSE))</f>
        <v/>
      </c>
      <c r="BM194" t="str">
        <f ca="1">IF(AND(ISNUMBER($BM$399),$B$252=1),$BM$399,HLOOKUP(INDIRECT(ADDRESS(2,COLUMN())),OFFSET($CL$2,0,0,ROW()-1,84),ROW()-1,FALSE))</f>
        <v/>
      </c>
      <c r="BN194">
        <f ca="1">IF(AND(ISNUMBER($BN$399),$B$252=1),$BN$399,HLOOKUP(INDIRECT(ADDRESS(2,COLUMN())),OFFSET($CL$2,0,0,ROW()-1,84),ROW()-1,FALSE))</f>
        <v>104.757971</v>
      </c>
      <c r="BO194" t="str">
        <f ca="1">IF(AND(ISNUMBER($BO$399),$B$252=1),$BO$399,HLOOKUP(INDIRECT(ADDRESS(2,COLUMN())),OFFSET($CL$2,0,0,ROW()-1,84),ROW()-1,FALSE))</f>
        <v/>
      </c>
      <c r="BP194" t="str">
        <f ca="1">IF(AND(ISNUMBER($BP$399),$B$252=1),$BP$399,HLOOKUP(INDIRECT(ADDRESS(2,COLUMN())),OFFSET($CL$2,0,0,ROW()-1,84),ROW()-1,FALSE))</f>
        <v/>
      </c>
      <c r="BQ194">
        <f ca="1">IF(AND(ISNUMBER($BQ$399),$B$252=1),$BQ$399,HLOOKUP(INDIRECT(ADDRESS(2,COLUMN())),OFFSET($CL$2,0,0,ROW()-1,84),ROW()-1,FALSE))</f>
        <v>0</v>
      </c>
      <c r="BR194" t="str">
        <f ca="1">IF(AND(ISNUMBER($BR$399),$B$252=1),$BR$399,HLOOKUP(INDIRECT(ADDRESS(2,COLUMN())),OFFSET($CL$2,0,0,ROW()-1,84),ROW()-1,FALSE))</f>
        <v/>
      </c>
      <c r="BS194" t="str">
        <f ca="1">IF(AND(ISNUMBER($BS$399),$B$252=1),$BS$399,HLOOKUP(INDIRECT(ADDRESS(2,COLUMN())),OFFSET($CL$2,0,0,ROW()-1,84),ROW()-1,FALSE))</f>
        <v/>
      </c>
      <c r="BT194">
        <f ca="1">IF(AND(ISNUMBER($BT$399),$B$252=1),$BT$399,HLOOKUP(INDIRECT(ADDRESS(2,COLUMN())),OFFSET($CL$2,0,0,ROW()-1,84),ROW()-1,FALSE))</f>
        <v>0</v>
      </c>
      <c r="BU194" t="str">
        <f ca="1">IF(AND(ISNUMBER($BU$399),$B$252=1),$BU$399,HLOOKUP(INDIRECT(ADDRESS(2,COLUMN())),OFFSET($CL$2,0,0,ROW()-1,84),ROW()-1,FALSE))</f>
        <v/>
      </c>
      <c r="BV194" t="str">
        <f ca="1">IF(AND(ISNUMBER($BV$399),$B$252=1),$BV$399,HLOOKUP(INDIRECT(ADDRESS(2,COLUMN())),OFFSET($CL$2,0,0,ROW()-1,84),ROW()-1,FALSE))</f>
        <v/>
      </c>
      <c r="BW194">
        <f ca="1">IF(AND(ISNUMBER($BW$399),$B$252=1),$BW$399,HLOOKUP(INDIRECT(ADDRESS(2,COLUMN())),OFFSET($CL$2,0,0,ROW()-1,84),ROW()-1,FALSE))</f>
        <v>0</v>
      </c>
      <c r="BX194" t="str">
        <f ca="1">IF(AND(ISNUMBER($BX$399),$B$252=1),$BX$399,HLOOKUP(INDIRECT(ADDRESS(2,COLUMN())),OFFSET($CL$2,0,0,ROW()-1,84),ROW()-1,FALSE))</f>
        <v/>
      </c>
      <c r="BY194" t="str">
        <f ca="1">IF(AND(ISNUMBER($BY$399),$B$252=1),$BY$399,HLOOKUP(INDIRECT(ADDRESS(2,COLUMN())),OFFSET($CL$2,0,0,ROW()-1,84),ROW()-1,FALSE))</f>
        <v/>
      </c>
      <c r="BZ194">
        <f ca="1">IF(AND(ISNUMBER($BZ$399),$B$252=1),$BZ$399,HLOOKUP(INDIRECT(ADDRESS(2,COLUMN())),OFFSET($CL$2,0,0,ROW()-1,84),ROW()-1,FALSE))</f>
        <v>0</v>
      </c>
      <c r="CA194" t="str">
        <f ca="1">IF(AND(ISNUMBER($CA$399),$B$252=1),$CA$399,HLOOKUP(INDIRECT(ADDRESS(2,COLUMN())),OFFSET($CL$2,0,0,ROW()-1,84),ROW()-1,FALSE))</f>
        <v/>
      </c>
      <c r="CB194" t="str">
        <f ca="1">IF(AND(ISNUMBER($CB$399),$B$252=1),$CB$399,HLOOKUP(INDIRECT(ADDRESS(2,COLUMN())),OFFSET($CL$2,0,0,ROW()-1,84),ROW()-1,FALSE))</f>
        <v/>
      </c>
      <c r="CC194" t="str">
        <f ca="1">IF(AND(ISNUMBER($CC$399),$B$252=1),$CC$399,HLOOKUP(INDIRECT(ADDRESS(2,COLUMN())),OFFSET($CL$2,0,0,ROW()-1,84),ROW()-1,FALSE))</f>
        <v/>
      </c>
      <c r="CD194" t="str">
        <f ca="1">IF(AND(ISNUMBER($CD$399),$B$252=1),$CD$399,HLOOKUP(INDIRECT(ADDRESS(2,COLUMN())),OFFSET($CL$2,0,0,ROW()-1,84),ROW()-1,FALSE))</f>
        <v/>
      </c>
      <c r="CE194" t="str">
        <f ca="1">IF(AND(ISNUMBER($CE$399),$B$252=1),$CE$399,HLOOKUP(INDIRECT(ADDRESS(2,COLUMN())),OFFSET($CL$2,0,0,ROW()-1,84),ROW()-1,FALSE))</f>
        <v/>
      </c>
      <c r="CF194" t="str">
        <f ca="1">IF(AND(ISNUMBER($CF$399),$B$252=1),$CF$399,HLOOKUP(INDIRECT(ADDRESS(2,COLUMN())),OFFSET($CL$2,0,0,ROW()-1,84),ROW()-1,FALSE))</f>
        <v/>
      </c>
      <c r="CG194" t="str">
        <f ca="1">IF(AND(ISNUMBER($CG$399),$B$252=1),$CG$399,HLOOKUP(INDIRECT(ADDRESS(2,COLUMN())),OFFSET($CL$2,0,0,ROW()-1,84),ROW()-1,FALSE))</f>
        <v/>
      </c>
      <c r="CH194" t="str">
        <f ca="1">IF(AND(ISNUMBER($CH$399),$B$252=1),$CH$399,HLOOKUP(INDIRECT(ADDRESS(2,COLUMN())),OFFSET($CL$2,0,0,ROW()-1,84),ROW()-1,FALSE))</f>
        <v/>
      </c>
      <c r="CI194" t="str">
        <f ca="1">IF(AND(ISNUMBER($CI$399),$B$252=1),$CI$399,HLOOKUP(INDIRECT(ADDRESS(2,COLUMN())),OFFSET($CL$2,0,0,ROW()-1,84),ROW()-1,FALSE))</f>
        <v/>
      </c>
      <c r="CJ194" t="str">
        <f ca="1">IF(AND(ISNUMBER($CJ$399),$B$252=1),$CJ$399,HLOOKUP(INDIRECT(ADDRESS(2,COLUMN())),OFFSET($CL$2,0,0,ROW()-1,84),ROW()-1,FALSE))</f>
        <v/>
      </c>
      <c r="CK194" t="str">
        <f ca="1">IF(AND(ISNUMBER($CK$399),$B$252=1),$CK$399,HLOOKUP(INDIRECT(ADDRESS(2,COLUMN())),OFFSET($CL$2,0,0,ROW()-1,84),ROW()-1,FALSE))</f>
        <v/>
      </c>
      <c r="CL194" t="str">
        <f>""</f>
        <v/>
      </c>
      <c r="CM194" t="str">
        <f>""</f>
        <v/>
      </c>
      <c r="CN194" t="str">
        <f>""</f>
        <v/>
      </c>
      <c r="CO194" t="str">
        <f>""</f>
        <v/>
      </c>
      <c r="CP194" t="str">
        <f>""</f>
        <v/>
      </c>
      <c r="CQ194" t="str">
        <f>""</f>
        <v/>
      </c>
      <c r="CR194" t="str">
        <f>""</f>
        <v/>
      </c>
      <c r="CS194" t="str">
        <f>""</f>
        <v/>
      </c>
      <c r="CT194" t="str">
        <f>""</f>
        <v/>
      </c>
      <c r="CU194">
        <f>87.98298228</f>
        <v>87.982982280000002</v>
      </c>
      <c r="CV194" t="str">
        <f>""</f>
        <v/>
      </c>
      <c r="CW194" t="str">
        <f>""</f>
        <v/>
      </c>
      <c r="CX194">
        <f>108.3419421</f>
        <v>108.3419421</v>
      </c>
      <c r="CY194" t="str">
        <f>""</f>
        <v/>
      </c>
      <c r="CZ194" t="str">
        <f>""</f>
        <v/>
      </c>
      <c r="DA194">
        <f>63.56857591</f>
        <v>63.56857591</v>
      </c>
      <c r="DB194" t="str">
        <f>""</f>
        <v/>
      </c>
      <c r="DC194" t="str">
        <f>""</f>
        <v/>
      </c>
      <c r="DD194">
        <f>76.13026762</f>
        <v>76.130267619999998</v>
      </c>
      <c r="DE194" t="str">
        <f>""</f>
        <v/>
      </c>
      <c r="DF194" t="str">
        <f>""</f>
        <v/>
      </c>
      <c r="DG194">
        <f>85.27236958</f>
        <v>85.272369580000003</v>
      </c>
      <c r="DH194" t="str">
        <f>""</f>
        <v/>
      </c>
      <c r="DI194" t="str">
        <f>""</f>
        <v/>
      </c>
      <c r="DJ194">
        <f>96.96676971</f>
        <v>96.966769709999994</v>
      </c>
      <c r="DK194" t="str">
        <f>""</f>
        <v/>
      </c>
      <c r="DL194" t="str">
        <f>""</f>
        <v/>
      </c>
      <c r="DM194">
        <f>86.03830853</f>
        <v>86.038308529999995</v>
      </c>
      <c r="DN194" t="str">
        <f>""</f>
        <v/>
      </c>
      <c r="DO194" t="str">
        <f>""</f>
        <v/>
      </c>
      <c r="DP194">
        <f>82.72349684</f>
        <v>82.723496839999996</v>
      </c>
      <c r="DQ194" t="str">
        <f>""</f>
        <v/>
      </c>
      <c r="DR194" t="str">
        <f>""</f>
        <v/>
      </c>
      <c r="DS194">
        <f>57.84735677</f>
        <v>57.847356769999998</v>
      </c>
      <c r="DT194" t="str">
        <f>""</f>
        <v/>
      </c>
      <c r="DU194" t="str">
        <f>""</f>
        <v/>
      </c>
      <c r="DV194">
        <f>86.86724284</f>
        <v>86.867242840000003</v>
      </c>
      <c r="DW194" t="str">
        <f>""</f>
        <v/>
      </c>
      <c r="DX194" t="str">
        <f>""</f>
        <v/>
      </c>
      <c r="DY194">
        <f>80.07546574</f>
        <v>80.075465739999999</v>
      </c>
      <c r="DZ194" t="str">
        <f>""</f>
        <v/>
      </c>
      <c r="EA194" t="str">
        <f>""</f>
        <v/>
      </c>
      <c r="EB194">
        <f>95.27687296</f>
        <v>95.276872960000006</v>
      </c>
      <c r="EC194" t="str">
        <f>""</f>
        <v/>
      </c>
      <c r="ED194" t="str">
        <f>""</f>
        <v/>
      </c>
      <c r="EE194">
        <f>106.9372101</f>
        <v>106.9372101</v>
      </c>
      <c r="EF194" t="str">
        <f>""</f>
        <v/>
      </c>
      <c r="EG194" t="str">
        <f>""</f>
        <v/>
      </c>
      <c r="EH194">
        <f>104.5444077</f>
        <v>104.54440769999999</v>
      </c>
      <c r="EI194" t="str">
        <f>""</f>
        <v/>
      </c>
      <c r="EJ194" t="str">
        <f>""</f>
        <v/>
      </c>
      <c r="EK194">
        <f>64.09044917</f>
        <v>64.090449169999999</v>
      </c>
      <c r="EL194" t="str">
        <f>""</f>
        <v/>
      </c>
      <c r="EM194" t="str">
        <f>""</f>
        <v/>
      </c>
      <c r="EN194">
        <f>330.4565217</f>
        <v>330.4565217</v>
      </c>
      <c r="EO194" t="str">
        <f>""</f>
        <v/>
      </c>
      <c r="EP194" t="str">
        <f>""</f>
        <v/>
      </c>
      <c r="EQ194">
        <f>104.2148936</f>
        <v>104.2148936</v>
      </c>
      <c r="ER194" t="str">
        <f>""</f>
        <v/>
      </c>
      <c r="ES194" t="str">
        <f>""</f>
        <v/>
      </c>
      <c r="ET194">
        <f>104.757971</f>
        <v>104.757971</v>
      </c>
      <c r="EU194" t="str">
        <f>""</f>
        <v/>
      </c>
      <c r="EV194" t="str">
        <f>""</f>
        <v/>
      </c>
      <c r="EW194">
        <f>0</f>
        <v>0</v>
      </c>
      <c r="EX194" t="str">
        <f>""</f>
        <v/>
      </c>
      <c r="EY194" t="str">
        <f>""</f>
        <v/>
      </c>
      <c r="EZ194">
        <f>0</f>
        <v>0</v>
      </c>
      <c r="FA194" t="str">
        <f>""</f>
        <v/>
      </c>
      <c r="FB194" t="str">
        <f>""</f>
        <v/>
      </c>
      <c r="FC194">
        <f>0</f>
        <v>0</v>
      </c>
      <c r="FD194" t="str">
        <f>""</f>
        <v/>
      </c>
      <c r="FE194" t="str">
        <f>""</f>
        <v/>
      </c>
      <c r="FF194">
        <f>0</f>
        <v>0</v>
      </c>
      <c r="FG194" t="str">
        <f>""</f>
        <v/>
      </c>
      <c r="FH194" t="str">
        <f>""</f>
        <v/>
      </c>
      <c r="FI194" t="str">
        <f>""</f>
        <v/>
      </c>
      <c r="FJ194" t="str">
        <f>""</f>
        <v/>
      </c>
      <c r="FK194" t="str">
        <f>""</f>
        <v/>
      </c>
      <c r="FL194" t="str">
        <f>""</f>
        <v/>
      </c>
      <c r="FM194" t="str">
        <f>""</f>
        <v/>
      </c>
      <c r="FN194" t="str">
        <f>""</f>
        <v/>
      </c>
      <c r="FO194" t="str">
        <f>""</f>
        <v/>
      </c>
      <c r="FP194" t="str">
        <f>""</f>
        <v/>
      </c>
      <c r="FQ194" t="str">
        <f>""</f>
        <v/>
      </c>
    </row>
    <row r="195" spans="1:173">
      <c r="A195" t="str">
        <f>"    UDR Inc"</f>
        <v xml:space="preserve">    UDR Inc</v>
      </c>
      <c r="B195" t="str">
        <f>"UDR US Equity"</f>
        <v>UDR US Equity</v>
      </c>
      <c r="C195" t="str">
        <f t="shared" si="60"/>
        <v>F0929</v>
      </c>
      <c r="D195" t="str">
        <f t="shared" si="61"/>
        <v>FUNDS_AVAIL_DIST_PAYOUT_RATIO</v>
      </c>
      <c r="E195" t="str">
        <f t="shared" si="62"/>
        <v>动态</v>
      </c>
      <c r="F195" t="str">
        <f ca="1">IF(AND(ISNUMBER($F$400),$B$252=1),$F$400,HLOOKUP(INDIRECT(ADDRESS(2,COLUMN())),OFFSET($CL$2,0,0,ROW()-1,84),ROW()-1,FALSE))</f>
        <v/>
      </c>
      <c r="G195" t="str">
        <f ca="1">IF(AND(ISNUMBER($G$400),$B$252=1),$G$400,HLOOKUP(INDIRECT(ADDRESS(2,COLUMN())),OFFSET($CL$2,0,0,ROW()-1,84),ROW()-1,FALSE))</f>
        <v/>
      </c>
      <c r="H195" t="str">
        <f ca="1">IF(AND(ISNUMBER($H$400),$B$252=1),$H$400,HLOOKUP(INDIRECT(ADDRESS(2,COLUMN())),OFFSET($CL$2,0,0,ROW()-1,84),ROW()-1,FALSE))</f>
        <v/>
      </c>
      <c r="I195">
        <f ca="1">IF(AND(ISNUMBER($I$400),$B$252=1),$I$400,HLOOKUP(INDIRECT(ADDRESS(2,COLUMN())),OFFSET($CL$2,0,0,ROW()-1,84),ROW()-1,FALSE))</f>
        <v>73.157466729999996</v>
      </c>
      <c r="J195" t="str">
        <f ca="1">IF(AND(ISNUMBER($J$400),$B$252=1),$J$400,HLOOKUP(INDIRECT(ADDRESS(2,COLUMN())),OFFSET($CL$2,0,0,ROW()-1,84),ROW()-1,FALSE))</f>
        <v/>
      </c>
      <c r="K195" t="str">
        <f ca="1">IF(AND(ISNUMBER($K$400),$B$252=1),$K$400,HLOOKUP(INDIRECT(ADDRESS(2,COLUMN())),OFFSET($CL$2,0,0,ROW()-1,84),ROW()-1,FALSE))</f>
        <v/>
      </c>
      <c r="L195">
        <f ca="1">IF(AND(ISNUMBER($L$400),$B$252=1),$L$400,HLOOKUP(INDIRECT(ADDRESS(2,COLUMN())),OFFSET($CL$2,0,0,ROW()-1,84),ROW()-1,FALSE))</f>
        <v>72.497341579999997</v>
      </c>
      <c r="M195" t="str">
        <f ca="1">IF(AND(ISNUMBER($M$400),$B$252=1),$M$400,HLOOKUP(INDIRECT(ADDRESS(2,COLUMN())),OFFSET($CL$2,0,0,ROW()-1,84),ROW()-1,FALSE))</f>
        <v/>
      </c>
      <c r="N195" t="str">
        <f ca="1">IF(AND(ISNUMBER($N$400),$B$252=1),$N$400,HLOOKUP(INDIRECT(ADDRESS(2,COLUMN())),OFFSET($CL$2,0,0,ROW()-1,84),ROW()-1,FALSE))</f>
        <v/>
      </c>
      <c r="O195">
        <f ca="1">IF(AND(ISNUMBER($O$400),$B$252=1),$O$400,HLOOKUP(INDIRECT(ADDRESS(2,COLUMN())),OFFSET($CL$2,0,0,ROW()-1,84),ROW()-1,FALSE))</f>
        <v>71.403031760000005</v>
      </c>
      <c r="P195" t="str">
        <f ca="1">IF(AND(ISNUMBER($P$400),$B$252=1),$P$400,HLOOKUP(INDIRECT(ADDRESS(2,COLUMN())),OFFSET($CL$2,0,0,ROW()-1,84),ROW()-1,FALSE))</f>
        <v/>
      </c>
      <c r="Q195" t="str">
        <f ca="1">IF(AND(ISNUMBER($Q$400),$B$252=1),$Q$400,HLOOKUP(INDIRECT(ADDRESS(2,COLUMN())),OFFSET($CL$2,0,0,ROW()-1,84),ROW()-1,FALSE))</f>
        <v/>
      </c>
      <c r="R195">
        <f ca="1">IF(AND(ISNUMBER($R$400),$B$252=1),$R$400,HLOOKUP(INDIRECT(ADDRESS(2,COLUMN())),OFFSET($CL$2,0,0,ROW()-1,84),ROW()-1,FALSE))</f>
        <v>72.274622600000001</v>
      </c>
      <c r="S195" t="str">
        <f ca="1">IF(AND(ISNUMBER($S$400),$B$252=1),$S$400,HLOOKUP(INDIRECT(ADDRESS(2,COLUMN())),OFFSET($CL$2,0,0,ROW()-1,84),ROW()-1,FALSE))</f>
        <v/>
      </c>
      <c r="T195" t="str">
        <f ca="1">IF(AND(ISNUMBER($T$400),$B$252=1),$T$400,HLOOKUP(INDIRECT(ADDRESS(2,COLUMN())),OFFSET($CL$2,0,0,ROW()-1,84),ROW()-1,FALSE))</f>
        <v/>
      </c>
      <c r="U195">
        <f ca="1">IF(AND(ISNUMBER($U$400),$B$252=1),$U$400,HLOOKUP(INDIRECT(ADDRESS(2,COLUMN())),OFFSET($CL$2,0,0,ROW()-1,84),ROW()-1,FALSE))</f>
        <v>72.88272886</v>
      </c>
      <c r="V195" t="str">
        <f ca="1">IF(AND(ISNUMBER($V$400),$B$252=1),$V$400,HLOOKUP(INDIRECT(ADDRESS(2,COLUMN())),OFFSET($CL$2,0,0,ROW()-1,84),ROW()-1,FALSE))</f>
        <v/>
      </c>
      <c r="W195" t="str">
        <f ca="1">IF(AND(ISNUMBER($W$400),$B$252=1),$W$400,HLOOKUP(INDIRECT(ADDRESS(2,COLUMN())),OFFSET($CL$2,0,0,ROW()-1,84),ROW()-1,FALSE))</f>
        <v/>
      </c>
      <c r="X195">
        <f ca="1">IF(AND(ISNUMBER($X$400),$B$252=1),$X$400,HLOOKUP(INDIRECT(ADDRESS(2,COLUMN())),OFFSET($CL$2,0,0,ROW()-1,84),ROW()-1,FALSE))</f>
        <v>72.386209980000004</v>
      </c>
      <c r="Y195" t="str">
        <f ca="1">IF(AND(ISNUMBER($Y$400),$B$252=1),$Y$400,HLOOKUP(INDIRECT(ADDRESS(2,COLUMN())),OFFSET($CL$2,0,0,ROW()-1,84),ROW()-1,FALSE))</f>
        <v/>
      </c>
      <c r="Z195" t="str">
        <f ca="1">IF(AND(ISNUMBER($Z$400),$B$252=1),$Z$400,HLOOKUP(INDIRECT(ADDRESS(2,COLUMN())),OFFSET($CL$2,0,0,ROW()-1,84),ROW()-1,FALSE))</f>
        <v/>
      </c>
      <c r="AA195">
        <f ca="1">IF(AND(ISNUMBER($AA$400),$B$252=1),$AA$400,HLOOKUP(INDIRECT(ADDRESS(2,COLUMN())),OFFSET($CL$2,0,0,ROW()-1,84),ROW()-1,FALSE))</f>
        <v>72.206177220000001</v>
      </c>
      <c r="AB195" t="str">
        <f ca="1">IF(AND(ISNUMBER($AB$400),$B$252=1),$AB$400,HLOOKUP(INDIRECT(ADDRESS(2,COLUMN())),OFFSET($CL$2,0,0,ROW()-1,84),ROW()-1,FALSE))</f>
        <v/>
      </c>
      <c r="AC195" t="str">
        <f ca="1">IF(AND(ISNUMBER($AC$400),$B$252=1),$AC$400,HLOOKUP(INDIRECT(ADDRESS(2,COLUMN())),OFFSET($CL$2,0,0,ROW()-1,84),ROW()-1,FALSE))</f>
        <v/>
      </c>
      <c r="AD195">
        <f ca="1">IF(AND(ISNUMBER($AD$400),$B$252=1),$AD$400,HLOOKUP(INDIRECT(ADDRESS(2,COLUMN())),OFFSET($CL$2,0,0,ROW()-1,84),ROW()-1,FALSE))</f>
        <v>72.688023860000001</v>
      </c>
      <c r="AE195" t="str">
        <f ca="1">IF(AND(ISNUMBER($AE$400),$B$252=1),$AE$400,HLOOKUP(INDIRECT(ADDRESS(2,COLUMN())),OFFSET($CL$2,0,0,ROW()-1,84),ROW()-1,FALSE))</f>
        <v/>
      </c>
      <c r="AF195" t="str">
        <f ca="1">IF(AND(ISNUMBER($AF$400),$B$252=1),$AF$400,HLOOKUP(INDIRECT(ADDRESS(2,COLUMN())),OFFSET($CL$2,0,0,ROW()-1,84),ROW()-1,FALSE))</f>
        <v/>
      </c>
      <c r="AG195">
        <f ca="1">IF(AND(ISNUMBER($AG$400),$B$252=1),$AG$400,HLOOKUP(INDIRECT(ADDRESS(2,COLUMN())),OFFSET($CL$2,0,0,ROW()-1,84),ROW()-1,FALSE))</f>
        <v>74.034159180000003</v>
      </c>
      <c r="AH195" t="str">
        <f ca="1">IF(AND(ISNUMBER($AH$400),$B$252=1),$AH$400,HLOOKUP(INDIRECT(ADDRESS(2,COLUMN())),OFFSET($CL$2,0,0,ROW()-1,84),ROW()-1,FALSE))</f>
        <v/>
      </c>
      <c r="AI195" t="str">
        <f ca="1">IF(AND(ISNUMBER($AI$400),$B$252=1),$AI$400,HLOOKUP(INDIRECT(ADDRESS(2,COLUMN())),OFFSET($CL$2,0,0,ROW()-1,84),ROW()-1,FALSE))</f>
        <v/>
      </c>
      <c r="AJ195">
        <f ca="1">IF(AND(ISNUMBER($AJ$400),$B$252=1),$AJ$400,HLOOKUP(INDIRECT(ADDRESS(2,COLUMN())),OFFSET($CL$2,0,0,ROW()-1,84),ROW()-1,FALSE))</f>
        <v>74.379841220000003</v>
      </c>
      <c r="AK195" t="str">
        <f ca="1">IF(AND(ISNUMBER($AK$400),$B$252=1),$AK$400,HLOOKUP(INDIRECT(ADDRESS(2,COLUMN())),OFFSET($CL$2,0,0,ROW()-1,84),ROW()-1,FALSE))</f>
        <v/>
      </c>
      <c r="AL195" t="str">
        <f ca="1">IF(AND(ISNUMBER($AL$400),$B$252=1),$AL$400,HLOOKUP(INDIRECT(ADDRESS(2,COLUMN())),OFFSET($CL$2,0,0,ROW()-1,84),ROW()-1,FALSE))</f>
        <v/>
      </c>
      <c r="AM195">
        <f ca="1">IF(AND(ISNUMBER($AM$400),$B$252=1),$AM$400,HLOOKUP(INDIRECT(ADDRESS(2,COLUMN())),OFFSET($CL$2,0,0,ROW()-1,84),ROW()-1,FALSE))</f>
        <v>72.503969389999995</v>
      </c>
      <c r="AN195" t="str">
        <f ca="1">IF(AND(ISNUMBER($AN$400),$B$252=1),$AN$400,HLOOKUP(INDIRECT(ADDRESS(2,COLUMN())),OFFSET($CL$2,0,0,ROW()-1,84),ROW()-1,FALSE))</f>
        <v/>
      </c>
      <c r="AO195" t="str">
        <f ca="1">IF(AND(ISNUMBER($AO$400),$B$252=1),$AO$400,HLOOKUP(INDIRECT(ADDRESS(2,COLUMN())),OFFSET($CL$2,0,0,ROW()-1,84),ROW()-1,FALSE))</f>
        <v/>
      </c>
      <c r="AP195">
        <f ca="1">IF(AND(ISNUMBER($AP$400),$B$252=1),$AP$400,HLOOKUP(INDIRECT(ADDRESS(2,COLUMN())),OFFSET($CL$2,0,0,ROW()-1,84),ROW()-1,FALSE))</f>
        <v>74.314326600000001</v>
      </c>
      <c r="AQ195" t="str">
        <f ca="1">IF(AND(ISNUMBER($AQ$400),$B$252=1),$AQ$400,HLOOKUP(INDIRECT(ADDRESS(2,COLUMN())),OFFSET($CL$2,0,0,ROW()-1,84),ROW()-1,FALSE))</f>
        <v/>
      </c>
      <c r="AR195" t="str">
        <f ca="1">IF(AND(ISNUMBER($AR$400),$B$252=1),$AR$400,HLOOKUP(INDIRECT(ADDRESS(2,COLUMN())),OFFSET($CL$2,0,0,ROW()-1,84),ROW()-1,FALSE))</f>
        <v/>
      </c>
      <c r="AS195">
        <f ca="1">IF(AND(ISNUMBER($AS$400),$B$252=1),$AS$400,HLOOKUP(INDIRECT(ADDRESS(2,COLUMN())),OFFSET($CL$2,0,0,ROW()-1,84),ROW()-1,FALSE))</f>
        <v>76.901388260000004</v>
      </c>
      <c r="AT195" t="str">
        <f ca="1">IF(AND(ISNUMBER($AT$400),$B$252=1),$AT$400,HLOOKUP(INDIRECT(ADDRESS(2,COLUMN())),OFFSET($CL$2,0,0,ROW()-1,84),ROW()-1,FALSE))</f>
        <v/>
      </c>
      <c r="AU195" t="str">
        <f ca="1">IF(AND(ISNUMBER($AU$400),$B$252=1),$AU$400,HLOOKUP(INDIRECT(ADDRESS(2,COLUMN())),OFFSET($CL$2,0,0,ROW()-1,84),ROW()-1,FALSE))</f>
        <v/>
      </c>
      <c r="AV195" t="str">
        <f ca="1">IF(AND(ISNUMBER($AV$400),$B$252=1),$AV$400,HLOOKUP(INDIRECT(ADDRESS(2,COLUMN())),OFFSET($CL$2,0,0,ROW()-1,84),ROW()-1,FALSE))</f>
        <v/>
      </c>
      <c r="AW195" t="str">
        <f ca="1">IF(AND(ISNUMBER($AW$400),$B$252=1),$AW$400,HLOOKUP(INDIRECT(ADDRESS(2,COLUMN())),OFFSET($CL$2,0,0,ROW()-1,84),ROW()-1,FALSE))</f>
        <v/>
      </c>
      <c r="AX195" t="str">
        <f ca="1">IF(AND(ISNUMBER($AX$400),$B$252=1),$AX$400,HLOOKUP(INDIRECT(ADDRESS(2,COLUMN())),OFFSET($CL$2,0,0,ROW()-1,84),ROW()-1,FALSE))</f>
        <v/>
      </c>
      <c r="AY195" t="str">
        <f ca="1">IF(AND(ISNUMBER($AY$400),$B$252=1),$AY$400,HLOOKUP(INDIRECT(ADDRESS(2,COLUMN())),OFFSET($CL$2,0,0,ROW()-1,84),ROW()-1,FALSE))</f>
        <v/>
      </c>
      <c r="AZ195" t="str">
        <f ca="1">IF(AND(ISNUMBER($AZ$400),$B$252=1),$AZ$400,HLOOKUP(INDIRECT(ADDRESS(2,COLUMN())),OFFSET($CL$2,0,0,ROW()-1,84),ROW()-1,FALSE))</f>
        <v/>
      </c>
      <c r="BA195" t="str">
        <f ca="1">IF(AND(ISNUMBER($BA$400),$B$252=1),$BA$400,HLOOKUP(INDIRECT(ADDRESS(2,COLUMN())),OFFSET($CL$2,0,0,ROW()-1,84),ROW()-1,FALSE))</f>
        <v/>
      </c>
      <c r="BB195">
        <f ca="1">IF(AND(ISNUMBER($BB$400),$B$252=1),$BB$400,HLOOKUP(INDIRECT(ADDRESS(2,COLUMN())),OFFSET($CL$2,0,0,ROW()-1,84),ROW()-1,FALSE))</f>
        <v>70.612262419999993</v>
      </c>
      <c r="BC195" t="str">
        <f ca="1">IF(AND(ISNUMBER($BC$400),$B$252=1),$BC$400,HLOOKUP(INDIRECT(ADDRESS(2,COLUMN())),OFFSET($CL$2,0,0,ROW()-1,84),ROW()-1,FALSE))</f>
        <v/>
      </c>
      <c r="BD195" t="str">
        <f ca="1">IF(AND(ISNUMBER($BD$400),$B$252=1),$BD$400,HLOOKUP(INDIRECT(ADDRESS(2,COLUMN())),OFFSET($CL$2,0,0,ROW()-1,84),ROW()-1,FALSE))</f>
        <v/>
      </c>
      <c r="BE195">
        <f ca="1">IF(AND(ISNUMBER($BE$400),$B$252=1),$BE$400,HLOOKUP(INDIRECT(ADDRESS(2,COLUMN())),OFFSET($CL$2,0,0,ROW()-1,84),ROW()-1,FALSE))</f>
        <v>73.860224040000006</v>
      </c>
      <c r="BF195" t="str">
        <f ca="1">IF(AND(ISNUMBER($BF$400),$B$252=1),$BF$400,HLOOKUP(INDIRECT(ADDRESS(2,COLUMN())),OFFSET($CL$2,0,0,ROW()-1,84),ROW()-1,FALSE))</f>
        <v/>
      </c>
      <c r="BG195" t="str">
        <f ca="1">IF(AND(ISNUMBER($BG$400),$B$252=1),$BG$400,HLOOKUP(INDIRECT(ADDRESS(2,COLUMN())),OFFSET($CL$2,0,0,ROW()-1,84),ROW()-1,FALSE))</f>
        <v/>
      </c>
      <c r="BH195">
        <f ca="1">IF(AND(ISNUMBER($BH$400),$B$252=1),$BH$400,HLOOKUP(INDIRECT(ADDRESS(2,COLUMN())),OFFSET($CL$2,0,0,ROW()-1,84),ROW()-1,FALSE))</f>
        <v>75.668617499999996</v>
      </c>
      <c r="BI195" t="str">
        <f ca="1">IF(AND(ISNUMBER($BI$400),$B$252=1),$BI$400,HLOOKUP(INDIRECT(ADDRESS(2,COLUMN())),OFFSET($CL$2,0,0,ROW()-1,84),ROW()-1,FALSE))</f>
        <v/>
      </c>
      <c r="BJ195" t="str">
        <f ca="1">IF(AND(ISNUMBER($BJ$400),$B$252=1),$BJ$400,HLOOKUP(INDIRECT(ADDRESS(2,COLUMN())),OFFSET($CL$2,0,0,ROW()-1,84),ROW()-1,FALSE))</f>
        <v/>
      </c>
      <c r="BK195">
        <f ca="1">IF(AND(ISNUMBER($BK$400),$B$252=1),$BK$400,HLOOKUP(INDIRECT(ADDRESS(2,COLUMN())),OFFSET($CL$2,0,0,ROW()-1,84),ROW()-1,FALSE))</f>
        <v>76.156145570000007</v>
      </c>
      <c r="BL195" t="str">
        <f ca="1">IF(AND(ISNUMBER($BL$400),$B$252=1),$BL$400,HLOOKUP(INDIRECT(ADDRESS(2,COLUMN())),OFFSET($CL$2,0,0,ROW()-1,84),ROW()-1,FALSE))</f>
        <v/>
      </c>
      <c r="BM195" t="str">
        <f ca="1">IF(AND(ISNUMBER($BM$400),$B$252=1),$BM$400,HLOOKUP(INDIRECT(ADDRESS(2,COLUMN())),OFFSET($CL$2,0,0,ROW()-1,84),ROW()-1,FALSE))</f>
        <v/>
      </c>
      <c r="BN195">
        <f ca="1">IF(AND(ISNUMBER($BN$400),$B$252=1),$BN$400,HLOOKUP(INDIRECT(ADDRESS(2,COLUMN())),OFFSET($CL$2,0,0,ROW()-1,84),ROW()-1,FALSE))</f>
        <v>70.264495650000001</v>
      </c>
      <c r="BO195" t="str">
        <f ca="1">IF(AND(ISNUMBER($BO$400),$B$252=1),$BO$400,HLOOKUP(INDIRECT(ADDRESS(2,COLUMN())),OFFSET($CL$2,0,0,ROW()-1,84),ROW()-1,FALSE))</f>
        <v/>
      </c>
      <c r="BP195" t="str">
        <f ca="1">IF(AND(ISNUMBER($BP$400),$B$252=1),$BP$400,HLOOKUP(INDIRECT(ADDRESS(2,COLUMN())),OFFSET($CL$2,0,0,ROW()-1,84),ROW()-1,FALSE))</f>
        <v/>
      </c>
      <c r="BQ195">
        <f ca="1">IF(AND(ISNUMBER($BQ$400),$B$252=1),$BQ$400,HLOOKUP(INDIRECT(ADDRESS(2,COLUMN())),OFFSET($CL$2,0,0,ROW()-1,84),ROW()-1,FALSE))</f>
        <v>65.550243910000006</v>
      </c>
      <c r="BR195" t="str">
        <f ca="1">IF(AND(ISNUMBER($BR$400),$B$252=1),$BR$400,HLOOKUP(INDIRECT(ADDRESS(2,COLUMN())),OFFSET($CL$2,0,0,ROW()-1,84),ROW()-1,FALSE))</f>
        <v/>
      </c>
      <c r="BS195" t="str">
        <f ca="1">IF(AND(ISNUMBER($BS$400),$B$252=1),$BS$400,HLOOKUP(INDIRECT(ADDRESS(2,COLUMN())),OFFSET($CL$2,0,0,ROW()-1,84),ROW()-1,FALSE))</f>
        <v/>
      </c>
      <c r="BT195">
        <f ca="1">IF(AND(ISNUMBER($BT$400),$B$252=1),$BT$400,HLOOKUP(INDIRECT(ADDRESS(2,COLUMN())),OFFSET($CL$2,0,0,ROW()-1,84),ROW()-1,FALSE))</f>
        <v>73.150329409999998</v>
      </c>
      <c r="BU195" t="str">
        <f ca="1">IF(AND(ISNUMBER($BU$400),$B$252=1),$BU$400,HLOOKUP(INDIRECT(ADDRESS(2,COLUMN())),OFFSET($CL$2,0,0,ROW()-1,84),ROW()-1,FALSE))</f>
        <v/>
      </c>
      <c r="BV195" t="str">
        <f ca="1">IF(AND(ISNUMBER($BV$400),$B$252=1),$BV$400,HLOOKUP(INDIRECT(ADDRESS(2,COLUMN())),OFFSET($CL$2,0,0,ROW()-1,84),ROW()-1,FALSE))</f>
        <v/>
      </c>
      <c r="BW195">
        <f ca="1">IF(AND(ISNUMBER($BW$400),$B$252=1),$BW$400,HLOOKUP(INDIRECT(ADDRESS(2,COLUMN())),OFFSET($CL$2,0,0,ROW()-1,84),ROW()-1,FALSE))</f>
        <v>75.100748280000005</v>
      </c>
      <c r="BX195" t="str">
        <f ca="1">IF(AND(ISNUMBER($BX$400),$B$252=1),$BX$400,HLOOKUP(INDIRECT(ADDRESS(2,COLUMN())),OFFSET($CL$2,0,0,ROW()-1,84),ROW()-1,FALSE))</f>
        <v/>
      </c>
      <c r="BY195" t="str">
        <f ca="1">IF(AND(ISNUMBER($BY$400),$B$252=1),$BY$400,HLOOKUP(INDIRECT(ADDRESS(2,COLUMN())),OFFSET($CL$2,0,0,ROW()-1,84),ROW()-1,FALSE))</f>
        <v/>
      </c>
      <c r="BZ195">
        <f ca="1">IF(AND(ISNUMBER($BZ$400),$B$252=1),$BZ$400,HLOOKUP(INDIRECT(ADDRESS(2,COLUMN())),OFFSET($CL$2,0,0,ROW()-1,84),ROW()-1,FALSE))</f>
        <v>67.714412760000002</v>
      </c>
      <c r="CA195" t="str">
        <f ca="1">IF(AND(ISNUMBER($CA$400),$B$252=1),$CA$400,HLOOKUP(INDIRECT(ADDRESS(2,COLUMN())),OFFSET($CL$2,0,0,ROW()-1,84),ROW()-1,FALSE))</f>
        <v/>
      </c>
      <c r="CB195" t="str">
        <f ca="1">IF(AND(ISNUMBER($CB$400),$B$252=1),$CB$400,HLOOKUP(INDIRECT(ADDRESS(2,COLUMN())),OFFSET($CL$2,0,0,ROW()-1,84),ROW()-1,FALSE))</f>
        <v/>
      </c>
      <c r="CC195">
        <f ca="1">IF(AND(ISNUMBER($CC$400),$B$252=1),$CC$400,HLOOKUP(INDIRECT(ADDRESS(2,COLUMN())),OFFSET($CL$2,0,0,ROW()-1,84),ROW()-1,FALSE))</f>
        <v>72.615547419999999</v>
      </c>
      <c r="CD195" t="str">
        <f ca="1">IF(AND(ISNUMBER($CD$400),$B$252=1),$CD$400,HLOOKUP(INDIRECT(ADDRESS(2,COLUMN())),OFFSET($CL$2,0,0,ROW()-1,84),ROW()-1,FALSE))</f>
        <v/>
      </c>
      <c r="CE195" t="str">
        <f ca="1">IF(AND(ISNUMBER($CE$400),$B$252=1),$CE$400,HLOOKUP(INDIRECT(ADDRESS(2,COLUMN())),OFFSET($CL$2,0,0,ROW()-1,84),ROW()-1,FALSE))</f>
        <v/>
      </c>
      <c r="CF195">
        <f ca="1">IF(AND(ISNUMBER($CF$400),$B$252=1),$CF$400,HLOOKUP(INDIRECT(ADDRESS(2,COLUMN())),OFFSET($CL$2,0,0,ROW()-1,84),ROW()-1,FALSE))</f>
        <v>58.593371060000003</v>
      </c>
      <c r="CG195" t="str">
        <f ca="1">IF(AND(ISNUMBER($CG$400),$B$252=1),$CG$400,HLOOKUP(INDIRECT(ADDRESS(2,COLUMN())),OFFSET($CL$2,0,0,ROW()-1,84),ROW()-1,FALSE))</f>
        <v/>
      </c>
      <c r="CH195" t="str">
        <f ca="1">IF(AND(ISNUMBER($CH$400),$B$252=1),$CH$400,HLOOKUP(INDIRECT(ADDRESS(2,COLUMN())),OFFSET($CL$2,0,0,ROW()-1,84),ROW()-1,FALSE))</f>
        <v/>
      </c>
      <c r="CI195">
        <f ca="1">IF(AND(ISNUMBER($CI$400),$B$252=1),$CI$400,HLOOKUP(INDIRECT(ADDRESS(2,COLUMN())),OFFSET($CL$2,0,0,ROW()-1,84),ROW()-1,FALSE))</f>
        <v>59.92166855</v>
      </c>
      <c r="CJ195" t="str">
        <f ca="1">IF(AND(ISNUMBER($CJ$400),$B$252=1),$CJ$400,HLOOKUP(INDIRECT(ADDRESS(2,COLUMN())),OFFSET($CL$2,0,0,ROW()-1,84),ROW()-1,FALSE))</f>
        <v/>
      </c>
      <c r="CK195" t="str">
        <f ca="1">IF(AND(ISNUMBER($CK$400),$B$252=1),$CK$400,HLOOKUP(INDIRECT(ADDRESS(2,COLUMN())),OFFSET($CL$2,0,0,ROW()-1,84),ROW()-1,FALSE))</f>
        <v/>
      </c>
      <c r="CL195" t="str">
        <f>""</f>
        <v/>
      </c>
      <c r="CM195" t="str">
        <f>""</f>
        <v/>
      </c>
      <c r="CN195" t="str">
        <f>""</f>
        <v/>
      </c>
      <c r="CO195">
        <f>73.15746673</f>
        <v>73.157466729999996</v>
      </c>
      <c r="CP195" t="str">
        <f>""</f>
        <v/>
      </c>
      <c r="CQ195" t="str">
        <f>""</f>
        <v/>
      </c>
      <c r="CR195">
        <f>72.49734158</f>
        <v>72.497341579999997</v>
      </c>
      <c r="CS195" t="str">
        <f>""</f>
        <v/>
      </c>
      <c r="CT195" t="str">
        <f>""</f>
        <v/>
      </c>
      <c r="CU195">
        <f>71.40303176</f>
        <v>71.403031760000005</v>
      </c>
      <c r="CV195" t="str">
        <f>""</f>
        <v/>
      </c>
      <c r="CW195" t="str">
        <f>""</f>
        <v/>
      </c>
      <c r="CX195">
        <f>72.2746226</f>
        <v>72.274622600000001</v>
      </c>
      <c r="CY195" t="str">
        <f>""</f>
        <v/>
      </c>
      <c r="CZ195" t="str">
        <f>""</f>
        <v/>
      </c>
      <c r="DA195">
        <f>72.88272886</f>
        <v>72.88272886</v>
      </c>
      <c r="DB195" t="str">
        <f>""</f>
        <v/>
      </c>
      <c r="DC195" t="str">
        <f>""</f>
        <v/>
      </c>
      <c r="DD195">
        <f>72.38620998</f>
        <v>72.386209980000004</v>
      </c>
      <c r="DE195" t="str">
        <f>""</f>
        <v/>
      </c>
      <c r="DF195" t="str">
        <f>""</f>
        <v/>
      </c>
      <c r="DG195">
        <f>72.20617722</f>
        <v>72.206177220000001</v>
      </c>
      <c r="DH195" t="str">
        <f>""</f>
        <v/>
      </c>
      <c r="DI195" t="str">
        <f>""</f>
        <v/>
      </c>
      <c r="DJ195">
        <f>72.68802386</f>
        <v>72.688023860000001</v>
      </c>
      <c r="DK195" t="str">
        <f>""</f>
        <v/>
      </c>
      <c r="DL195" t="str">
        <f>""</f>
        <v/>
      </c>
      <c r="DM195">
        <f>74.03415918</f>
        <v>74.034159180000003</v>
      </c>
      <c r="DN195" t="str">
        <f>""</f>
        <v/>
      </c>
      <c r="DO195" t="str">
        <f>""</f>
        <v/>
      </c>
      <c r="DP195">
        <f>74.37984122</f>
        <v>74.379841220000003</v>
      </c>
      <c r="DQ195" t="str">
        <f>""</f>
        <v/>
      </c>
      <c r="DR195" t="str">
        <f>""</f>
        <v/>
      </c>
      <c r="DS195">
        <f>72.50396939</f>
        <v>72.503969389999995</v>
      </c>
      <c r="DT195" t="str">
        <f>""</f>
        <v/>
      </c>
      <c r="DU195" t="str">
        <f>""</f>
        <v/>
      </c>
      <c r="DV195">
        <f>74.3143266</f>
        <v>74.314326600000001</v>
      </c>
      <c r="DW195" t="str">
        <f>""</f>
        <v/>
      </c>
      <c r="DX195" t="str">
        <f>""</f>
        <v/>
      </c>
      <c r="DY195">
        <f>76.90138826</f>
        <v>76.901388260000004</v>
      </c>
      <c r="DZ195" t="str">
        <f>""</f>
        <v/>
      </c>
      <c r="EA195" t="str">
        <f>""</f>
        <v/>
      </c>
      <c r="EB195" t="str">
        <f>""</f>
        <v/>
      </c>
      <c r="EC195" t="str">
        <f>""</f>
        <v/>
      </c>
      <c r="ED195" t="str">
        <f>""</f>
        <v/>
      </c>
      <c r="EE195" t="str">
        <f>""</f>
        <v/>
      </c>
      <c r="EF195" t="str">
        <f>""</f>
        <v/>
      </c>
      <c r="EG195" t="str">
        <f>""</f>
        <v/>
      </c>
      <c r="EH195">
        <f>70.61226242</f>
        <v>70.612262419999993</v>
      </c>
      <c r="EI195" t="str">
        <f>""</f>
        <v/>
      </c>
      <c r="EJ195" t="str">
        <f>""</f>
        <v/>
      </c>
      <c r="EK195">
        <f>73.86022404</f>
        <v>73.860224040000006</v>
      </c>
      <c r="EL195" t="str">
        <f>""</f>
        <v/>
      </c>
      <c r="EM195" t="str">
        <f>""</f>
        <v/>
      </c>
      <c r="EN195">
        <f>75.6686175</f>
        <v>75.668617499999996</v>
      </c>
      <c r="EO195" t="str">
        <f>""</f>
        <v/>
      </c>
      <c r="EP195" t="str">
        <f>""</f>
        <v/>
      </c>
      <c r="EQ195">
        <f>76.15614557</f>
        <v>76.156145570000007</v>
      </c>
      <c r="ER195" t="str">
        <f>""</f>
        <v/>
      </c>
      <c r="ES195" t="str">
        <f>""</f>
        <v/>
      </c>
      <c r="ET195">
        <f>70.26449565</f>
        <v>70.264495650000001</v>
      </c>
      <c r="EU195" t="str">
        <f>""</f>
        <v/>
      </c>
      <c r="EV195" t="str">
        <f>""</f>
        <v/>
      </c>
      <c r="EW195">
        <f>65.55024391</f>
        <v>65.550243910000006</v>
      </c>
      <c r="EX195" t="str">
        <f>""</f>
        <v/>
      </c>
      <c r="EY195" t="str">
        <f>""</f>
        <v/>
      </c>
      <c r="EZ195">
        <f>73.15032941</f>
        <v>73.150329409999998</v>
      </c>
      <c r="FA195" t="str">
        <f>""</f>
        <v/>
      </c>
      <c r="FB195" t="str">
        <f>""</f>
        <v/>
      </c>
      <c r="FC195">
        <f>75.10074828</f>
        <v>75.100748280000005</v>
      </c>
      <c r="FD195" t="str">
        <f>""</f>
        <v/>
      </c>
      <c r="FE195" t="str">
        <f>""</f>
        <v/>
      </c>
      <c r="FF195">
        <f>67.71441276</f>
        <v>67.714412760000002</v>
      </c>
      <c r="FG195" t="str">
        <f>""</f>
        <v/>
      </c>
      <c r="FH195" t="str">
        <f>""</f>
        <v/>
      </c>
      <c r="FI195">
        <f>72.61554742</f>
        <v>72.615547419999999</v>
      </c>
      <c r="FJ195" t="str">
        <f>""</f>
        <v/>
      </c>
      <c r="FK195" t="str">
        <f>""</f>
        <v/>
      </c>
      <c r="FL195">
        <f>58.59337106</f>
        <v>58.593371060000003</v>
      </c>
      <c r="FM195" t="str">
        <f>""</f>
        <v/>
      </c>
      <c r="FN195" t="str">
        <f>""</f>
        <v/>
      </c>
      <c r="FO195">
        <f>59.92166855</f>
        <v>59.92166855</v>
      </c>
      <c r="FP195" t="str">
        <f>""</f>
        <v/>
      </c>
      <c r="FQ195" t="str">
        <f>""</f>
        <v/>
      </c>
    </row>
    <row r="196" spans="1:173">
      <c r="A196" t="str">
        <f>"股息率"</f>
        <v>股息率</v>
      </c>
      <c r="B196" t="str">
        <f>"BRFREITV Index"</f>
        <v>BRFREITV Index</v>
      </c>
      <c r="E196" t="str">
        <f>"Average"</f>
        <v>Average</v>
      </c>
      <c r="F196">
        <f ca="1">IF(ISERROR(IF(AVERAGE($F$197:$F$203) = 0, "", AVERAGE($F$197:$F$203))), "", (IF(AVERAGE($F$197:$F$203) = 0, "", AVERAGE($F$197:$F$203))))</f>
        <v>3.6159460474285714</v>
      </c>
      <c r="G196">
        <f ca="1">IF(ISERROR(IF(AVERAGE($G$197:$G$203) = 0, "", AVERAGE($G$197:$G$203))), "", (IF(AVERAGE($G$197:$G$203) = 0, "", AVERAGE($G$197:$G$203))))</f>
        <v>3.7799846594285715</v>
      </c>
      <c r="H196">
        <f ca="1">IF(ISERROR(IF(AVERAGE($H$197:$H$203) = 0, "", AVERAGE($H$197:$H$203))), "", (IF(AVERAGE($H$197:$H$203) = 0, "", AVERAGE($H$197:$H$203))))</f>
        <v>3.4411614290000001</v>
      </c>
      <c r="I196">
        <f ca="1">IF(ISERROR(IF(AVERAGE($I$197:$I$203) = 0, "", AVERAGE($I$197:$I$203))), "", (IF(AVERAGE($I$197:$I$203) = 0, "", AVERAGE($I$197:$I$203))))</f>
        <v>3.2407608789999998</v>
      </c>
      <c r="J196">
        <f ca="1">IF(ISERROR(IF(AVERAGE($J$197:$J$203) = 0, "", AVERAGE($J$197:$J$203))), "", (IF(AVERAGE($J$197:$J$203) = 0, "", AVERAGE($J$197:$J$203))))</f>
        <v>3.154950756285714</v>
      </c>
      <c r="K196">
        <f ca="1">IF(ISERROR(IF(AVERAGE($K$197:$K$203) = 0, "", AVERAGE($K$197:$K$203))), "", (IF(AVERAGE($K$197:$K$203) = 0, "", AVERAGE($K$197:$K$203))))</f>
        <v>3.1363815395714281</v>
      </c>
      <c r="L196">
        <f ca="1">IF(ISERROR(IF(AVERAGE($L$197:$L$203) = 0, "", AVERAGE($L$197:$L$203))), "", (IF(AVERAGE($L$197:$L$203) = 0, "", AVERAGE($L$197:$L$203))))</f>
        <v>3.153654049</v>
      </c>
      <c r="M196">
        <f ca="1">IF(ISERROR(IF(AVERAGE($M$197:$M$203) = 0, "", AVERAGE($M$197:$M$203))), "", (IF(AVERAGE($M$197:$M$203) = 0, "", AVERAGE($M$197:$M$203))))</f>
        <v>3.0929591917142858</v>
      </c>
      <c r="N196">
        <f ca="1">IF(ISERROR(IF(AVERAGE($N$197:$N$203) = 0, "", AVERAGE($N$197:$N$203))), "", (IF(AVERAGE($N$197:$N$203) = 0, "", AVERAGE($N$197:$N$203))))</f>
        <v>3.0896780195714291</v>
      </c>
      <c r="O196">
        <f ca="1">IF(ISERROR(IF(AVERAGE($O$197:$O$203) = 0, "", AVERAGE($O$197:$O$203))), "", (IF(AVERAGE($O$197:$O$203) = 0, "", AVERAGE($O$197:$O$203))))</f>
        <v>3.1544734257142859</v>
      </c>
      <c r="P196">
        <f ca="1">IF(ISERROR(IF(AVERAGE($P$197:$P$203) = 0, "", AVERAGE($P$197:$P$203))), "", (IF(AVERAGE($P$197:$P$203) = 0, "", AVERAGE($P$197:$P$203))))</f>
        <v>3.1959786942857145</v>
      </c>
      <c r="Q196">
        <f ca="1">IF(ISERROR(IF(AVERAGE($Q$197:$Q$203) = 0, "", AVERAGE($Q$197:$Q$203))), "", (IF(AVERAGE($Q$197:$Q$203) = 0, "", AVERAGE($Q$197:$Q$203))))</f>
        <v>3.2485844762857141</v>
      </c>
      <c r="R196">
        <f ca="1">IF(ISERROR(IF(AVERAGE($R$197:$R$203) = 0, "", AVERAGE($R$197:$R$203))), "", (IF(AVERAGE($R$197:$R$203) = 0, "", AVERAGE($R$197:$R$203))))</f>
        <v>3.3101781838571429</v>
      </c>
      <c r="S196">
        <f ca="1">IF(ISERROR(IF(AVERAGE($S$197:$S$203) = 0, "", AVERAGE($S$197:$S$203))), "", (IF(AVERAGE($S$197:$S$203) = 0, "", AVERAGE($S$197:$S$203))))</f>
        <v>3.2181750519999994</v>
      </c>
      <c r="T196">
        <f ca="1">IF(ISERROR(IF(AVERAGE($T$197:$T$203) = 0, "", AVERAGE($T$197:$T$203))), "", (IF(AVERAGE($T$197:$T$203) = 0, "", AVERAGE($T$197:$T$203))))</f>
        <v>3.3119398771428572</v>
      </c>
      <c r="U196">
        <f ca="1">IF(ISERROR(IF(AVERAGE($U$197:$U$203) = 0, "", AVERAGE($U$197:$U$203))), "", (IF(AVERAGE($U$197:$U$203) = 0, "", AVERAGE($U$197:$U$203))))</f>
        <v>3.1704421690000002</v>
      </c>
      <c r="V196">
        <f ca="1">IF(ISERROR(IF(AVERAGE($V$197:$V$203) = 0, "", AVERAGE($V$197:$V$203))), "", (IF(AVERAGE($V$197:$V$203) = 0, "", AVERAGE($V$197:$V$203))))</f>
        <v>3.3710977695714286</v>
      </c>
      <c r="W196">
        <f ca="1">IF(ISERROR(IF(AVERAGE($W$197:$W$203) = 0, "", AVERAGE($W$197:$W$203))), "", (IF(AVERAGE($W$197:$W$203) = 0, "", AVERAGE($W$197:$W$203))))</f>
        <v>3.2852523678571433</v>
      </c>
      <c r="X196">
        <f ca="1">IF(ISERROR(IF(AVERAGE($X$197:$X$203) = 0, "", AVERAGE($X$197:$X$203))), "", (IF(AVERAGE($X$197:$X$203) = 0, "", AVERAGE($X$197:$X$203))))</f>
        <v>3.1812392511428578</v>
      </c>
      <c r="Y196">
        <f ca="1">IF(ISERROR(IF(AVERAGE($Y$197:$Y$203) = 0, "", AVERAGE($Y$197:$Y$203))), "", (IF(AVERAGE($Y$197:$Y$203) = 0, "", AVERAGE($Y$197:$Y$203))))</f>
        <v>3.1572524122857146</v>
      </c>
      <c r="Z196">
        <f ca="1">IF(ISERROR(IF(AVERAGE($Z$197:$Z$203) = 0, "", AVERAGE($Z$197:$Z$203))), "", (IF(AVERAGE($Z$197:$Z$203) = 0, "", AVERAGE($Z$197:$Z$203))))</f>
        <v>3.0131550427142857</v>
      </c>
      <c r="AA196">
        <f ca="1">IF(ISERROR(IF(AVERAGE($AA$197:$AA$203) = 0, "", AVERAGE($AA$197:$AA$203))), "", (IF(AVERAGE($AA$197:$AA$203) = 0, "", AVERAGE($AA$197:$AA$203))))</f>
        <v>3.0550908681428575</v>
      </c>
      <c r="AB196">
        <f ca="1">IF(ISERROR(IF(AVERAGE($AB$197:$AB$203) = 0, "", AVERAGE($AB$197:$AB$203))), "", (IF(AVERAGE($AB$197:$AB$203) = 0, "", AVERAGE($AB$197:$AB$203))))</f>
        <v>3.1150651875714286</v>
      </c>
      <c r="AC196">
        <f ca="1">IF(ISERROR(IF(AVERAGE($AC$197:$AC$203) = 0, "", AVERAGE($AC$197:$AC$203))), "", (IF(AVERAGE($AC$197:$AC$203) = 0, "", AVERAGE($AC$197:$AC$203))))</f>
        <v>3.2478759784285716</v>
      </c>
      <c r="AD196">
        <f ca="1">IF(ISERROR(IF(AVERAGE($AD$197:$AD$203) = 0, "", AVERAGE($AD$197:$AD$203))), "", (IF(AVERAGE($AD$197:$AD$203) = 0, "", AVERAGE($AD$197:$AD$203))))</f>
        <v>3.0367154365714284</v>
      </c>
      <c r="AE196">
        <f ca="1">IF(ISERROR(IF(AVERAGE($AE$197:$AE$203) = 0, "", AVERAGE($AE$197:$AE$203))), "", (IF(AVERAGE($AE$197:$AE$203) = 0, "", AVERAGE($AE$197:$AE$203))))</f>
        <v>3.381535960571429</v>
      </c>
      <c r="AF196">
        <f ca="1">IF(ISERROR(IF(AVERAGE($AF$197:$AF$203) = 0, "", AVERAGE($AF$197:$AF$203))), "", (IF(AVERAGE($AF$197:$AF$203) = 0, "", AVERAGE($AF$197:$AF$203))))</f>
        <v>3.2005194548571425</v>
      </c>
      <c r="AG196">
        <f ca="1">IF(ISERROR(IF(AVERAGE($AG$197:$AG$203) = 0, "", AVERAGE($AG$197:$AG$203))), "", (IF(AVERAGE($AG$197:$AG$203) = 0, "", AVERAGE($AG$197:$AG$203))))</f>
        <v>3.0059942342857147</v>
      </c>
      <c r="AH196">
        <f ca="1">IF(ISERROR(IF(AVERAGE($AH$197:$AH$203) = 0, "", AVERAGE($AH$197:$AH$203))), "", (IF(AVERAGE($AH$197:$AH$203) = 0, "", AVERAGE($AH$197:$AH$203))))</f>
        <v>3.044967953</v>
      </c>
      <c r="AI196">
        <f ca="1">IF(ISERROR(IF(AVERAGE($AI$197:$AI$203) = 0, "", AVERAGE($AI$197:$AI$203))), "", (IF(AVERAGE($AI$197:$AI$203) = 0, "", AVERAGE($AI$197:$AI$203))))</f>
        <v>3.1463228634285718</v>
      </c>
      <c r="AJ196">
        <f ca="1">IF(ISERROR(IF(AVERAGE($AJ$197:$AJ$203) = 0, "", AVERAGE($AJ$197:$AJ$203))), "", (IF(AVERAGE($AJ$197:$AJ$203) = 0, "", AVERAGE($AJ$197:$AJ$203))))</f>
        <v>3.1988375331428571</v>
      </c>
      <c r="AK196">
        <f ca="1">IF(ISERROR(IF(AVERAGE($AK$197:$AK$203) = 0, "", AVERAGE($AK$197:$AK$203))), "", (IF(AVERAGE($AK$197:$AK$203) = 0, "", AVERAGE($AK$197:$AK$203))))</f>
        <v>3.3411717937142851</v>
      </c>
      <c r="AL196">
        <f ca="1">IF(ISERROR(IF(AVERAGE($AL$197:$AL$203) = 0, "", AVERAGE($AL$197:$AL$203))), "", (IF(AVERAGE($AL$197:$AL$203) = 0, "", AVERAGE($AL$197:$AL$203))))</f>
        <v>3.1600089987142854</v>
      </c>
      <c r="AM196">
        <f ca="1">IF(ISERROR(IF(AVERAGE($AM$197:$AM$203) = 0, "", AVERAGE($AM$197:$AM$203))), "", (IF(AVERAGE($AM$197:$AM$203) = 0, "", AVERAGE($AM$197:$AM$203))))</f>
        <v>3.3860320484285715</v>
      </c>
      <c r="AN196">
        <f ca="1">IF(ISERROR(IF(AVERAGE($AN$197:$AN$203) = 0, "", AVERAGE($AN$197:$AN$203))), "", (IF(AVERAGE($AN$197:$AN$203) = 0, "", AVERAGE($AN$197:$AN$203))))</f>
        <v>3.2718690564285713</v>
      </c>
      <c r="AO196">
        <f ca="1">IF(ISERROR(IF(AVERAGE($AO$197:$AO$203) = 0, "", AVERAGE($AO$197:$AO$203))), "", (IF(AVERAGE($AO$197:$AO$203) = 0, "", AVERAGE($AO$197:$AO$203))))</f>
        <v>3.2935750288571426</v>
      </c>
      <c r="AP196">
        <f ca="1">IF(ISERROR(IF(AVERAGE($AP$197:$AP$203) = 0, "", AVERAGE($AP$197:$AP$203))), "", (IF(AVERAGE($AP$197:$AP$203) = 0, "", AVERAGE($AP$197:$AP$203))))</f>
        <v>3.127207932142857</v>
      </c>
      <c r="AQ196">
        <f ca="1">IF(ISERROR(IF(AVERAGE($AQ$197:$AQ$203) = 0, "", AVERAGE($AQ$197:$AQ$203))), "", (IF(AVERAGE($AQ$197:$AQ$203) = 0, "", AVERAGE($AQ$197:$AQ$203))))</f>
        <v>3.2116242951428573</v>
      </c>
      <c r="AR196">
        <f ca="1">IF(ISERROR(IF(AVERAGE($AR$197:$AR$203) = 0, "", AVERAGE($AR$197:$AR$203))), "", (IF(AVERAGE($AR$197:$AR$203) = 0, "", AVERAGE($AR$197:$AR$203))))</f>
        <v>3.0316323795714282</v>
      </c>
      <c r="AS196">
        <f ca="1">IF(ISERROR(IF(AVERAGE($AS$197:$AS$203) = 0, "", AVERAGE($AS$197:$AS$203))), "", (IF(AVERAGE($AS$197:$AS$203) = 0, "", AVERAGE($AS$197:$AS$203))))</f>
        <v>3.1448844751428569</v>
      </c>
      <c r="AT196">
        <f ca="1">IF(ISERROR(IF(AVERAGE($AT$197:$AT$203) = 0, "", AVERAGE($AT$197:$AT$203))), "", (IF(AVERAGE($AT$197:$AT$203) = 0, "", AVERAGE($AT$197:$AT$203))))</f>
        <v>3.1222658622857145</v>
      </c>
      <c r="AU196">
        <f ca="1">IF(ISERROR(IF(AVERAGE($AU$197:$AU$203) = 0, "", AVERAGE($AU$197:$AU$203))), "", (IF(AVERAGE($AU$197:$AU$203) = 0, "", AVERAGE($AU$197:$AU$203))))</f>
        <v>3.1931246271428573</v>
      </c>
      <c r="AV196">
        <f ca="1">IF(ISERROR(IF(AVERAGE($AV$197:$AV$203) = 0, "", AVERAGE($AV$197:$AV$203))), "", (IF(AVERAGE($AV$197:$AV$203) = 0, "", AVERAGE($AV$197:$AV$203))))</f>
        <v>3.5476334535714282</v>
      </c>
      <c r="AW196">
        <f ca="1">IF(ISERROR(IF(AVERAGE($AW$197:$AW$203) = 0, "", AVERAGE($AW$197:$AW$203))), "", (IF(AVERAGE($AW$197:$AW$203) = 0, "", AVERAGE($AW$197:$AW$203))))</f>
        <v>3.254819567428572</v>
      </c>
      <c r="AX196">
        <f ca="1">IF(ISERROR(IF(AVERAGE($AX$197:$AX$203) = 0, "", AVERAGE($AX$197:$AX$203))), "", (IF(AVERAGE($AX$197:$AX$203) = 0, "", AVERAGE($AX$197:$AX$203))))</f>
        <v>3.3448220238571422</v>
      </c>
      <c r="AY196">
        <f ca="1">IF(ISERROR(IF(AVERAGE($AY$197:$AY$203) = 0, "", AVERAGE($AY$197:$AY$203))), "", (IF(AVERAGE($AY$197:$AY$203) = 0, "", AVERAGE($AY$197:$AY$203))))</f>
        <v>3.4018735739999997</v>
      </c>
      <c r="AZ196">
        <f ca="1">IF(ISERROR(IF(AVERAGE($AZ$197:$AZ$203) = 0, "", AVERAGE($AZ$197:$AZ$203))), "", (IF(AVERAGE($AZ$197:$AZ$203) = 0, "", AVERAGE($AZ$197:$AZ$203))))</f>
        <v>3.4370564245714279</v>
      </c>
      <c r="BA196">
        <f ca="1">IF(ISERROR(IF(AVERAGE($BA$197:$BA$203) = 0, "", AVERAGE($BA$197:$BA$203))), "", (IF(AVERAGE($BA$197:$BA$203) = 0, "", AVERAGE($BA$197:$BA$203))))</f>
        <v>3.5711729065714288</v>
      </c>
      <c r="BB196">
        <f ca="1">IF(ISERROR(IF(AVERAGE($BB$197:$BB$203) = 0, "", AVERAGE($BB$197:$BB$203))), "", (IF(AVERAGE($BB$197:$BB$203) = 0, "", AVERAGE($BB$197:$BB$203))))</f>
        <v>3.6419628765714287</v>
      </c>
      <c r="BC196">
        <f ca="1">IF(ISERROR(IF(AVERAGE($BC$197:$BC$203) = 0, "", AVERAGE($BC$197:$BC$203))), "", (IF(AVERAGE($BC$197:$BC$203) = 0, "", AVERAGE($BC$197:$BC$203))))</f>
        <v>3.762107015571428</v>
      </c>
      <c r="BD196">
        <f ca="1">IF(ISERROR(IF(AVERAGE($BD$197:$BD$203) = 0, "", AVERAGE($BD$197:$BD$203))), "", (IF(AVERAGE($BD$197:$BD$203) = 0, "", AVERAGE($BD$197:$BD$203))))</f>
        <v>3.9832955520000004</v>
      </c>
      <c r="BE196">
        <f ca="1">IF(ISERROR(IF(AVERAGE($BE$197:$BE$203) = 0, "", AVERAGE($BE$197:$BE$203))), "", (IF(AVERAGE($BE$197:$BE$203) = 0, "", AVERAGE($BE$197:$BE$203))))</f>
        <v>4.1391094031428572</v>
      </c>
      <c r="BF196">
        <f ca="1">IF(ISERROR(IF(AVERAGE($BF$197:$BF$203) = 0, "", AVERAGE($BF$197:$BF$203))), "", (IF(AVERAGE($BF$197:$BF$203) = 0, "", AVERAGE($BF$197:$BF$203))))</f>
        <v>3.8187119762857145</v>
      </c>
      <c r="BG196">
        <f ca="1">IF(ISERROR(IF(AVERAGE($BG$197:$BG$203) = 0, "", AVERAGE($BG$197:$BG$203))), "", (IF(AVERAGE($BG$197:$BG$203) = 0, "", AVERAGE($BG$197:$BG$203))))</f>
        <v>3.5452010957142859</v>
      </c>
      <c r="BH196">
        <f ca="1">IF(ISERROR(IF(AVERAGE($BH$197:$BH$203) = 0, "", AVERAGE($BH$197:$BH$203))), "", (IF(AVERAGE($BH$197:$BH$203) = 0, "", AVERAGE($BH$197:$BH$203))))</f>
        <v>3.654727525857143</v>
      </c>
      <c r="BI196">
        <f ca="1">IF(ISERROR(IF(AVERAGE($BI$197:$BI$203) = 0, "", AVERAGE($BI$197:$BI$203))), "", (IF(AVERAGE($BI$197:$BI$203) = 0, "", AVERAGE($BI$197:$BI$203))))</f>
        <v>3.7357574521428569</v>
      </c>
      <c r="BJ196">
        <f ca="1">IF(ISERROR(IF(AVERAGE($BJ$197:$BJ$203) = 0, "", AVERAGE($BJ$197:$BJ$203))), "", (IF(AVERAGE($BJ$197:$BJ$203) = 0, "", AVERAGE($BJ$197:$BJ$203))))</f>
        <v>3.3899697891428575</v>
      </c>
      <c r="BK196">
        <f ca="1">IF(ISERROR(IF(AVERAGE($BK$197:$BK$203) = 0, "", AVERAGE($BK$197:$BK$203))), "", (IF(AVERAGE($BK$197:$BK$203) = 0, "", AVERAGE($BK$197:$BK$203))))</f>
        <v>3.3720230550000001</v>
      </c>
      <c r="BL196">
        <f ca="1">IF(ISERROR(IF(AVERAGE($BL$197:$BL$203) = 0, "", AVERAGE($BL$197:$BL$203))), "", (IF(AVERAGE($BL$197:$BL$203) = 0, "", AVERAGE($BL$197:$BL$203))))</f>
        <v>3.4134912581428574</v>
      </c>
      <c r="BM196">
        <f ca="1">IF(ISERROR(IF(AVERAGE($BM$197:$BM$203) = 0, "", AVERAGE($BM$197:$BM$203))), "", (IF(AVERAGE($BM$197:$BM$203) = 0, "", AVERAGE($BM$197:$BM$203))))</f>
        <v>3.3561576397142856</v>
      </c>
      <c r="BN196">
        <f ca="1">IF(ISERROR(IF(AVERAGE($BN$197:$BN$203) = 0, "", AVERAGE($BN$197:$BN$203))), "", (IF(AVERAGE($BN$197:$BN$203) = 0, "", AVERAGE($BN$197:$BN$203))))</f>
        <v>3.4586731378571427</v>
      </c>
      <c r="BO196">
        <f ca="1">IF(ISERROR(IF(AVERAGE($BO$197:$BO$203) = 0, "", AVERAGE($BO$197:$BO$203))), "", (IF(AVERAGE($BO$197:$BO$203) = 0, "", AVERAGE($BO$197:$BO$203))))</f>
        <v>3.8332048711428572</v>
      </c>
      <c r="BP196">
        <f ca="1">IF(ISERROR(IF(AVERAGE($BP$197:$BP$203) = 0, "", AVERAGE($BP$197:$BP$203))), "", (IF(AVERAGE($BP$197:$BP$203) = 0, "", AVERAGE($BP$197:$BP$203))))</f>
        <v>3.8269079017142857</v>
      </c>
      <c r="BQ196">
        <f ca="1">IF(ISERROR(IF(AVERAGE($BQ$197:$BQ$203) = 0, "", AVERAGE($BQ$197:$BQ$203))), "", (IF(AVERAGE($BQ$197:$BQ$203) = 0, "", AVERAGE($BQ$197:$BQ$203))))</f>
        <v>3.6448045012857144</v>
      </c>
      <c r="BR196">
        <f ca="1">IF(ISERROR(IF(AVERAGE($BR$197:$BR$203) = 0, "", AVERAGE($BR$197:$BR$203))), "", (IF(AVERAGE($BR$197:$BR$203) = 0, "", AVERAGE($BR$197:$BR$203))))</f>
        <v>3.309870589</v>
      </c>
      <c r="BS196">
        <f ca="1">IF(ISERROR(IF(AVERAGE($BS$197:$BS$203) = 0, "", AVERAGE($BS$197:$BS$203))), "", (IF(AVERAGE($BS$197:$BS$203) = 0, "", AVERAGE($BS$197:$BS$203))))</f>
        <v>3.1804440288571425</v>
      </c>
      <c r="BT196">
        <f ca="1">IF(ISERROR(IF(AVERAGE($BT$197:$BT$203) = 0, "", AVERAGE($BT$197:$BT$203))), "", (IF(AVERAGE($BT$197:$BT$203) = 0, "", AVERAGE($BT$197:$BT$203))))</f>
        <v>3.1867449081428569</v>
      </c>
      <c r="BU196">
        <f ca="1">IF(ISERROR(IF(AVERAGE($BU$197:$BU$203) = 0, "", AVERAGE($BU$197:$BU$203))), "", (IF(AVERAGE($BU$197:$BU$203) = 0, "", AVERAGE($BU$197:$BU$203))))</f>
        <v>3.0695428578571433</v>
      </c>
      <c r="BV196">
        <f ca="1">IF(ISERROR(IF(AVERAGE($BV$197:$BV$203) = 0, "", AVERAGE($BV$197:$BV$203))), "", (IF(AVERAGE($BV$197:$BV$203) = 0, "", AVERAGE($BV$197:$BV$203))))</f>
        <v>2.9218318358571431</v>
      </c>
      <c r="BW196">
        <f ca="1">IF(ISERROR(IF(AVERAGE($BW$197:$BW$203) = 0, "", AVERAGE($BW$197:$BW$203))), "", (IF(AVERAGE($BW$197:$BW$203) = 0, "", AVERAGE($BW$197:$BW$203))))</f>
        <v>3.0020106962857147</v>
      </c>
      <c r="BX196">
        <f ca="1">IF(ISERROR(IF(AVERAGE($BX$197:$BX$203) = 0, "", AVERAGE($BX$197:$BX$203))), "", (IF(AVERAGE($BX$197:$BX$203) = 0, "", AVERAGE($BX$197:$BX$203))))</f>
        <v>3.0465037208571428</v>
      </c>
      <c r="BY196">
        <f ca="1">IF(ISERROR(IF(AVERAGE($BY$197:$BY$203) = 0, "", AVERAGE($BY$197:$BY$203))), "", (IF(AVERAGE($BY$197:$BY$203) = 0, "", AVERAGE($BY$197:$BY$203))))</f>
        <v>2.9762538465714283</v>
      </c>
      <c r="BZ196">
        <f ca="1">IF(ISERROR(IF(AVERAGE($BZ$197:$BZ$203) = 0, "", AVERAGE($BZ$197:$BZ$203))), "", (IF(AVERAGE($BZ$197:$BZ$203) = 0, "", AVERAGE($BZ$197:$BZ$203))))</f>
        <v>3.0244549431428571</v>
      </c>
      <c r="CA196">
        <f ca="1">IF(ISERROR(IF(AVERAGE($CA$197:$CA$203) = 0, "", AVERAGE($CA$197:$CA$203))), "", (IF(AVERAGE($CA$197:$CA$203) = 0, "", AVERAGE($CA$197:$CA$203))))</f>
        <v>3.407906441857143</v>
      </c>
      <c r="CB196">
        <f ca="1">IF(ISERROR(IF(AVERAGE($CB$197:$CB$203) = 0, "", AVERAGE($CB$197:$CB$203))), "", (IF(AVERAGE($CB$197:$CB$203) = 0, "", AVERAGE($CB$197:$CB$203))))</f>
        <v>3.107726908714286</v>
      </c>
      <c r="CC196">
        <f ca="1">IF(ISERROR(IF(AVERAGE($CC$197:$CC$203) = 0, "", AVERAGE($CC$197:$CC$203))), "", (IF(AVERAGE($CC$197:$CC$203) = 0, "", AVERAGE($CC$197:$CC$203))))</f>
        <v>3.2236736688571428</v>
      </c>
      <c r="CD196">
        <f ca="1">IF(ISERROR(IF(AVERAGE($CD$197:$CD$203) = 0, "", AVERAGE($CD$197:$CD$203))), "", (IF(AVERAGE($CD$197:$CD$203) = 0, "", AVERAGE($CD$197:$CD$203))))</f>
        <v>3.1170043270000001</v>
      </c>
      <c r="CE196">
        <f ca="1">IF(ISERROR(IF(AVERAGE($CE$197:$CE$203) = 0, "", AVERAGE($CE$197:$CE$203))), "", (IF(AVERAGE($CE$197:$CE$203) = 0, "", AVERAGE($CE$197:$CE$203))))</f>
        <v>2.8991779688571429</v>
      </c>
      <c r="CF196">
        <f ca="1">IF(ISERROR(IF(AVERAGE($CF$197:$CF$203) = 0, "", AVERAGE($CF$197:$CF$203))), "", (IF(AVERAGE($CF$197:$CF$203) = 0, "", AVERAGE($CF$197:$CF$203))))</f>
        <v>3.2423784531428566</v>
      </c>
      <c r="CG196">
        <f ca="1">IF(ISERROR(IF(AVERAGE($CG$197:$CG$203) = 0, "", AVERAGE($CG$197:$CG$203))), "", (IF(AVERAGE($CG$197:$CG$203) = 0, "", AVERAGE($CG$197:$CG$203))))</f>
        <v>2.7098058782857142</v>
      </c>
      <c r="CH196">
        <f ca="1">IF(ISERROR(IF(AVERAGE($CH$197:$CH$203) = 0, "", AVERAGE($CH$197:$CH$203))), "", (IF(AVERAGE($CH$197:$CH$203) = 0, "", AVERAGE($CH$197:$CH$203))))</f>
        <v>2.7249860977142859</v>
      </c>
      <c r="CI196">
        <f ca="1">IF(ISERROR(IF(AVERAGE($CI$197:$CI$203) = 0, "", AVERAGE($CI$197:$CI$203))), "", (IF(AVERAGE($CI$197:$CI$203) = 0, "", AVERAGE($CI$197:$CI$203))))</f>
        <v>2.863572985571428</v>
      </c>
      <c r="CJ196">
        <f ca="1">IF(ISERROR(IF(AVERAGE($CJ$197:$CJ$203) = 0, "", AVERAGE($CJ$197:$CJ$203))), "", (IF(AVERAGE($CJ$197:$CJ$203) = 0, "", AVERAGE($CJ$197:$CJ$203))))</f>
        <v>2.7478996511428568</v>
      </c>
      <c r="CK196">
        <f ca="1">IF(ISERROR(IF(AVERAGE($CK$197:$CK$203) = 0, "", AVERAGE($CK$197:$CK$203))), "", (IF(AVERAGE($CK$197:$CK$203) = 0, "", AVERAGE($CK$197:$CK$203))))</f>
        <v>2.8095544628571427</v>
      </c>
      <c r="CL196">
        <f>3.615946047</f>
        <v>3.615946047</v>
      </c>
      <c r="CM196">
        <f>3.779984659</f>
        <v>3.7799846590000001</v>
      </c>
      <c r="CN196">
        <f>3.441161429</f>
        <v>3.4411614290000001</v>
      </c>
      <c r="CO196">
        <f>3.240760879</f>
        <v>3.2407608790000002</v>
      </c>
      <c r="CP196">
        <f>3.154950756</f>
        <v>3.1549507559999999</v>
      </c>
      <c r="CQ196">
        <f>3.13638154</f>
        <v>3.1363815399999999</v>
      </c>
      <c r="CR196">
        <f>3.153654049</f>
        <v>3.153654049</v>
      </c>
      <c r="CS196">
        <f>3.092959192</f>
        <v>3.0929591919999999</v>
      </c>
      <c r="CT196">
        <f>3.08967802</f>
        <v>3.08967802</v>
      </c>
      <c r="CU196">
        <f>3.154473426</f>
        <v>3.154473426</v>
      </c>
      <c r="CV196">
        <f>3.195978694</f>
        <v>3.1959786939999999</v>
      </c>
      <c r="CW196">
        <f>3.248584476</f>
        <v>3.248584476</v>
      </c>
      <c r="CX196">
        <f>3.310178184</f>
        <v>3.3101781840000002</v>
      </c>
      <c r="CY196">
        <f>3.218175052</f>
        <v>3.2181750519999999</v>
      </c>
      <c r="CZ196">
        <f>3.311939877</f>
        <v>3.3119398769999999</v>
      </c>
      <c r="DA196">
        <f>3.170442169</f>
        <v>3.1704421690000002</v>
      </c>
      <c r="DB196">
        <f>3.37109777</f>
        <v>3.37109777</v>
      </c>
      <c r="DC196">
        <f>3.285252368</f>
        <v>3.2852523680000001</v>
      </c>
      <c r="DD196">
        <f>3.181239251</f>
        <v>3.181239251</v>
      </c>
      <c r="DE196">
        <f>3.157252412</f>
        <v>3.1572524120000001</v>
      </c>
      <c r="DF196">
        <f>3.013155043</f>
        <v>3.0131550429999998</v>
      </c>
      <c r="DG196">
        <f>3.055090868</f>
        <v>3.0550908680000002</v>
      </c>
      <c r="DH196">
        <f>3.115065188</f>
        <v>3.115065188</v>
      </c>
      <c r="DI196">
        <f>3.247875978</f>
        <v>3.2478759780000002</v>
      </c>
      <c r="DJ196">
        <f>3.036715437</f>
        <v>3.0367154369999998</v>
      </c>
      <c r="DK196">
        <f>3.381535961</f>
        <v>3.381535961</v>
      </c>
      <c r="DL196">
        <f>3.200519455</f>
        <v>3.2005194549999998</v>
      </c>
      <c r="DM196">
        <f>3.005994234</f>
        <v>3.0059942340000001</v>
      </c>
      <c r="DN196">
        <f>3.044967953</f>
        <v>3.044967953</v>
      </c>
      <c r="DO196">
        <f>3.146322863</f>
        <v>3.146322863</v>
      </c>
      <c r="DP196">
        <f>3.198837533</f>
        <v>3.1988375329999998</v>
      </c>
      <c r="DQ196">
        <f>3.341171794</f>
        <v>3.3411717940000001</v>
      </c>
      <c r="DR196">
        <f>3.160008999</f>
        <v>3.160008999</v>
      </c>
      <c r="DS196">
        <f>3.386032049</f>
        <v>3.3860320490000002</v>
      </c>
      <c r="DT196">
        <f>3.271869056</f>
        <v>3.2718690559999999</v>
      </c>
      <c r="DU196">
        <f>3.293575029</f>
        <v>3.2935750289999999</v>
      </c>
      <c r="DV196">
        <f>3.127207932</f>
        <v>3.1272079320000001</v>
      </c>
      <c r="DW196">
        <f>3.211624295</f>
        <v>3.211624295</v>
      </c>
      <c r="DX196">
        <f>3.03163238</f>
        <v>3.03163238</v>
      </c>
      <c r="DY196">
        <f>3.144884475</f>
        <v>3.144884475</v>
      </c>
      <c r="DZ196">
        <f>3.122265862</f>
        <v>3.1222658619999999</v>
      </c>
      <c r="EA196">
        <f>3.193124627</f>
        <v>3.193124627</v>
      </c>
      <c r="EB196">
        <f>3.547633454</f>
        <v>3.5476334540000001</v>
      </c>
      <c r="EC196">
        <f>3.254819567</f>
        <v>3.2548195670000002</v>
      </c>
      <c r="ED196">
        <f>3.344822024</f>
        <v>3.3448220239999999</v>
      </c>
      <c r="EE196">
        <f>3.401873574</f>
        <v>3.4018735740000001</v>
      </c>
      <c r="EF196">
        <f>3.437056424</f>
        <v>3.4370564240000001</v>
      </c>
      <c r="EG196">
        <f>3.571172907</f>
        <v>3.5711729069999998</v>
      </c>
      <c r="EH196">
        <f>3.641962877</f>
        <v>3.6419628770000001</v>
      </c>
      <c r="EI196">
        <f>3.762107016</f>
        <v>3.7621070159999999</v>
      </c>
      <c r="EJ196">
        <f>3.983295552</f>
        <v>3.983295552</v>
      </c>
      <c r="EK196">
        <f>4.139109404</f>
        <v>4.139109404</v>
      </c>
      <c r="EL196">
        <f>3.818711976</f>
        <v>3.8187119759999999</v>
      </c>
      <c r="EM196">
        <f>3.545201096</f>
        <v>3.545201096</v>
      </c>
      <c r="EN196">
        <f>3.654727526</f>
        <v>3.6547275259999998</v>
      </c>
      <c r="EO196">
        <f>3.735757452</f>
        <v>3.7357574520000001</v>
      </c>
      <c r="EP196">
        <f>3.389969789</f>
        <v>3.3899697889999998</v>
      </c>
      <c r="EQ196">
        <f>3.372023055</f>
        <v>3.3720230550000001</v>
      </c>
      <c r="ER196">
        <f>3.413491258</f>
        <v>3.4134912580000001</v>
      </c>
      <c r="ES196">
        <f>3.35615764</f>
        <v>3.3561576400000002</v>
      </c>
      <c r="ET196">
        <f>3.458673138</f>
        <v>3.458673138</v>
      </c>
      <c r="EU196">
        <f>3.833204871</f>
        <v>3.833204871</v>
      </c>
      <c r="EV196">
        <f>3.826907902</f>
        <v>3.8269079019999999</v>
      </c>
      <c r="EW196">
        <f>3.644804501</f>
        <v>3.6448045009999999</v>
      </c>
      <c r="EX196">
        <f>3.309870589</f>
        <v>3.309870589</v>
      </c>
      <c r="EY196">
        <f>3.180444029</f>
        <v>3.1804440289999998</v>
      </c>
      <c r="EZ196">
        <f>3.186744908</f>
        <v>3.1867449080000001</v>
      </c>
      <c r="FA196">
        <f>3.069542858</f>
        <v>3.0695428580000002</v>
      </c>
      <c r="FB196">
        <f>2.921831836</f>
        <v>2.921831836</v>
      </c>
      <c r="FC196">
        <f>3.002010696</f>
        <v>3.0020106960000001</v>
      </c>
      <c r="FD196">
        <f>3.046503721</f>
        <v>3.0465037210000001</v>
      </c>
      <c r="FE196">
        <f>2.976253847</f>
        <v>2.9762538470000002</v>
      </c>
      <c r="FF196">
        <f>3.024454943</f>
        <v>3.0244549429999998</v>
      </c>
      <c r="FG196">
        <f>3.407906442</f>
        <v>3.4079064419999998</v>
      </c>
      <c r="FH196">
        <f>3.107726909</f>
        <v>3.1077269090000001</v>
      </c>
      <c r="FI196">
        <f>3.223673669</f>
        <v>3.2236736690000001</v>
      </c>
      <c r="FJ196">
        <f>3.117004327</f>
        <v>3.1170043270000001</v>
      </c>
      <c r="FK196">
        <f>2.899177969</f>
        <v>2.8991779690000001</v>
      </c>
      <c r="FL196">
        <f>3.242378453</f>
        <v>3.2423784530000002</v>
      </c>
      <c r="FM196">
        <f>2.709805878</f>
        <v>2.7098058780000001</v>
      </c>
      <c r="FN196">
        <f>2.724986098</f>
        <v>2.724986098</v>
      </c>
      <c r="FO196">
        <f>2.863572985</f>
        <v>2.8635729849999998</v>
      </c>
      <c r="FP196">
        <f>2.747899651</f>
        <v>2.747899651</v>
      </c>
      <c r="FQ196">
        <f>2.809554463</f>
        <v>2.809554463</v>
      </c>
    </row>
    <row r="197" spans="1:173">
      <c r="A197" t="str">
        <f>"    公寓投资与管理"</f>
        <v xml:space="preserve">    公寓投资与管理</v>
      </c>
      <c r="B197" t="str">
        <f>"AIV US Equity"</f>
        <v>AIV US Equity</v>
      </c>
      <c r="C197" t="str">
        <f t="shared" ref="C197:C203" si="63">"DV013"</f>
        <v>DV013</v>
      </c>
      <c r="D197" t="str">
        <f t="shared" ref="D197:D203" si="64">"EQY_DVD_YLD_IND"</f>
        <v>EQY_DVD_YLD_IND</v>
      </c>
      <c r="E197" t="str">
        <f t="shared" ref="E197:E203" si="65">"动态"</f>
        <v>动态</v>
      </c>
      <c r="F197">
        <f ca="1">IF(AND(ISNUMBER($F$401),$B$252=1),$F$401,HLOOKUP(INDIRECT(ADDRESS(2,COLUMN())),OFFSET($CL$2,0,0,ROW()-1,84),ROW()-1,FALSE))</f>
        <v>3.795255955</v>
      </c>
      <c r="G197">
        <f ca="1">IF(AND(ISNUMBER($G$401),$B$252=1),$G$401,HLOOKUP(INDIRECT(ADDRESS(2,COLUMN())),OFFSET($CL$2,0,0,ROW()-1,84),ROW()-1,FALSE))</f>
        <v>3.931712315</v>
      </c>
      <c r="H197">
        <f ca="1">IF(AND(ISNUMBER($H$401),$B$252=1),$H$401,HLOOKUP(INDIRECT(ADDRESS(2,COLUMN())),OFFSET($CL$2,0,0,ROW()-1,84),ROW()-1,FALSE))</f>
        <v>3.6328871440000001</v>
      </c>
      <c r="I197">
        <f ca="1">IF(AND(ISNUMBER($I$401),$B$252=1),$I$401,HLOOKUP(INDIRECT(ADDRESS(2,COLUMN())),OFFSET($CL$2,0,0,ROW()-1,84),ROW()-1,FALSE))</f>
        <v>3.2944407619999998</v>
      </c>
      <c r="J197">
        <f ca="1">IF(AND(ISNUMBER($J$401),$B$252=1),$J$401,HLOOKUP(INDIRECT(ADDRESS(2,COLUMN())),OFFSET($CL$2,0,0,ROW()-1,84),ROW()-1,FALSE))</f>
        <v>3.2660468520000001</v>
      </c>
      <c r="K197">
        <f ca="1">IF(AND(ISNUMBER($K$401),$B$252=1),$K$401,HLOOKUP(INDIRECT(ADDRESS(2,COLUMN())),OFFSET($CL$2,0,0,ROW()-1,84),ROW()-1,FALSE))</f>
        <v>3.274215683</v>
      </c>
      <c r="L197">
        <f ca="1">IF(AND(ISNUMBER($L$401),$B$252=1),$L$401,HLOOKUP(INDIRECT(ADDRESS(2,COLUMN())),OFFSET($CL$2,0,0,ROW()-1,84),ROW()-1,FALSE))</f>
        <v>3.2831738650000002</v>
      </c>
      <c r="M197">
        <f ca="1">IF(AND(ISNUMBER($M$401),$B$252=1),$M$401,HLOOKUP(INDIRECT(ADDRESS(2,COLUMN())),OFFSET($CL$2,0,0,ROW()-1,84),ROW()-1,FALSE))</f>
        <v>3.176704296</v>
      </c>
      <c r="N197">
        <f ca="1">IF(AND(ISNUMBER($N$401),$B$252=1),$N$401,HLOOKUP(INDIRECT(ADDRESS(2,COLUMN())),OFFSET($CL$2,0,0,ROW()-1,84),ROW()-1,FALSE))</f>
        <v>3.1613612670000002</v>
      </c>
      <c r="O197">
        <f ca="1">IF(AND(ISNUMBER($O$401),$B$252=1),$O$401,HLOOKUP(INDIRECT(ADDRESS(2,COLUMN())),OFFSET($CL$2,0,0,ROW()-1,84),ROW()-1,FALSE))</f>
        <v>3.3511753720000002</v>
      </c>
      <c r="P197">
        <f ca="1">IF(AND(ISNUMBER($P$401),$B$252=1),$P$401,HLOOKUP(INDIRECT(ADDRESS(2,COLUMN())),OFFSET($CL$2,0,0,ROW()-1,84),ROW()-1,FALSE))</f>
        <v>3.35507935</v>
      </c>
      <c r="Q197">
        <f ca="1">IF(AND(ISNUMBER($Q$401),$B$252=1),$Q$401,HLOOKUP(INDIRECT(ADDRESS(2,COLUMN())),OFFSET($CL$2,0,0,ROW()-1,84),ROW()-1,FALSE))</f>
        <v>3.292181201</v>
      </c>
      <c r="R197">
        <f ca="1">IF(AND(ISNUMBER($R$401),$B$252=1),$R$401,HLOOKUP(INDIRECT(ADDRESS(2,COLUMN())),OFFSET($CL$2,0,0,ROW()-1,84),ROW()-1,FALSE))</f>
        <v>3.2468997910000001</v>
      </c>
      <c r="S197">
        <f ca="1">IF(AND(ISNUMBER($S$401),$B$252=1),$S$401,HLOOKUP(INDIRECT(ADDRESS(2,COLUMN())),OFFSET($CL$2,0,0,ROW()-1,84),ROW()-1,FALSE))</f>
        <v>3.094777686</v>
      </c>
      <c r="T197">
        <f ca="1">IF(AND(ISNUMBER($T$401),$B$252=1),$T$401,HLOOKUP(INDIRECT(ADDRESS(2,COLUMN())),OFFSET($CL$2,0,0,ROW()-1,84),ROW()-1,FALSE))</f>
        <v>3.2675290609999998</v>
      </c>
      <c r="U197">
        <f ca="1">IF(AND(ISNUMBER($U$401),$B$252=1),$U$401,HLOOKUP(INDIRECT(ADDRESS(2,COLUMN())),OFFSET($CL$2,0,0,ROW()-1,84),ROW()-1,FALSE))</f>
        <v>2.9042905440000002</v>
      </c>
      <c r="V197">
        <f ca="1">IF(AND(ISNUMBER($V$401),$B$252=1),$V$401,HLOOKUP(INDIRECT(ADDRESS(2,COLUMN())),OFFSET($CL$2,0,0,ROW()-1,84),ROW()-1,FALSE))</f>
        <v>3.135392049</v>
      </c>
      <c r="W197">
        <f ca="1">IF(AND(ISNUMBER($W$401),$B$252=1),$W$401,HLOOKUP(INDIRECT(ADDRESS(2,COLUMN())),OFFSET($CL$2,0,0,ROW()-1,84),ROW()-1,FALSE))</f>
        <v>2.9952349730000001</v>
      </c>
      <c r="X197">
        <f ca="1">IF(AND(ISNUMBER($X$401),$B$252=1),$X$401,HLOOKUP(INDIRECT(ADDRESS(2,COLUMN())),OFFSET($CL$2,0,0,ROW()-1,84),ROW()-1,FALSE))</f>
        <v>2.8751907050000001</v>
      </c>
      <c r="Y197">
        <f ca="1">IF(AND(ISNUMBER($Y$401),$B$252=1),$Y$401,HLOOKUP(INDIRECT(ADDRESS(2,COLUMN())),OFFSET($CL$2,0,0,ROW()-1,84),ROW()-1,FALSE))</f>
        <v>2.9216468619999998</v>
      </c>
      <c r="Z197">
        <f ca="1">IF(AND(ISNUMBER($Z$401),$B$252=1),$Z$401,HLOOKUP(INDIRECT(ADDRESS(2,COLUMN())),OFFSET($CL$2,0,0,ROW()-1,84),ROW()-1,FALSE))</f>
        <v>2.8714380080000002</v>
      </c>
      <c r="AA197">
        <f ca="1">IF(AND(ISNUMBER($AA$401),$B$252=1),$AA$401,HLOOKUP(INDIRECT(ADDRESS(2,COLUMN())),OFFSET($CL$2,0,0,ROW()-1,84),ROW()-1,FALSE))</f>
        <v>2.9891305539999999</v>
      </c>
      <c r="AB197">
        <f ca="1">IF(AND(ISNUMBER($AB$401),$B$252=1),$AB$401,HLOOKUP(INDIRECT(ADDRESS(2,COLUMN())),OFFSET($CL$2,0,0,ROW()-1,84),ROW()-1,FALSE))</f>
        <v>3.0949590910000002</v>
      </c>
      <c r="AC197">
        <f ca="1">IF(AND(ISNUMBER($AC$401),$B$252=1),$AC$401,HLOOKUP(INDIRECT(ADDRESS(2,COLUMN())),OFFSET($CL$2,0,0,ROW()-1,84),ROW()-1,FALSE))</f>
        <v>3.2950575450000001</v>
      </c>
      <c r="AD197">
        <f ca="1">IF(AND(ISNUMBER($AD$401),$B$252=1),$AD$401,HLOOKUP(INDIRECT(ADDRESS(2,COLUMN())),OFFSET($CL$2,0,0,ROW()-1,84),ROW()-1,FALSE))</f>
        <v>3.1563846299999998</v>
      </c>
      <c r="AE197">
        <f ca="1">IF(AND(ISNUMBER($AE$401),$B$252=1),$AE$401,HLOOKUP(INDIRECT(ADDRESS(2,COLUMN())),OFFSET($CL$2,0,0,ROW()-1,84),ROW()-1,FALSE))</f>
        <v>3.6055723909999999</v>
      </c>
      <c r="AF197">
        <f ca="1">IF(AND(ISNUMBER($AF$401),$B$252=1),$AF$401,HLOOKUP(INDIRECT(ADDRESS(2,COLUMN())),OFFSET($CL$2,0,0,ROW()-1,84),ROW()-1,FALSE))</f>
        <v>3.3716476439999998</v>
      </c>
      <c r="AG197">
        <f ca="1">IF(AND(ISNUMBER($AG$401),$B$252=1),$AG$401,HLOOKUP(INDIRECT(ADDRESS(2,COLUMN())),OFFSET($CL$2,0,0,ROW()-1,84),ROW()-1,FALSE))</f>
        <v>2.997751805</v>
      </c>
      <c r="AH197">
        <f ca="1">IF(AND(ISNUMBER($AH$401),$B$252=1),$AH$401,HLOOKUP(INDIRECT(ADDRESS(2,COLUMN())),OFFSET($CL$2,0,0,ROW()-1,84),ROW()-1,FALSE))</f>
        <v>3.1487799729999999</v>
      </c>
      <c r="AI197">
        <f ca="1">IF(AND(ISNUMBER($AI$401),$B$252=1),$AI$401,HLOOKUP(INDIRECT(ADDRESS(2,COLUMN())),OFFSET($CL$2,0,0,ROW()-1,84),ROW()-1,FALSE))</f>
        <v>3.0620057350000001</v>
      </c>
      <c r="AJ197">
        <f ca="1">IF(AND(ISNUMBER($AJ$401),$B$252=1),$AJ$401,HLOOKUP(INDIRECT(ADDRESS(2,COLUMN())),OFFSET($CL$2,0,0,ROW()-1,84),ROW()-1,FALSE))</f>
        <v>3.2414912149999999</v>
      </c>
      <c r="AK197">
        <f ca="1">IF(AND(ISNUMBER($AK$401),$B$252=1),$AK$401,HLOOKUP(INDIRECT(ADDRESS(2,COLUMN())),OFFSET($CL$2,0,0,ROW()-1,84),ROW()-1,FALSE))</f>
        <v>3.330558001</v>
      </c>
      <c r="AL197">
        <f ca="1">IF(AND(ISNUMBER($AL$401),$B$252=1),$AL$401,HLOOKUP(INDIRECT(ADDRESS(2,COLUMN())),OFFSET($CL$2,0,0,ROW()-1,84),ROW()-1,FALSE))</f>
        <v>3.0706244819999999</v>
      </c>
      <c r="AM197">
        <f ca="1">IF(AND(ISNUMBER($AM$401),$B$252=1),$AM$401,HLOOKUP(INDIRECT(ADDRESS(2,COLUMN())),OFFSET($CL$2,0,0,ROW()-1,84),ROW()-1,FALSE))</f>
        <v>3.2493908679999999</v>
      </c>
      <c r="AN197">
        <f ca="1">IF(AND(ISNUMBER($AN$401),$B$252=1),$AN$401,HLOOKUP(INDIRECT(ADDRESS(2,COLUMN())),OFFSET($CL$2,0,0,ROW()-1,84),ROW()-1,FALSE))</f>
        <v>3.1637227729999999</v>
      </c>
      <c r="AO197">
        <f ca="1">IF(AND(ISNUMBER($AO$401),$B$252=1),$AO$401,HLOOKUP(INDIRECT(ADDRESS(2,COLUMN())),OFFSET($CL$2,0,0,ROW()-1,84),ROW()-1,FALSE))</f>
        <v>3.1804931029999999</v>
      </c>
      <c r="AP197">
        <f ca="1">IF(AND(ISNUMBER($AP$401),$B$252=1),$AP$401,HLOOKUP(INDIRECT(ADDRESS(2,COLUMN())),OFFSET($CL$2,0,0,ROW()-1,84),ROW()-1,FALSE))</f>
        <v>2.8455284669999998</v>
      </c>
      <c r="AQ197">
        <f ca="1">IF(AND(ISNUMBER($AQ$401),$B$252=1),$AQ$401,HLOOKUP(INDIRECT(ADDRESS(2,COLUMN())),OFFSET($CL$2,0,0,ROW()-1,84),ROW()-1,FALSE))</f>
        <v>2.972399163</v>
      </c>
      <c r="AR197">
        <f ca="1">IF(AND(ISNUMBER($AR$401),$B$252=1),$AR$401,HLOOKUP(INDIRECT(ADDRESS(2,COLUMN())),OFFSET($CL$2,0,0,ROW()-1,84),ROW()-1,FALSE))</f>
        <v>2.8098344320000002</v>
      </c>
      <c r="AS197">
        <f ca="1">IF(AND(ISNUMBER($AS$401),$B$252=1),$AS$401,HLOOKUP(INDIRECT(ADDRESS(2,COLUMN())),OFFSET($CL$2,0,0,ROW()-1,84),ROW()-1,FALSE))</f>
        <v>2.7994615390000002</v>
      </c>
      <c r="AT197">
        <f ca="1">IF(AND(ISNUMBER($AT$401),$B$252=1),$AT$401,HLOOKUP(INDIRECT(ADDRESS(2,COLUMN())),OFFSET($CL$2,0,0,ROW()-1,84),ROW()-1,FALSE))</f>
        <v>2.791946206</v>
      </c>
      <c r="AU197">
        <f ca="1">IF(AND(ISNUMBER($AU$401),$B$252=1),$AU$401,HLOOKUP(INDIRECT(ADDRESS(2,COLUMN())),OFFSET($CL$2,0,0,ROW()-1,84),ROW()-1,FALSE))</f>
        <v>2.9058395130000001</v>
      </c>
      <c r="AV197">
        <f ca="1">IF(AND(ISNUMBER($AV$401),$B$252=1),$AV$401,HLOOKUP(INDIRECT(ADDRESS(2,COLUMN())),OFFSET($CL$2,0,0,ROW()-1,84),ROW()-1,FALSE))</f>
        <v>3.2683845439999999</v>
      </c>
      <c r="AW197">
        <f ca="1">IF(AND(ISNUMBER($AW$401),$B$252=1),$AW$401,HLOOKUP(INDIRECT(ADDRESS(2,COLUMN())),OFFSET($CL$2,0,0,ROW()-1,84),ROW()-1,FALSE))</f>
        <v>3.034724137</v>
      </c>
      <c r="AX197">
        <f ca="1">IF(AND(ISNUMBER($AX$401),$B$252=1),$AX$401,HLOOKUP(INDIRECT(ADDRESS(2,COLUMN())),OFFSET($CL$2,0,0,ROW()-1,84),ROW()-1,FALSE))</f>
        <v>3.0427149259999999</v>
      </c>
      <c r="AY197">
        <f ca="1">IF(AND(ISNUMBER($AY$401),$B$252=1),$AY$401,HLOOKUP(INDIRECT(ADDRESS(2,COLUMN())),OFFSET($CL$2,0,0,ROW()-1,84),ROW()-1,FALSE))</f>
        <v>3.2228074430000002</v>
      </c>
      <c r="AZ197">
        <f ca="1">IF(AND(ISNUMBER($AZ$401),$B$252=1),$AZ$401,HLOOKUP(INDIRECT(ADDRESS(2,COLUMN())),OFFSET($CL$2,0,0,ROW()-1,84),ROW()-1,FALSE))</f>
        <v>3.3036847580000002</v>
      </c>
      <c r="BA197">
        <f ca="1">IF(AND(ISNUMBER($BA$401),$B$252=1),$BA$401,HLOOKUP(INDIRECT(ADDRESS(2,COLUMN())),OFFSET($CL$2,0,0,ROW()-1,84),ROW()-1,FALSE))</f>
        <v>3.373337534</v>
      </c>
      <c r="BB197">
        <f ca="1">IF(AND(ISNUMBER($BB$401),$B$252=1),$BB$401,HLOOKUP(INDIRECT(ADDRESS(2,COLUMN())),OFFSET($CL$2,0,0,ROW()-1,84),ROW()-1,FALSE))</f>
        <v>3.4414293909999998</v>
      </c>
      <c r="BC197">
        <f ca="1">IF(AND(ISNUMBER($BC$401),$B$252=1),$BC$401,HLOOKUP(INDIRECT(ADDRESS(2,COLUMN())),OFFSET($CL$2,0,0,ROW()-1,84),ROW()-1,FALSE))</f>
        <v>3.4794244289999998</v>
      </c>
      <c r="BD197">
        <f ca="1">IF(AND(ISNUMBER($BD$401),$B$252=1),$BD$401,HLOOKUP(INDIRECT(ADDRESS(2,COLUMN())),OFFSET($CL$2,0,0,ROW()-1,84),ROW()-1,FALSE))</f>
        <v>3.7182694380000001</v>
      </c>
      <c r="BE197">
        <f ca="1">IF(AND(ISNUMBER($BE$401),$B$252=1),$BE$401,HLOOKUP(INDIRECT(ADDRESS(2,COLUMN())),OFFSET($CL$2,0,0,ROW()-1,84),ROW()-1,FALSE))</f>
        <v>3.70513307</v>
      </c>
      <c r="BF197">
        <f ca="1">IF(AND(ISNUMBER($BF$401),$B$252=1),$BF$401,HLOOKUP(INDIRECT(ADDRESS(2,COLUMN())),OFFSET($CL$2,0,0,ROW()-1,84),ROW()-1,FALSE))</f>
        <v>3.823177931</v>
      </c>
      <c r="BG197">
        <f ca="1">IF(AND(ISNUMBER($BG$401),$B$252=1),$BG$401,HLOOKUP(INDIRECT(ADDRESS(2,COLUMN())),OFFSET($CL$2,0,0,ROW()-1,84),ROW()-1,FALSE))</f>
        <v>3.4310220820000001</v>
      </c>
      <c r="BH197">
        <f ca="1">IF(AND(ISNUMBER($BH$401),$B$252=1),$BH$401,HLOOKUP(INDIRECT(ADDRESS(2,COLUMN())),OFFSET($CL$2,0,0,ROW()-1,84),ROW()-1,FALSE))</f>
        <v>3.4359340679999999</v>
      </c>
      <c r="BI197">
        <f ca="1">IF(AND(ISNUMBER($BI$401),$B$252=1),$BI$401,HLOOKUP(INDIRECT(ADDRESS(2,COLUMN())),OFFSET($CL$2,0,0,ROW()-1,84),ROW()-1,FALSE))</f>
        <v>3.4871048980000001</v>
      </c>
      <c r="BJ197">
        <f ca="1">IF(AND(ISNUMBER($BJ$401),$B$252=1),$BJ$401,HLOOKUP(INDIRECT(ADDRESS(2,COLUMN())),OFFSET($CL$2,0,0,ROW()-1,84),ROW()-1,FALSE))</f>
        <v>3.2675288579999999</v>
      </c>
      <c r="BK197">
        <f ca="1">IF(AND(ISNUMBER($BK$401),$B$252=1),$BK$401,HLOOKUP(INDIRECT(ADDRESS(2,COLUMN())),OFFSET($CL$2,0,0,ROW()-1,84),ROW()-1,FALSE))</f>
        <v>3.1957389429999998</v>
      </c>
      <c r="BL197">
        <f ca="1">IF(AND(ISNUMBER($BL$401),$B$252=1),$BL$401,HLOOKUP(INDIRECT(ADDRESS(2,COLUMN())),OFFSET($CL$2,0,0,ROW()-1,84),ROW()-1,FALSE))</f>
        <v>3.172504886</v>
      </c>
      <c r="BM197">
        <f ca="1">IF(AND(ISNUMBER($BM$401),$B$252=1),$BM$401,HLOOKUP(INDIRECT(ADDRESS(2,COLUMN())),OFFSET($CL$2,0,0,ROW()-1,84),ROW()-1,FALSE))</f>
        <v>3.0858244250000002</v>
      </c>
      <c r="BN197">
        <f ca="1">IF(AND(ISNUMBER($BN$401),$B$252=1),$BN$401,HLOOKUP(INDIRECT(ADDRESS(2,COLUMN())),OFFSET($CL$2,0,0,ROW()-1,84),ROW()-1,FALSE))</f>
        <v>3.1311153900000002</v>
      </c>
      <c r="BO197">
        <f ca="1">IF(AND(ISNUMBER($BO$401),$B$252=1),$BO$401,HLOOKUP(INDIRECT(ADDRESS(2,COLUMN())),OFFSET($CL$2,0,0,ROW()-1,84),ROW()-1,FALSE))</f>
        <v>3.2410532700000001</v>
      </c>
      <c r="BP197">
        <f ca="1">IF(AND(ISNUMBER($BP$401),$B$252=1),$BP$401,HLOOKUP(INDIRECT(ADDRESS(2,COLUMN())),OFFSET($CL$2,0,0,ROW()-1,84),ROW()-1,FALSE))</f>
        <v>3.5190615049999998</v>
      </c>
      <c r="BQ197">
        <f ca="1">IF(AND(ISNUMBER($BQ$401),$B$252=1),$BQ$401,HLOOKUP(INDIRECT(ADDRESS(2,COLUMN())),OFFSET($CL$2,0,0,ROW()-1,84),ROW()-1,FALSE))</f>
        <v>2.956393244</v>
      </c>
      <c r="BR197">
        <f ca="1">IF(AND(ISNUMBER($BR$401),$B$252=1),$BR$401,HLOOKUP(INDIRECT(ADDRESS(2,COLUMN())),OFFSET($CL$2,0,0,ROW()-1,84),ROW()-1,FALSE))</f>
        <v>3.1910650660000002</v>
      </c>
      <c r="BS197">
        <f ca="1">IF(AND(ISNUMBER($BS$401),$B$252=1),$BS$401,HLOOKUP(INDIRECT(ADDRESS(2,COLUMN())),OFFSET($CL$2,0,0,ROW()-1,84),ROW()-1,FALSE))</f>
        <v>2.9973773399999999</v>
      </c>
      <c r="BT197">
        <f ca="1">IF(AND(ISNUMBER($BT$401),$B$252=1),$BT$401,HLOOKUP(INDIRECT(ADDRESS(2,COLUMN())),OFFSET($CL$2,0,0,ROW()-1,84),ROW()-1,FALSE))</f>
        <v>3.0781070100000001</v>
      </c>
      <c r="BU197">
        <f ca="1">IF(AND(ISNUMBER($BU$401),$B$252=1),$BU$401,HLOOKUP(INDIRECT(ADDRESS(2,COLUMN())),OFFSET($CL$2,0,0,ROW()-1,84),ROW()-1,FALSE))</f>
        <v>3.0211480810000002</v>
      </c>
      <c r="BV197">
        <f ca="1">IF(AND(ISNUMBER($BV$401),$B$252=1),$BV$401,HLOOKUP(INDIRECT(ADDRESS(2,COLUMN())),OFFSET($CL$2,0,0,ROW()-1,84),ROW()-1,FALSE))</f>
        <v>2.624863393</v>
      </c>
      <c r="BW197">
        <f ca="1">IF(AND(ISNUMBER($BW$401),$B$252=1),$BW$401,HLOOKUP(INDIRECT(ADDRESS(2,COLUMN())),OFFSET($CL$2,0,0,ROW()-1,84),ROW()-1,FALSE))</f>
        <v>2.6637070980000002</v>
      </c>
      <c r="BX197">
        <f ca="1">IF(AND(ISNUMBER($BX$401),$B$252=1),$BX$401,HLOOKUP(INDIRECT(ADDRESS(2,COLUMN())),OFFSET($CL$2,0,0,ROW()-1,84),ROW()-1,FALSE))</f>
        <v>2.6597710700000001</v>
      </c>
      <c r="BY197">
        <f ca="1">IF(AND(ISNUMBER($BY$401),$B$252=1),$BY$401,HLOOKUP(INDIRECT(ADDRESS(2,COLUMN())),OFFSET($CL$2,0,0,ROW()-1,84),ROW()-1,FALSE))</f>
        <v>2.6519338069999998</v>
      </c>
      <c r="BZ197">
        <f ca="1">IF(AND(ISNUMBER($BZ$401),$B$252=1),$BZ$401,HLOOKUP(INDIRECT(ADDRESS(2,COLUMN())),OFFSET($CL$2,0,0,ROW()-1,84),ROW()-1,FALSE))</f>
        <v>2.726240169</v>
      </c>
      <c r="CA197">
        <f ca="1">IF(AND(ISNUMBER($CA$401),$B$252=1),$CA$401,HLOOKUP(INDIRECT(ADDRESS(2,COLUMN())),OFFSET($CL$2,0,0,ROW()-1,84),ROW()-1,FALSE))</f>
        <v>2.89855084</v>
      </c>
      <c r="CB197">
        <f ca="1">IF(AND(ISNUMBER($CB$401),$B$252=1),$CB$401,HLOOKUP(INDIRECT(ADDRESS(2,COLUMN())),OFFSET($CL$2,0,0,ROW()-1,84),ROW()-1,FALSE))</f>
        <v>1.95439735</v>
      </c>
      <c r="CC197">
        <f ca="1">IF(AND(ISNUMBER($CC$401),$B$252=1),$CC$401,HLOOKUP(INDIRECT(ADDRESS(2,COLUMN())),OFFSET($CL$2,0,0,ROW()-1,84),ROW()-1,FALSE))</f>
        <v>2.095154907</v>
      </c>
      <c r="CD197">
        <f ca="1">IF(AND(ISNUMBER($CD$401),$B$252=1),$CD$401,HLOOKUP(INDIRECT(ADDRESS(2,COLUMN())),OFFSET($CL$2,0,0,ROW()-1,84),ROW()-1,FALSE))</f>
        <v>2.2038566999999998</v>
      </c>
      <c r="CE197">
        <f ca="1">IF(AND(ISNUMBER($CE$401),$B$252=1),$CE$401,HLOOKUP(INDIRECT(ADDRESS(2,COLUMN())),OFFSET($CL$2,0,0,ROW()-1,84),ROW()-1,FALSE))</f>
        <v>1.945682972</v>
      </c>
      <c r="CF197">
        <f ca="1">IF(AND(ISNUMBER($CF$401),$B$252=1),$CF$401,HLOOKUP(INDIRECT(ADDRESS(2,COLUMN())),OFFSET($CL$2,0,0,ROW()-1,84),ROW()-1,FALSE))</f>
        <v>2.1699818679999998</v>
      </c>
      <c r="CG197">
        <f ca="1">IF(AND(ISNUMBER($CG$401),$B$252=1),$CG$401,HLOOKUP(INDIRECT(ADDRESS(2,COLUMN())),OFFSET($CL$2,0,0,ROW()-1,84),ROW()-1,FALSE))</f>
        <v>1.8065486989999999</v>
      </c>
      <c r="CH197">
        <f ca="1">IF(AND(ISNUMBER($CH$401),$B$252=1),$CH$401,HLOOKUP(INDIRECT(ADDRESS(2,COLUMN())),OFFSET($CL$2,0,0,ROW()-1,84),ROW()-1,FALSE))</f>
        <v>1.7582417189999999</v>
      </c>
      <c r="CI197">
        <f ca="1">IF(AND(ISNUMBER($CI$401),$B$252=1),$CI$401,HLOOKUP(INDIRECT(ADDRESS(2,COLUMN())),OFFSET($CL$2,0,0,ROW()-1,84),ROW()-1,FALSE))</f>
        <v>1.8801409689999999</v>
      </c>
      <c r="CJ197">
        <f ca="1">IF(AND(ISNUMBER($CJ$401),$B$252=1),$CJ$401,HLOOKUP(INDIRECT(ADDRESS(2,COLUMN())),OFFSET($CL$2,0,0,ROW()-1,84),ROW()-1,FALSE))</f>
        <v>1.7957350889999999</v>
      </c>
      <c r="CK197">
        <f ca="1">IF(AND(ISNUMBER($CK$401),$B$252=1),$CK$401,HLOOKUP(INDIRECT(ADDRESS(2,COLUMN())),OFFSET($CL$2,0,0,ROW()-1,84),ROW()-1,FALSE))</f>
        <v>1.7804153899999999</v>
      </c>
      <c r="CL197">
        <f>3.795255955</f>
        <v>3.795255955</v>
      </c>
      <c r="CM197">
        <f>3.931712315</f>
        <v>3.931712315</v>
      </c>
      <c r="CN197">
        <f>3.632887144</f>
        <v>3.6328871440000001</v>
      </c>
      <c r="CO197">
        <f>3.294440762</f>
        <v>3.2944407619999998</v>
      </c>
      <c r="CP197">
        <f>3.266046852</f>
        <v>3.2660468520000001</v>
      </c>
      <c r="CQ197">
        <f>3.274215683</f>
        <v>3.274215683</v>
      </c>
      <c r="CR197">
        <f>3.283173865</f>
        <v>3.2831738650000002</v>
      </c>
      <c r="CS197">
        <f>3.176704296</f>
        <v>3.176704296</v>
      </c>
      <c r="CT197">
        <f>3.161361267</f>
        <v>3.1613612670000002</v>
      </c>
      <c r="CU197">
        <f>3.351175372</f>
        <v>3.3511753720000002</v>
      </c>
      <c r="CV197">
        <f>3.35507935</f>
        <v>3.35507935</v>
      </c>
      <c r="CW197">
        <f>3.292181201</f>
        <v>3.292181201</v>
      </c>
      <c r="CX197">
        <f>3.246899791</f>
        <v>3.2468997910000001</v>
      </c>
      <c r="CY197">
        <f>3.094777686</f>
        <v>3.094777686</v>
      </c>
      <c r="CZ197">
        <f>3.267529061</f>
        <v>3.2675290609999998</v>
      </c>
      <c r="DA197">
        <f>2.904290544</f>
        <v>2.9042905440000002</v>
      </c>
      <c r="DB197">
        <f>3.135392049</f>
        <v>3.135392049</v>
      </c>
      <c r="DC197">
        <f>2.995234973</f>
        <v>2.9952349730000001</v>
      </c>
      <c r="DD197">
        <f>2.875190705</f>
        <v>2.8751907050000001</v>
      </c>
      <c r="DE197">
        <f>2.921646862</f>
        <v>2.9216468619999998</v>
      </c>
      <c r="DF197">
        <f>2.871438008</f>
        <v>2.8714380080000002</v>
      </c>
      <c r="DG197">
        <f>2.989130554</f>
        <v>2.9891305539999999</v>
      </c>
      <c r="DH197">
        <f>3.094959091</f>
        <v>3.0949590910000002</v>
      </c>
      <c r="DI197">
        <f>3.295057545</f>
        <v>3.2950575450000001</v>
      </c>
      <c r="DJ197">
        <f>3.15638463</f>
        <v>3.1563846299999998</v>
      </c>
      <c r="DK197">
        <f>3.605572391</f>
        <v>3.6055723909999999</v>
      </c>
      <c r="DL197">
        <f>3.371647644</f>
        <v>3.3716476439999998</v>
      </c>
      <c r="DM197">
        <f>2.997751805</f>
        <v>2.997751805</v>
      </c>
      <c r="DN197">
        <f>3.148779973</f>
        <v>3.1487799729999999</v>
      </c>
      <c r="DO197">
        <f>3.062005735</f>
        <v>3.0620057350000001</v>
      </c>
      <c r="DP197">
        <f>3.241491215</f>
        <v>3.2414912149999999</v>
      </c>
      <c r="DQ197">
        <f>3.330558001</f>
        <v>3.330558001</v>
      </c>
      <c r="DR197">
        <f>3.070624482</f>
        <v>3.0706244819999999</v>
      </c>
      <c r="DS197">
        <f>3.249390868</f>
        <v>3.2493908679999999</v>
      </c>
      <c r="DT197">
        <f>3.163722773</f>
        <v>3.1637227729999999</v>
      </c>
      <c r="DU197">
        <f>3.180493103</f>
        <v>3.1804931029999999</v>
      </c>
      <c r="DV197">
        <f>2.845528467</f>
        <v>2.8455284669999998</v>
      </c>
      <c r="DW197">
        <f>2.972399163</f>
        <v>2.972399163</v>
      </c>
      <c r="DX197">
        <f>2.809834432</f>
        <v>2.8098344320000002</v>
      </c>
      <c r="DY197">
        <f>2.799461539</f>
        <v>2.7994615390000002</v>
      </c>
      <c r="DZ197">
        <f>2.791946206</f>
        <v>2.791946206</v>
      </c>
      <c r="EA197">
        <f>2.905839513</f>
        <v>2.9058395130000001</v>
      </c>
      <c r="EB197">
        <f>3.268384544</f>
        <v>3.2683845439999999</v>
      </c>
      <c r="EC197">
        <f>3.034724137</f>
        <v>3.034724137</v>
      </c>
      <c r="ED197">
        <f>3.042714926</f>
        <v>3.0427149259999999</v>
      </c>
      <c r="EE197">
        <f>3.222807443</f>
        <v>3.2228074430000002</v>
      </c>
      <c r="EF197">
        <f>3.303684758</f>
        <v>3.3036847580000002</v>
      </c>
      <c r="EG197">
        <f>3.373337534</f>
        <v>3.373337534</v>
      </c>
      <c r="EH197">
        <f>3.441429391</f>
        <v>3.4414293909999998</v>
      </c>
      <c r="EI197">
        <f>3.479424429</f>
        <v>3.4794244289999998</v>
      </c>
      <c r="EJ197">
        <f>3.718269438</f>
        <v>3.7182694380000001</v>
      </c>
      <c r="EK197">
        <f>3.70513307</f>
        <v>3.70513307</v>
      </c>
      <c r="EL197">
        <f>3.823177931</f>
        <v>3.823177931</v>
      </c>
      <c r="EM197">
        <f>3.431022082</f>
        <v>3.4310220820000001</v>
      </c>
      <c r="EN197">
        <f>3.435934068</f>
        <v>3.4359340679999999</v>
      </c>
      <c r="EO197">
        <f>3.487104898</f>
        <v>3.4871048980000001</v>
      </c>
      <c r="EP197">
        <f>3.267528858</f>
        <v>3.2675288579999999</v>
      </c>
      <c r="EQ197">
        <f>3.195738943</f>
        <v>3.1957389429999998</v>
      </c>
      <c r="ER197">
        <f>3.172504886</f>
        <v>3.172504886</v>
      </c>
      <c r="ES197">
        <f>3.085824425</f>
        <v>3.0858244250000002</v>
      </c>
      <c r="ET197">
        <f>3.13111539</f>
        <v>3.1311153900000002</v>
      </c>
      <c r="EU197">
        <f>3.24105327</f>
        <v>3.2410532700000001</v>
      </c>
      <c r="EV197">
        <f>3.519061505</f>
        <v>3.5190615049999998</v>
      </c>
      <c r="EW197">
        <f>2.956393244</f>
        <v>2.956393244</v>
      </c>
      <c r="EX197">
        <f>3.191065066</f>
        <v>3.1910650660000002</v>
      </c>
      <c r="EY197">
        <f>2.99737734</f>
        <v>2.9973773399999999</v>
      </c>
      <c r="EZ197">
        <f>3.07810701</f>
        <v>3.0781070100000001</v>
      </c>
      <c r="FA197">
        <f>3.021148081</f>
        <v>3.0211480810000002</v>
      </c>
      <c r="FB197">
        <f>2.624863393</f>
        <v>2.624863393</v>
      </c>
      <c r="FC197">
        <f>2.663707098</f>
        <v>2.6637070980000002</v>
      </c>
      <c r="FD197">
        <f>2.65977107</f>
        <v>2.6597710700000001</v>
      </c>
      <c r="FE197">
        <f>2.651933807</f>
        <v>2.6519338069999998</v>
      </c>
      <c r="FF197">
        <f>2.726240169</f>
        <v>2.726240169</v>
      </c>
      <c r="FG197">
        <f>2.89855084</f>
        <v>2.89855084</v>
      </c>
      <c r="FH197">
        <f>1.95439735</f>
        <v>1.95439735</v>
      </c>
      <c r="FI197">
        <f>2.095154907</f>
        <v>2.095154907</v>
      </c>
      <c r="FJ197">
        <f>2.2038567</f>
        <v>2.2038566999999998</v>
      </c>
      <c r="FK197">
        <f>1.945682972</f>
        <v>1.945682972</v>
      </c>
      <c r="FL197">
        <f>2.169981868</f>
        <v>2.1699818679999998</v>
      </c>
      <c r="FM197">
        <f>1.806548699</f>
        <v>1.8065486989999999</v>
      </c>
      <c r="FN197">
        <f>1.758241719</f>
        <v>1.7582417189999999</v>
      </c>
      <c r="FO197">
        <f>1.880140969</f>
        <v>1.8801409689999999</v>
      </c>
      <c r="FP197">
        <f>1.795735089</f>
        <v>1.7957350889999999</v>
      </c>
      <c r="FQ197">
        <f>1.78041539</f>
        <v>1.7804153899999999</v>
      </c>
    </row>
    <row r="198" spans="1:173">
      <c r="A198" t="str">
        <f>"    AvalonBay社区股份有限公司"</f>
        <v xml:space="preserve">    AvalonBay社区股份有限公司</v>
      </c>
      <c r="B198" t="str">
        <f>"AVB US Equity"</f>
        <v>AVB US Equity</v>
      </c>
      <c r="C198" t="str">
        <f t="shared" si="63"/>
        <v>DV013</v>
      </c>
      <c r="D198" t="str">
        <f t="shared" si="64"/>
        <v>EQY_DVD_YLD_IND</v>
      </c>
      <c r="E198" t="str">
        <f t="shared" si="65"/>
        <v>动态</v>
      </c>
      <c r="F198">
        <f ca="1">IF(AND(ISNUMBER($F$402),$B$252=1),$F$402,HLOOKUP(INDIRECT(ADDRESS(2,COLUMN())),OFFSET($CL$2,0,0,ROW()-1,84),ROW()-1,FALSE))</f>
        <v>3.6404160220000001</v>
      </c>
      <c r="G198">
        <f ca="1">IF(AND(ISNUMBER($G$402),$B$252=1),$G$402,HLOOKUP(INDIRECT(ADDRESS(2,COLUMN())),OFFSET($CL$2,0,0,ROW()-1,84),ROW()-1,FALSE))</f>
        <v>3.7687476700000002</v>
      </c>
      <c r="H198">
        <f ca="1">IF(AND(ISNUMBER($H$402),$B$252=1),$H$402,HLOOKUP(INDIRECT(ADDRESS(2,COLUMN())),OFFSET($CL$2,0,0,ROW()-1,84),ROW()-1,FALSE))</f>
        <v>3.4507042929999998</v>
      </c>
      <c r="I198">
        <f ca="1">IF(AND(ISNUMBER($I$402),$B$252=1),$I$402,HLOOKUP(INDIRECT(ADDRESS(2,COLUMN())),OFFSET($CL$2,0,0,ROW()-1,84),ROW()-1,FALSE))</f>
        <v>3.1836779489999998</v>
      </c>
      <c r="J198">
        <f ca="1">IF(AND(ISNUMBER($J$402),$B$252=1),$J$402,HLOOKUP(INDIRECT(ADDRESS(2,COLUMN())),OFFSET($CL$2,0,0,ROW()-1,84),ROW()-1,FALSE))</f>
        <v>3.132410428</v>
      </c>
      <c r="K198">
        <f ca="1">IF(AND(ISNUMBER($K$402),$B$252=1),$K$402,HLOOKUP(INDIRECT(ADDRESS(2,COLUMN())),OFFSET($CL$2,0,0,ROW()-1,84),ROW()-1,FALSE))</f>
        <v>3.132410428</v>
      </c>
      <c r="L198">
        <f ca="1">IF(AND(ISNUMBER($L$402),$B$252=1),$L$402,HLOOKUP(INDIRECT(ADDRESS(2,COLUMN())),OFFSET($CL$2,0,0,ROW()-1,84),ROW()-1,FALSE))</f>
        <v>3.1834995109999999</v>
      </c>
      <c r="M198">
        <f ca="1">IF(AND(ISNUMBER($M$402),$B$252=1),$M$402,HLOOKUP(INDIRECT(ADDRESS(2,COLUMN())),OFFSET($CL$2,0,0,ROW()-1,84),ROW()-1,FALSE))</f>
        <v>3.0256218119999998</v>
      </c>
      <c r="N198">
        <f ca="1">IF(AND(ISNUMBER($N$402),$B$252=1),$N$402,HLOOKUP(INDIRECT(ADDRESS(2,COLUMN())),OFFSET($CL$2,0,0,ROW()-1,84),ROW()-1,FALSE))</f>
        <v>2.9529502619999999</v>
      </c>
      <c r="O198">
        <f ca="1">IF(AND(ISNUMBER($O$402),$B$252=1),$O$402,HLOOKUP(INDIRECT(ADDRESS(2,COLUMN())),OFFSET($CL$2,0,0,ROW()-1,84),ROW()-1,FALSE))</f>
        <v>2.9557162039999998</v>
      </c>
      <c r="P198">
        <f ca="1">IF(AND(ISNUMBER($P$402),$B$252=1),$P$402,HLOOKUP(INDIRECT(ADDRESS(2,COLUMN())),OFFSET($CL$2,0,0,ROW()-1,84),ROW()-1,FALSE))</f>
        <v>2.9700898499999999</v>
      </c>
      <c r="Q198">
        <f ca="1">IF(AND(ISNUMBER($Q$402),$B$252=1),$Q$402,HLOOKUP(INDIRECT(ADDRESS(2,COLUMN())),OFFSET($CL$2,0,0,ROW()-1,84),ROW()-1,FALSE))</f>
        <v>2.991993167</v>
      </c>
      <c r="R198">
        <f ca="1">IF(AND(ISNUMBER($R$402),$B$252=1),$R$402,HLOOKUP(INDIRECT(ADDRESS(2,COLUMN())),OFFSET($CL$2,0,0,ROW()-1,84),ROW()-1,FALSE))</f>
        <v>3.0936818239999999</v>
      </c>
      <c r="S198">
        <f ca="1">IF(AND(ISNUMBER($S$402),$B$252=1),$S$402,HLOOKUP(INDIRECT(ADDRESS(2,COLUMN())),OFFSET($CL$2,0,0,ROW()-1,84),ROW()-1,FALSE))</f>
        <v>3.0906517729999998</v>
      </c>
      <c r="T198">
        <f ca="1">IF(AND(ISNUMBER($T$402),$B$252=1),$T$402,HLOOKUP(INDIRECT(ADDRESS(2,COLUMN())),OFFSET($CL$2,0,0,ROW()-1,84),ROW()-1,FALSE))</f>
        <v>3.1158041060000001</v>
      </c>
      <c r="U198">
        <f ca="1">IF(AND(ISNUMBER($U$402),$B$252=1),$U$402,HLOOKUP(INDIRECT(ADDRESS(2,COLUMN())),OFFSET($CL$2,0,0,ROW()-1,84),ROW()-1,FALSE))</f>
        <v>3.0482642370000002</v>
      </c>
      <c r="V198">
        <f ca="1">IF(AND(ISNUMBER($V$402),$B$252=1),$V$402,HLOOKUP(INDIRECT(ADDRESS(2,COLUMN())),OFFSET($CL$2,0,0,ROW()-1,84),ROW()-1,FALSE))</f>
        <v>3.2828743970000001</v>
      </c>
      <c r="W198">
        <f ca="1">IF(AND(ISNUMBER($W$402),$B$252=1),$W$402,HLOOKUP(INDIRECT(ADDRESS(2,COLUMN())),OFFSET($CL$2,0,0,ROW()-1,84),ROW()-1,FALSE))</f>
        <v>3.1545741879999998</v>
      </c>
      <c r="X198">
        <f ca="1">IF(AND(ISNUMBER($X$402),$B$252=1),$X$402,HLOOKUP(INDIRECT(ADDRESS(2,COLUMN())),OFFSET($CL$2,0,0,ROW()-1,84),ROW()-1,FALSE))</f>
        <v>3.0364373009999999</v>
      </c>
      <c r="Y198">
        <f ca="1">IF(AND(ISNUMBER($Y$402),$B$252=1),$Y$402,HLOOKUP(INDIRECT(ADDRESS(2,COLUMN())),OFFSET($CL$2,0,0,ROW()-1,84),ROW()-1,FALSE))</f>
        <v>3.0855380239999999</v>
      </c>
      <c r="Z198">
        <f ca="1">IF(AND(ISNUMBER($Z$402),$B$252=1),$Z$402,HLOOKUP(INDIRECT(ADDRESS(2,COLUMN())),OFFSET($CL$2,0,0,ROW()-1,84),ROW()-1,FALSE))</f>
        <v>2.908699216</v>
      </c>
      <c r="AA198">
        <f ca="1">IF(AND(ISNUMBER($AA$402),$B$252=1),$AA$402,HLOOKUP(INDIRECT(ADDRESS(2,COLUMN())),OFFSET($CL$2,0,0,ROW()-1,84),ROW()-1,FALSE))</f>
        <v>2.9935141060000001</v>
      </c>
      <c r="AB198">
        <f ca="1">IF(AND(ISNUMBER($AB$402),$B$252=1),$AB$402,HLOOKUP(INDIRECT(ADDRESS(2,COLUMN())),OFFSET($CL$2,0,0,ROW()-1,84),ROW()-1,FALSE))</f>
        <v>3.002001387</v>
      </c>
      <c r="AC198">
        <f ca="1">IF(AND(ISNUMBER($AC$402),$B$252=1),$AC$402,HLOOKUP(INDIRECT(ADDRESS(2,COLUMN())),OFFSET($CL$2,0,0,ROW()-1,84),ROW()-1,FALSE))</f>
        <v>3.0544714609999999</v>
      </c>
      <c r="AD198">
        <f ca="1">IF(AND(ISNUMBER($AD$402),$B$252=1),$AD$402,HLOOKUP(INDIRECT(ADDRESS(2,COLUMN())),OFFSET($CL$2,0,0,ROW()-1,84),ROW()-1,FALSE))</f>
        <v>2.8391167689999999</v>
      </c>
      <c r="AE198">
        <f ca="1">IF(AND(ISNUMBER($AE$402),$B$252=1),$AE$402,HLOOKUP(INDIRECT(ADDRESS(2,COLUMN())),OFFSET($CL$2,0,0,ROW()-1,84),ROW()-1,FALSE))</f>
        <v>3.146119841</v>
      </c>
      <c r="AF198">
        <f ca="1">IF(AND(ISNUMBER($AF$402),$B$252=1),$AF$402,HLOOKUP(INDIRECT(ADDRESS(2,COLUMN())),OFFSET($CL$2,0,0,ROW()-1,84),ROW()-1,FALSE))</f>
        <v>2.9156219019999998</v>
      </c>
      <c r="AG198">
        <f ca="1">IF(AND(ISNUMBER($AG$402),$B$252=1),$AG$402,HLOOKUP(INDIRECT(ADDRESS(2,COLUMN())),OFFSET($CL$2,0,0,ROW()-1,84),ROW()-1,FALSE))</f>
        <v>2.7154727639999998</v>
      </c>
      <c r="AH198">
        <f ca="1">IF(AND(ISNUMBER($AH$402),$B$252=1),$AH$402,HLOOKUP(INDIRECT(ADDRESS(2,COLUMN())),OFFSET($CL$2,0,0,ROW()-1,84),ROW()-1,FALSE))</f>
        <v>2.750426316</v>
      </c>
      <c r="AI198">
        <f ca="1">IF(AND(ISNUMBER($AI$402),$B$252=1),$AI$402,HLOOKUP(INDIRECT(ADDRESS(2,COLUMN())),OFFSET($CL$2,0,0,ROW()-1,84),ROW()-1,FALSE))</f>
        <v>2.8599210660000001</v>
      </c>
      <c r="AJ198">
        <f ca="1">IF(AND(ISNUMBER($AJ$402),$B$252=1),$AJ$402,HLOOKUP(INDIRECT(ADDRESS(2,COLUMN())),OFFSET($CL$2,0,0,ROW()-1,84),ROW()-1,FALSE))</f>
        <v>2.860084659</v>
      </c>
      <c r="AK198">
        <f ca="1">IF(AND(ISNUMBER($AK$402),$B$252=1),$AK$402,HLOOKUP(INDIRECT(ADDRESS(2,COLUMN())),OFFSET($CL$2,0,0,ROW()-1,84),ROW()-1,FALSE))</f>
        <v>3.0292015019999998</v>
      </c>
      <c r="AL198">
        <f ca="1">IF(AND(ISNUMBER($AL$402),$B$252=1),$AL$402,HLOOKUP(INDIRECT(ADDRESS(2,COLUMN())),OFFSET($CL$2,0,0,ROW()-1,84),ROW()-1,FALSE))</f>
        <v>2.9012417309999998</v>
      </c>
      <c r="AM198">
        <f ca="1">IF(AND(ISNUMBER($AM$402),$B$252=1),$AM$402,HLOOKUP(INDIRECT(ADDRESS(2,COLUMN())),OFFSET($CL$2,0,0,ROW()-1,84),ROW()-1,FALSE))</f>
        <v>3.1275411270000002</v>
      </c>
      <c r="AN198">
        <f ca="1">IF(AND(ISNUMBER($AN$402),$B$252=1),$AN$402,HLOOKUP(INDIRECT(ADDRESS(2,COLUMN())),OFFSET($CL$2,0,0,ROW()-1,84),ROW()-1,FALSE))</f>
        <v>3.0030030029999999</v>
      </c>
      <c r="AO198">
        <f ca="1">IF(AND(ISNUMBER($AO$402),$B$252=1),$AO$402,HLOOKUP(INDIRECT(ADDRESS(2,COLUMN())),OFFSET($CL$2,0,0,ROW()-1,84),ROW()-1,FALSE))</f>
        <v>3.042472922</v>
      </c>
      <c r="AP198">
        <f ca="1">IF(AND(ISNUMBER($AP$402),$B$252=1),$AP$402,HLOOKUP(INDIRECT(ADDRESS(2,COLUMN())),OFFSET($CL$2,0,0,ROW()-1,84),ROW()-1,FALSE))</f>
        <v>2.8694404590000002</v>
      </c>
      <c r="AQ198">
        <f ca="1">IF(AND(ISNUMBER($AQ$402),$B$252=1),$AQ$402,HLOOKUP(INDIRECT(ADDRESS(2,COLUMN())),OFFSET($CL$2,0,0,ROW()-1,84),ROW()-1,FALSE))</f>
        <v>2.9701793990000001</v>
      </c>
      <c r="AR198">
        <f ca="1">IF(AND(ISNUMBER($AR$402),$B$252=1),$AR$402,HLOOKUP(INDIRECT(ADDRESS(2,COLUMN())),OFFSET($CL$2,0,0,ROW()-1,84),ROW()-1,FALSE))</f>
        <v>2.890340482</v>
      </c>
      <c r="AS198">
        <f ca="1">IF(AND(ISNUMBER($AS$402),$B$252=1),$AS$402,HLOOKUP(INDIRECT(ADDRESS(2,COLUMN())),OFFSET($CL$2,0,0,ROW()-1,84),ROW()-1,FALSE))</f>
        <v>2.839830997</v>
      </c>
      <c r="AT198">
        <f ca="1">IF(AND(ISNUMBER($AT$402),$B$252=1),$AT$402,HLOOKUP(INDIRECT(ADDRESS(2,COLUMN())),OFFSET($CL$2,0,0,ROW()-1,84),ROW()-1,FALSE))</f>
        <v>2.8857515180000002</v>
      </c>
      <c r="AU198">
        <f ca="1">IF(AND(ISNUMBER($AU$402),$B$252=1),$AU$402,HLOOKUP(INDIRECT(ADDRESS(2,COLUMN())),OFFSET($CL$2,0,0,ROW()-1,84),ROW()-1,FALSE))</f>
        <v>2.9774126449999998</v>
      </c>
      <c r="AV198">
        <f ca="1">IF(AND(ISNUMBER($AV$402),$B$252=1),$AV$402,HLOOKUP(INDIRECT(ADDRESS(2,COLUMN())),OFFSET($CL$2,0,0,ROW()-1,84),ROW()-1,FALSE))</f>
        <v>3.2914803620000002</v>
      </c>
      <c r="AW198">
        <f ca="1">IF(AND(ISNUMBER($AW$402),$B$252=1),$AW$402,HLOOKUP(INDIRECT(ADDRESS(2,COLUMN())),OFFSET($CL$2,0,0,ROW()-1,84),ROW()-1,FALSE))</f>
        <v>3.0110317110000002</v>
      </c>
      <c r="AX198">
        <f ca="1">IF(AND(ISNUMBER($AX$402),$B$252=1),$AX$402,HLOOKUP(INDIRECT(ADDRESS(2,COLUMN())),OFFSET($CL$2,0,0,ROW()-1,84),ROW()-1,FALSE))</f>
        <v>3.1334412930000002</v>
      </c>
      <c r="AY198">
        <f ca="1">IF(AND(ISNUMBER($AY$402),$B$252=1),$AY$402,HLOOKUP(INDIRECT(ADDRESS(2,COLUMN())),OFFSET($CL$2,0,0,ROW()-1,84),ROW()-1,FALSE))</f>
        <v>3.2632392339999998</v>
      </c>
      <c r="AZ198">
        <f ca="1">IF(AND(ISNUMBER($AZ$402),$B$252=1),$AZ$402,HLOOKUP(INDIRECT(ADDRESS(2,COLUMN())),OFFSET($CL$2,0,0,ROW()-1,84),ROW()-1,FALSE))</f>
        <v>3.271291502</v>
      </c>
      <c r="BA198">
        <f ca="1">IF(AND(ISNUMBER($BA$402),$B$252=1),$BA$402,HLOOKUP(INDIRECT(ADDRESS(2,COLUMN())),OFFSET($CL$2,0,0,ROW()-1,84),ROW()-1,FALSE))</f>
        <v>3.398022605</v>
      </c>
      <c r="BB198">
        <f ca="1">IF(AND(ISNUMBER($BB$402),$B$252=1),$BB$402,HLOOKUP(INDIRECT(ADDRESS(2,COLUMN())),OFFSET($CL$2,0,0,ROW()-1,84),ROW()-1,FALSE))</f>
        <v>3.5333535380000001</v>
      </c>
      <c r="BC198">
        <f ca="1">IF(AND(ISNUMBER($BC$402),$B$252=1),$BC$402,HLOOKUP(INDIRECT(ADDRESS(2,COLUMN())),OFFSET($CL$2,0,0,ROW()-1,84),ROW()-1,FALSE))</f>
        <v>3.597735804</v>
      </c>
      <c r="BD198">
        <f ca="1">IF(AND(ISNUMBER($BD$402),$B$252=1),$BD$402,HLOOKUP(INDIRECT(ADDRESS(2,COLUMN())),OFFSET($CL$2,0,0,ROW()-1,84),ROW()-1,FALSE))</f>
        <v>3.7570849119999998</v>
      </c>
      <c r="BE198">
        <f ca="1">IF(AND(ISNUMBER($BE$402),$B$252=1),$BE$402,HLOOKUP(INDIRECT(ADDRESS(2,COLUMN())),OFFSET($CL$2,0,0,ROW()-1,84),ROW()-1,FALSE))</f>
        <v>3.6200627669999998</v>
      </c>
      <c r="BF198">
        <f ca="1">IF(AND(ISNUMBER($BF$402),$B$252=1),$BF$402,HLOOKUP(INDIRECT(ADDRESS(2,COLUMN())),OFFSET($CL$2,0,0,ROW()-1,84),ROW()-1,FALSE))</f>
        <v>3.6099866820000002</v>
      </c>
      <c r="BG198">
        <f ca="1">IF(AND(ISNUMBER($BG$402),$B$252=1),$BG$402,HLOOKUP(INDIRECT(ADDRESS(2,COLUMN())),OFFSET($CL$2,0,0,ROW()-1,84),ROW()-1,FALSE))</f>
        <v>3.4226311150000002</v>
      </c>
      <c r="BH198">
        <f ca="1">IF(AND(ISNUMBER($BH$402),$B$252=1),$BH$402,HLOOKUP(INDIRECT(ADDRESS(2,COLUMN())),OFFSET($CL$2,0,0,ROW()-1,84),ROW()-1,FALSE))</f>
        <v>3.3676923520000002</v>
      </c>
      <c r="BI198">
        <f ca="1">IF(AND(ISNUMBER($BI$402),$B$252=1),$BI$402,HLOOKUP(INDIRECT(ADDRESS(2,COLUMN())),OFFSET($CL$2,0,0,ROW()-1,84),ROW()-1,FALSE))</f>
        <v>3.4543988780000001</v>
      </c>
      <c r="BJ198">
        <f ca="1">IF(AND(ISNUMBER($BJ$402),$B$252=1),$BJ$402,HLOOKUP(INDIRECT(ADDRESS(2,COLUMN())),OFFSET($CL$2,0,0,ROW()-1,84),ROW()-1,FALSE))</f>
        <v>3.162405948</v>
      </c>
      <c r="BK198">
        <f ca="1">IF(AND(ISNUMBER($BK$402),$B$252=1),$BK$402,HLOOKUP(INDIRECT(ADDRESS(2,COLUMN())),OFFSET($CL$2,0,0,ROW()-1,84),ROW()-1,FALSE))</f>
        <v>3.1724855160000001</v>
      </c>
      <c r="BL198">
        <f ca="1">IF(AND(ISNUMBER($BL$402),$B$252=1),$BL$402,HLOOKUP(INDIRECT(ADDRESS(2,COLUMN())),OFFSET($CL$2,0,0,ROW()-1,84),ROW()-1,FALSE))</f>
        <v>3.2262929370000002</v>
      </c>
      <c r="BM198">
        <f ca="1">IF(AND(ISNUMBER($BM$402),$B$252=1),$BM$402,HLOOKUP(INDIRECT(ADDRESS(2,COLUMN())),OFFSET($CL$2,0,0,ROW()-1,84),ROW()-1,FALSE))</f>
        <v>3.217077728</v>
      </c>
      <c r="BN198">
        <f ca="1">IF(AND(ISNUMBER($BN$402),$B$252=1),$BN$402,HLOOKUP(INDIRECT(ADDRESS(2,COLUMN())),OFFSET($CL$2,0,0,ROW()-1,84),ROW()-1,FALSE))</f>
        <v>3.3788586170000001</v>
      </c>
      <c r="BO198">
        <f ca="1">IF(AND(ISNUMBER($BO$402),$B$252=1),$BO$402,HLOOKUP(INDIRECT(ADDRESS(2,COLUMN())),OFFSET($CL$2,0,0,ROW()-1,84),ROW()-1,FALSE))</f>
        <v>3.4286631500000002</v>
      </c>
      <c r="BP198">
        <f ca="1">IF(AND(ISNUMBER($BP$402),$B$252=1),$BP$402,HLOOKUP(INDIRECT(ADDRESS(2,COLUMN())),OFFSET($CL$2,0,0,ROW()-1,84),ROW()-1,FALSE))</f>
        <v>3.2976348020000001</v>
      </c>
      <c r="BQ198">
        <f ca="1">IF(AND(ISNUMBER($BQ$402),$B$252=1),$BQ$402,HLOOKUP(INDIRECT(ADDRESS(2,COLUMN())),OFFSET($CL$2,0,0,ROW()-1,84),ROW()-1,FALSE))</f>
        <v>2.861568047</v>
      </c>
      <c r="BR198">
        <f ca="1">IF(AND(ISNUMBER($BR$402),$B$252=1),$BR$402,HLOOKUP(INDIRECT(ADDRESS(2,COLUMN())),OFFSET($CL$2,0,0,ROW()-1,84),ROW()-1,FALSE))</f>
        <v>2.9440777859999998</v>
      </c>
      <c r="BS198">
        <f ca="1">IF(AND(ISNUMBER($BS$402),$B$252=1),$BS$402,HLOOKUP(INDIRECT(ADDRESS(2,COLUMN())),OFFSET($CL$2,0,0,ROW()-1,84),ROW()-1,FALSE))</f>
        <v>2.8622013239999999</v>
      </c>
      <c r="BT198">
        <f ca="1">IF(AND(ISNUMBER($BT$402),$B$252=1),$BT$402,HLOOKUP(INDIRECT(ADDRESS(2,COLUMN())),OFFSET($CL$2,0,0,ROW()-1,84),ROW()-1,FALSE))</f>
        <v>2.8531510510000002</v>
      </c>
      <c r="BU198">
        <f ca="1">IF(AND(ISNUMBER($BU$402),$B$252=1),$BU$402,HLOOKUP(INDIRECT(ADDRESS(2,COLUMN())),OFFSET($CL$2,0,0,ROW()-1,84),ROW()-1,FALSE))</f>
        <v>2.7416620370000002</v>
      </c>
      <c r="BV198">
        <f ca="1">IF(AND(ISNUMBER($BV$402),$B$252=1),$BV$402,HLOOKUP(INDIRECT(ADDRESS(2,COLUMN())),OFFSET($CL$2,0,0,ROW()-1,84),ROW()-1,FALSE))</f>
        <v>2.637840856</v>
      </c>
      <c r="BW198">
        <f ca="1">IF(AND(ISNUMBER($BW$402),$B$252=1),$BW$402,HLOOKUP(INDIRECT(ADDRESS(2,COLUMN())),OFFSET($CL$2,0,0,ROW()-1,84),ROW()-1,FALSE))</f>
        <v>2.742437174</v>
      </c>
      <c r="BX198">
        <f ca="1">IF(AND(ISNUMBER($BX$402),$B$252=1),$BX$402,HLOOKUP(INDIRECT(ADDRESS(2,COLUMN())),OFFSET($CL$2,0,0,ROW()-1,84),ROW()-1,FALSE))</f>
        <v>2.7763864859999998</v>
      </c>
      <c r="BY198">
        <f ca="1">IF(AND(ISNUMBER($BY$402),$B$252=1),$BY$402,HLOOKUP(INDIRECT(ADDRESS(2,COLUMN())),OFFSET($CL$2,0,0,ROW()-1,84),ROW()-1,FALSE))</f>
        <v>2.6685007660000002</v>
      </c>
      <c r="BZ198">
        <f ca="1">IF(AND(ISNUMBER($BZ$402),$B$252=1),$BZ$402,HLOOKUP(INDIRECT(ADDRESS(2,COLUMN())),OFFSET($CL$2,0,0,ROW()-1,84),ROW()-1,FALSE))</f>
        <v>2.7449594020000001</v>
      </c>
      <c r="CA198">
        <f ca="1">IF(AND(ISNUMBER($CA$402),$B$252=1),$CA$402,HLOOKUP(INDIRECT(ADDRESS(2,COLUMN())),OFFSET($CL$2,0,0,ROW()-1,84),ROW()-1,FALSE))</f>
        <v>2.9922110850000001</v>
      </c>
      <c r="CB198">
        <f ca="1">IF(AND(ISNUMBER($CB$402),$B$252=1),$CB$402,HLOOKUP(INDIRECT(ADDRESS(2,COLUMN())),OFFSET($CL$2,0,0,ROW()-1,84),ROW()-1,FALSE))</f>
        <v>2.62480695</v>
      </c>
      <c r="CC198">
        <f ca="1">IF(AND(ISNUMBER($CC$402),$B$252=1),$CC$402,HLOOKUP(INDIRECT(ADDRESS(2,COLUMN())),OFFSET($CL$2,0,0,ROW()-1,84),ROW()-1,FALSE))</f>
        <v>2.7335374680000002</v>
      </c>
      <c r="CD198">
        <f ca="1">IF(AND(ISNUMBER($CD$402),$B$252=1),$CD$402,HLOOKUP(INDIRECT(ADDRESS(2,COLUMN())),OFFSET($CL$2,0,0,ROW()-1,84),ROW()-1,FALSE))</f>
        <v>2.8594312639999999</v>
      </c>
      <c r="CE198">
        <f ca="1">IF(AND(ISNUMBER($CE$402),$B$252=1),$CE$402,HLOOKUP(INDIRECT(ADDRESS(2,COLUMN())),OFFSET($CL$2,0,0,ROW()-1,84),ROW()-1,FALSE))</f>
        <v>2.6703567459999999</v>
      </c>
      <c r="CF198">
        <f ca="1">IF(AND(ISNUMBER($CF$402),$B$252=1),$CF$402,HLOOKUP(INDIRECT(ADDRESS(2,COLUMN())),OFFSET($CL$2,0,0,ROW()-1,84),ROW()-1,FALSE))</f>
        <v>3.130205991</v>
      </c>
      <c r="CG198">
        <f ca="1">IF(AND(ISNUMBER($CG$402),$B$252=1),$CG$402,HLOOKUP(INDIRECT(ADDRESS(2,COLUMN())),OFFSET($CL$2,0,0,ROW()-1,84),ROW()-1,FALSE))</f>
        <v>2.617685829</v>
      </c>
      <c r="CH198">
        <f ca="1">IF(AND(ISNUMBER($CH$402),$B$252=1),$CH$402,HLOOKUP(INDIRECT(ADDRESS(2,COLUMN())),OFFSET($CL$2,0,0,ROW()-1,84),ROW()-1,FALSE))</f>
        <v>2.6604068359999999</v>
      </c>
      <c r="CI198">
        <f ca="1">IF(AND(ISNUMBER($CI$402),$B$252=1),$CI$402,HLOOKUP(INDIRECT(ADDRESS(2,COLUMN())),OFFSET($CL$2,0,0,ROW()-1,84),ROW()-1,FALSE))</f>
        <v>2.7803737800000001</v>
      </c>
      <c r="CJ198">
        <f ca="1">IF(AND(ISNUMBER($CJ$402),$B$252=1),$CJ$402,HLOOKUP(INDIRECT(ADDRESS(2,COLUMN())),OFFSET($CL$2,0,0,ROW()-1,84),ROW()-1,FALSE))</f>
        <v>2.682798477</v>
      </c>
      <c r="CK198">
        <f ca="1">IF(AND(ISNUMBER($CK$402),$B$252=1),$CK$402,HLOOKUP(INDIRECT(ADDRESS(2,COLUMN())),OFFSET($CL$2,0,0,ROW()-1,84),ROW()-1,FALSE))</f>
        <v>2.819682437</v>
      </c>
      <c r="CL198">
        <f>3.640416022</f>
        <v>3.6404160220000001</v>
      </c>
      <c r="CM198">
        <f>3.76874767</f>
        <v>3.7687476700000002</v>
      </c>
      <c r="CN198">
        <f>3.450704293</f>
        <v>3.4507042929999998</v>
      </c>
      <c r="CO198">
        <f>3.183677949</f>
        <v>3.1836779489999998</v>
      </c>
      <c r="CP198">
        <f>3.132410428</f>
        <v>3.132410428</v>
      </c>
      <c r="CQ198">
        <f>3.132410428</f>
        <v>3.132410428</v>
      </c>
      <c r="CR198">
        <f>3.183499511</f>
        <v>3.1834995109999999</v>
      </c>
      <c r="CS198">
        <f>3.025621812</f>
        <v>3.0256218119999998</v>
      </c>
      <c r="CT198">
        <f>2.952950262</f>
        <v>2.9529502619999999</v>
      </c>
      <c r="CU198">
        <f>2.955716204</f>
        <v>2.9557162039999998</v>
      </c>
      <c r="CV198">
        <f>2.97008985</f>
        <v>2.9700898499999999</v>
      </c>
      <c r="CW198">
        <f>2.991993167</f>
        <v>2.991993167</v>
      </c>
      <c r="CX198">
        <f>3.093681824</f>
        <v>3.0936818239999999</v>
      </c>
      <c r="CY198">
        <f>3.090651773</f>
        <v>3.0906517729999998</v>
      </c>
      <c r="CZ198">
        <f>3.115804106</f>
        <v>3.1158041060000001</v>
      </c>
      <c r="DA198">
        <f>3.048264237</f>
        <v>3.0482642370000002</v>
      </c>
      <c r="DB198">
        <f>3.282874397</f>
        <v>3.2828743970000001</v>
      </c>
      <c r="DC198">
        <f>3.154574188</f>
        <v>3.1545741879999998</v>
      </c>
      <c r="DD198">
        <f>3.036437301</f>
        <v>3.0364373009999999</v>
      </c>
      <c r="DE198">
        <f>3.085538024</f>
        <v>3.0855380239999999</v>
      </c>
      <c r="DF198">
        <f>2.908699216</f>
        <v>2.908699216</v>
      </c>
      <c r="DG198">
        <f>2.993514106</f>
        <v>2.9935141060000001</v>
      </c>
      <c r="DH198">
        <f>3.002001387</f>
        <v>3.002001387</v>
      </c>
      <c r="DI198">
        <f>3.054471461</f>
        <v>3.0544714609999999</v>
      </c>
      <c r="DJ198">
        <f>2.839116769</f>
        <v>2.8391167689999999</v>
      </c>
      <c r="DK198">
        <f>3.146119841</f>
        <v>3.146119841</v>
      </c>
      <c r="DL198">
        <f>2.915621902</f>
        <v>2.9156219019999998</v>
      </c>
      <c r="DM198">
        <f>2.715472764</f>
        <v>2.7154727639999998</v>
      </c>
      <c r="DN198">
        <f>2.750426316</f>
        <v>2.750426316</v>
      </c>
      <c r="DO198">
        <f>2.859921066</f>
        <v>2.8599210660000001</v>
      </c>
      <c r="DP198">
        <f>2.860084659</f>
        <v>2.860084659</v>
      </c>
      <c r="DQ198">
        <f>3.029201502</f>
        <v>3.0292015019999998</v>
      </c>
      <c r="DR198">
        <f>2.901241731</f>
        <v>2.9012417309999998</v>
      </c>
      <c r="DS198">
        <f>3.127541127</f>
        <v>3.1275411270000002</v>
      </c>
      <c r="DT198">
        <f>3.003003003</f>
        <v>3.0030030029999999</v>
      </c>
      <c r="DU198">
        <f>3.042472922</f>
        <v>3.042472922</v>
      </c>
      <c r="DV198">
        <f>2.869440459</f>
        <v>2.8694404590000002</v>
      </c>
      <c r="DW198">
        <f>2.970179399</f>
        <v>2.9701793990000001</v>
      </c>
      <c r="DX198">
        <f>2.890340482</f>
        <v>2.890340482</v>
      </c>
      <c r="DY198">
        <f>2.839830997</f>
        <v>2.839830997</v>
      </c>
      <c r="DZ198">
        <f>2.885751518</f>
        <v>2.8857515180000002</v>
      </c>
      <c r="EA198">
        <f>2.977412645</f>
        <v>2.9774126449999998</v>
      </c>
      <c r="EB198">
        <f>3.291480362</f>
        <v>3.2914803620000002</v>
      </c>
      <c r="EC198">
        <f>3.011031711</f>
        <v>3.0110317110000002</v>
      </c>
      <c r="ED198">
        <f>3.133441293</f>
        <v>3.1334412930000002</v>
      </c>
      <c r="EE198">
        <f>3.263239234</f>
        <v>3.2632392339999998</v>
      </c>
      <c r="EF198">
        <f>3.271291502</f>
        <v>3.271291502</v>
      </c>
      <c r="EG198">
        <f>3.398022605</f>
        <v>3.398022605</v>
      </c>
      <c r="EH198">
        <f>3.533353538</f>
        <v>3.5333535380000001</v>
      </c>
      <c r="EI198">
        <f>3.597735804</f>
        <v>3.597735804</v>
      </c>
      <c r="EJ198">
        <f>3.757084912</f>
        <v>3.7570849119999998</v>
      </c>
      <c r="EK198">
        <f>3.620062767</f>
        <v>3.6200627669999998</v>
      </c>
      <c r="EL198">
        <f>3.609986682</f>
        <v>3.6099866820000002</v>
      </c>
      <c r="EM198">
        <f>3.422631115</f>
        <v>3.4226311150000002</v>
      </c>
      <c r="EN198">
        <f>3.367692352</f>
        <v>3.3676923520000002</v>
      </c>
      <c r="EO198">
        <f>3.454398878</f>
        <v>3.4543988780000001</v>
      </c>
      <c r="EP198">
        <f>3.162405948</f>
        <v>3.162405948</v>
      </c>
      <c r="EQ198">
        <f>3.172485516</f>
        <v>3.1724855160000001</v>
      </c>
      <c r="ER198">
        <f>3.226292937</f>
        <v>3.2262929370000002</v>
      </c>
      <c r="ES198">
        <f>3.217077728</f>
        <v>3.217077728</v>
      </c>
      <c r="ET198">
        <f>3.378858617</f>
        <v>3.3788586170000001</v>
      </c>
      <c r="EU198">
        <f>3.42866315</f>
        <v>3.4286631500000002</v>
      </c>
      <c r="EV198">
        <f>3.297634802</f>
        <v>3.2976348020000001</v>
      </c>
      <c r="EW198">
        <f>2.861568047</f>
        <v>2.861568047</v>
      </c>
      <c r="EX198">
        <f>2.944077786</f>
        <v>2.9440777859999998</v>
      </c>
      <c r="EY198">
        <f>2.862201324</f>
        <v>2.8622013239999999</v>
      </c>
      <c r="EZ198">
        <f>2.853151051</f>
        <v>2.8531510510000002</v>
      </c>
      <c r="FA198">
        <f>2.741662037</f>
        <v>2.7416620370000002</v>
      </c>
      <c r="FB198">
        <f>2.637840856</f>
        <v>2.637840856</v>
      </c>
      <c r="FC198">
        <f>2.742437174</f>
        <v>2.742437174</v>
      </c>
      <c r="FD198">
        <f>2.776386486</f>
        <v>2.7763864859999998</v>
      </c>
      <c r="FE198">
        <f>2.668500766</f>
        <v>2.6685007660000002</v>
      </c>
      <c r="FF198">
        <f>2.744959402</f>
        <v>2.7449594020000001</v>
      </c>
      <c r="FG198">
        <f>2.992211085</f>
        <v>2.9922110850000001</v>
      </c>
      <c r="FH198">
        <f>2.62480695</f>
        <v>2.62480695</v>
      </c>
      <c r="FI198">
        <f>2.733537468</f>
        <v>2.7335374680000002</v>
      </c>
      <c r="FJ198">
        <f>2.859431264</f>
        <v>2.8594312639999999</v>
      </c>
      <c r="FK198">
        <f>2.670356746</f>
        <v>2.6703567459999999</v>
      </c>
      <c r="FL198">
        <f>3.130205991</f>
        <v>3.130205991</v>
      </c>
      <c r="FM198">
        <f>2.617685829</f>
        <v>2.617685829</v>
      </c>
      <c r="FN198">
        <f>2.660406836</f>
        <v>2.6604068359999999</v>
      </c>
      <c r="FO198">
        <f>2.78037378</f>
        <v>2.7803737800000001</v>
      </c>
      <c r="FP198">
        <f>2.682798477</f>
        <v>2.682798477</v>
      </c>
      <c r="FQ198">
        <f>2.819682437</f>
        <v>2.819682437</v>
      </c>
    </row>
    <row r="199" spans="1:173">
      <c r="A199" t="str">
        <f>"    Camden 房地产信托公司"</f>
        <v xml:space="preserve">    Camden 房地产信托公司</v>
      </c>
      <c r="B199" t="str">
        <f>"CPT US Equity"</f>
        <v>CPT US Equity</v>
      </c>
      <c r="C199" t="str">
        <f t="shared" si="63"/>
        <v>DV013</v>
      </c>
      <c r="D199" t="str">
        <f t="shared" si="64"/>
        <v>EQY_DVD_YLD_IND</v>
      </c>
      <c r="E199" t="str">
        <f t="shared" si="65"/>
        <v>动态</v>
      </c>
      <c r="F199">
        <f ca="1">IF(AND(ISNUMBER($F$403),$B$252=1),$F$403,HLOOKUP(INDIRECT(ADDRESS(2,COLUMN())),OFFSET($CL$2,0,0,ROW()-1,84),ROW()-1,FALSE))</f>
        <v>3.722954096</v>
      </c>
      <c r="G199">
        <f ca="1">IF(AND(ISNUMBER($G$403),$B$252=1),$G$403,HLOOKUP(INDIRECT(ADDRESS(2,COLUMN())),OFFSET($CL$2,0,0,ROW()-1,84),ROW()-1,FALSE))</f>
        <v>3.86400693</v>
      </c>
      <c r="H199">
        <f ca="1">IF(AND(ISNUMBER($H$403),$B$252=1),$H$403,HLOOKUP(INDIRECT(ADDRESS(2,COLUMN())),OFFSET($CL$2,0,0,ROW()-1,84),ROW()-1,FALSE))</f>
        <v>3.4658040670000001</v>
      </c>
      <c r="I199">
        <f ca="1">IF(AND(ISNUMBER($I$403),$B$252=1),$I$403,HLOOKUP(INDIRECT(ADDRESS(2,COLUMN())),OFFSET($CL$2,0,0,ROW()-1,84),ROW()-1,FALSE))</f>
        <v>3.2587442969999998</v>
      </c>
      <c r="J199">
        <f ca="1">IF(AND(ISNUMBER($J$403),$B$252=1),$J$403,HLOOKUP(INDIRECT(ADDRESS(2,COLUMN())),OFFSET($CL$2,0,0,ROW()-1,84),ROW()-1,FALSE))</f>
        <v>3.28659071</v>
      </c>
      <c r="K199">
        <f ca="1">IF(AND(ISNUMBER($K$403),$B$252=1),$K$403,HLOOKUP(INDIRECT(ADDRESS(2,COLUMN())),OFFSET($CL$2,0,0,ROW()-1,84),ROW()-1,FALSE))</f>
        <v>3.2880315649999998</v>
      </c>
      <c r="L199">
        <f ca="1">IF(AND(ISNUMBER($L$403),$B$252=1),$L$403,HLOOKUP(INDIRECT(ADDRESS(2,COLUMN())),OFFSET($CL$2,0,0,ROW()-1,84),ROW()-1,FALSE))</f>
        <v>3.2804811370000002</v>
      </c>
      <c r="M199">
        <f ca="1">IF(AND(ISNUMBER($M$403),$B$252=1),$M$403,HLOOKUP(INDIRECT(ADDRESS(2,COLUMN())),OFFSET($CL$2,0,0,ROW()-1,84),ROW()-1,FALSE))</f>
        <v>3.3527045150000001</v>
      </c>
      <c r="N199">
        <f ca="1">IF(AND(ISNUMBER($N$403),$B$252=1),$N$403,HLOOKUP(INDIRECT(ADDRESS(2,COLUMN())),OFFSET($CL$2,0,0,ROW()-1,84),ROW()-1,FALSE))</f>
        <v>3.3444816049999999</v>
      </c>
      <c r="O199">
        <f ca="1">IF(AND(ISNUMBER($O$403),$B$252=1),$O$403,HLOOKUP(INDIRECT(ADDRESS(2,COLUMN())),OFFSET($CL$2,0,0,ROW()-1,84),ROW()-1,FALSE))</f>
        <v>3.5083615950000002</v>
      </c>
      <c r="P199">
        <f ca="1">IF(AND(ISNUMBER($P$403),$B$252=1),$P$403,HLOOKUP(INDIRECT(ADDRESS(2,COLUMN())),OFFSET($CL$2,0,0,ROW()-1,84),ROW()-1,FALSE))</f>
        <v>3.601008282</v>
      </c>
      <c r="Q199">
        <f ca="1">IF(AND(ISNUMBER($Q$403),$B$252=1),$Q$403,HLOOKUP(INDIRECT(ADDRESS(2,COLUMN())),OFFSET($CL$2,0,0,ROW()-1,84),ROW()-1,FALSE))</f>
        <v>3.6438722220000002</v>
      </c>
      <c r="R199">
        <f ca="1">IF(AND(ISNUMBER($R$403),$B$252=1),$R$403,HLOOKUP(INDIRECT(ADDRESS(2,COLUMN())),OFFSET($CL$2,0,0,ROW()-1,84),ROW()-1,FALSE))</f>
        <v>3.7285607760000001</v>
      </c>
      <c r="S199">
        <f ca="1">IF(AND(ISNUMBER($S$403),$B$252=1),$S$403,HLOOKUP(INDIRECT(ADDRESS(2,COLUMN())),OFFSET($CL$2,0,0,ROW()-1,84),ROW()-1,FALSE))</f>
        <v>3.5440047250000002</v>
      </c>
      <c r="T199">
        <f ca="1">IF(AND(ISNUMBER($T$403),$B$252=1),$T$403,HLOOKUP(INDIRECT(ADDRESS(2,COLUMN())),OFFSET($CL$2,0,0,ROW()-1,84),ROW()-1,FALSE))</f>
        <v>3.5898049539999999</v>
      </c>
      <c r="U199">
        <f ca="1">IF(AND(ISNUMBER($U$403),$B$252=1),$U$403,HLOOKUP(INDIRECT(ADDRESS(2,COLUMN())),OFFSET($CL$2,0,0,ROW()-1,84),ROW()-1,FALSE))</f>
        <v>3.568454859</v>
      </c>
      <c r="V199">
        <f ca="1">IF(AND(ISNUMBER($V$403),$B$252=1),$V$403,HLOOKUP(INDIRECT(ADDRESS(2,COLUMN())),OFFSET($CL$2,0,0,ROW()-1,84),ROW()-1,FALSE))</f>
        <v>3.8114597890000002</v>
      </c>
      <c r="W199">
        <f ca="1">IF(AND(ISNUMBER($W$403),$B$252=1),$W$403,HLOOKUP(INDIRECT(ADDRESS(2,COLUMN())),OFFSET($CL$2,0,0,ROW()-1,84),ROW()-1,FALSE))</f>
        <v>3.683693517</v>
      </c>
      <c r="X199">
        <f ca="1">IF(AND(ISNUMBER($X$403),$B$252=1),$X$403,HLOOKUP(INDIRECT(ADDRESS(2,COLUMN())),OFFSET($CL$2,0,0,ROW()-1,84),ROW()-1,FALSE))</f>
        <v>3.5825173160000001</v>
      </c>
      <c r="Y199">
        <f ca="1">IF(AND(ISNUMBER($Y$403),$B$252=1),$Y$403,HLOOKUP(INDIRECT(ADDRESS(2,COLUMN())),OFFSET($CL$2,0,0,ROW()-1,84),ROW()-1,FALSE))</f>
        <v>3.418024382</v>
      </c>
      <c r="Z199">
        <f ca="1">IF(AND(ISNUMBER($Z$403),$B$252=1),$Z$403,HLOOKUP(INDIRECT(ADDRESS(2,COLUMN())),OFFSET($CL$2,0,0,ROW()-1,84),ROW()-1,FALSE))</f>
        <v>3.348588012</v>
      </c>
      <c r="AA199">
        <f ca="1">IF(AND(ISNUMBER($AA$403),$B$252=1),$AA$403,HLOOKUP(INDIRECT(ADDRESS(2,COLUMN())),OFFSET($CL$2,0,0,ROW()-1,84),ROW()-1,FALSE))</f>
        <v>3.3928975339999998</v>
      </c>
      <c r="AB199">
        <f ca="1">IF(AND(ISNUMBER($AB$403),$B$252=1),$AB$403,HLOOKUP(INDIRECT(ADDRESS(2,COLUMN())),OFFSET($CL$2,0,0,ROW()-1,84),ROW()-1,FALSE))</f>
        <v>3.5207135310000002</v>
      </c>
      <c r="AC199">
        <f ca="1">IF(AND(ISNUMBER($AC$403),$B$252=1),$AC$403,HLOOKUP(INDIRECT(ADDRESS(2,COLUMN())),OFFSET($CL$2,0,0,ROW()-1,84),ROW()-1,FALSE))</f>
        <v>3.7160906730000001</v>
      </c>
      <c r="AD199">
        <f ca="1">IF(AND(ISNUMBER($AD$403),$B$252=1),$AD$403,HLOOKUP(INDIRECT(ADDRESS(2,COLUMN())),OFFSET($CL$2,0,0,ROW()-1,84),ROW()-1,FALSE))</f>
        <v>3.5676061360000002</v>
      </c>
      <c r="AE199">
        <f ca="1">IF(AND(ISNUMBER($AE$403),$B$252=1),$AE$403,HLOOKUP(INDIRECT(ADDRESS(2,COLUMN())),OFFSET($CL$2,0,0,ROW()-1,84),ROW()-1,FALSE))</f>
        <v>4.013914905</v>
      </c>
      <c r="AF199">
        <f ca="1">IF(AND(ISNUMBER($AF$403),$B$252=1),$AF$403,HLOOKUP(INDIRECT(ADDRESS(2,COLUMN())),OFFSET($CL$2,0,0,ROW()-1,84),ROW()-1,FALSE))</f>
        <v>3.9318479690000001</v>
      </c>
      <c r="AG199">
        <f ca="1">IF(AND(ISNUMBER($AG$403),$B$252=1),$AG$403,HLOOKUP(INDIRECT(ADDRESS(2,COLUMN())),OFFSET($CL$2,0,0,ROW()-1,84),ROW()-1,FALSE))</f>
        <v>3.6477331319999999</v>
      </c>
      <c r="AH199">
        <f ca="1">IF(AND(ISNUMBER($AH$403),$B$252=1),$AH$403,HLOOKUP(INDIRECT(ADDRESS(2,COLUMN())),OFFSET($CL$2,0,0,ROW()-1,84),ROW()-1,FALSE))</f>
        <v>3.6658810580000001</v>
      </c>
      <c r="AI199">
        <f ca="1">IF(AND(ISNUMBER($AI$403),$B$252=1),$AI$403,HLOOKUP(INDIRECT(ADDRESS(2,COLUMN())),OFFSET($CL$2,0,0,ROW()-1,84),ROW()-1,FALSE))</f>
        <v>3.7945520429999999</v>
      </c>
      <c r="AJ199">
        <f ca="1">IF(AND(ISNUMBER($AJ$403),$B$252=1),$AJ$403,HLOOKUP(INDIRECT(ADDRESS(2,COLUMN())),OFFSET($CL$2,0,0,ROW()-1,84),ROW()-1,FALSE))</f>
        <v>3.78890386</v>
      </c>
      <c r="AK199">
        <f ca="1">IF(AND(ISNUMBER($AK$403),$B$252=1),$AK$403,HLOOKUP(INDIRECT(ADDRESS(2,COLUMN())),OFFSET($CL$2,0,0,ROW()-1,84),ROW()-1,FALSE))</f>
        <v>3.8872691270000002</v>
      </c>
      <c r="AL199">
        <f ca="1">IF(AND(ISNUMBER($AL$403),$B$252=1),$AL$403,HLOOKUP(INDIRECT(ADDRESS(2,COLUMN())),OFFSET($CL$2,0,0,ROW()-1,84),ROW()-1,FALSE))</f>
        <v>3.5162626549999998</v>
      </c>
      <c r="AM199">
        <f ca="1">IF(AND(ISNUMBER($AM$403),$B$252=1),$AM$403,HLOOKUP(INDIRECT(ADDRESS(2,COLUMN())),OFFSET($CL$2,0,0,ROW()-1,84),ROW()-1,FALSE))</f>
        <v>3.7695206680000002</v>
      </c>
      <c r="AN199">
        <f ca="1">IF(AND(ISNUMBER($AN$403),$B$252=1),$AN$403,HLOOKUP(INDIRECT(ADDRESS(2,COLUMN())),OFFSET($CL$2,0,0,ROW()-1,84),ROW()-1,FALSE))</f>
        <v>3.7343290910000002</v>
      </c>
      <c r="AO199">
        <f ca="1">IF(AND(ISNUMBER($AO$403),$B$252=1),$AO$403,HLOOKUP(INDIRECT(ADDRESS(2,COLUMN())),OFFSET($CL$2,0,0,ROW()-1,84),ROW()-1,FALSE))</f>
        <v>3.7293552910000001</v>
      </c>
      <c r="AP199">
        <f ca="1">IF(AND(ISNUMBER($AP$403),$B$252=1),$AP$403,HLOOKUP(INDIRECT(ADDRESS(2,COLUMN())),OFFSET($CL$2,0,0,ROW()-1,84),ROW()-1,FALSE))</f>
        <v>3.5837705780000002</v>
      </c>
      <c r="AQ199">
        <f ca="1">IF(AND(ISNUMBER($AQ$403),$B$252=1),$AQ$403,HLOOKUP(INDIRECT(ADDRESS(2,COLUMN())),OFFSET($CL$2,0,0,ROW()-1,84),ROW()-1,FALSE))</f>
        <v>3.8466821709999999</v>
      </c>
      <c r="AR199">
        <f ca="1">IF(AND(ISNUMBER($AR$403),$B$252=1),$AR$403,HLOOKUP(INDIRECT(ADDRESS(2,COLUMN())),OFFSET($CL$2,0,0,ROW()-1,84),ROW()-1,FALSE))</f>
        <v>3.6340038319999999</v>
      </c>
      <c r="AS199">
        <f ca="1">IF(AND(ISNUMBER($AS$403),$B$252=1),$AS$403,HLOOKUP(INDIRECT(ADDRESS(2,COLUMN())),OFFSET($CL$2,0,0,ROW()-1,84),ROW()-1,FALSE))</f>
        <v>3.5752980839999999</v>
      </c>
      <c r="AT199">
        <f ca="1">IF(AND(ISNUMBER($AT$403),$B$252=1),$AT$403,HLOOKUP(INDIRECT(ADDRESS(2,COLUMN())),OFFSET($CL$2,0,0,ROW()-1,84),ROW()-1,FALSE))</f>
        <v>3.4428796359999998</v>
      </c>
      <c r="AU199">
        <f ca="1">IF(AND(ISNUMBER($AU$403),$B$252=1),$AU$403,HLOOKUP(INDIRECT(ADDRESS(2,COLUMN())),OFFSET($CL$2,0,0,ROW()-1,84),ROW()-1,FALSE))</f>
        <v>3.4433286879999998</v>
      </c>
      <c r="AV199">
        <f ca="1">IF(AND(ISNUMBER($AV$403),$B$252=1),$AV$403,HLOOKUP(INDIRECT(ADDRESS(2,COLUMN())),OFFSET($CL$2,0,0,ROW()-1,84),ROW()-1,FALSE))</f>
        <v>3.8523276009999998</v>
      </c>
      <c r="AW199">
        <f ca="1">IF(AND(ISNUMBER($AW$403),$B$252=1),$AW$403,HLOOKUP(INDIRECT(ADDRESS(2,COLUMN())),OFFSET($CL$2,0,0,ROW()-1,84),ROW()-1,FALSE))</f>
        <v>3.527525528</v>
      </c>
      <c r="AX199">
        <f ca="1">IF(AND(ISNUMBER($AX$403),$B$252=1),$AX$403,HLOOKUP(INDIRECT(ADDRESS(2,COLUMN())),OFFSET($CL$2,0,0,ROW()-1,84),ROW()-1,FALSE))</f>
        <v>3.6484246890000001</v>
      </c>
      <c r="AY199">
        <f ca="1">IF(AND(ISNUMBER($AY$403),$B$252=1),$AY$403,HLOOKUP(INDIRECT(ADDRESS(2,COLUMN())),OFFSET($CL$2,0,0,ROW()-1,84),ROW()-1,FALSE))</f>
        <v>3.7104709840000001</v>
      </c>
      <c r="AZ199">
        <f ca="1">IF(AND(ISNUMBER($AZ$403),$B$252=1),$AZ$403,HLOOKUP(INDIRECT(ADDRESS(2,COLUMN())),OFFSET($CL$2,0,0,ROW()-1,84),ROW()-1,FALSE))</f>
        <v>3.7585422909999999</v>
      </c>
      <c r="BA199">
        <f ca="1">IF(AND(ISNUMBER($BA$403),$B$252=1),$BA$403,HLOOKUP(INDIRECT(ADDRESS(2,COLUMN())),OFFSET($CL$2,0,0,ROW()-1,84),ROW()-1,FALSE))</f>
        <v>3.8545774640000001</v>
      </c>
      <c r="BB199">
        <f ca="1">IF(AND(ISNUMBER($BB$403),$B$252=1),$BB$403,HLOOKUP(INDIRECT(ADDRESS(2,COLUMN())),OFFSET($CL$2,0,0,ROW()-1,84),ROW()-1,FALSE))</f>
        <v>3.9204040760000001</v>
      </c>
      <c r="BC199">
        <f ca="1">IF(AND(ISNUMBER($BC$403),$B$252=1),$BC$403,HLOOKUP(INDIRECT(ADDRESS(2,COLUMN())),OFFSET($CL$2,0,0,ROW()-1,84),ROW()-1,FALSE))</f>
        <v>3.9580211470000002</v>
      </c>
      <c r="BD199">
        <f ca="1">IF(AND(ISNUMBER($BD$403),$B$252=1),$BD$403,HLOOKUP(INDIRECT(ADDRESS(2,COLUMN())),OFFSET($CL$2,0,0,ROW()-1,84),ROW()-1,FALSE))</f>
        <v>4.270462803</v>
      </c>
      <c r="BE199">
        <f ca="1">IF(AND(ISNUMBER($BE$403),$B$252=1),$BE$403,HLOOKUP(INDIRECT(ADDRESS(2,COLUMN())),OFFSET($CL$2,0,0,ROW()-1,84),ROW()-1,FALSE))</f>
        <v>4.4303797129999998</v>
      </c>
      <c r="BF199">
        <f ca="1">IF(AND(ISNUMBER($BF$403),$B$252=1),$BF$403,HLOOKUP(INDIRECT(ADDRESS(2,COLUMN())),OFFSET($CL$2,0,0,ROW()-1,84),ROW()-1,FALSE))</f>
        <v>4.3508286959999998</v>
      </c>
      <c r="BG199">
        <f ca="1">IF(AND(ISNUMBER($BG$403),$B$252=1),$BG$403,HLOOKUP(INDIRECT(ADDRESS(2,COLUMN())),OFFSET($CL$2,0,0,ROW()-1,84),ROW()-1,FALSE))</f>
        <v>3.9252336149999998</v>
      </c>
      <c r="BH199">
        <f ca="1">IF(AND(ISNUMBER($BH$403),$B$252=1),$BH$403,HLOOKUP(INDIRECT(ADDRESS(2,COLUMN())),OFFSET($CL$2,0,0,ROW()-1,84),ROW()-1,FALSE))</f>
        <v>4.1015624690000001</v>
      </c>
      <c r="BI199">
        <f ca="1">IF(AND(ISNUMBER($BI$403),$B$252=1),$BI$403,HLOOKUP(INDIRECT(ADDRESS(2,COLUMN())),OFFSET($CL$2,0,0,ROW()-1,84),ROW()-1,FALSE))</f>
        <v>4.0783297960000002</v>
      </c>
      <c r="BJ199">
        <f ca="1">IF(AND(ISNUMBER($BJ$403),$B$252=1),$BJ$403,HLOOKUP(INDIRECT(ADDRESS(2,COLUMN())),OFFSET($CL$2,0,0,ROW()-1,84),ROW()-1,FALSE))</f>
        <v>3.5724411410000001</v>
      </c>
      <c r="BK199">
        <f ca="1">IF(AND(ISNUMBER($BK$403),$B$252=1),$BK$403,HLOOKUP(INDIRECT(ADDRESS(2,COLUMN())),OFFSET($CL$2,0,0,ROW()-1,84),ROW()-1,FALSE))</f>
        <v>3.6447786820000001</v>
      </c>
      <c r="BL199">
        <f ca="1">IF(AND(ISNUMBER($BL$403),$B$252=1),$BL$403,HLOOKUP(INDIRECT(ADDRESS(2,COLUMN())),OFFSET($CL$2,0,0,ROW()-1,84),ROW()-1,FALSE))</f>
        <v>3.6389891419999998</v>
      </c>
      <c r="BM199">
        <f ca="1">IF(AND(ISNUMBER($BM$403),$B$252=1),$BM$403,HLOOKUP(INDIRECT(ADDRESS(2,COLUMN())),OFFSET($CL$2,0,0,ROW()-1,84),ROW()-1,FALSE))</f>
        <v>3.4835498770000002</v>
      </c>
      <c r="BN199">
        <f ca="1">IF(AND(ISNUMBER($BN$403),$B$252=1),$BN$403,HLOOKUP(INDIRECT(ADDRESS(2,COLUMN())),OFFSET($CL$2,0,0,ROW()-1,84),ROW()-1,FALSE))</f>
        <v>3.6691904210000001</v>
      </c>
      <c r="BO199">
        <f ca="1">IF(AND(ISNUMBER($BO$403),$B$252=1),$BO$403,HLOOKUP(INDIRECT(ADDRESS(2,COLUMN())),OFFSET($CL$2,0,0,ROW()-1,84),ROW()-1,FALSE))</f>
        <v>3.6447786820000001</v>
      </c>
      <c r="BP199">
        <f ca="1">IF(AND(ISNUMBER($BP$403),$B$252=1),$BP$403,HLOOKUP(INDIRECT(ADDRESS(2,COLUMN())),OFFSET($CL$2,0,0,ROW()-1,84),ROW()-1,FALSE))</f>
        <v>3.6316471840000002</v>
      </c>
      <c r="BQ199">
        <f ca="1">IF(AND(ISNUMBER($BQ$403),$B$252=1),$BQ$403,HLOOKUP(INDIRECT(ADDRESS(2,COLUMN())),OFFSET($CL$2,0,0,ROW()-1,84),ROW()-1,FALSE))</f>
        <v>3.2839759709999998</v>
      </c>
      <c r="BR199">
        <f ca="1">IF(AND(ISNUMBER($BR$403),$B$252=1),$BR$403,HLOOKUP(INDIRECT(ADDRESS(2,COLUMN())),OFFSET($CL$2,0,0,ROW()-1,84),ROW()-1,FALSE))</f>
        <v>3.409436849</v>
      </c>
      <c r="BS199">
        <f ca="1">IF(AND(ISNUMBER($BS$403),$B$252=1),$BS$403,HLOOKUP(INDIRECT(ADDRESS(2,COLUMN())),OFFSET($CL$2,0,0,ROW()-1,84),ROW()-1,FALSE))</f>
        <v>3.4130733040000001</v>
      </c>
      <c r="BT199">
        <f ca="1">IF(AND(ISNUMBER($BT$403),$B$252=1),$BT$403,HLOOKUP(INDIRECT(ADDRESS(2,COLUMN())),OFFSET($CL$2,0,0,ROW()-1,84),ROW()-1,FALSE))</f>
        <v>3.4734067450000001</v>
      </c>
      <c r="BU199">
        <f ca="1">IF(AND(ISNUMBER($BU$403),$B$252=1),$BU$403,HLOOKUP(INDIRECT(ADDRESS(2,COLUMN())),OFFSET($CL$2,0,0,ROW()-1,84),ROW()-1,FALSE))</f>
        <v>3.2262710779999999</v>
      </c>
      <c r="BV199">
        <f ca="1">IF(AND(ISNUMBER($BV$403),$B$252=1),$BV$403,HLOOKUP(INDIRECT(ADDRESS(2,COLUMN())),OFFSET($CL$2,0,0,ROW()-1,84),ROW()-1,FALSE))</f>
        <v>3.1412144290000001</v>
      </c>
      <c r="BW199">
        <f ca="1">IF(AND(ISNUMBER($BW$403),$B$252=1),$BW$403,HLOOKUP(INDIRECT(ADDRESS(2,COLUMN())),OFFSET($CL$2,0,0,ROW()-1,84),ROW()-1,FALSE))</f>
        <v>3.3101817790000001</v>
      </c>
      <c r="BX199">
        <f ca="1">IF(AND(ISNUMBER($BX$403),$B$252=1),$BX$403,HLOOKUP(INDIRECT(ADDRESS(2,COLUMN())),OFFSET($CL$2,0,0,ROW()-1,84),ROW()-1,FALSE))</f>
        <v>3.4403317609999999</v>
      </c>
      <c r="BY199">
        <f ca="1">IF(AND(ISNUMBER($BY$403),$B$252=1),$BY$403,HLOOKUP(INDIRECT(ADDRESS(2,COLUMN())),OFFSET($CL$2,0,0,ROW()-1,84),ROW()-1,FALSE))</f>
        <v>3.3101817790000001</v>
      </c>
      <c r="BZ199">
        <f ca="1">IF(AND(ISNUMBER($BZ$403),$B$252=1),$BZ$403,HLOOKUP(INDIRECT(ADDRESS(2,COLUMN())),OFFSET($CL$2,0,0,ROW()-1,84),ROW()-1,FALSE))</f>
        <v>3.4068441209999998</v>
      </c>
      <c r="CA199">
        <f ca="1">IF(AND(ISNUMBER($CA$403),$B$252=1),$CA$403,HLOOKUP(INDIRECT(ADDRESS(2,COLUMN())),OFFSET($CL$2,0,0,ROW()-1,84),ROW()-1,FALSE))</f>
        <v>3.161290384</v>
      </c>
      <c r="CB199">
        <f ca="1">IF(AND(ISNUMBER($CB$403),$B$252=1),$CB$403,HLOOKUP(INDIRECT(ADDRESS(2,COLUMN())),OFFSET($CL$2,0,0,ROW()-1,84),ROW()-1,FALSE))</f>
        <v>3.038759749</v>
      </c>
      <c r="CC199">
        <f ca="1">IF(AND(ISNUMBER($CC$403),$B$252=1),$CC$403,HLOOKUP(INDIRECT(ADDRESS(2,COLUMN())),OFFSET($CL$2,0,0,ROW()-1,84),ROW()-1,FALSE))</f>
        <v>3.1491003179999999</v>
      </c>
      <c r="CD199">
        <f ca="1">IF(AND(ISNUMBER($CD$403),$B$252=1),$CD$403,HLOOKUP(INDIRECT(ADDRESS(2,COLUMN())),OFFSET($CL$2,0,0,ROW()-1,84),ROW()-1,FALSE))</f>
        <v>3.3951152570000001</v>
      </c>
      <c r="CE199">
        <f ca="1">IF(AND(ISNUMBER($CE$403),$B$252=1),$CE$403,HLOOKUP(INDIRECT(ADDRESS(2,COLUMN())),OFFSET($CL$2,0,0,ROW()-1,84),ROW()-1,FALSE))</f>
        <v>3.2321900370000001</v>
      </c>
      <c r="CF199">
        <f ca="1">IF(AND(ISNUMBER($CF$403),$B$252=1),$CF$403,HLOOKUP(INDIRECT(ADDRESS(2,COLUMN())),OFFSET($CL$2,0,0,ROW()-1,84),ROW()-1,FALSE))</f>
        <v>3.5468694140000001</v>
      </c>
      <c r="CG199">
        <f ca="1">IF(AND(ISNUMBER($CG$403),$B$252=1),$CG$403,HLOOKUP(INDIRECT(ADDRESS(2,COLUMN())),OFFSET($CL$2,0,0,ROW()-1,84),ROW()-1,FALSE))</f>
        <v>2.9332535740000001</v>
      </c>
      <c r="CH199">
        <f ca="1">IF(AND(ISNUMBER($CH$403),$B$252=1),$CH$403,HLOOKUP(INDIRECT(ADDRESS(2,COLUMN())),OFFSET($CL$2,0,0,ROW()-1,84),ROW()-1,FALSE))</f>
        <v>2.922320021</v>
      </c>
      <c r="CI199">
        <f ca="1">IF(AND(ISNUMBER($CI$403),$B$252=1),$CI$403,HLOOKUP(INDIRECT(ADDRESS(2,COLUMN())),OFFSET($CL$2,0,0,ROW()-1,84),ROW()-1,FALSE))</f>
        <v>3.0807922639999998</v>
      </c>
      <c r="CJ199">
        <f ca="1">IF(AND(ISNUMBER($CJ$403),$B$252=1),$CJ$403,HLOOKUP(INDIRECT(ADDRESS(2,COLUMN())),OFFSET($CL$2,0,0,ROW()-1,84),ROW()-1,FALSE))</f>
        <v>3.0491599850000002</v>
      </c>
      <c r="CK199">
        <f ca="1">IF(AND(ISNUMBER($CK$403),$B$252=1),$CK$403,HLOOKUP(INDIRECT(ADDRESS(2,COLUMN())),OFFSET($CL$2,0,0,ROW()-1,84),ROW()-1,FALSE))</f>
        <v>3.1235060369999998</v>
      </c>
      <c r="CL199">
        <f>3.722954096</f>
        <v>3.722954096</v>
      </c>
      <c r="CM199">
        <f>3.86400693</f>
        <v>3.86400693</v>
      </c>
      <c r="CN199">
        <f>3.465804067</f>
        <v>3.4658040670000001</v>
      </c>
      <c r="CO199">
        <f>3.258744297</f>
        <v>3.2587442969999998</v>
      </c>
      <c r="CP199">
        <f>3.28659071</f>
        <v>3.28659071</v>
      </c>
      <c r="CQ199">
        <f>3.288031565</f>
        <v>3.2880315649999998</v>
      </c>
      <c r="CR199">
        <f>3.280481137</f>
        <v>3.2804811370000002</v>
      </c>
      <c r="CS199">
        <f>3.352704515</f>
        <v>3.3527045150000001</v>
      </c>
      <c r="CT199">
        <f>3.344481605</f>
        <v>3.3444816049999999</v>
      </c>
      <c r="CU199">
        <f>3.508361595</f>
        <v>3.5083615950000002</v>
      </c>
      <c r="CV199">
        <f>3.601008282</f>
        <v>3.601008282</v>
      </c>
      <c r="CW199">
        <f>3.643872222</f>
        <v>3.6438722220000002</v>
      </c>
      <c r="CX199">
        <f>3.728560776</f>
        <v>3.7285607760000001</v>
      </c>
      <c r="CY199">
        <f>3.544004725</f>
        <v>3.5440047250000002</v>
      </c>
      <c r="CZ199">
        <f>3.589804954</f>
        <v>3.5898049539999999</v>
      </c>
      <c r="DA199">
        <f>3.568454859</f>
        <v>3.568454859</v>
      </c>
      <c r="DB199">
        <f>3.811459789</f>
        <v>3.8114597890000002</v>
      </c>
      <c r="DC199">
        <f>3.683693517</f>
        <v>3.683693517</v>
      </c>
      <c r="DD199">
        <f>3.582517316</f>
        <v>3.5825173160000001</v>
      </c>
      <c r="DE199">
        <f>3.418024382</f>
        <v>3.418024382</v>
      </c>
      <c r="DF199">
        <f>3.348588012</f>
        <v>3.348588012</v>
      </c>
      <c r="DG199">
        <f>3.392897534</f>
        <v>3.3928975339999998</v>
      </c>
      <c r="DH199">
        <f>3.520713531</f>
        <v>3.5207135310000002</v>
      </c>
      <c r="DI199">
        <f>3.716090673</f>
        <v>3.7160906730000001</v>
      </c>
      <c r="DJ199">
        <f>3.567606136</f>
        <v>3.5676061360000002</v>
      </c>
      <c r="DK199">
        <f>4.013914905</f>
        <v>4.013914905</v>
      </c>
      <c r="DL199">
        <f>3.931847969</f>
        <v>3.9318479690000001</v>
      </c>
      <c r="DM199">
        <f>3.647733132</f>
        <v>3.6477331319999999</v>
      </c>
      <c r="DN199">
        <f>3.665881058</f>
        <v>3.6658810580000001</v>
      </c>
      <c r="DO199">
        <f>3.794552043</f>
        <v>3.7945520429999999</v>
      </c>
      <c r="DP199">
        <f>3.78890386</f>
        <v>3.78890386</v>
      </c>
      <c r="DQ199">
        <f>3.887269127</f>
        <v>3.8872691270000002</v>
      </c>
      <c r="DR199">
        <f>3.516262655</f>
        <v>3.5162626549999998</v>
      </c>
      <c r="DS199">
        <f>3.769520668</f>
        <v>3.7695206680000002</v>
      </c>
      <c r="DT199">
        <f>3.734329091</f>
        <v>3.7343290910000002</v>
      </c>
      <c r="DU199">
        <f>3.729355291</f>
        <v>3.7293552910000001</v>
      </c>
      <c r="DV199">
        <f>3.583770578</f>
        <v>3.5837705780000002</v>
      </c>
      <c r="DW199">
        <f>3.846682171</f>
        <v>3.8466821709999999</v>
      </c>
      <c r="DX199">
        <f>3.634003832</f>
        <v>3.6340038319999999</v>
      </c>
      <c r="DY199">
        <f>3.575298084</f>
        <v>3.5752980839999999</v>
      </c>
      <c r="DZ199">
        <f>3.442879636</f>
        <v>3.4428796359999998</v>
      </c>
      <c r="EA199">
        <f>3.443328688</f>
        <v>3.4433286879999998</v>
      </c>
      <c r="EB199">
        <f>3.852327601</f>
        <v>3.8523276009999998</v>
      </c>
      <c r="EC199">
        <f>3.527525528</f>
        <v>3.527525528</v>
      </c>
      <c r="ED199">
        <f>3.648424689</f>
        <v>3.6484246890000001</v>
      </c>
      <c r="EE199">
        <f>3.710470984</f>
        <v>3.7104709840000001</v>
      </c>
      <c r="EF199">
        <f>3.758542291</f>
        <v>3.7585422909999999</v>
      </c>
      <c r="EG199">
        <f>3.854577464</f>
        <v>3.8545774640000001</v>
      </c>
      <c r="EH199">
        <f>3.920404076</f>
        <v>3.9204040760000001</v>
      </c>
      <c r="EI199">
        <f>3.958021147</f>
        <v>3.9580211470000002</v>
      </c>
      <c r="EJ199">
        <f>4.270462803</f>
        <v>4.270462803</v>
      </c>
      <c r="EK199">
        <f>4.430379713</f>
        <v>4.4303797129999998</v>
      </c>
      <c r="EL199">
        <f>4.350828696</f>
        <v>4.3508286959999998</v>
      </c>
      <c r="EM199">
        <f>3.925233615</f>
        <v>3.9252336149999998</v>
      </c>
      <c r="EN199">
        <f>4.101562469</f>
        <v>4.1015624690000001</v>
      </c>
      <c r="EO199">
        <f>4.078329796</f>
        <v>4.0783297960000002</v>
      </c>
      <c r="EP199">
        <f>3.572441141</f>
        <v>3.5724411410000001</v>
      </c>
      <c r="EQ199">
        <f>3.644778682</f>
        <v>3.6447786820000001</v>
      </c>
      <c r="ER199">
        <f>3.638989142</f>
        <v>3.6389891419999998</v>
      </c>
      <c r="ES199">
        <f>3.483549877</f>
        <v>3.4835498770000002</v>
      </c>
      <c r="ET199">
        <f>3.669190421</f>
        <v>3.6691904210000001</v>
      </c>
      <c r="EU199">
        <f>3.644778682</f>
        <v>3.6447786820000001</v>
      </c>
      <c r="EV199">
        <f>3.631647184</f>
        <v>3.6316471840000002</v>
      </c>
      <c r="EW199">
        <f>3.283975971</f>
        <v>3.2839759709999998</v>
      </c>
      <c r="EX199">
        <f>3.409436849</f>
        <v>3.409436849</v>
      </c>
      <c r="EY199">
        <f>3.413073304</f>
        <v>3.4130733040000001</v>
      </c>
      <c r="EZ199">
        <f>3.473406745</f>
        <v>3.4734067450000001</v>
      </c>
      <c r="FA199">
        <f>3.226271078</f>
        <v>3.2262710779999999</v>
      </c>
      <c r="FB199">
        <f>3.141214429</f>
        <v>3.1412144290000001</v>
      </c>
      <c r="FC199">
        <f>3.310181779</f>
        <v>3.3101817790000001</v>
      </c>
      <c r="FD199">
        <f>3.440331761</f>
        <v>3.4403317609999999</v>
      </c>
      <c r="FE199">
        <f>3.310181779</f>
        <v>3.3101817790000001</v>
      </c>
      <c r="FF199">
        <f>3.406844121</f>
        <v>3.4068441209999998</v>
      </c>
      <c r="FG199">
        <f>3.161290384</f>
        <v>3.161290384</v>
      </c>
      <c r="FH199">
        <f>3.038759749</f>
        <v>3.038759749</v>
      </c>
      <c r="FI199">
        <f>3.149100318</f>
        <v>3.1491003179999999</v>
      </c>
      <c r="FJ199">
        <f>3.395115257</f>
        <v>3.3951152570000001</v>
      </c>
      <c r="FK199">
        <f>3.232190037</f>
        <v>3.2321900370000001</v>
      </c>
      <c r="FL199">
        <f>3.546869414</f>
        <v>3.5468694140000001</v>
      </c>
      <c r="FM199">
        <f>2.933253574</f>
        <v>2.9332535740000001</v>
      </c>
      <c r="FN199">
        <f>2.922320021</f>
        <v>2.922320021</v>
      </c>
      <c r="FO199">
        <f>3.080792264</f>
        <v>3.0807922639999998</v>
      </c>
      <c r="FP199">
        <f>3.049159985</f>
        <v>3.0491599850000002</v>
      </c>
      <c r="FQ199">
        <f>3.123506037</f>
        <v>3.1235060369999998</v>
      </c>
    </row>
    <row r="200" spans="1:173">
      <c r="A200" t="str">
        <f>"    公寓物业权益信托"</f>
        <v xml:space="preserve">    公寓物业权益信托</v>
      </c>
      <c r="B200" t="str">
        <f>"EQR US Equity"</f>
        <v>EQR US Equity</v>
      </c>
      <c r="C200" t="str">
        <f t="shared" si="63"/>
        <v>DV013</v>
      </c>
      <c r="D200" t="str">
        <f t="shared" si="64"/>
        <v>EQY_DVD_YLD_IND</v>
      </c>
      <c r="E200" t="str">
        <f t="shared" si="65"/>
        <v>动态</v>
      </c>
      <c r="F200">
        <f ca="1">IF(AND(ISNUMBER($F$404),$B$252=1),$F$404,HLOOKUP(INDIRECT(ADDRESS(2,COLUMN())),OFFSET($CL$2,0,0,ROW()-1,84),ROW()-1,FALSE))</f>
        <v>3.3865547980000001</v>
      </c>
      <c r="G200">
        <f ca="1">IF(AND(ISNUMBER($G$404),$B$252=1),$G$404,HLOOKUP(INDIRECT(ADDRESS(2,COLUMN())),OFFSET($CL$2,0,0,ROW()-1,84),ROW()-1,FALSE))</f>
        <v>3.5834965410000001</v>
      </c>
      <c r="H200">
        <f ca="1">IF(AND(ISNUMBER($H$404),$B$252=1),$H$404,HLOOKUP(INDIRECT(ADDRESS(2,COLUMN())),OFFSET($CL$2,0,0,ROW()-1,84),ROW()-1,FALSE))</f>
        <v>3.2705731290000002</v>
      </c>
      <c r="I200">
        <f ca="1">IF(AND(ISNUMBER($I$404),$B$252=1),$I$404,HLOOKUP(INDIRECT(ADDRESS(2,COLUMN())),OFFSET($CL$2,0,0,ROW()-1,84),ROW()-1,FALSE))</f>
        <v>3.159793171</v>
      </c>
      <c r="J200">
        <f ca="1">IF(AND(ISNUMBER($J$404),$B$252=1),$J$404,HLOOKUP(INDIRECT(ADDRESS(2,COLUMN())),OFFSET($CL$2,0,0,ROW()-1,84),ROW()-1,FALSE))</f>
        <v>3.0155643589999999</v>
      </c>
      <c r="K200">
        <f ca="1">IF(AND(ISNUMBER($K$404),$B$252=1),$K$404,HLOOKUP(INDIRECT(ADDRESS(2,COLUMN())),OFFSET($CL$2,0,0,ROW()-1,84),ROW()-1,FALSE))</f>
        <v>2.995837206</v>
      </c>
      <c r="L200">
        <f ca="1">IF(AND(ISNUMBER($L$404),$B$252=1),$L$404,HLOOKUP(INDIRECT(ADDRESS(2,COLUMN())),OFFSET($CL$2,0,0,ROW()-1,84),ROW()-1,FALSE))</f>
        <v>3.0562719629999999</v>
      </c>
      <c r="M200">
        <f ca="1">IF(AND(ISNUMBER($M$404),$B$252=1),$M$404,HLOOKUP(INDIRECT(ADDRESS(2,COLUMN())),OFFSET($CL$2,0,0,ROW()-1,84),ROW()-1,FALSE))</f>
        <v>3.0007447580000002</v>
      </c>
      <c r="N200">
        <f ca="1">IF(AND(ISNUMBER($N$404),$B$252=1),$N$404,HLOOKUP(INDIRECT(ADDRESS(2,COLUMN())),OFFSET($CL$2,0,0,ROW()-1,84),ROW()-1,FALSE))</f>
        <v>2.960623134</v>
      </c>
      <c r="O200">
        <f ca="1">IF(AND(ISNUMBER($O$404),$B$252=1),$O$404,HLOOKUP(INDIRECT(ADDRESS(2,COLUMN())),OFFSET($CL$2,0,0,ROW()-1,84),ROW()-1,FALSE))</f>
        <v>3.0609146360000001</v>
      </c>
      <c r="P200">
        <f ca="1">IF(AND(ISNUMBER($P$404),$B$252=1),$P$404,HLOOKUP(INDIRECT(ADDRESS(2,COLUMN())),OFFSET($CL$2,0,0,ROW()-1,84),ROW()-1,FALSE))</f>
        <v>3.0957137879999999</v>
      </c>
      <c r="Q200">
        <f ca="1">IF(AND(ISNUMBER($Q$404),$B$252=1),$Q$404,HLOOKUP(INDIRECT(ADDRESS(2,COLUMN())),OFFSET($CL$2,0,0,ROW()-1,84),ROW()-1,FALSE))</f>
        <v>3.1201612029999999</v>
      </c>
      <c r="R200">
        <f ca="1">IF(AND(ISNUMBER($R$404),$B$252=1),$R$404,HLOOKUP(INDIRECT(ADDRESS(2,COLUMN())),OFFSET($CL$2,0,0,ROW()-1,84),ROW()-1,FALSE))</f>
        <v>3.2385086869999999</v>
      </c>
      <c r="S200">
        <f ca="1">IF(AND(ISNUMBER($S$404),$B$252=1),$S$404,HLOOKUP(INDIRECT(ADDRESS(2,COLUMN())),OFFSET($CL$2,0,0,ROW()-1,84),ROW()-1,FALSE))</f>
        <v>3.1948630169999999</v>
      </c>
      <c r="T200">
        <f ca="1">IF(AND(ISNUMBER($T$404),$B$252=1),$T$404,HLOOKUP(INDIRECT(ADDRESS(2,COLUMN())),OFFSET($CL$2,0,0,ROW()-1,84),ROW()-1,FALSE))</f>
        <v>3.315780986</v>
      </c>
      <c r="U200">
        <f ca="1">IF(AND(ISNUMBER($U$404),$B$252=1),$U$404,HLOOKUP(INDIRECT(ADDRESS(2,COLUMN())),OFFSET($CL$2,0,0,ROW()-1,84),ROW()-1,FALSE))</f>
        <v>3.130826763</v>
      </c>
      <c r="V200">
        <f ca="1">IF(AND(ISNUMBER($V$404),$B$252=1),$V$404,HLOOKUP(INDIRECT(ADDRESS(2,COLUMN())),OFFSET($CL$2,0,0,ROW()-1,84),ROW()-1,FALSE))</f>
        <v>3.3577738789999998</v>
      </c>
      <c r="W200">
        <f ca="1">IF(AND(ISNUMBER($W$404),$B$252=1),$W$404,HLOOKUP(INDIRECT(ADDRESS(2,COLUMN())),OFFSET($CL$2,0,0,ROW()-1,84),ROW()-1,FALSE))</f>
        <v>3.2631580649999998</v>
      </c>
      <c r="X200">
        <f ca="1">IF(AND(ISNUMBER($X$404),$B$252=1),$X$404,HLOOKUP(INDIRECT(ADDRESS(2,COLUMN())),OFFSET($CL$2,0,0,ROW()-1,84),ROW()-1,FALSE))</f>
        <v>3.1322868100000001</v>
      </c>
      <c r="Y200">
        <f ca="1">IF(AND(ISNUMBER($Y$404),$B$252=1),$Y$404,HLOOKUP(INDIRECT(ADDRESS(2,COLUMN())),OFFSET($CL$2,0,0,ROW()-1,84),ROW()-1,FALSE))</f>
        <v>3.1062125869999999</v>
      </c>
      <c r="Z200">
        <f ca="1">IF(AND(ISNUMBER($Z$404),$B$252=1),$Z$404,HLOOKUP(INDIRECT(ADDRESS(2,COLUMN())),OFFSET($CL$2,0,0,ROW()-1,84),ROW()-1,FALSE))</f>
        <v>2.963671282</v>
      </c>
      <c r="AA200">
        <f ca="1">IF(AND(ISNUMBER($AA$404),$B$252=1),$AA$404,HLOOKUP(INDIRECT(ADDRESS(2,COLUMN())),OFFSET($CL$2,0,0,ROW()-1,84),ROW()-1,FALSE))</f>
        <v>2.9253776199999999</v>
      </c>
      <c r="AB200">
        <f ca="1">IF(AND(ISNUMBER($AB$404),$B$252=1),$AB$404,HLOOKUP(INDIRECT(ADDRESS(2,COLUMN())),OFFSET($CL$2,0,0,ROW()-1,84),ROW()-1,FALSE))</f>
        <v>2.9114291360000002</v>
      </c>
      <c r="AC200">
        <f ca="1">IF(AND(ISNUMBER($AC$404),$B$252=1),$AC$404,HLOOKUP(INDIRECT(ADDRESS(2,COLUMN())),OFFSET($CL$2,0,0,ROW()-1,84),ROW()-1,FALSE))</f>
        <v>2.9601881959999998</v>
      </c>
      <c r="AD200">
        <f ca="1">IF(AND(ISNUMBER($AD$404),$B$252=1),$AD$404,HLOOKUP(INDIRECT(ADDRESS(2,COLUMN())),OFFSET($CL$2,0,0,ROW()-1,84),ROW()-1,FALSE))</f>
        <v>2.6855925699999998</v>
      </c>
      <c r="AE200">
        <f ca="1">IF(AND(ISNUMBER($AE$404),$B$252=1),$AE$404,HLOOKUP(INDIRECT(ADDRESS(2,COLUMN())),OFFSET($CL$2,0,0,ROW()-1,84),ROW()-1,FALSE))</f>
        <v>2.9668412380000002</v>
      </c>
      <c r="AF200">
        <f ca="1">IF(AND(ISNUMBER($AF$404),$B$252=1),$AF$404,HLOOKUP(INDIRECT(ADDRESS(2,COLUMN())),OFFSET($CL$2,0,0,ROW()-1,84),ROW()-1,FALSE))</f>
        <v>2.8667791390000001</v>
      </c>
      <c r="AG200">
        <f ca="1">IF(AND(ISNUMBER($AG$404),$B$252=1),$AG$404,HLOOKUP(INDIRECT(ADDRESS(2,COLUMN())),OFFSET($CL$2,0,0,ROW()-1,84),ROW()-1,FALSE))</f>
        <v>2.708665324</v>
      </c>
      <c r="AH200">
        <f ca="1">IF(AND(ISNUMBER($AH$404),$B$252=1),$AH$404,HLOOKUP(INDIRECT(ADDRESS(2,COLUMN())),OFFSET($CL$2,0,0,ROW()-1,84),ROW()-1,FALSE))</f>
        <v>2.7687296890000002</v>
      </c>
      <c r="AI200">
        <f ca="1">IF(AND(ISNUMBER($AI$404),$B$252=1),$AI$404,HLOOKUP(INDIRECT(ADDRESS(2,COLUMN())),OFFSET($CL$2,0,0,ROW()-1,84),ROW()-1,FALSE))</f>
        <v>2.8582514720000001</v>
      </c>
      <c r="AJ200">
        <f ca="1">IF(AND(ISNUMBER($AJ$404),$B$252=1),$AJ$404,HLOOKUP(INDIRECT(ADDRESS(2,COLUMN())),OFFSET($CL$2,0,0,ROW()-1,84),ROW()-1,FALSE))</f>
        <v>2.941959582</v>
      </c>
      <c r="AK200">
        <f ca="1">IF(AND(ISNUMBER($AK$404),$B$252=1),$AK$404,HLOOKUP(INDIRECT(ADDRESS(2,COLUMN())),OFFSET($CL$2,0,0,ROW()-1,84),ROW()-1,FALSE))</f>
        <v>3.1017544400000001</v>
      </c>
      <c r="AL200">
        <f ca="1">IF(AND(ISNUMBER($AL$404),$B$252=1),$AL$404,HLOOKUP(INDIRECT(ADDRESS(2,COLUMN())),OFFSET($CL$2,0,0,ROW()-1,84),ROW()-1,FALSE))</f>
        <v>2.954150566</v>
      </c>
      <c r="AM200">
        <f ca="1">IF(AND(ISNUMBER($AM$404),$B$252=1),$AM$404,HLOOKUP(INDIRECT(ADDRESS(2,COLUMN())),OFFSET($CL$2,0,0,ROW()-1,84),ROW()-1,FALSE))</f>
        <v>3.1494941399999998</v>
      </c>
      <c r="AN200">
        <f ca="1">IF(AND(ISNUMBER($AN$404),$B$252=1),$AN$404,HLOOKUP(INDIRECT(ADDRESS(2,COLUMN())),OFFSET($CL$2,0,0,ROW()-1,84),ROW()-1,FALSE))</f>
        <v>2.9736276080000001</v>
      </c>
      <c r="AO200">
        <f ca="1">IF(AND(ISNUMBER($AO$404),$B$252=1),$AO$404,HLOOKUP(INDIRECT(ADDRESS(2,COLUMN())),OFFSET($CL$2,0,0,ROW()-1,84),ROW()-1,FALSE))</f>
        <v>2.9921473569999999</v>
      </c>
      <c r="AP200">
        <f ca="1">IF(AND(ISNUMBER($AP$404),$B$252=1),$AP$404,HLOOKUP(INDIRECT(ADDRESS(2,COLUMN())),OFFSET($CL$2,0,0,ROW()-1,84),ROW()-1,FALSE))</f>
        <v>2.8384279970000001</v>
      </c>
      <c r="AQ200">
        <f ca="1">IF(AND(ISNUMBER($AQ$404),$B$252=1),$AQ$404,HLOOKUP(INDIRECT(ADDRESS(2,COLUMN())),OFFSET($CL$2,0,0,ROW()-1,84),ROW()-1,FALSE))</f>
        <v>2.5963910160000001</v>
      </c>
      <c r="AR200">
        <f ca="1">IF(AND(ISNUMBER($AR$404),$B$252=1),$AR$404,HLOOKUP(INDIRECT(ADDRESS(2,COLUMN())),OFFSET($CL$2,0,0,ROW()-1,84),ROW()-1,FALSE))</f>
        <v>2.5769875020000002</v>
      </c>
      <c r="AS200">
        <f ca="1">IF(AND(ISNUMBER($AS$404),$B$252=1),$AS$404,HLOOKUP(INDIRECT(ADDRESS(2,COLUMN())),OFFSET($CL$2,0,0,ROW()-1,84),ROW()-1,FALSE))</f>
        <v>2.7839643650000001</v>
      </c>
      <c r="AT200">
        <f ca="1">IF(AND(ISNUMBER($AT$404),$B$252=1),$AT$404,HLOOKUP(INDIRECT(ADDRESS(2,COLUMN())),OFFSET($CL$2,0,0,ROW()-1,84),ROW()-1,FALSE))</f>
        <v>2.8232636929999999</v>
      </c>
      <c r="AU200">
        <f ca="1">IF(AND(ISNUMBER($AU$404),$B$252=1),$AU$404,HLOOKUP(INDIRECT(ADDRESS(2,COLUMN())),OFFSET($CL$2,0,0,ROW()-1,84),ROW()-1,FALSE))</f>
        <v>2.875215641</v>
      </c>
      <c r="AV200">
        <f ca="1">IF(AND(ISNUMBER($AV$404),$B$252=1),$AV$404,HLOOKUP(INDIRECT(ADDRESS(2,COLUMN())),OFFSET($CL$2,0,0,ROW()-1,84),ROW()-1,FALSE))</f>
        <v>3.2478077299999999</v>
      </c>
      <c r="AW200">
        <f ca="1">IF(AND(ISNUMBER($AW$404),$B$252=1),$AW$404,HLOOKUP(INDIRECT(ADDRESS(2,COLUMN())),OFFSET($CL$2,0,0,ROW()-1,84),ROW()-1,FALSE))</f>
        <v>3.0088761850000001</v>
      </c>
      <c r="AX200">
        <f ca="1">IF(AND(ISNUMBER($AX$404),$B$252=1),$AX$404,HLOOKUP(INDIRECT(ADDRESS(2,COLUMN())),OFFSET($CL$2,0,0,ROW()-1,84),ROW()-1,FALSE))</f>
        <v>3.0935808200000001</v>
      </c>
      <c r="AY200">
        <f ca="1">IF(AND(ISNUMBER($AY$404),$B$252=1),$AY$404,HLOOKUP(INDIRECT(ADDRESS(2,COLUMN())),OFFSET($CL$2,0,0,ROW()-1,84),ROW()-1,FALSE))</f>
        <v>3.1746031750000001</v>
      </c>
      <c r="AZ200">
        <f ca="1">IF(AND(ISNUMBER($AZ$404),$B$252=1),$AZ$404,HLOOKUP(INDIRECT(ADDRESS(2,COLUMN())),OFFSET($CL$2,0,0,ROW()-1,84),ROW()-1,FALSE))</f>
        <v>3.2362459549999998</v>
      </c>
      <c r="BA200">
        <f ca="1">IF(AND(ISNUMBER($BA$404),$B$252=1),$BA$404,HLOOKUP(INDIRECT(ADDRESS(2,COLUMN())),OFFSET($CL$2,0,0,ROW()-1,84),ROW()-1,FALSE))</f>
        <v>3.3647375500000001</v>
      </c>
      <c r="BB200">
        <f ca="1">IF(AND(ISNUMBER($BB$404),$B$252=1),$BB$404,HLOOKUP(INDIRECT(ADDRESS(2,COLUMN())),OFFSET($CL$2,0,0,ROW()-1,84),ROW()-1,FALSE))</f>
        <v>3.448870495</v>
      </c>
      <c r="BC200">
        <f ca="1">IF(AND(ISNUMBER($BC$404),$B$252=1),$BC$404,HLOOKUP(INDIRECT(ADDRESS(2,COLUMN())),OFFSET($CL$2,0,0,ROW()-1,84),ROW()-1,FALSE))</f>
        <v>4.4467246530000004</v>
      </c>
      <c r="BD200">
        <f ca="1">IF(AND(ISNUMBER($BD$404),$B$252=1),$BD$404,HLOOKUP(INDIRECT(ADDRESS(2,COLUMN())),OFFSET($CL$2,0,0,ROW()-1,84),ROW()-1,FALSE))</f>
        <v>4.6948355089999998</v>
      </c>
      <c r="BE200">
        <f ca="1">IF(AND(ISNUMBER($BE$404),$B$252=1),$BE$404,HLOOKUP(INDIRECT(ADDRESS(2,COLUMN())),OFFSET($CL$2,0,0,ROW()-1,84),ROW()-1,FALSE))</f>
        <v>5.0125311440000004</v>
      </c>
      <c r="BF200">
        <f ca="1">IF(AND(ISNUMBER($BF$404),$B$252=1),$BF$404,HLOOKUP(INDIRECT(ADDRESS(2,COLUMN())),OFFSET($CL$2,0,0,ROW()-1,84),ROW()-1,FALSE))</f>
        <v>3.1043849899999998</v>
      </c>
      <c r="BG200">
        <f ca="1">IF(AND(ISNUMBER($BG$404),$B$252=1),$BG$404,HLOOKUP(INDIRECT(ADDRESS(2,COLUMN())),OFFSET($CL$2,0,0,ROW()-1,84),ROW()-1,FALSE))</f>
        <v>3.0557678070000001</v>
      </c>
      <c r="BH200">
        <f ca="1">IF(AND(ISNUMBER($BH$404),$B$252=1),$BH$404,HLOOKUP(INDIRECT(ADDRESS(2,COLUMN())),OFFSET($CL$2,0,0,ROW()-1,84),ROW()-1,FALSE))</f>
        <v>2.986746358</v>
      </c>
      <c r="BI200">
        <f ca="1">IF(AND(ISNUMBER($BI$404),$B$252=1),$BI$404,HLOOKUP(INDIRECT(ADDRESS(2,COLUMN())),OFFSET($CL$2,0,0,ROW()-1,84),ROW()-1,FALSE))</f>
        <v>3.083445797</v>
      </c>
      <c r="BJ200">
        <f ca="1">IF(AND(ISNUMBER($BJ$404),$B$252=1),$BJ$404,HLOOKUP(INDIRECT(ADDRESS(2,COLUMN())),OFFSET($CL$2,0,0,ROW()-1,84),ROW()-1,FALSE))</f>
        <v>2.8571428999999999</v>
      </c>
      <c r="BK200">
        <f ca="1">IF(AND(ISNUMBER($BK$404),$B$252=1),$BK$404,HLOOKUP(INDIRECT(ADDRESS(2,COLUMN())),OFFSET($CL$2,0,0,ROW()-1,84),ROW()-1,FALSE))</f>
        <v>2.7557699339999999</v>
      </c>
      <c r="BL200">
        <f ca="1">IF(AND(ISNUMBER($BL$404),$B$252=1),$BL$404,HLOOKUP(INDIRECT(ADDRESS(2,COLUMN())),OFFSET($CL$2,0,0,ROW()-1,84),ROW()-1,FALSE))</f>
        <v>2.8293545959999999</v>
      </c>
      <c r="BM200">
        <f ca="1">IF(AND(ISNUMBER($BM$404),$B$252=1),$BM$404,HLOOKUP(INDIRECT(ADDRESS(2,COLUMN())),OFFSET($CL$2,0,0,ROW()-1,84),ROW()-1,FALSE))</f>
        <v>2.7557699339999999</v>
      </c>
      <c r="BN200">
        <f ca="1">IF(AND(ISNUMBER($BN$404),$B$252=1),$BN$404,HLOOKUP(INDIRECT(ADDRESS(2,COLUMN())),OFFSET($CL$2,0,0,ROW()-1,84),ROW()-1,FALSE))</f>
        <v>2.9059208569999999</v>
      </c>
      <c r="BO200">
        <f ca="1">IF(AND(ISNUMBER($BO$404),$B$252=1),$BO$404,HLOOKUP(INDIRECT(ADDRESS(2,COLUMN())),OFFSET($CL$2,0,0,ROW()-1,84),ROW()-1,FALSE))</f>
        <v>5.577761507</v>
      </c>
      <c r="BP200">
        <f ca="1">IF(AND(ISNUMBER($BP$404),$B$252=1),$BP$404,HLOOKUP(INDIRECT(ADDRESS(2,COLUMN())),OFFSET($CL$2,0,0,ROW()-1,84),ROW()-1,FALSE))</f>
        <v>5.5425165789999999</v>
      </c>
      <c r="BQ200">
        <f ca="1">IF(AND(ISNUMBER($BQ$404),$B$252=1),$BQ$404,HLOOKUP(INDIRECT(ADDRESS(2,COLUMN())),OFFSET($CL$2,0,0,ROW()-1,84),ROW()-1,FALSE))</f>
        <v>5.417328275</v>
      </c>
      <c r="BR200">
        <f ca="1">IF(AND(ISNUMBER($BR$404),$B$252=1),$BR$404,HLOOKUP(INDIRECT(ADDRESS(2,COLUMN())),OFFSET($CL$2,0,0,ROW()-1,84),ROW()-1,FALSE))</f>
        <v>2.4319942779999999</v>
      </c>
      <c r="BS200">
        <f ca="1">IF(AND(ISNUMBER($BS$404),$B$252=1),$BS$404,HLOOKUP(INDIRECT(ADDRESS(2,COLUMN())),OFFSET($CL$2,0,0,ROW()-1,84),ROW()-1,FALSE))</f>
        <v>2.3515067479999998</v>
      </c>
      <c r="BT200">
        <f ca="1">IF(AND(ISNUMBER($BT$404),$B$252=1),$BT$404,HLOOKUP(INDIRECT(ADDRESS(2,COLUMN())),OFFSET($CL$2,0,0,ROW()-1,84),ROW()-1,FALSE))</f>
        <v>2.346601814</v>
      </c>
      <c r="BU200">
        <f ca="1">IF(AND(ISNUMBER($BU$404),$B$252=1),$BU$404,HLOOKUP(INDIRECT(ADDRESS(2,COLUMN())),OFFSET($CL$2,0,0,ROW()-1,84),ROW()-1,FALSE))</f>
        <v>2.2350993770000001</v>
      </c>
      <c r="BV200">
        <f ca="1">IF(AND(ISNUMBER($BV$404),$B$252=1),$BV$404,HLOOKUP(INDIRECT(ADDRESS(2,COLUMN())),OFFSET($CL$2,0,0,ROW()-1,84),ROW()-1,FALSE))</f>
        <v>2.1323645930000001</v>
      </c>
      <c r="BW200">
        <f ca="1">IF(AND(ISNUMBER($BW$404),$B$252=1),$BW$404,HLOOKUP(INDIRECT(ADDRESS(2,COLUMN())),OFFSET($CL$2,0,0,ROW()-1,84),ROW()-1,FALSE))</f>
        <v>2.1648493009999998</v>
      </c>
      <c r="BX200">
        <f ca="1">IF(AND(ISNUMBER($BX$404),$B$252=1),$BX$404,HLOOKUP(INDIRECT(ADDRESS(2,COLUMN())),OFFSET($CL$2,0,0,ROW()-1,84),ROW()-1,FALSE))</f>
        <v>2.2094926739999998</v>
      </c>
      <c r="BY200">
        <f ca="1">IF(AND(ISNUMBER($BY$404),$B$252=1),$BY$404,HLOOKUP(INDIRECT(ADDRESS(2,COLUMN())),OFFSET($CL$2,0,0,ROW()-1,84),ROW()-1,FALSE))</f>
        <v>2.1972656640000001</v>
      </c>
      <c r="BZ200">
        <f ca="1">IF(AND(ISNUMBER($BZ$404),$B$252=1),$BZ$404,HLOOKUP(INDIRECT(ADDRESS(2,COLUMN())),OFFSET($CL$2,0,0,ROW()-1,84),ROW()-1,FALSE))</f>
        <v>2.1558607849999998</v>
      </c>
      <c r="CA200">
        <f ca="1">IF(AND(ISNUMBER($CA$404),$B$252=1),$CA$404,HLOOKUP(INDIRECT(ADDRESS(2,COLUMN())),OFFSET($CL$2,0,0,ROW()-1,84),ROW()-1,FALSE))</f>
        <v>3.9901564089999999</v>
      </c>
      <c r="CB200">
        <f ca="1">IF(AND(ISNUMBER($CB$404),$B$252=1),$CB$404,HLOOKUP(INDIRECT(ADDRESS(2,COLUMN())),OFFSET($CL$2,0,0,ROW()-1,84),ROW()-1,FALSE))</f>
        <v>3.8119227219999998</v>
      </c>
      <c r="CC200">
        <f ca="1">IF(AND(ISNUMBER($CC$404),$B$252=1),$CC$404,HLOOKUP(INDIRECT(ADDRESS(2,COLUMN())),OFFSET($CL$2,0,0,ROW()-1,84),ROW()-1,FALSE))</f>
        <v>3.9803611800000001</v>
      </c>
      <c r="CD200">
        <f ca="1">IF(AND(ISNUMBER($CD$404),$B$252=1),$CD$404,HLOOKUP(INDIRECT(ADDRESS(2,COLUMN())),OFFSET($CL$2,0,0,ROW()-1,84),ROW()-1,FALSE))</f>
        <v>2.4460953499999998</v>
      </c>
      <c r="CE200">
        <f ca="1">IF(AND(ISNUMBER($CE$404),$B$252=1),$CE$404,HLOOKUP(INDIRECT(ADDRESS(2,COLUMN())),OFFSET($CL$2,0,0,ROW()-1,84),ROW()-1,FALSE))</f>
        <v>2.3006135379999999</v>
      </c>
      <c r="CF200">
        <f ca="1">IF(AND(ISNUMBER($CF$404),$B$252=1),$CF$404,HLOOKUP(INDIRECT(ADDRESS(2,COLUMN())),OFFSET($CL$2,0,0,ROW()-1,84),ROW()-1,FALSE))</f>
        <v>2.6026605429999998</v>
      </c>
      <c r="CG200">
        <f ca="1">IF(AND(ISNUMBER($CG$404),$B$252=1),$CG$404,HLOOKUP(INDIRECT(ADDRESS(2,COLUMN())),OFFSET($CL$2,0,0,ROW()-1,84),ROW()-1,FALSE))</f>
        <v>2.2066035039999998</v>
      </c>
      <c r="CH200">
        <f ca="1">IF(AND(ISNUMBER($CH$404),$B$252=1),$CH$404,HLOOKUP(INDIRECT(ADDRESS(2,COLUMN())),OFFSET($CL$2,0,0,ROW()-1,84),ROW()-1,FALSE))</f>
        <v>2.1837593399999999</v>
      </c>
      <c r="CI200">
        <f ca="1">IF(AND(ISNUMBER($CI$404),$B$252=1),$CI$404,HLOOKUP(INDIRECT(ADDRESS(2,COLUMN())),OFFSET($CL$2,0,0,ROW()-1,84),ROW()-1,FALSE))</f>
        <v>2.2500000400000002</v>
      </c>
      <c r="CJ200">
        <f ca="1">IF(AND(ISNUMBER($CJ$404),$B$252=1),$CJ$404,HLOOKUP(INDIRECT(ADDRESS(2,COLUMN())),OFFSET($CL$2,0,0,ROW()-1,84),ROW()-1,FALSE))</f>
        <v>2.1834061519999999</v>
      </c>
      <c r="CK200">
        <f ca="1">IF(AND(ISNUMBER($CK$404),$B$252=1),$CK$404,HLOOKUP(INDIRECT(ADDRESS(2,COLUMN())),OFFSET($CL$2,0,0,ROW()-1,84),ROW()-1,FALSE))</f>
        <v>2.2597924740000002</v>
      </c>
      <c r="CL200">
        <f>3.386554798</f>
        <v>3.3865547980000001</v>
      </c>
      <c r="CM200">
        <f>3.583496541</f>
        <v>3.5834965410000001</v>
      </c>
      <c r="CN200">
        <f>3.270573129</f>
        <v>3.2705731290000002</v>
      </c>
      <c r="CO200">
        <f>3.159793171</f>
        <v>3.159793171</v>
      </c>
      <c r="CP200">
        <f>3.015564359</f>
        <v>3.0155643589999999</v>
      </c>
      <c r="CQ200">
        <f>2.995837206</f>
        <v>2.995837206</v>
      </c>
      <c r="CR200">
        <f>3.056271963</f>
        <v>3.0562719629999999</v>
      </c>
      <c r="CS200">
        <f>3.000744758</f>
        <v>3.0007447580000002</v>
      </c>
      <c r="CT200">
        <f>2.960623134</f>
        <v>2.960623134</v>
      </c>
      <c r="CU200">
        <f>3.060914636</f>
        <v>3.0609146360000001</v>
      </c>
      <c r="CV200">
        <f>3.095713788</f>
        <v>3.0957137879999999</v>
      </c>
      <c r="CW200">
        <f>3.120161203</f>
        <v>3.1201612029999999</v>
      </c>
      <c r="CX200">
        <f>3.238508687</f>
        <v>3.2385086869999999</v>
      </c>
      <c r="CY200">
        <f>3.194863017</f>
        <v>3.1948630169999999</v>
      </c>
      <c r="CZ200">
        <f>3.315780986</f>
        <v>3.315780986</v>
      </c>
      <c r="DA200">
        <f>3.130826763</f>
        <v>3.130826763</v>
      </c>
      <c r="DB200">
        <f>3.357773879</f>
        <v>3.3577738789999998</v>
      </c>
      <c r="DC200">
        <f>3.263158065</f>
        <v>3.2631580649999998</v>
      </c>
      <c r="DD200">
        <f>3.13228681</f>
        <v>3.1322868100000001</v>
      </c>
      <c r="DE200">
        <f>3.106212587</f>
        <v>3.1062125869999999</v>
      </c>
      <c r="DF200">
        <f>2.963671282</f>
        <v>2.963671282</v>
      </c>
      <c r="DG200">
        <f>2.92537762</f>
        <v>2.9253776199999999</v>
      </c>
      <c r="DH200">
        <f>2.911429136</f>
        <v>2.9114291360000002</v>
      </c>
      <c r="DI200">
        <f>2.960188196</f>
        <v>2.9601881959999998</v>
      </c>
      <c r="DJ200">
        <f>2.68559257</f>
        <v>2.6855925699999998</v>
      </c>
      <c r="DK200">
        <f>2.966841238</f>
        <v>2.9668412380000002</v>
      </c>
      <c r="DL200">
        <f>2.866779139</f>
        <v>2.8667791390000001</v>
      </c>
      <c r="DM200">
        <f>2.708665324</f>
        <v>2.708665324</v>
      </c>
      <c r="DN200">
        <f>2.768729689</f>
        <v>2.7687296890000002</v>
      </c>
      <c r="DO200">
        <f>2.858251472</f>
        <v>2.8582514720000001</v>
      </c>
      <c r="DP200">
        <f>2.941959582</f>
        <v>2.941959582</v>
      </c>
      <c r="DQ200">
        <f>3.10175444</f>
        <v>3.1017544400000001</v>
      </c>
      <c r="DR200">
        <f>2.954150566</f>
        <v>2.954150566</v>
      </c>
      <c r="DS200">
        <f>3.14949414</f>
        <v>3.1494941399999998</v>
      </c>
      <c r="DT200">
        <f>2.973627608</f>
        <v>2.9736276080000001</v>
      </c>
      <c r="DU200">
        <f>2.992147357</f>
        <v>2.9921473569999999</v>
      </c>
      <c r="DV200">
        <f>2.838427997</f>
        <v>2.8384279970000001</v>
      </c>
      <c r="DW200">
        <f>2.596391016</f>
        <v>2.5963910160000001</v>
      </c>
      <c r="DX200">
        <f>2.576987502</f>
        <v>2.5769875020000002</v>
      </c>
      <c r="DY200">
        <f>2.783964365</f>
        <v>2.7839643650000001</v>
      </c>
      <c r="DZ200">
        <f>2.823263693</f>
        <v>2.8232636929999999</v>
      </c>
      <c r="EA200">
        <f>2.875215641</f>
        <v>2.875215641</v>
      </c>
      <c r="EB200">
        <f>3.24780773</f>
        <v>3.2478077299999999</v>
      </c>
      <c r="EC200">
        <f>3.008876185</f>
        <v>3.0088761850000001</v>
      </c>
      <c r="ED200">
        <f>3.09358082</f>
        <v>3.0935808200000001</v>
      </c>
      <c r="EE200">
        <f>3.174603175</f>
        <v>3.1746031750000001</v>
      </c>
      <c r="EF200">
        <f>3.236245955</f>
        <v>3.2362459549999998</v>
      </c>
      <c r="EG200">
        <f>3.36473755</f>
        <v>3.3647375500000001</v>
      </c>
      <c r="EH200">
        <f>3.448870495</f>
        <v>3.448870495</v>
      </c>
      <c r="EI200">
        <f>4.446724653</f>
        <v>4.4467246530000004</v>
      </c>
      <c r="EJ200">
        <f>4.694835509</f>
        <v>4.6948355089999998</v>
      </c>
      <c r="EK200">
        <f>5.012531144</f>
        <v>5.0125311440000004</v>
      </c>
      <c r="EL200">
        <f>3.10438499</f>
        <v>3.1043849899999998</v>
      </c>
      <c r="EM200">
        <f>3.055767807</f>
        <v>3.0557678070000001</v>
      </c>
      <c r="EN200">
        <f>2.986746358</f>
        <v>2.986746358</v>
      </c>
      <c r="EO200">
        <f>3.083445797</f>
        <v>3.083445797</v>
      </c>
      <c r="EP200">
        <f>2.8571429</f>
        <v>2.8571428999999999</v>
      </c>
      <c r="EQ200">
        <f>2.755769934</f>
        <v>2.7557699339999999</v>
      </c>
      <c r="ER200">
        <f>2.829354596</f>
        <v>2.8293545959999999</v>
      </c>
      <c r="ES200">
        <f>2.755769934</f>
        <v>2.7557699339999999</v>
      </c>
      <c r="ET200">
        <f>2.905920857</f>
        <v>2.9059208569999999</v>
      </c>
      <c r="EU200">
        <f>5.577761507</f>
        <v>5.577761507</v>
      </c>
      <c r="EV200">
        <f>5.542516579</f>
        <v>5.5425165789999999</v>
      </c>
      <c r="EW200">
        <f>5.417328275</f>
        <v>5.417328275</v>
      </c>
      <c r="EX200">
        <f>2.431994278</f>
        <v>2.4319942779999999</v>
      </c>
      <c r="EY200">
        <f>2.351506748</f>
        <v>2.3515067479999998</v>
      </c>
      <c r="EZ200">
        <f>2.346601814</f>
        <v>2.346601814</v>
      </c>
      <c r="FA200">
        <f>2.235099377</f>
        <v>2.2350993770000001</v>
      </c>
      <c r="FB200">
        <f>2.132364593</f>
        <v>2.1323645930000001</v>
      </c>
      <c r="FC200">
        <f>2.164849301</f>
        <v>2.1648493009999998</v>
      </c>
      <c r="FD200">
        <f>2.209492674</f>
        <v>2.2094926739999998</v>
      </c>
      <c r="FE200">
        <f>2.197265664</f>
        <v>2.1972656640000001</v>
      </c>
      <c r="FF200">
        <f>2.155860785</f>
        <v>2.1558607849999998</v>
      </c>
      <c r="FG200">
        <f>3.990156409</f>
        <v>3.9901564089999999</v>
      </c>
      <c r="FH200">
        <f>3.811922722</f>
        <v>3.8119227219999998</v>
      </c>
      <c r="FI200">
        <f>3.98036118</f>
        <v>3.9803611800000001</v>
      </c>
      <c r="FJ200">
        <f>2.44609535</f>
        <v>2.4460953499999998</v>
      </c>
      <c r="FK200">
        <f>2.300613538</f>
        <v>2.3006135379999999</v>
      </c>
      <c r="FL200">
        <f>2.602660543</f>
        <v>2.6026605429999998</v>
      </c>
      <c r="FM200">
        <f>2.206603504</f>
        <v>2.2066035039999998</v>
      </c>
      <c r="FN200">
        <f>2.18375934</f>
        <v>2.1837593399999999</v>
      </c>
      <c r="FO200">
        <f>2.25000004</f>
        <v>2.2500000400000002</v>
      </c>
      <c r="FP200">
        <f>2.183406152</f>
        <v>2.1834061519999999</v>
      </c>
      <c r="FQ200">
        <f>2.259792474</f>
        <v>2.2597924740000002</v>
      </c>
    </row>
    <row r="201" spans="1:173">
      <c r="A201" t="str">
        <f>"    埃塞克斯房地产信托公司"</f>
        <v xml:space="preserve">    埃塞克斯房地产信托公司</v>
      </c>
      <c r="B201" t="str">
        <f>"ESS US Equity"</f>
        <v>ESS US Equity</v>
      </c>
      <c r="C201" t="str">
        <f t="shared" si="63"/>
        <v>DV013</v>
      </c>
      <c r="D201" t="str">
        <f t="shared" si="64"/>
        <v>EQY_DVD_YLD_IND</v>
      </c>
      <c r="E201" t="str">
        <f t="shared" si="65"/>
        <v>动态</v>
      </c>
      <c r="F201">
        <f ca="1">IF(AND(ISNUMBER($F$405),$B$252=1),$F$405,HLOOKUP(INDIRECT(ADDRESS(2,COLUMN())),OFFSET($CL$2,0,0,ROW()-1,84),ROW()-1,FALSE))</f>
        <v>3.1253938090000002</v>
      </c>
      <c r="G201">
        <f ca="1">IF(AND(ISNUMBER($G$405),$B$252=1),$G$405,HLOOKUP(INDIRECT(ADDRESS(2,COLUMN())),OFFSET($CL$2,0,0,ROW()-1,84),ROW()-1,FALSE))</f>
        <v>3.3239512389999999</v>
      </c>
      <c r="H201">
        <f ca="1">IF(AND(ISNUMBER($H$405),$B$252=1),$H$405,HLOOKUP(INDIRECT(ADDRESS(2,COLUMN())),OFFSET($CL$2,0,0,ROW()-1,84),ROW()-1,FALSE))</f>
        <v>3.004549747</v>
      </c>
      <c r="I201">
        <f ca="1">IF(AND(ISNUMBER($I$405),$B$252=1),$I$405,HLOOKUP(INDIRECT(ADDRESS(2,COLUMN())),OFFSET($CL$2,0,0,ROW()-1,84),ROW()-1,FALSE))</f>
        <v>2.9001118610000001</v>
      </c>
      <c r="J201">
        <f ca="1">IF(AND(ISNUMBER($J$405),$B$252=1),$J$405,HLOOKUP(INDIRECT(ADDRESS(2,COLUMN())),OFFSET($CL$2,0,0,ROW()-1,84),ROW()-1,FALSE))</f>
        <v>2.8341228389999999</v>
      </c>
      <c r="K201">
        <f ca="1">IF(AND(ISNUMBER($K$405),$B$252=1),$K$405,HLOOKUP(INDIRECT(ADDRESS(2,COLUMN())),OFFSET($CL$2,0,0,ROW()-1,84),ROW()-1,FALSE))</f>
        <v>2.6673779670000002</v>
      </c>
      <c r="L201">
        <f ca="1">IF(AND(ISNUMBER($L$405),$B$252=1),$L$405,HLOOKUP(INDIRECT(ADDRESS(2,COLUMN())),OFFSET($CL$2,0,0,ROW()-1,84),ROW()-1,FALSE))</f>
        <v>2.7555800499999998</v>
      </c>
      <c r="M201">
        <f ca="1">IF(AND(ISNUMBER($M$405),$B$252=1),$M$405,HLOOKUP(INDIRECT(ADDRESS(2,COLUMN())),OFFSET($CL$2,0,0,ROW()-1,84),ROW()-1,FALSE))</f>
        <v>2.6318757750000001</v>
      </c>
      <c r="N201">
        <f ca="1">IF(AND(ISNUMBER($N$405),$B$252=1),$N$405,HLOOKUP(INDIRECT(ADDRESS(2,COLUMN())),OFFSET($CL$2,0,0,ROW()-1,84),ROW()-1,FALSE))</f>
        <v>2.6748184940000002</v>
      </c>
      <c r="O201">
        <f ca="1">IF(AND(ISNUMBER($O$405),$B$252=1),$O$405,HLOOKUP(INDIRECT(ADDRESS(2,COLUMN())),OFFSET($CL$2,0,0,ROW()-1,84),ROW()-1,FALSE))</f>
        <v>2.7208768999999999</v>
      </c>
      <c r="P201">
        <f ca="1">IF(AND(ISNUMBER($P$405),$B$252=1),$P$405,HLOOKUP(INDIRECT(ADDRESS(2,COLUMN())),OFFSET($CL$2,0,0,ROW()-1,84),ROW()-1,FALSE))</f>
        <v>2.7245835280000001</v>
      </c>
      <c r="Q201">
        <f ca="1">IF(AND(ISNUMBER($Q$405),$B$252=1),$Q$405,HLOOKUP(INDIRECT(ADDRESS(2,COLUMN())),OFFSET($CL$2,0,0,ROW()-1,84),ROW()-1,FALSE))</f>
        <v>2.8633370149999999</v>
      </c>
      <c r="R201">
        <f ca="1">IF(AND(ISNUMBER($R$405),$B$252=1),$R$405,HLOOKUP(INDIRECT(ADDRESS(2,COLUMN())),OFFSET($CL$2,0,0,ROW()-1,84),ROW()-1,FALSE))</f>
        <v>3.0233663019999999</v>
      </c>
      <c r="S201">
        <f ca="1">IF(AND(ISNUMBER($S$405),$B$252=1),$S$405,HLOOKUP(INDIRECT(ADDRESS(2,COLUMN())),OFFSET($CL$2,0,0,ROW()-1,84),ROW()-1,FALSE))</f>
        <v>2.98253089</v>
      </c>
      <c r="T201">
        <f ca="1">IF(AND(ISNUMBER($T$405),$B$252=1),$T$405,HLOOKUP(INDIRECT(ADDRESS(2,COLUMN())),OFFSET($CL$2,0,0,ROW()-1,84),ROW()-1,FALSE))</f>
        <v>2.8533214870000001</v>
      </c>
      <c r="U201">
        <f ca="1">IF(AND(ISNUMBER($U$405),$B$252=1),$U$405,HLOOKUP(INDIRECT(ADDRESS(2,COLUMN())),OFFSET($CL$2,0,0,ROW()-1,84),ROW()-1,FALSE))</f>
        <v>2.7526882129999999</v>
      </c>
      <c r="V201">
        <f ca="1">IF(AND(ISNUMBER($V$405),$B$252=1),$V$405,HLOOKUP(INDIRECT(ADDRESS(2,COLUMN())),OFFSET($CL$2,0,0,ROW()-1,84),ROW()-1,FALSE))</f>
        <v>2.9640608070000001</v>
      </c>
      <c r="W201">
        <f ca="1">IF(AND(ISNUMBER($W$405),$B$252=1),$W$405,HLOOKUP(INDIRECT(ADDRESS(2,COLUMN())),OFFSET($CL$2,0,0,ROW()-1,84),ROW()-1,FALSE))</f>
        <v>2.9893970269999999</v>
      </c>
      <c r="X201">
        <f ca="1">IF(AND(ISNUMBER($X$405),$B$252=1),$X$405,HLOOKUP(INDIRECT(ADDRESS(2,COLUMN())),OFFSET($CL$2,0,0,ROW()-1,84),ROW()-1,FALSE))</f>
        <v>2.8738213269999999</v>
      </c>
      <c r="Y201">
        <f ca="1">IF(AND(ISNUMBER($Y$405),$B$252=1),$Y$405,HLOOKUP(INDIRECT(ADDRESS(2,COLUMN())),OFFSET($CL$2,0,0,ROW()-1,84),ROW()-1,FALSE))</f>
        <v>2.8181418300000001</v>
      </c>
      <c r="Z201">
        <f ca="1">IF(AND(ISNUMBER($Z$405),$B$252=1),$Z$405,HLOOKUP(INDIRECT(ADDRESS(2,COLUMN())),OFFSET($CL$2,0,0,ROW()-1,84),ROW()-1,FALSE))</f>
        <v>2.736446081</v>
      </c>
      <c r="AA201">
        <f ca="1">IF(AND(ISNUMBER($AA$405),$B$252=1),$AA$405,HLOOKUP(INDIRECT(ADDRESS(2,COLUMN())),OFFSET($CL$2,0,0,ROW()-1,84),ROW()-1,FALSE))</f>
        <v>2.80590999</v>
      </c>
      <c r="AB201">
        <f ca="1">IF(AND(ISNUMBER($AB$405),$B$252=1),$AB$405,HLOOKUP(INDIRECT(ADDRESS(2,COLUMN())),OFFSET($CL$2,0,0,ROW()-1,84),ROW()-1,FALSE))</f>
        <v>2.8165295499999998</v>
      </c>
      <c r="AC201">
        <f ca="1">IF(AND(ISNUMBER($AC$405),$B$252=1),$AC$405,HLOOKUP(INDIRECT(ADDRESS(2,COLUMN())),OFFSET($CL$2,0,0,ROW()-1,84),ROW()-1,FALSE))</f>
        <v>2.9031526859999999</v>
      </c>
      <c r="AD201">
        <f ca="1">IF(AND(ISNUMBER($AD$405),$B$252=1),$AD$405,HLOOKUP(INDIRECT(ADDRESS(2,COLUMN())),OFFSET($CL$2,0,0,ROW()-1,84),ROW()-1,FALSE))</f>
        <v>2.7366801060000001</v>
      </c>
      <c r="AE201">
        <f ca="1">IF(AND(ISNUMBER($AE$405),$B$252=1),$AE$405,HLOOKUP(INDIRECT(ADDRESS(2,COLUMN())),OFFSET($CL$2,0,0,ROW()-1,84),ROW()-1,FALSE))</f>
        <v>3.0581040210000001</v>
      </c>
      <c r="AF201">
        <f ca="1">IF(AND(ISNUMBER($AF$405),$B$252=1),$AF$405,HLOOKUP(INDIRECT(ADDRESS(2,COLUMN())),OFFSET($CL$2,0,0,ROW()-1,84),ROW()-1,FALSE))</f>
        <v>2.7028296319999998</v>
      </c>
      <c r="AG201">
        <f ca="1">IF(AND(ISNUMBER($AG$405),$B$252=1),$AG$405,HLOOKUP(INDIRECT(ADDRESS(2,COLUMN())),OFFSET($CL$2,0,0,ROW()-1,84),ROW()-1,FALSE))</f>
        <v>2.4059146359999999</v>
      </c>
      <c r="AH201">
        <f ca="1">IF(AND(ISNUMBER($AH$405),$B$252=1),$AH$405,HLOOKUP(INDIRECT(ADDRESS(2,COLUMN())),OFFSET($CL$2,0,0,ROW()-1,84),ROW()-1,FALSE))</f>
        <v>2.4957754790000002</v>
      </c>
      <c r="AI201">
        <f ca="1">IF(AND(ISNUMBER($AI$405),$B$252=1),$AI$405,HLOOKUP(INDIRECT(ADDRESS(2,COLUMN())),OFFSET($CL$2,0,0,ROW()-1,84),ROW()-1,FALSE))</f>
        <v>2.61295601</v>
      </c>
      <c r="AJ201">
        <f ca="1">IF(AND(ISNUMBER($AJ$405),$B$252=1),$AJ$405,HLOOKUP(INDIRECT(ADDRESS(2,COLUMN())),OFFSET($CL$2,0,0,ROW()-1,84),ROW()-1,FALSE))</f>
        <v>2.5781041220000001</v>
      </c>
      <c r="AK201">
        <f ca="1">IF(AND(ISNUMBER($AK$405),$B$252=1),$AK$405,HLOOKUP(INDIRECT(ADDRESS(2,COLUMN())),OFFSET($CL$2,0,0,ROW()-1,84),ROW()-1,FALSE))</f>
        <v>2.6838133580000001</v>
      </c>
      <c r="AL201">
        <f ca="1">IF(AND(ISNUMBER($AL$405),$B$252=1),$AL$405,HLOOKUP(INDIRECT(ADDRESS(2,COLUMN())),OFFSET($CL$2,0,0,ROW()-1,84),ROW()-1,FALSE))</f>
        <v>2.5610245119999999</v>
      </c>
      <c r="AM201">
        <f ca="1">IF(AND(ISNUMBER($AM$405),$B$252=1),$AM$405,HLOOKUP(INDIRECT(ADDRESS(2,COLUMN())),OFFSET($CL$2,0,0,ROW()-1,84),ROW()-1,FALSE))</f>
        <v>2.710588343</v>
      </c>
      <c r="AN201">
        <f ca="1">IF(AND(ISNUMBER($AN$405),$B$252=1),$AN$405,HLOOKUP(INDIRECT(ADDRESS(2,COLUMN())),OFFSET($CL$2,0,0,ROW()-1,84),ROW()-1,FALSE))</f>
        <v>2.587368713</v>
      </c>
      <c r="AO201">
        <f ca="1">IF(AND(ISNUMBER($AO$405),$B$252=1),$AO$405,HLOOKUP(INDIRECT(ADDRESS(2,COLUMN())),OFFSET($CL$2,0,0,ROW()-1,84),ROW()-1,FALSE))</f>
        <v>2.5951791979999999</v>
      </c>
      <c r="AP201">
        <f ca="1">IF(AND(ISNUMBER($AP$405),$B$252=1),$AP$405,HLOOKUP(INDIRECT(ADDRESS(2,COLUMN())),OFFSET($CL$2,0,0,ROW()-1,84),ROW()-1,FALSE))</f>
        <v>2.5054372460000001</v>
      </c>
      <c r="AQ201">
        <f ca="1">IF(AND(ISNUMBER($AQ$405),$B$252=1),$AQ$405,HLOOKUP(INDIRECT(ADDRESS(2,COLUMN())),OFFSET($CL$2,0,0,ROW()-1,84),ROW()-1,FALSE))</f>
        <v>2.5895788469999999</v>
      </c>
      <c r="AR201">
        <f ca="1">IF(AND(ISNUMBER($AR$405),$B$252=1),$AR$405,HLOOKUP(INDIRECT(ADDRESS(2,COLUMN())),OFFSET($CL$2,0,0,ROW()-1,84),ROW()-1,FALSE))</f>
        <v>2.3003759389999998</v>
      </c>
      <c r="AS201">
        <f ca="1">IF(AND(ISNUMBER($AS$405),$B$252=1),$AS$405,HLOOKUP(INDIRECT(ADDRESS(2,COLUMN())),OFFSET($CL$2,0,0,ROW()-1,84),ROW()-1,FALSE))</f>
        <v>2.5169408560000002</v>
      </c>
      <c r="AT201">
        <f ca="1">IF(AND(ISNUMBER($AT$405),$B$252=1),$AT$405,HLOOKUP(INDIRECT(ADDRESS(2,COLUMN())),OFFSET($CL$2,0,0,ROW()-1,84),ROW()-1,FALSE))</f>
        <v>2.5690429369999999</v>
      </c>
      <c r="AU201">
        <f ca="1">IF(AND(ISNUMBER($AU$405),$B$252=1),$AU$405,HLOOKUP(INDIRECT(ADDRESS(2,COLUMN())),OFFSET($CL$2,0,0,ROW()-1,84),ROW()-1,FALSE))</f>
        <v>2.5773194930000001</v>
      </c>
      <c r="AV201">
        <f ca="1">IF(AND(ISNUMBER($AV$405),$B$252=1),$AV$405,HLOOKUP(INDIRECT(ADDRESS(2,COLUMN())),OFFSET($CL$2,0,0,ROW()-1,84),ROW()-1,FALSE))</f>
        <v>2.9090908020000001</v>
      </c>
      <c r="AW201">
        <f ca="1">IF(AND(ISNUMBER($AW$405),$B$252=1),$AW$405,HLOOKUP(INDIRECT(ADDRESS(2,COLUMN())),OFFSET($CL$2,0,0,ROW()-1,84),ROW()-1,FALSE))</f>
        <v>2.688032985</v>
      </c>
      <c r="AX201">
        <f ca="1">IF(AND(ISNUMBER($AX$405),$B$252=1),$AX$405,HLOOKUP(INDIRECT(ADDRESS(2,COLUMN())),OFFSET($CL$2,0,0,ROW()-1,84),ROW()-1,FALSE))</f>
        <v>2.74304996</v>
      </c>
      <c r="AY201">
        <f ca="1">IF(AND(ISNUMBER($AY$405),$B$252=1),$AY$405,HLOOKUP(INDIRECT(ADDRESS(2,COLUMN())),OFFSET($CL$2,0,0,ROW()-1,84),ROW()-1,FALSE))</f>
        <v>2.8121787949999999</v>
      </c>
      <c r="AZ201">
        <f ca="1">IF(AND(ISNUMBER($AZ$405),$B$252=1),$AZ$405,HLOOKUP(INDIRECT(ADDRESS(2,COLUMN())),OFFSET($CL$2,0,0,ROW()-1,84),ROW()-1,FALSE))</f>
        <v>2.6746243110000001</v>
      </c>
      <c r="BA201">
        <f ca="1">IF(AND(ISNUMBER($BA$405),$B$252=1),$BA$405,HLOOKUP(INDIRECT(ADDRESS(2,COLUMN())),OFFSET($CL$2,0,0,ROW()-1,84),ROW()-1,FALSE))</f>
        <v>2.7934896409999999</v>
      </c>
      <c r="BB201">
        <f ca="1">IF(AND(ISNUMBER($BB$405),$B$252=1),$BB$405,HLOOKUP(INDIRECT(ADDRESS(2,COLUMN())),OFFSET($CL$2,0,0,ROW()-1,84),ROW()-1,FALSE))</f>
        <v>2.8462217889999999</v>
      </c>
      <c r="BC201">
        <f ca="1">IF(AND(ISNUMBER($BC$405),$B$252=1),$BC$405,HLOOKUP(INDIRECT(ADDRESS(2,COLUMN())),OFFSET($CL$2,0,0,ROW()-1,84),ROW()-1,FALSE))</f>
        <v>2.8938715410000002</v>
      </c>
      <c r="BD201">
        <f ca="1">IF(AND(ISNUMBER($BD$405),$B$252=1),$BD$405,HLOOKUP(INDIRECT(ADDRESS(2,COLUMN())),OFFSET($CL$2,0,0,ROW()-1,84),ROW()-1,FALSE))</f>
        <v>3.056134465</v>
      </c>
      <c r="BE201">
        <f ca="1">IF(AND(ISNUMBER($BE$405),$B$252=1),$BE$405,HLOOKUP(INDIRECT(ADDRESS(2,COLUMN())),OFFSET($CL$2,0,0,ROW()-1,84),ROW()-1,FALSE))</f>
        <v>3.3725873819999999</v>
      </c>
      <c r="BF201">
        <f ca="1">IF(AND(ISNUMBER($BF$405),$B$252=1),$BF$405,HLOOKUP(INDIRECT(ADDRESS(2,COLUMN())),OFFSET($CL$2,0,0,ROW()-1,84),ROW()-1,FALSE))</f>
        <v>3.1881958720000001</v>
      </c>
      <c r="BG201">
        <f ca="1">IF(AND(ISNUMBER($BG$405),$B$252=1),$BG$405,HLOOKUP(INDIRECT(ADDRESS(2,COLUMN())),OFFSET($CL$2,0,0,ROW()-1,84),ROW()-1,FALSE))</f>
        <v>3.0062112750000001</v>
      </c>
      <c r="BH201">
        <f ca="1">IF(AND(ISNUMBER($BH$405),$B$252=1),$BH$405,HLOOKUP(INDIRECT(ADDRESS(2,COLUMN())),OFFSET($CL$2,0,0,ROW()-1,84),ROW()-1,FALSE))</f>
        <v>3.276912764</v>
      </c>
      <c r="BI201">
        <f ca="1">IF(AND(ISNUMBER($BI$405),$B$252=1),$BI$405,HLOOKUP(INDIRECT(ADDRESS(2,COLUMN())),OFFSET($CL$2,0,0,ROW()-1,84),ROW()-1,FALSE))</f>
        <v>3.3772940849999999</v>
      </c>
      <c r="BJ201">
        <f ca="1">IF(AND(ISNUMBER($BJ$405),$B$252=1),$BJ$405,HLOOKUP(INDIRECT(ADDRESS(2,COLUMN())),OFFSET($CL$2,0,0,ROW()-1,84),ROW()-1,FALSE))</f>
        <v>3.0008060959999998</v>
      </c>
      <c r="BK201">
        <f ca="1">IF(AND(ISNUMBER($BK$405),$B$252=1),$BK$405,HLOOKUP(INDIRECT(ADDRESS(2,COLUMN())),OFFSET($CL$2,0,0,ROW()-1,84),ROW()-1,FALSE))</f>
        <v>3.0455576089999998</v>
      </c>
      <c r="BL201">
        <f ca="1">IF(AND(ISNUMBER($BL$405),$B$252=1),$BL$405,HLOOKUP(INDIRECT(ADDRESS(2,COLUMN())),OFFSET($CL$2,0,0,ROW()-1,84),ROW()-1,FALSE))</f>
        <v>3.080056098</v>
      </c>
      <c r="BM201">
        <f ca="1">IF(AND(ISNUMBER($BM$405),$B$252=1),$BM$405,HLOOKUP(INDIRECT(ADDRESS(2,COLUMN())),OFFSET($CL$2,0,0,ROW()-1,84),ROW()-1,FALSE))</f>
        <v>3.0818211729999998</v>
      </c>
      <c r="BN201">
        <f ca="1">IF(AND(ISNUMBER($BN$405),$B$252=1),$BN$405,HLOOKUP(INDIRECT(ADDRESS(2,COLUMN())),OFFSET($CL$2,0,0,ROW()-1,84),ROW()-1,FALSE))</f>
        <v>3.2142383799999998</v>
      </c>
      <c r="BO201">
        <f ca="1">IF(AND(ISNUMBER($BO$405),$B$252=1),$BO$405,HLOOKUP(INDIRECT(ADDRESS(2,COLUMN())),OFFSET($CL$2,0,0,ROW()-1,84),ROW()-1,FALSE))</f>
        <v>3.2485402730000001</v>
      </c>
      <c r="BP201">
        <f ca="1">IF(AND(ISNUMBER($BP$405),$B$252=1),$BP$405,HLOOKUP(INDIRECT(ADDRESS(2,COLUMN())),OFFSET($CL$2,0,0,ROW()-1,84),ROW()-1,FALSE))</f>
        <v>2.8612303909999999</v>
      </c>
      <c r="BQ201">
        <f ca="1">IF(AND(ISNUMBER($BQ$405),$B$252=1),$BQ$405,HLOOKUP(INDIRECT(ADDRESS(2,COLUMN())),OFFSET($CL$2,0,0,ROW()-1,84),ROW()-1,FALSE))</f>
        <v>3.0003410129999999</v>
      </c>
      <c r="BR201">
        <f ca="1">IF(AND(ISNUMBER($BR$405),$B$252=1),$BR$405,HLOOKUP(INDIRECT(ADDRESS(2,COLUMN())),OFFSET($CL$2,0,0,ROW()-1,84),ROW()-1,FALSE))</f>
        <v>3.1318955759999998</v>
      </c>
      <c r="BS201">
        <f ca="1">IF(AND(ISNUMBER($BS$405),$B$252=1),$BS$405,HLOOKUP(INDIRECT(ADDRESS(2,COLUMN())),OFFSET($CL$2,0,0,ROW()-1,84),ROW()-1,FALSE))</f>
        <v>2.9333333970000002</v>
      </c>
      <c r="BT201">
        <f ca="1">IF(AND(ISNUMBER($BT$405),$B$252=1),$BT$405,HLOOKUP(INDIRECT(ADDRESS(2,COLUMN())),OFFSET($CL$2,0,0,ROW()-1,84),ROW()-1,FALSE))</f>
        <v>2.968159805</v>
      </c>
      <c r="BU201">
        <f ca="1">IF(AND(ISNUMBER($BU$405),$B$252=1),$BU$405,HLOOKUP(INDIRECT(ADDRESS(2,COLUMN())),OFFSET($CL$2,0,0,ROW()-1,84),ROW()-1,FALSE))</f>
        <v>2.8951178409999998</v>
      </c>
      <c r="BV201">
        <f ca="1">IF(AND(ISNUMBER($BV$405),$B$252=1),$BV$405,HLOOKUP(INDIRECT(ADDRESS(2,COLUMN())),OFFSET($CL$2,0,0,ROW()-1,84),ROW()-1,FALSE))</f>
        <v>2.796136309</v>
      </c>
      <c r="BW201">
        <f ca="1">IF(AND(ISNUMBER($BW$405),$B$252=1),$BW$405,HLOOKUP(INDIRECT(ADDRESS(2,COLUMN())),OFFSET($CL$2,0,0,ROW()-1,84),ROW()-1,FALSE))</f>
        <v>2.8586279210000001</v>
      </c>
      <c r="BX201">
        <f ca="1">IF(AND(ISNUMBER($BX$405),$B$252=1),$BX$405,HLOOKUP(INDIRECT(ADDRESS(2,COLUMN())),OFFSET($CL$2,0,0,ROW()-1,84),ROW()-1,FALSE))</f>
        <v>2.9243653429999998</v>
      </c>
      <c r="BY201">
        <f ca="1">IF(AND(ISNUMBER($BY$405),$B$252=1),$BY$405,HLOOKUP(INDIRECT(ADDRESS(2,COLUMN())),OFFSET($CL$2,0,0,ROW()-1,84),ROW()-1,FALSE))</f>
        <v>2.7853390490000001</v>
      </c>
      <c r="BZ201">
        <f ca="1">IF(AND(ISNUMBER($BZ$405),$B$252=1),$BZ$405,HLOOKUP(INDIRECT(ADDRESS(2,COLUMN())),OFFSET($CL$2,0,0,ROW()-1,84),ROW()-1,FALSE))</f>
        <v>2.904098802</v>
      </c>
      <c r="CA201">
        <f ca="1">IF(AND(ISNUMBER($CA$405),$B$252=1),$CA$405,HLOOKUP(INDIRECT(ADDRESS(2,COLUMN())),OFFSET($CL$2,0,0,ROW()-1,84),ROW()-1,FALSE))</f>
        <v>3.1430817169999998</v>
      </c>
      <c r="CB201">
        <f ca="1">IF(AND(ISNUMBER($CB$405),$B$252=1),$CB$405,HLOOKUP(INDIRECT(ADDRESS(2,COLUMN())),OFFSET($CL$2,0,0,ROW()-1,84),ROW()-1,FALSE))</f>
        <v>2.8888887830000001</v>
      </c>
      <c r="CC201">
        <f ca="1">IF(AND(ISNUMBER($CC$405),$B$252=1),$CC$405,HLOOKUP(INDIRECT(ADDRESS(2,COLUMN())),OFFSET($CL$2,0,0,ROW()-1,84),ROW()-1,FALSE))</f>
        <v>2.9606432620000001</v>
      </c>
      <c r="CD201">
        <f ca="1">IF(AND(ISNUMBER($CD$405),$B$252=1),$CD$405,HLOOKUP(INDIRECT(ADDRESS(2,COLUMN())),OFFSET($CL$2,0,0,ROW()-1,84),ROW()-1,FALSE))</f>
        <v>3.1313510330000001</v>
      </c>
      <c r="CE201">
        <f ca="1">IF(AND(ISNUMBER($CE$405),$B$252=1),$CE$405,HLOOKUP(INDIRECT(ADDRESS(2,COLUMN())),OFFSET($CL$2,0,0,ROW()-1,84),ROW()-1,FALSE))</f>
        <v>2.913981401</v>
      </c>
      <c r="CF201">
        <f ca="1">IF(AND(ISNUMBER($CF$405),$B$252=1),$CF$405,HLOOKUP(INDIRECT(ADDRESS(2,COLUMN())),OFFSET($CL$2,0,0,ROW()-1,84),ROW()-1,FALSE))</f>
        <v>3.4655113690000001</v>
      </c>
      <c r="CG201">
        <f ca="1">IF(AND(ISNUMBER($CG$405),$B$252=1),$CG$405,HLOOKUP(INDIRECT(ADDRESS(2,COLUMN())),OFFSET($CL$2,0,0,ROW()-1,84),ROW()-1,FALSE))</f>
        <v>2.897944861</v>
      </c>
      <c r="CH201">
        <f ca="1">IF(AND(ISNUMBER($CH$405),$B$252=1),$CH$405,HLOOKUP(INDIRECT(ADDRESS(2,COLUMN())),OFFSET($CL$2,0,0,ROW()-1,84),ROW()-1,FALSE))</f>
        <v>2.9638072439999998</v>
      </c>
      <c r="CI201">
        <f ca="1">IF(AND(ISNUMBER($CI$405),$B$252=1),$CI$405,HLOOKUP(INDIRECT(ADDRESS(2,COLUMN())),OFFSET($CL$2,0,0,ROW()-1,84),ROW()-1,FALSE))</f>
        <v>3.074876079</v>
      </c>
      <c r="CJ201">
        <f ca="1">IF(AND(ISNUMBER($CJ$405),$B$252=1),$CJ$405,HLOOKUP(INDIRECT(ADDRESS(2,COLUMN())),OFFSET($CL$2,0,0,ROW()-1,84),ROW()-1,FALSE))</f>
        <v>3.0230360059999999</v>
      </c>
      <c r="CK201">
        <f ca="1">IF(AND(ISNUMBER($CK$405),$B$252=1),$CK$405,HLOOKUP(INDIRECT(ADDRESS(2,COLUMN())),OFFSET($CL$2,0,0,ROW()-1,84),ROW()-1,FALSE))</f>
        <v>3.0705638080000002</v>
      </c>
      <c r="CL201">
        <f>3.125393809</f>
        <v>3.1253938090000002</v>
      </c>
      <c r="CM201">
        <f>3.323951239</f>
        <v>3.3239512389999999</v>
      </c>
      <c r="CN201">
        <f>3.004549747</f>
        <v>3.004549747</v>
      </c>
      <c r="CO201">
        <f>2.900111861</f>
        <v>2.9001118610000001</v>
      </c>
      <c r="CP201">
        <f>2.834122839</f>
        <v>2.8341228389999999</v>
      </c>
      <c r="CQ201">
        <f>2.667377967</f>
        <v>2.6673779670000002</v>
      </c>
      <c r="CR201">
        <f>2.75558005</f>
        <v>2.7555800499999998</v>
      </c>
      <c r="CS201">
        <f>2.631875775</f>
        <v>2.6318757750000001</v>
      </c>
      <c r="CT201">
        <f>2.674818494</f>
        <v>2.6748184940000002</v>
      </c>
      <c r="CU201">
        <f>2.7208769</f>
        <v>2.7208768999999999</v>
      </c>
      <c r="CV201">
        <f>2.724583528</f>
        <v>2.7245835280000001</v>
      </c>
      <c r="CW201">
        <f>2.863337015</f>
        <v>2.8633370149999999</v>
      </c>
      <c r="CX201">
        <f>3.023366302</f>
        <v>3.0233663019999999</v>
      </c>
      <c r="CY201">
        <f>2.98253089</f>
        <v>2.98253089</v>
      </c>
      <c r="CZ201">
        <f>2.853321487</f>
        <v>2.8533214870000001</v>
      </c>
      <c r="DA201">
        <f>2.752688213</f>
        <v>2.7526882129999999</v>
      </c>
      <c r="DB201">
        <f>2.964060807</f>
        <v>2.9640608070000001</v>
      </c>
      <c r="DC201">
        <f>2.989397027</f>
        <v>2.9893970269999999</v>
      </c>
      <c r="DD201">
        <f>2.873821327</f>
        <v>2.8738213269999999</v>
      </c>
      <c r="DE201">
        <f>2.81814183</f>
        <v>2.8181418300000001</v>
      </c>
      <c r="DF201">
        <f>2.736446081</f>
        <v>2.736446081</v>
      </c>
      <c r="DG201">
        <f>2.80590999</f>
        <v>2.80590999</v>
      </c>
      <c r="DH201">
        <f>2.81652955</f>
        <v>2.8165295499999998</v>
      </c>
      <c r="DI201">
        <f>2.903152686</f>
        <v>2.9031526859999999</v>
      </c>
      <c r="DJ201">
        <f>2.736680106</f>
        <v>2.7366801060000001</v>
      </c>
      <c r="DK201">
        <f>3.058104021</f>
        <v>3.0581040210000001</v>
      </c>
      <c r="DL201">
        <f>2.702829632</f>
        <v>2.7028296319999998</v>
      </c>
      <c r="DM201">
        <f>2.405914636</f>
        <v>2.4059146359999999</v>
      </c>
      <c r="DN201">
        <f>2.495775479</f>
        <v>2.4957754790000002</v>
      </c>
      <c r="DO201">
        <f>2.61295601</f>
        <v>2.61295601</v>
      </c>
      <c r="DP201">
        <f>2.578104122</f>
        <v>2.5781041220000001</v>
      </c>
      <c r="DQ201">
        <f>2.683813358</f>
        <v>2.6838133580000001</v>
      </c>
      <c r="DR201">
        <f>2.561024512</f>
        <v>2.5610245119999999</v>
      </c>
      <c r="DS201">
        <f>2.710588343</f>
        <v>2.710588343</v>
      </c>
      <c r="DT201">
        <f>2.587368713</f>
        <v>2.587368713</v>
      </c>
      <c r="DU201">
        <f>2.595179198</f>
        <v>2.5951791979999999</v>
      </c>
      <c r="DV201">
        <f>2.505437246</f>
        <v>2.5054372460000001</v>
      </c>
      <c r="DW201">
        <f>2.589578847</f>
        <v>2.5895788469999999</v>
      </c>
      <c r="DX201">
        <f>2.300375939</f>
        <v>2.3003759389999998</v>
      </c>
      <c r="DY201">
        <f>2.516940856</f>
        <v>2.5169408560000002</v>
      </c>
      <c r="DZ201">
        <f>2.569042937</f>
        <v>2.5690429369999999</v>
      </c>
      <c r="EA201">
        <f>2.577319493</f>
        <v>2.5773194930000001</v>
      </c>
      <c r="EB201">
        <f>2.909090802</f>
        <v>2.9090908020000001</v>
      </c>
      <c r="EC201">
        <f>2.688032985</f>
        <v>2.688032985</v>
      </c>
      <c r="ED201">
        <f>2.74304996</f>
        <v>2.74304996</v>
      </c>
      <c r="EE201">
        <f>2.812178795</f>
        <v>2.8121787949999999</v>
      </c>
      <c r="EF201">
        <f>2.674624311</f>
        <v>2.6746243110000001</v>
      </c>
      <c r="EG201">
        <f>2.793489641</f>
        <v>2.7934896409999999</v>
      </c>
      <c r="EH201">
        <f>2.846221789</f>
        <v>2.8462217889999999</v>
      </c>
      <c r="EI201">
        <f>2.893871541</f>
        <v>2.8938715410000002</v>
      </c>
      <c r="EJ201">
        <f>3.056134465</f>
        <v>3.056134465</v>
      </c>
      <c r="EK201">
        <f>3.372587382</f>
        <v>3.3725873819999999</v>
      </c>
      <c r="EL201">
        <f>3.188195872</f>
        <v>3.1881958720000001</v>
      </c>
      <c r="EM201">
        <f>3.006211275</f>
        <v>3.0062112750000001</v>
      </c>
      <c r="EN201">
        <f>3.276912764</f>
        <v>3.276912764</v>
      </c>
      <c r="EO201">
        <f>3.377294085</f>
        <v>3.3772940849999999</v>
      </c>
      <c r="EP201">
        <f>3.000806096</f>
        <v>3.0008060959999998</v>
      </c>
      <c r="EQ201">
        <f>3.045557609</f>
        <v>3.0455576089999998</v>
      </c>
      <c r="ER201">
        <f>3.080056098</f>
        <v>3.080056098</v>
      </c>
      <c r="ES201">
        <f>3.081821173</f>
        <v>3.0818211729999998</v>
      </c>
      <c r="ET201">
        <f>3.21423838</f>
        <v>3.2142383799999998</v>
      </c>
      <c r="EU201">
        <f>3.248540273</f>
        <v>3.2485402730000001</v>
      </c>
      <c r="EV201">
        <f>2.861230391</f>
        <v>2.8612303909999999</v>
      </c>
      <c r="EW201">
        <f>3.000341013</f>
        <v>3.0003410129999999</v>
      </c>
      <c r="EX201">
        <f>3.131895576</f>
        <v>3.1318955759999998</v>
      </c>
      <c r="EY201">
        <f>2.933333397</f>
        <v>2.9333333970000002</v>
      </c>
      <c r="EZ201">
        <f>2.968159805</f>
        <v>2.968159805</v>
      </c>
      <c r="FA201">
        <f>2.895117841</f>
        <v>2.8951178409999998</v>
      </c>
      <c r="FB201">
        <f>2.796136309</f>
        <v>2.796136309</v>
      </c>
      <c r="FC201">
        <f>2.858627921</f>
        <v>2.8586279210000001</v>
      </c>
      <c r="FD201">
        <f>2.924365343</f>
        <v>2.9243653429999998</v>
      </c>
      <c r="FE201">
        <f>2.785339049</f>
        <v>2.7853390490000001</v>
      </c>
      <c r="FF201">
        <f>2.904098802</f>
        <v>2.904098802</v>
      </c>
      <c r="FG201">
        <f>3.143081717</f>
        <v>3.1430817169999998</v>
      </c>
      <c r="FH201">
        <f>2.888888783</f>
        <v>2.8888887830000001</v>
      </c>
      <c r="FI201">
        <f>2.960643262</f>
        <v>2.9606432620000001</v>
      </c>
      <c r="FJ201">
        <f>3.131351033</f>
        <v>3.1313510330000001</v>
      </c>
      <c r="FK201">
        <f>2.913981401</f>
        <v>2.913981401</v>
      </c>
      <c r="FL201">
        <f>3.465511369</f>
        <v>3.4655113690000001</v>
      </c>
      <c r="FM201">
        <f>2.897944861</f>
        <v>2.897944861</v>
      </c>
      <c r="FN201">
        <f>2.963807244</f>
        <v>2.9638072439999998</v>
      </c>
      <c r="FO201">
        <f>3.074876079</f>
        <v>3.074876079</v>
      </c>
      <c r="FP201">
        <f>3.023036006</f>
        <v>3.0230360059999999</v>
      </c>
      <c r="FQ201">
        <f>3.070563808</f>
        <v>3.0705638080000002</v>
      </c>
    </row>
    <row r="202" spans="1:173">
      <c r="A202" t="str">
        <f>"    Mid-America Apartment Communities股份有限公司"</f>
        <v xml:space="preserve">    Mid-America Apartment Communities股份有限公司</v>
      </c>
      <c r="B202" t="str">
        <f>"MAA US Equity"</f>
        <v>MAA US Equity</v>
      </c>
      <c r="C202" t="str">
        <f t="shared" si="63"/>
        <v>DV013</v>
      </c>
      <c r="D202" t="str">
        <f t="shared" si="64"/>
        <v>EQY_DVD_YLD_IND</v>
      </c>
      <c r="E202" t="str">
        <f t="shared" si="65"/>
        <v>动态</v>
      </c>
      <c r="F202">
        <f ca="1">IF(AND(ISNUMBER($F$406),$B$252=1),$F$406,HLOOKUP(INDIRECT(ADDRESS(2,COLUMN())),OFFSET($CL$2,0,0,ROW()-1,84),ROW()-1,FALSE))</f>
        <v>4.1302888480000002</v>
      </c>
      <c r="G202">
        <f ca="1">IF(AND(ISNUMBER($G$406),$B$252=1),$G$406,HLOOKUP(INDIRECT(ADDRESS(2,COLUMN())),OFFSET($CL$2,0,0,ROW()-1,84),ROW()-1,FALSE))</f>
        <v>4.2996971070000001</v>
      </c>
      <c r="H202">
        <f ca="1">IF(AND(ISNUMBER($H$406),$B$252=1),$H$406,HLOOKUP(INDIRECT(ADDRESS(2,COLUMN())),OFFSET($CL$2,0,0,ROW()-1,84),ROW()-1,FALSE))</f>
        <v>3.8691412989999998</v>
      </c>
      <c r="I202">
        <f ca="1">IF(AND(ISNUMBER($I$406),$B$252=1),$I$406,HLOOKUP(INDIRECT(ADDRESS(2,COLUMN())),OFFSET($CL$2,0,0,ROW()-1,84),ROW()-1,FALSE))</f>
        <v>3.6694511310000002</v>
      </c>
      <c r="J202">
        <f ca="1">IF(AND(ISNUMBER($J$406),$B$252=1),$J$406,HLOOKUP(INDIRECT(ADDRESS(2,COLUMN())),OFFSET($CL$2,0,0,ROW()-1,84),ROW()-1,FALSE))</f>
        <v>3.3971105220000002</v>
      </c>
      <c r="K202">
        <f ca="1">IF(AND(ISNUMBER($K$406),$B$252=1),$K$406,HLOOKUP(INDIRECT(ADDRESS(2,COLUMN())),OFFSET($CL$2,0,0,ROW()-1,84),ROW()-1,FALSE))</f>
        <v>3.400097723</v>
      </c>
      <c r="L202">
        <f ca="1">IF(AND(ISNUMBER($L$406),$B$252=1),$L$406,HLOOKUP(INDIRECT(ADDRESS(2,COLUMN())),OFFSET($CL$2,0,0,ROW()-1,84),ROW()-1,FALSE))</f>
        <v>3.2559880419999998</v>
      </c>
      <c r="M202">
        <f ca="1">IF(AND(ISNUMBER($M$406),$B$252=1),$M$406,HLOOKUP(INDIRECT(ADDRESS(2,COLUMN())),OFFSET($CL$2,0,0,ROW()-1,84),ROW()-1,FALSE))</f>
        <v>3.268833383</v>
      </c>
      <c r="N202">
        <f ca="1">IF(AND(ISNUMBER($N$406),$B$252=1),$N$406,HLOOKUP(INDIRECT(ADDRESS(2,COLUMN())),OFFSET($CL$2,0,0,ROW()-1,84),ROW()-1,FALSE))</f>
        <v>3.3613445560000001</v>
      </c>
      <c r="O202">
        <f ca="1">IF(AND(ISNUMBER($O$406),$B$252=1),$O$406,HLOOKUP(INDIRECT(ADDRESS(2,COLUMN())),OFFSET($CL$2,0,0,ROW()-1,84),ROW()-1,FALSE))</f>
        <v>3.3023344269999999</v>
      </c>
      <c r="P202">
        <f ca="1">IF(AND(ISNUMBER($P$406),$B$252=1),$P$406,HLOOKUP(INDIRECT(ADDRESS(2,COLUMN())),OFFSET($CL$2,0,0,ROW()-1,84),ROW()-1,FALSE))</f>
        <v>3.4137728260000002</v>
      </c>
      <c r="Q202">
        <f ca="1">IF(AND(ISNUMBER($Q$406),$B$252=1),$Q$406,HLOOKUP(INDIRECT(ADDRESS(2,COLUMN())),OFFSET($CL$2,0,0,ROW()-1,84),ROW()-1,FALSE))</f>
        <v>3.507710935</v>
      </c>
      <c r="R202">
        <f ca="1">IF(AND(ISNUMBER($R$406),$B$252=1),$R$406,HLOOKUP(INDIRECT(ADDRESS(2,COLUMN())),OFFSET($CL$2,0,0,ROW()-1,84),ROW()-1,FALSE))</f>
        <v>3.4204836040000002</v>
      </c>
      <c r="S202">
        <f ca="1">IF(AND(ISNUMBER($S$406),$B$252=1),$S$406,HLOOKUP(INDIRECT(ADDRESS(2,COLUMN())),OFFSET($CL$2,0,0,ROW()-1,84),ROW()-1,FALSE))</f>
        <v>3.3875207039999999</v>
      </c>
      <c r="T202">
        <f ca="1">IF(AND(ISNUMBER($T$406),$B$252=1),$T$406,HLOOKUP(INDIRECT(ADDRESS(2,COLUMN())),OFFSET($CL$2,0,0,ROW()-1,84),ROW()-1,FALSE))</f>
        <v>3.6650869080000001</v>
      </c>
      <c r="U202">
        <f ca="1">IF(AND(ISNUMBER($U$406),$B$252=1),$U$406,HLOOKUP(INDIRECT(ADDRESS(2,COLUMN())),OFFSET($CL$2,0,0,ROW()-1,84),ROW()-1,FALSE))</f>
        <v>3.5539215880000001</v>
      </c>
      <c r="V202">
        <f ca="1">IF(AND(ISNUMBER($V$406),$B$252=1),$V$406,HLOOKUP(INDIRECT(ADDRESS(2,COLUMN())),OFFSET($CL$2,0,0,ROW()-1,84),ROW()-1,FALSE))</f>
        <v>3.579613632</v>
      </c>
      <c r="W202">
        <f ca="1">IF(AND(ISNUMBER($W$406),$B$252=1),$W$406,HLOOKUP(INDIRECT(ADDRESS(2,COLUMN())),OFFSET($CL$2,0,0,ROW()-1,84),ROW()-1,FALSE))</f>
        <v>3.5363881089999998</v>
      </c>
      <c r="X202">
        <f ca="1">IF(AND(ISNUMBER($X$406),$B$252=1),$X$406,HLOOKUP(INDIRECT(ADDRESS(2,COLUMN())),OFFSET($CL$2,0,0,ROW()-1,84),ROW()-1,FALSE))</f>
        <v>3.4897329199999998</v>
      </c>
      <c r="Y202">
        <f ca="1">IF(AND(ISNUMBER($Y$406),$B$252=1),$Y$406,HLOOKUP(INDIRECT(ADDRESS(2,COLUMN())),OFFSET($CL$2,0,0,ROW()-1,84),ROW()-1,FALSE))</f>
        <v>3.4897329199999998</v>
      </c>
      <c r="Z202">
        <f ca="1">IF(AND(ISNUMBER($Z$406),$B$252=1),$Z$406,HLOOKUP(INDIRECT(ADDRESS(2,COLUMN())),OFFSET($CL$2,0,0,ROW()-1,84),ROW()-1,FALSE))</f>
        <v>3.0937558680000001</v>
      </c>
      <c r="AA202">
        <f ca="1">IF(AND(ISNUMBER($AA$406),$B$252=1),$AA$406,HLOOKUP(INDIRECT(ADDRESS(2,COLUMN())),OFFSET($CL$2,0,0,ROW()-1,84),ROW()-1,FALSE))</f>
        <v>3.0827067399999999</v>
      </c>
      <c r="AB202">
        <f ca="1">IF(AND(ISNUMBER($AB$406),$B$252=1),$AB$406,HLOOKUP(INDIRECT(ADDRESS(2,COLUMN())),OFFSET($CL$2,0,0,ROW()-1,84),ROW()-1,FALSE))</f>
        <v>3.1847751930000001</v>
      </c>
      <c r="AC202">
        <f ca="1">IF(AND(ISNUMBER($AC$406),$B$252=1),$AC$406,HLOOKUP(INDIRECT(ADDRESS(2,COLUMN())),OFFSET($CL$2,0,0,ROW()-1,84),ROW()-1,FALSE))</f>
        <v>3.4270190899999999</v>
      </c>
      <c r="AD202">
        <f ca="1">IF(AND(ISNUMBER($AD$406),$B$252=1),$AD$406,HLOOKUP(INDIRECT(ADDRESS(2,COLUMN())),OFFSET($CL$2,0,0,ROW()-1,84),ROW()-1,FALSE))</f>
        <v>3.2090793180000001</v>
      </c>
      <c r="AE202">
        <f ca="1">IF(AND(ISNUMBER($AE$406),$B$252=1),$AE$406,HLOOKUP(INDIRECT(ADDRESS(2,COLUMN())),OFFSET($CL$2,0,0,ROW()-1,84),ROW()-1,FALSE))</f>
        <v>3.6468756629999999</v>
      </c>
      <c r="AF202">
        <f ca="1">IF(AND(ISNUMBER($AF$406),$B$252=1),$AF$406,HLOOKUP(INDIRECT(ADDRESS(2,COLUMN())),OFFSET($CL$2,0,0,ROW()-1,84),ROW()-1,FALSE))</f>
        <v>3.4960562469999998</v>
      </c>
      <c r="AG202">
        <f ca="1">IF(AND(ISNUMBER($AG$406),$B$252=1),$AG$406,HLOOKUP(INDIRECT(ADDRESS(2,COLUMN())),OFFSET($CL$2,0,0,ROW()-1,84),ROW()-1,FALSE))</f>
        <v>3.6119369799999999</v>
      </c>
      <c r="AH202">
        <f ca="1">IF(AND(ISNUMBER($AH$406),$B$252=1),$AH$406,HLOOKUP(INDIRECT(ADDRESS(2,COLUMN())),OFFSET($CL$2,0,0,ROW()-1,84),ROW()-1,FALSE))</f>
        <v>3.4778680259999999</v>
      </c>
      <c r="AI202">
        <f ca="1">IF(AND(ISNUMBER($AI$406),$B$252=1),$AI$406,HLOOKUP(INDIRECT(ADDRESS(2,COLUMN())),OFFSET($CL$2,0,0,ROW()-1,84),ROW()-1,FALSE))</f>
        <v>3.6154477329999999</v>
      </c>
      <c r="AJ202">
        <f ca="1">IF(AND(ISNUMBER($AJ$406),$B$252=1),$AJ$406,HLOOKUP(INDIRECT(ADDRESS(2,COLUMN())),OFFSET($CL$2,0,0,ROW()-1,84),ROW()-1,FALSE))</f>
        <v>3.7620617119999999</v>
      </c>
      <c r="AK202">
        <f ca="1">IF(AND(ISNUMBER($AK$406),$B$252=1),$AK$406,HLOOKUP(INDIRECT(ADDRESS(2,COLUMN())),OFFSET($CL$2,0,0,ROW()-1,84),ROW()-1,FALSE))</f>
        <v>3.9190735760000002</v>
      </c>
      <c r="AL202">
        <f ca="1">IF(AND(ISNUMBER($AL$406),$B$252=1),$AL$406,HLOOKUP(INDIRECT(ADDRESS(2,COLUMN())),OFFSET($CL$2,0,0,ROW()-1,84),ROW()-1,FALSE))</f>
        <v>3.833706651</v>
      </c>
      <c r="AM202">
        <f ca="1">IF(AND(ISNUMBER($AM$406),$B$252=1),$AM$406,HLOOKUP(INDIRECT(ADDRESS(2,COLUMN())),OFFSET($CL$2,0,0,ROW()-1,84),ROW()-1,FALSE))</f>
        <v>4.2301880560000003</v>
      </c>
      <c r="AN202">
        <f ca="1">IF(AND(ISNUMBER($AN$406),$B$252=1),$AN$406,HLOOKUP(INDIRECT(ADDRESS(2,COLUMN())),OFFSET($CL$2,0,0,ROW()-1,84),ROW()-1,FALSE))</f>
        <v>4.0319412540000004</v>
      </c>
      <c r="AO202">
        <f ca="1">IF(AND(ISNUMBER($AO$406),$B$252=1),$AO$406,HLOOKUP(INDIRECT(ADDRESS(2,COLUMN())),OFFSET($CL$2,0,0,ROW()-1,84),ROW()-1,FALSE))</f>
        <v>4.1281328559999997</v>
      </c>
      <c r="AP202">
        <f ca="1">IF(AND(ISNUMBER($AP$406),$B$252=1),$AP$406,HLOOKUP(INDIRECT(ADDRESS(2,COLUMN())),OFFSET($CL$2,0,0,ROW()-1,84),ROW()-1,FALSE))</f>
        <v>3.986022937</v>
      </c>
      <c r="AQ202">
        <f ca="1">IF(AND(ISNUMBER($AQ$406),$B$252=1),$AQ$406,HLOOKUP(INDIRECT(ADDRESS(2,COLUMN())),OFFSET($CL$2,0,0,ROW()-1,84),ROW()-1,FALSE))</f>
        <v>4.2500343919999999</v>
      </c>
      <c r="AR202">
        <f ca="1">IF(AND(ISNUMBER($AR$406),$B$252=1),$AR$406,HLOOKUP(INDIRECT(ADDRESS(2,COLUMN())),OFFSET($CL$2,0,0,ROW()-1,84),ROW()-1,FALSE))</f>
        <v>3.8830054509999998</v>
      </c>
      <c r="AS202">
        <f ca="1">IF(AND(ISNUMBER($AS$406),$B$252=1),$AS$406,HLOOKUP(INDIRECT(ADDRESS(2,COLUMN())),OFFSET($CL$2,0,0,ROW()-1,84),ROW()-1,FALSE))</f>
        <v>4.1242634220000003</v>
      </c>
      <c r="AT202">
        <f ca="1">IF(AND(ISNUMBER($AT$406),$B$252=1),$AT$406,HLOOKUP(INDIRECT(ADDRESS(2,COLUMN())),OFFSET($CL$2,0,0,ROW()-1,84),ROW()-1,FALSE))</f>
        <v>3.9641597559999999</v>
      </c>
      <c r="AU202">
        <f ca="1">IF(AND(ISNUMBER($AU$406),$B$252=1),$AU$406,HLOOKUP(INDIRECT(ADDRESS(2,COLUMN())),OFFSET($CL$2,0,0,ROW()-1,84),ROW()-1,FALSE))</f>
        <v>4.1324654350000003</v>
      </c>
      <c r="AV202">
        <f ca="1">IF(AND(ISNUMBER($AV$406),$B$252=1),$AV$406,HLOOKUP(INDIRECT(ADDRESS(2,COLUMN())),OFFSET($CL$2,0,0,ROW()-1,84),ROW()-1,FALSE))</f>
        <v>4.4478295149999996</v>
      </c>
      <c r="AW202">
        <f ca="1">IF(AND(ISNUMBER($AW$406),$B$252=1),$AW$406,HLOOKUP(INDIRECT(ADDRESS(2,COLUMN())),OFFSET($CL$2,0,0,ROW()-1,84),ROW()-1,FALSE))</f>
        <v>4.0376107250000004</v>
      </c>
      <c r="AX202">
        <f ca="1">IF(AND(ISNUMBER($AX$406),$B$252=1),$AX$406,HLOOKUP(INDIRECT(ADDRESS(2,COLUMN())),OFFSET($CL$2,0,0,ROW()-1,84),ROW()-1,FALSE))</f>
        <v>4.1762014819999997</v>
      </c>
      <c r="AY202">
        <f ca="1">IF(AND(ISNUMBER($AY$406),$B$252=1),$AY$406,HLOOKUP(INDIRECT(ADDRESS(2,COLUMN())),OFFSET($CL$2,0,0,ROW()-1,84),ROW()-1,FALSE))</f>
        <v>3.9972622539999998</v>
      </c>
      <c r="AZ202">
        <f ca="1">IF(AND(ISNUMBER($AZ$406),$B$252=1),$AZ$406,HLOOKUP(INDIRECT(ADDRESS(2,COLUMN())),OFFSET($CL$2,0,0,ROW()-1,84),ROW()-1,FALSE))</f>
        <v>4.0359365260000004</v>
      </c>
      <c r="BA202">
        <f ca="1">IF(AND(ISNUMBER($BA$406),$B$252=1),$BA$406,HLOOKUP(INDIRECT(ADDRESS(2,COLUMN())),OFFSET($CL$2,0,0,ROW()-1,84),ROW()-1,FALSE))</f>
        <v>4.1923906339999997</v>
      </c>
      <c r="BB202">
        <f ca="1">IF(AND(ISNUMBER($BB$406),$B$252=1),$BB$406,HLOOKUP(INDIRECT(ADDRESS(2,COLUMN())),OFFSET($CL$2,0,0,ROW()-1,84),ROW()-1,FALSE))</f>
        <v>4.277135017</v>
      </c>
      <c r="BC202">
        <f ca="1">IF(AND(ISNUMBER($BC$406),$B$252=1),$BC$406,HLOOKUP(INDIRECT(ADDRESS(2,COLUMN())),OFFSET($CL$2,0,0,ROW()-1,84),ROW()-1,FALSE))</f>
        <v>4.3169723189999996</v>
      </c>
      <c r="BD202">
        <f ca="1">IF(AND(ISNUMBER($BD$406),$B$252=1),$BD$406,HLOOKUP(INDIRECT(ADDRESS(2,COLUMN())),OFFSET($CL$2,0,0,ROW()-1,84),ROW()-1,FALSE))</f>
        <v>4.5243261180000003</v>
      </c>
      <c r="BE202">
        <f ca="1">IF(AND(ISNUMBER($BE$406),$B$252=1),$BE$406,HLOOKUP(INDIRECT(ADDRESS(2,COLUMN())),OFFSET($CL$2,0,0,ROW()-1,84),ROW()-1,FALSE))</f>
        <v>4.8073758250000003</v>
      </c>
      <c r="BF202">
        <f ca="1">IF(AND(ISNUMBER($BF$406),$B$252=1),$BF$406,HLOOKUP(INDIRECT(ADDRESS(2,COLUMN())),OFFSET($CL$2,0,0,ROW()-1,84),ROW()-1,FALSE))</f>
        <v>4.6148737899999999</v>
      </c>
      <c r="BG202">
        <f ca="1">IF(AND(ISNUMBER($BG$406),$B$252=1),$BG$406,HLOOKUP(INDIRECT(ADDRESS(2,COLUMN())),OFFSET($CL$2,0,0,ROW()-1,84),ROW()-1,FALSE))</f>
        <v>4.1867469450000003</v>
      </c>
      <c r="BH202">
        <f ca="1">IF(AND(ISNUMBER($BH$406),$B$252=1),$BH$406,HLOOKUP(INDIRECT(ADDRESS(2,COLUMN())),OFFSET($CL$2,0,0,ROW()-1,84),ROW()-1,FALSE))</f>
        <v>4.4479999540000001</v>
      </c>
      <c r="BI202">
        <f ca="1">IF(AND(ISNUMBER($BI$406),$B$252=1),$BI$406,HLOOKUP(INDIRECT(ADDRESS(2,COLUMN())),OFFSET($CL$2,0,0,ROW()-1,84),ROW()-1,FALSE))</f>
        <v>4.5085954770000001</v>
      </c>
      <c r="BJ202">
        <f ca="1">IF(AND(ISNUMBER($BJ$406),$B$252=1),$BJ$406,HLOOKUP(INDIRECT(ADDRESS(2,COLUMN())),OFFSET($CL$2,0,0,ROW()-1,84),ROW()-1,FALSE))</f>
        <v>4.1154699800000003</v>
      </c>
      <c r="BK202">
        <f ca="1">IF(AND(ISNUMBER($BK$406),$B$252=1),$BK$406,HLOOKUP(INDIRECT(ADDRESS(2,COLUMN())),OFFSET($CL$2,0,0,ROW()-1,84),ROW()-1,FALSE))</f>
        <v>4.102110036</v>
      </c>
      <c r="BL202">
        <f ca="1">IF(AND(ISNUMBER($BL$406),$B$252=1),$BL$406,HLOOKUP(INDIRECT(ADDRESS(2,COLUMN())),OFFSET($CL$2,0,0,ROW()-1,84),ROW()-1,FALSE))</f>
        <v>4.0900396810000004</v>
      </c>
      <c r="BM202">
        <f ca="1">IF(AND(ISNUMBER($BM$406),$B$252=1),$BM$406,HLOOKUP(INDIRECT(ADDRESS(2,COLUMN())),OFFSET($CL$2,0,0,ROW()-1,84),ROW()-1,FALSE))</f>
        <v>4.044812995</v>
      </c>
      <c r="BN202">
        <f ca="1">IF(AND(ISNUMBER($BN$406),$B$252=1),$BN$406,HLOOKUP(INDIRECT(ADDRESS(2,COLUMN())),OFFSET($CL$2,0,0,ROW()-1,84),ROW()-1,FALSE))</f>
        <v>4.0254850439999998</v>
      </c>
      <c r="BO202">
        <f ca="1">IF(AND(ISNUMBER($BO$406),$B$252=1),$BO$406,HLOOKUP(INDIRECT(ADDRESS(2,COLUMN())),OFFSET($CL$2,0,0,ROW()-1,84),ROW()-1,FALSE))</f>
        <v>4.0034561799999997</v>
      </c>
      <c r="BP202">
        <f ca="1">IF(AND(ISNUMBER($BP$406),$B$252=1),$BP$406,HLOOKUP(INDIRECT(ADDRESS(2,COLUMN())),OFFSET($CL$2,0,0,ROW()-1,84),ROW()-1,FALSE))</f>
        <v>4.2527152690000003</v>
      </c>
      <c r="BQ202">
        <f ca="1">IF(AND(ISNUMBER($BQ$406),$B$252=1),$BQ$406,HLOOKUP(INDIRECT(ADDRESS(2,COLUMN())),OFFSET($CL$2,0,0,ROW()-1,84),ROW()-1,FALSE))</f>
        <v>4.293436249</v>
      </c>
      <c r="BR202">
        <f ca="1">IF(AND(ISNUMBER($BR$406),$B$252=1),$BR$406,HLOOKUP(INDIRECT(ADDRESS(2,COLUMN())),OFFSET($CL$2,0,0,ROW()-1,84),ROW()-1,FALSE))</f>
        <v>4.2362004249999998</v>
      </c>
      <c r="BS202">
        <f ca="1">IF(AND(ISNUMBER($BS$406),$B$252=1),$BS$406,HLOOKUP(INDIRECT(ADDRESS(2,COLUMN())),OFFSET($CL$2,0,0,ROW()-1,84),ROW()-1,FALSE))</f>
        <v>4.0797405419999997</v>
      </c>
      <c r="BT202">
        <f ca="1">IF(AND(ISNUMBER($BT$406),$B$252=1),$BT$406,HLOOKUP(INDIRECT(ADDRESS(2,COLUMN())),OFFSET($CL$2,0,0,ROW()-1,84),ROW()-1,FALSE))</f>
        <v>4.0422601509999998</v>
      </c>
      <c r="BU202">
        <f ca="1">IF(AND(ISNUMBER($BU$406),$B$252=1),$BU$406,HLOOKUP(INDIRECT(ADDRESS(2,COLUMN())),OFFSET($CL$2,0,0,ROW()-1,84),ROW()-1,FALSE))</f>
        <v>3.882353095</v>
      </c>
      <c r="BV202">
        <f ca="1">IF(AND(ISNUMBER($BV$406),$B$252=1),$BV$406,HLOOKUP(INDIRECT(ADDRESS(2,COLUMN())),OFFSET($CL$2,0,0,ROW()-1,84),ROW()-1,FALSE))</f>
        <v>3.813375856</v>
      </c>
      <c r="BW202">
        <f ca="1">IF(AND(ISNUMBER($BW$406),$B$252=1),$BW$406,HLOOKUP(INDIRECT(ADDRESS(2,COLUMN())),OFFSET($CL$2,0,0,ROW()-1,84),ROW()-1,FALSE))</f>
        <v>3.8686988640000002</v>
      </c>
      <c r="BX202">
        <f ca="1">IF(AND(ISNUMBER($BX$406),$B$252=1),$BX$406,HLOOKUP(INDIRECT(ADDRESS(2,COLUMN())),OFFSET($CL$2,0,0,ROW()-1,84),ROW()-1,FALSE))</f>
        <v>3.9174953330000002</v>
      </c>
      <c r="BY202">
        <f ca="1">IF(AND(ISNUMBER($BY$406),$B$252=1),$BY$406,HLOOKUP(INDIRECT(ADDRESS(2,COLUMN())),OFFSET($CL$2,0,0,ROW()-1,84),ROW()-1,FALSE))</f>
        <v>3.8783606650000002</v>
      </c>
      <c r="BZ202">
        <f ca="1">IF(AND(ISNUMBER($BZ$406),$B$252=1),$BZ$406,HLOOKUP(INDIRECT(ADDRESS(2,COLUMN())),OFFSET($CL$2,0,0,ROW()-1,84),ROW()-1,FALSE))</f>
        <v>3.938535141</v>
      </c>
      <c r="CA202">
        <f ca="1">IF(AND(ISNUMBER($CA$406),$B$252=1),$CA$406,HLOOKUP(INDIRECT(ADDRESS(2,COLUMN())),OFFSET($CL$2,0,0,ROW()-1,84),ROW()-1,FALSE))</f>
        <v>4.2328044010000001</v>
      </c>
      <c r="CB202">
        <f ca="1">IF(AND(ISNUMBER($CB$406),$B$252=1),$CB$406,HLOOKUP(INDIRECT(ADDRESS(2,COLUMN())),OFFSET($CL$2,0,0,ROW()-1,84),ROW()-1,FALSE))</f>
        <v>4.1301628670000001</v>
      </c>
      <c r="CC202">
        <f ca="1">IF(AND(ISNUMBER($CC$406),$B$252=1),$CC$406,HLOOKUP(INDIRECT(ADDRESS(2,COLUMN())),OFFSET($CL$2,0,0,ROW()-1,84),ROW()-1,FALSE))</f>
        <v>4.2206236690000001</v>
      </c>
      <c r="CD202">
        <f ca="1">IF(AND(ISNUMBER($CD$406),$B$252=1),$CD$406,HLOOKUP(INDIRECT(ADDRESS(2,COLUMN())),OFFSET($CL$2,0,0,ROW()-1,84),ROW()-1,FALSE))</f>
        <v>4.378925315</v>
      </c>
      <c r="CE202">
        <f ca="1">IF(AND(ISNUMBER($CE$406),$B$252=1),$CE$406,HLOOKUP(INDIRECT(ADDRESS(2,COLUMN())),OFFSET($CL$2,0,0,ROW()-1,84),ROW()-1,FALSE))</f>
        <v>4.0224358819999999</v>
      </c>
      <c r="CF202">
        <f ca="1">IF(AND(ISNUMBER($CF$406),$B$252=1),$CF$406,HLOOKUP(INDIRECT(ADDRESS(2,COLUMN())),OFFSET($CL$2,0,0,ROW()-1,84),ROW()-1,FALSE))</f>
        <v>4.1680504660000004</v>
      </c>
      <c r="CG202">
        <f ca="1">IF(AND(ISNUMBER($CG$406),$B$252=1),$CG$406,HLOOKUP(INDIRECT(ADDRESS(2,COLUMN())),OFFSET($CL$2,0,0,ROW()-1,84),ROW()-1,FALSE))</f>
        <v>3.511471727</v>
      </c>
      <c r="CH202">
        <f ca="1">IF(AND(ISNUMBER($CH$406),$B$252=1),$CH$406,HLOOKUP(INDIRECT(ADDRESS(2,COLUMN())),OFFSET($CL$2,0,0,ROW()-1,84),ROW()-1,FALSE))</f>
        <v>3.5456985319999998</v>
      </c>
      <c r="CI202">
        <f ca="1">IF(AND(ISNUMBER($CI$406),$B$252=1),$CI$406,HLOOKUP(INDIRECT(ADDRESS(2,COLUMN())),OFFSET($CL$2,0,0,ROW()-1,84),ROW()-1,FALSE))</f>
        <v>3.7201719139999998</v>
      </c>
      <c r="CJ202">
        <f ca="1">IF(AND(ISNUMBER($CJ$406),$B$252=1),$CJ$406,HLOOKUP(INDIRECT(ADDRESS(2,COLUMN())),OFFSET($CL$2,0,0,ROW()-1,84),ROW()-1,FALSE))</f>
        <v>3.6615608910000002</v>
      </c>
      <c r="CK202">
        <f ca="1">IF(AND(ISNUMBER($CK$406),$B$252=1),$CK$406,HLOOKUP(INDIRECT(ADDRESS(2,COLUMN())),OFFSET($CL$2,0,0,ROW()-1,84),ROW()-1,FALSE))</f>
        <v>3.7546746299999998</v>
      </c>
      <c r="CL202">
        <f>4.130288848</f>
        <v>4.1302888480000002</v>
      </c>
      <c r="CM202">
        <f>4.299697107</f>
        <v>4.2996971070000001</v>
      </c>
      <c r="CN202">
        <f>3.869141299</f>
        <v>3.8691412989999998</v>
      </c>
      <c r="CO202">
        <f>3.669451131</f>
        <v>3.6694511310000002</v>
      </c>
      <c r="CP202">
        <f>3.397110522</f>
        <v>3.3971105220000002</v>
      </c>
      <c r="CQ202">
        <f>3.400097723</f>
        <v>3.400097723</v>
      </c>
      <c r="CR202">
        <f>3.255988042</f>
        <v>3.2559880419999998</v>
      </c>
      <c r="CS202">
        <f>3.268833383</f>
        <v>3.268833383</v>
      </c>
      <c r="CT202">
        <f>3.361344556</f>
        <v>3.3613445560000001</v>
      </c>
      <c r="CU202">
        <f>3.302334427</f>
        <v>3.3023344269999999</v>
      </c>
      <c r="CV202">
        <f>3.413772826</f>
        <v>3.4137728260000002</v>
      </c>
      <c r="CW202">
        <f>3.507710935</f>
        <v>3.507710935</v>
      </c>
      <c r="CX202">
        <f>3.420483604</f>
        <v>3.4204836040000002</v>
      </c>
      <c r="CY202">
        <f>3.387520704</f>
        <v>3.3875207039999999</v>
      </c>
      <c r="CZ202">
        <f>3.665086908</f>
        <v>3.6650869080000001</v>
      </c>
      <c r="DA202">
        <f>3.553921588</f>
        <v>3.5539215880000001</v>
      </c>
      <c r="DB202">
        <f>3.579613632</f>
        <v>3.579613632</v>
      </c>
      <c r="DC202">
        <f>3.536388109</f>
        <v>3.5363881089999998</v>
      </c>
      <c r="DD202">
        <f>3.48973292</f>
        <v>3.4897329199999998</v>
      </c>
      <c r="DE202">
        <f>3.48973292</f>
        <v>3.4897329199999998</v>
      </c>
      <c r="DF202">
        <f>3.093755868</f>
        <v>3.0937558680000001</v>
      </c>
      <c r="DG202">
        <f>3.08270674</f>
        <v>3.0827067399999999</v>
      </c>
      <c r="DH202">
        <f>3.184775193</f>
        <v>3.1847751930000001</v>
      </c>
      <c r="DI202">
        <f>3.42701909</f>
        <v>3.4270190899999999</v>
      </c>
      <c r="DJ202">
        <f>3.209079318</f>
        <v>3.2090793180000001</v>
      </c>
      <c r="DK202">
        <f>3.646875663</f>
        <v>3.6468756629999999</v>
      </c>
      <c r="DL202">
        <f>3.496056247</f>
        <v>3.4960562469999998</v>
      </c>
      <c r="DM202">
        <f>3.61193698</f>
        <v>3.6119369799999999</v>
      </c>
      <c r="DN202">
        <f>3.477868026</f>
        <v>3.4778680259999999</v>
      </c>
      <c r="DO202">
        <f>3.615447733</f>
        <v>3.6154477329999999</v>
      </c>
      <c r="DP202">
        <f>3.762061712</f>
        <v>3.7620617119999999</v>
      </c>
      <c r="DQ202">
        <f>3.919073576</f>
        <v>3.9190735760000002</v>
      </c>
      <c r="DR202">
        <f>3.833706651</f>
        <v>3.833706651</v>
      </c>
      <c r="DS202">
        <f>4.230188056</f>
        <v>4.2301880560000003</v>
      </c>
      <c r="DT202">
        <f>4.031941254</f>
        <v>4.0319412540000004</v>
      </c>
      <c r="DU202">
        <f>4.128132856</f>
        <v>4.1281328559999997</v>
      </c>
      <c r="DV202">
        <f>3.986022937</f>
        <v>3.986022937</v>
      </c>
      <c r="DW202">
        <f>4.250034392</f>
        <v>4.2500343919999999</v>
      </c>
      <c r="DX202">
        <f>3.883005451</f>
        <v>3.8830054509999998</v>
      </c>
      <c r="DY202">
        <f>4.124263422</f>
        <v>4.1242634220000003</v>
      </c>
      <c r="DZ202">
        <f>3.964159756</f>
        <v>3.9641597559999999</v>
      </c>
      <c r="EA202">
        <f>4.132465435</f>
        <v>4.1324654350000003</v>
      </c>
      <c r="EB202">
        <f>4.447829515</f>
        <v>4.4478295149999996</v>
      </c>
      <c r="EC202">
        <f>4.037610725</f>
        <v>4.0376107250000004</v>
      </c>
      <c r="ED202">
        <f>4.176201482</f>
        <v>4.1762014819999997</v>
      </c>
      <c r="EE202">
        <f>3.997262254</f>
        <v>3.9972622539999998</v>
      </c>
      <c r="EF202">
        <f>4.035936526</f>
        <v>4.0359365260000004</v>
      </c>
      <c r="EG202">
        <f>4.192390634</f>
        <v>4.1923906339999997</v>
      </c>
      <c r="EH202">
        <f>4.277135017</f>
        <v>4.277135017</v>
      </c>
      <c r="EI202">
        <f>4.316972319</f>
        <v>4.3169723189999996</v>
      </c>
      <c r="EJ202">
        <f>4.524326118</f>
        <v>4.5243261180000003</v>
      </c>
      <c r="EK202">
        <f>4.807375825</f>
        <v>4.8073758250000003</v>
      </c>
      <c r="EL202">
        <f>4.61487379</f>
        <v>4.6148737899999999</v>
      </c>
      <c r="EM202">
        <f>4.186746945</f>
        <v>4.1867469450000003</v>
      </c>
      <c r="EN202">
        <f>4.447999954</f>
        <v>4.4479999540000001</v>
      </c>
      <c r="EO202">
        <f>4.508595477</f>
        <v>4.5085954770000001</v>
      </c>
      <c r="EP202">
        <f>4.11546998</f>
        <v>4.1154699800000003</v>
      </c>
      <c r="EQ202">
        <f>4.102110036</f>
        <v>4.102110036</v>
      </c>
      <c r="ER202">
        <f>4.090039681</f>
        <v>4.0900396810000004</v>
      </c>
      <c r="ES202">
        <f>4.044812995</f>
        <v>4.044812995</v>
      </c>
      <c r="ET202">
        <f>4.025485044</f>
        <v>4.0254850439999998</v>
      </c>
      <c r="EU202">
        <f>4.00345618</f>
        <v>4.0034561799999997</v>
      </c>
      <c r="EV202">
        <f>4.252715269</f>
        <v>4.2527152690000003</v>
      </c>
      <c r="EW202">
        <f>4.293436249</f>
        <v>4.293436249</v>
      </c>
      <c r="EX202">
        <f>4.236200425</f>
        <v>4.2362004249999998</v>
      </c>
      <c r="EY202">
        <f>4.079740542</f>
        <v>4.0797405419999997</v>
      </c>
      <c r="EZ202">
        <f>4.042260151</f>
        <v>4.0422601509999998</v>
      </c>
      <c r="FA202">
        <f>3.882353095</f>
        <v>3.882353095</v>
      </c>
      <c r="FB202">
        <f>3.813375856</f>
        <v>3.813375856</v>
      </c>
      <c r="FC202">
        <f>3.868698864</f>
        <v>3.8686988640000002</v>
      </c>
      <c r="FD202">
        <f>3.917495333</f>
        <v>3.9174953330000002</v>
      </c>
      <c r="FE202">
        <f>3.878360665</f>
        <v>3.8783606650000002</v>
      </c>
      <c r="FF202">
        <f>3.938535141</f>
        <v>3.938535141</v>
      </c>
      <c r="FG202">
        <f>4.232804401</f>
        <v>4.2328044010000001</v>
      </c>
      <c r="FH202">
        <f>4.130162867</f>
        <v>4.1301628670000001</v>
      </c>
      <c r="FI202">
        <f>4.220623669</f>
        <v>4.2206236690000001</v>
      </c>
      <c r="FJ202">
        <f>4.378925315</f>
        <v>4.378925315</v>
      </c>
      <c r="FK202">
        <f>4.022435882</f>
        <v>4.0224358819999999</v>
      </c>
      <c r="FL202">
        <f>4.168050466</f>
        <v>4.1680504660000004</v>
      </c>
      <c r="FM202">
        <f>3.511471727</f>
        <v>3.511471727</v>
      </c>
      <c r="FN202">
        <f>3.545698532</f>
        <v>3.5456985319999998</v>
      </c>
      <c r="FO202">
        <f>3.720171914</f>
        <v>3.7201719139999998</v>
      </c>
      <c r="FP202">
        <f>3.661560891</f>
        <v>3.6615608910000002</v>
      </c>
      <c r="FQ202">
        <f>3.75467463</f>
        <v>3.7546746299999998</v>
      </c>
    </row>
    <row r="203" spans="1:173">
      <c r="A203" t="str">
        <f>"    UDR 公司"</f>
        <v xml:space="preserve">    UDR 公司</v>
      </c>
      <c r="B203" t="str">
        <f>"UDR US Equity"</f>
        <v>UDR US Equity</v>
      </c>
      <c r="C203" t="str">
        <f t="shared" si="63"/>
        <v>DV013</v>
      </c>
      <c r="D203" t="str">
        <f t="shared" si="64"/>
        <v>EQY_DVD_YLD_IND</v>
      </c>
      <c r="E203" t="str">
        <f t="shared" si="65"/>
        <v>动态</v>
      </c>
      <c r="F203">
        <f ca="1">IF(AND(ISNUMBER($F$407),$B$252=1),$F$407,HLOOKUP(INDIRECT(ADDRESS(2,COLUMN())),OFFSET($CL$2,0,0,ROW()-1,84),ROW()-1,FALSE))</f>
        <v>3.510758804</v>
      </c>
      <c r="G203">
        <f ca="1">IF(AND(ISNUMBER($G$407),$B$252=1),$G$407,HLOOKUP(INDIRECT(ADDRESS(2,COLUMN())),OFFSET($CL$2,0,0,ROW()-1,84),ROW()-1,FALSE))</f>
        <v>3.6882808140000001</v>
      </c>
      <c r="H203">
        <f ca="1">IF(AND(ISNUMBER($H$407),$B$252=1),$H$407,HLOOKUP(INDIRECT(ADDRESS(2,COLUMN())),OFFSET($CL$2,0,0,ROW()-1,84),ROW()-1,FALSE))</f>
        <v>3.3944703239999998</v>
      </c>
      <c r="I203">
        <f ca="1">IF(AND(ISNUMBER($I$407),$B$252=1),$I$407,HLOOKUP(INDIRECT(ADDRESS(2,COLUMN())),OFFSET($CL$2,0,0,ROW()-1,84),ROW()-1,FALSE))</f>
        <v>3.219106982</v>
      </c>
      <c r="J203">
        <f ca="1">IF(AND(ISNUMBER($J$407),$B$252=1),$J$407,HLOOKUP(INDIRECT(ADDRESS(2,COLUMN())),OFFSET($CL$2,0,0,ROW()-1,84),ROW()-1,FALSE))</f>
        <v>3.1528095839999999</v>
      </c>
      <c r="K203">
        <f ca="1">IF(AND(ISNUMBER($K$407),$B$252=1),$K$407,HLOOKUP(INDIRECT(ADDRESS(2,COLUMN())),OFFSET($CL$2,0,0,ROW()-1,84),ROW()-1,FALSE))</f>
        <v>3.196700205</v>
      </c>
      <c r="L203">
        <f ca="1">IF(AND(ISNUMBER($L$407),$B$252=1),$L$407,HLOOKUP(INDIRECT(ADDRESS(2,COLUMN())),OFFSET($CL$2,0,0,ROW()-1,84),ROW()-1,FALSE))</f>
        <v>3.2605837750000002</v>
      </c>
      <c r="M203">
        <f ca="1">IF(AND(ISNUMBER($M$407),$B$252=1),$M$407,HLOOKUP(INDIRECT(ADDRESS(2,COLUMN())),OFFSET($CL$2,0,0,ROW()-1,84),ROW()-1,FALSE))</f>
        <v>3.1942298029999998</v>
      </c>
      <c r="N203">
        <f ca="1">IF(AND(ISNUMBER($N$407),$B$252=1),$N$407,HLOOKUP(INDIRECT(ADDRESS(2,COLUMN())),OFFSET($CL$2,0,0,ROW()-1,84),ROW()-1,FALSE))</f>
        <v>3.1721668190000001</v>
      </c>
      <c r="O203">
        <f ca="1">IF(AND(ISNUMBER($O$407),$B$252=1),$O$407,HLOOKUP(INDIRECT(ADDRESS(2,COLUMN())),OFFSET($CL$2,0,0,ROW()-1,84),ROW()-1,FALSE))</f>
        <v>3.1819348459999999</v>
      </c>
      <c r="P203">
        <f ca="1">IF(AND(ISNUMBER($P$407),$B$252=1),$P$407,HLOOKUP(INDIRECT(ADDRESS(2,COLUMN())),OFFSET($CL$2,0,0,ROW()-1,84),ROW()-1,FALSE))</f>
        <v>3.2116032360000002</v>
      </c>
      <c r="Q203">
        <f ca="1">IF(AND(ISNUMBER($Q$407),$B$252=1),$Q$407,HLOOKUP(INDIRECT(ADDRESS(2,COLUMN())),OFFSET($CL$2,0,0,ROW()-1,84),ROW()-1,FALSE))</f>
        <v>3.3208355909999998</v>
      </c>
      <c r="R203">
        <f ca="1">IF(AND(ISNUMBER($R$407),$B$252=1),$R$407,HLOOKUP(INDIRECT(ADDRESS(2,COLUMN())),OFFSET($CL$2,0,0,ROW()-1,84),ROW()-1,FALSE))</f>
        <v>3.4197463030000002</v>
      </c>
      <c r="S203">
        <f ca="1">IF(AND(ISNUMBER($S$407),$B$252=1),$S$407,HLOOKUP(INDIRECT(ADDRESS(2,COLUMN())),OFFSET($CL$2,0,0,ROW()-1,84),ROW()-1,FALSE))</f>
        <v>3.2328765690000001</v>
      </c>
      <c r="T203">
        <f ca="1">IF(AND(ISNUMBER($T$407),$B$252=1),$T$407,HLOOKUP(INDIRECT(ADDRESS(2,COLUMN())),OFFSET($CL$2,0,0,ROW()-1,84),ROW()-1,FALSE))</f>
        <v>3.3762516379999998</v>
      </c>
      <c r="U203">
        <f ca="1">IF(AND(ISNUMBER($U$407),$B$252=1),$U$407,HLOOKUP(INDIRECT(ADDRESS(2,COLUMN())),OFFSET($CL$2,0,0,ROW()-1,84),ROW()-1,FALSE))</f>
        <v>3.2346489790000001</v>
      </c>
      <c r="V203">
        <f ca="1">IF(AND(ISNUMBER($V$407),$B$252=1),$V$407,HLOOKUP(INDIRECT(ADDRESS(2,COLUMN())),OFFSET($CL$2,0,0,ROW()-1,84),ROW()-1,FALSE))</f>
        <v>3.466509834</v>
      </c>
      <c r="W203">
        <f ca="1">IF(AND(ISNUMBER($W$407),$B$252=1),$W$407,HLOOKUP(INDIRECT(ADDRESS(2,COLUMN())),OFFSET($CL$2,0,0,ROW()-1,84),ROW()-1,FALSE))</f>
        <v>3.3743206959999998</v>
      </c>
      <c r="X203">
        <f ca="1">IF(AND(ISNUMBER($X$407),$B$252=1),$X$407,HLOOKUP(INDIRECT(ADDRESS(2,COLUMN())),OFFSET($CL$2,0,0,ROW()-1,84),ROW()-1,FALSE))</f>
        <v>3.2786883790000001</v>
      </c>
      <c r="Y203">
        <f ca="1">IF(AND(ISNUMBER($Y$407),$B$252=1),$Y$407,HLOOKUP(INDIRECT(ADDRESS(2,COLUMN())),OFFSET($CL$2,0,0,ROW()-1,84),ROW()-1,FALSE))</f>
        <v>3.2614702809999998</v>
      </c>
      <c r="Z203">
        <f ca="1">IF(AND(ISNUMBER($Z$407),$B$252=1),$Z$407,HLOOKUP(INDIRECT(ADDRESS(2,COLUMN())),OFFSET($CL$2,0,0,ROW()-1,84),ROW()-1,FALSE))</f>
        <v>3.169486832</v>
      </c>
      <c r="AA203">
        <f ca="1">IF(AND(ISNUMBER($AA$407),$B$252=1),$AA$407,HLOOKUP(INDIRECT(ADDRESS(2,COLUMN())),OFFSET($CL$2,0,0,ROW()-1,84),ROW()-1,FALSE))</f>
        <v>3.1960995329999999</v>
      </c>
      <c r="AB203">
        <f ca="1">IF(AND(ISNUMBER($AB$407),$B$252=1),$AB$407,HLOOKUP(INDIRECT(ADDRESS(2,COLUMN())),OFFSET($CL$2,0,0,ROW()-1,84),ROW()-1,FALSE))</f>
        <v>3.275048425</v>
      </c>
      <c r="AC203">
        <f ca="1">IF(AND(ISNUMBER($AC$407),$B$252=1),$AC$407,HLOOKUP(INDIRECT(ADDRESS(2,COLUMN())),OFFSET($CL$2,0,0,ROW()-1,84),ROW()-1,FALSE))</f>
        <v>3.3791521979999999</v>
      </c>
      <c r="AD203">
        <f ca="1">IF(AND(ISNUMBER($AD$407),$B$252=1),$AD$407,HLOOKUP(INDIRECT(ADDRESS(2,COLUMN())),OFFSET($CL$2,0,0,ROW()-1,84),ROW()-1,FALSE))</f>
        <v>3.0625485270000001</v>
      </c>
      <c r="AE203">
        <f ca="1">IF(AND(ISNUMBER($AE$407),$B$252=1),$AE$407,HLOOKUP(INDIRECT(ADDRESS(2,COLUMN())),OFFSET($CL$2,0,0,ROW()-1,84),ROW()-1,FALSE))</f>
        <v>3.2333236649999999</v>
      </c>
      <c r="AF203">
        <f ca="1">IF(AND(ISNUMBER($AF$407),$B$252=1),$AF$407,HLOOKUP(INDIRECT(ADDRESS(2,COLUMN())),OFFSET($CL$2,0,0,ROW()-1,84),ROW()-1,FALSE))</f>
        <v>3.1188536509999998</v>
      </c>
      <c r="AG203">
        <f ca="1">IF(AND(ISNUMBER($AG$407),$B$252=1),$AG$407,HLOOKUP(INDIRECT(ADDRESS(2,COLUMN())),OFFSET($CL$2,0,0,ROW()-1,84),ROW()-1,FALSE))</f>
        <v>2.9544849989999999</v>
      </c>
      <c r="AH203">
        <f ca="1">IF(AND(ISNUMBER($AH$407),$B$252=1),$AH$407,HLOOKUP(INDIRECT(ADDRESS(2,COLUMN())),OFFSET($CL$2,0,0,ROW()-1,84),ROW()-1,FALSE))</f>
        <v>3.0073151299999998</v>
      </c>
      <c r="AI203">
        <f ca="1">IF(AND(ISNUMBER($AI$407),$B$252=1),$AI$407,HLOOKUP(INDIRECT(ADDRESS(2,COLUMN())),OFFSET($CL$2,0,0,ROW()-1,84),ROW()-1,FALSE))</f>
        <v>3.221125985</v>
      </c>
      <c r="AJ203">
        <f ca="1">IF(AND(ISNUMBER($AJ$407),$B$252=1),$AJ$407,HLOOKUP(INDIRECT(ADDRESS(2,COLUMN())),OFFSET($CL$2,0,0,ROW()-1,84),ROW()-1,FALSE))</f>
        <v>3.219257582</v>
      </c>
      <c r="AK203">
        <f ca="1">IF(AND(ISNUMBER($AK$407),$B$252=1),$AK$407,HLOOKUP(INDIRECT(ADDRESS(2,COLUMN())),OFFSET($CL$2,0,0,ROW()-1,84),ROW()-1,FALSE))</f>
        <v>3.4365325520000001</v>
      </c>
      <c r="AL203">
        <f ca="1">IF(AND(ISNUMBER($AL$407),$B$252=1),$AL$407,HLOOKUP(INDIRECT(ADDRESS(2,COLUMN())),OFFSET($CL$2,0,0,ROW()-1,84),ROW()-1,FALSE))</f>
        <v>3.2830523939999998</v>
      </c>
      <c r="AM203">
        <f ca="1">IF(AND(ISNUMBER($AM$407),$B$252=1),$AM$407,HLOOKUP(INDIRECT(ADDRESS(2,COLUMN())),OFFSET($CL$2,0,0,ROW()-1,84),ROW()-1,FALSE))</f>
        <v>3.465501137</v>
      </c>
      <c r="AN203">
        <f ca="1">IF(AND(ISNUMBER($AN$407),$B$252=1),$AN$407,HLOOKUP(INDIRECT(ADDRESS(2,COLUMN())),OFFSET($CL$2,0,0,ROW()-1,84),ROW()-1,FALSE))</f>
        <v>3.4090909530000002</v>
      </c>
      <c r="AO203">
        <f ca="1">IF(AND(ISNUMBER($AO$407),$B$252=1),$AO$407,HLOOKUP(INDIRECT(ADDRESS(2,COLUMN())),OFFSET($CL$2,0,0,ROW()-1,84),ROW()-1,FALSE))</f>
        <v>3.3872444750000001</v>
      </c>
      <c r="AP203">
        <f ca="1">IF(AND(ISNUMBER($AP$407),$B$252=1),$AP$407,HLOOKUP(INDIRECT(ADDRESS(2,COLUMN())),OFFSET($CL$2,0,0,ROW()-1,84),ROW()-1,FALSE))</f>
        <v>3.2618278410000001</v>
      </c>
      <c r="AQ203">
        <f ca="1">IF(AND(ISNUMBER($AQ$407),$B$252=1),$AQ$407,HLOOKUP(INDIRECT(ADDRESS(2,COLUMN())),OFFSET($CL$2,0,0,ROW()-1,84),ROW()-1,FALSE))</f>
        <v>3.256105078</v>
      </c>
      <c r="AR203">
        <f ca="1">IF(AND(ISNUMBER($AR$407),$B$252=1),$AR$407,HLOOKUP(INDIRECT(ADDRESS(2,COLUMN())),OFFSET($CL$2,0,0,ROW()-1,84),ROW()-1,FALSE))</f>
        <v>3.126879019</v>
      </c>
      <c r="AS203">
        <f ca="1">IF(AND(ISNUMBER($AS$407),$B$252=1),$AS$407,HLOOKUP(INDIRECT(ADDRESS(2,COLUMN())),OFFSET($CL$2,0,0,ROW()-1,84),ROW()-1,FALSE))</f>
        <v>3.374432063</v>
      </c>
      <c r="AT203">
        <f ca="1">IF(AND(ISNUMBER($AT$407),$B$252=1),$AT$407,HLOOKUP(INDIRECT(ADDRESS(2,COLUMN())),OFFSET($CL$2,0,0,ROW()-1,84),ROW()-1,FALSE))</f>
        <v>3.3788172900000002</v>
      </c>
      <c r="AU203">
        <f ca="1">IF(AND(ISNUMBER($AU$407),$B$252=1),$AU$407,HLOOKUP(INDIRECT(ADDRESS(2,COLUMN())),OFFSET($CL$2,0,0,ROW()-1,84),ROW()-1,FALSE))</f>
        <v>3.4402909749999999</v>
      </c>
      <c r="AV203">
        <f ca="1">IF(AND(ISNUMBER($AV$407),$B$252=1),$AV$407,HLOOKUP(INDIRECT(ADDRESS(2,COLUMN())),OFFSET($CL$2,0,0,ROW()-1,84),ROW()-1,FALSE))</f>
        <v>3.8165136209999999</v>
      </c>
      <c r="AW203">
        <f ca="1">IF(AND(ISNUMBER($AW$407),$B$252=1),$AW$407,HLOOKUP(INDIRECT(ADDRESS(2,COLUMN())),OFFSET($CL$2,0,0,ROW()-1,84),ROW()-1,FALSE))</f>
        <v>3.475935701</v>
      </c>
      <c r="AX203">
        <f ca="1">IF(AND(ISNUMBER($AX$407),$B$252=1),$AX$407,HLOOKUP(INDIRECT(ADDRESS(2,COLUMN())),OFFSET($CL$2,0,0,ROW()-1,84),ROW()-1,FALSE))</f>
        <v>3.576340997</v>
      </c>
      <c r="AY203">
        <f ca="1">IF(AND(ISNUMBER($AY$407),$B$252=1),$AY$407,HLOOKUP(INDIRECT(ADDRESS(2,COLUMN())),OFFSET($CL$2,0,0,ROW()-1,84),ROW()-1,FALSE))</f>
        <v>3.632553133</v>
      </c>
      <c r="AZ203">
        <f ca="1">IF(AND(ISNUMBER($AZ$407),$B$252=1),$AZ$407,HLOOKUP(INDIRECT(ADDRESS(2,COLUMN())),OFFSET($CL$2,0,0,ROW()-1,84),ROW()-1,FALSE))</f>
        <v>3.7790696289999999</v>
      </c>
      <c r="BA203">
        <f ca="1">IF(AND(ISNUMBER($BA$407),$B$252=1),$BA$407,HLOOKUP(INDIRECT(ADDRESS(2,COLUMN())),OFFSET($CL$2,0,0,ROW()-1,84),ROW()-1,FALSE))</f>
        <v>4.0216549180000003</v>
      </c>
      <c r="BB203">
        <f ca="1">IF(AND(ISNUMBER($BB$407),$B$252=1),$BB$407,HLOOKUP(INDIRECT(ADDRESS(2,COLUMN())),OFFSET($CL$2,0,0,ROW()-1,84),ROW()-1,FALSE))</f>
        <v>4.0263258300000002</v>
      </c>
      <c r="BC203">
        <f ca="1">IF(AND(ISNUMBER($BC$407),$B$252=1),$BC$407,HLOOKUP(INDIRECT(ADDRESS(2,COLUMN())),OFFSET($CL$2,0,0,ROW()-1,84),ROW()-1,FALSE))</f>
        <v>3.6419992159999999</v>
      </c>
      <c r="BD203">
        <f ca="1">IF(AND(ISNUMBER($BD$407),$B$252=1),$BD$407,HLOOKUP(INDIRECT(ADDRESS(2,COLUMN())),OFFSET($CL$2,0,0,ROW()-1,84),ROW()-1,FALSE))</f>
        <v>3.8619556190000002</v>
      </c>
      <c r="BE203">
        <f ca="1">IF(AND(ISNUMBER($BE$407),$B$252=1),$BE$407,HLOOKUP(INDIRECT(ADDRESS(2,COLUMN())),OFFSET($CL$2,0,0,ROW()-1,84),ROW()-1,FALSE))</f>
        <v>4.0256959209999996</v>
      </c>
      <c r="BF203">
        <f ca="1">IF(AND(ISNUMBER($BF$407),$B$252=1),$BF$407,HLOOKUP(INDIRECT(ADDRESS(2,COLUMN())),OFFSET($CL$2,0,0,ROW()-1,84),ROW()-1,FALSE))</f>
        <v>4.0395358730000002</v>
      </c>
      <c r="BG203">
        <f ca="1">IF(AND(ISNUMBER($BG$407),$B$252=1),$BG$407,HLOOKUP(INDIRECT(ADDRESS(2,COLUMN())),OFFSET($CL$2,0,0,ROW()-1,84),ROW()-1,FALSE))</f>
        <v>3.7887948310000001</v>
      </c>
      <c r="BH203">
        <f ca="1">IF(AND(ISNUMBER($BH$407),$B$252=1),$BH$407,HLOOKUP(INDIRECT(ADDRESS(2,COLUMN())),OFFSET($CL$2,0,0,ROW()-1,84),ROW()-1,FALSE))</f>
        <v>3.9662447159999998</v>
      </c>
      <c r="BI203">
        <f ca="1">IF(AND(ISNUMBER($BI$407),$B$252=1),$BI$407,HLOOKUP(INDIRECT(ADDRESS(2,COLUMN())),OFFSET($CL$2,0,0,ROW()-1,84),ROW()-1,FALSE))</f>
        <v>4.1611332340000002</v>
      </c>
      <c r="BJ203">
        <f ca="1">IF(AND(ISNUMBER($BJ$407),$B$252=1),$BJ$407,HLOOKUP(INDIRECT(ADDRESS(2,COLUMN())),OFFSET($CL$2,0,0,ROW()-1,84),ROW()-1,FALSE))</f>
        <v>3.7539936009999999</v>
      </c>
      <c r="BK203">
        <f ca="1">IF(AND(ISNUMBER($BK$407),$B$252=1),$BK$407,HLOOKUP(INDIRECT(ADDRESS(2,COLUMN())),OFFSET($CL$2,0,0,ROW()-1,84),ROW()-1,FALSE))</f>
        <v>3.6877206650000001</v>
      </c>
      <c r="BL203">
        <f ca="1">IF(AND(ISNUMBER($BL$407),$B$252=1),$BL$407,HLOOKUP(INDIRECT(ADDRESS(2,COLUMN())),OFFSET($CL$2,0,0,ROW()-1,84),ROW()-1,FALSE))</f>
        <v>3.8572014669999999</v>
      </c>
      <c r="BM203">
        <f ca="1">IF(AND(ISNUMBER($BM$407),$B$252=1),$BM$407,HLOOKUP(INDIRECT(ADDRESS(2,COLUMN())),OFFSET($CL$2,0,0,ROW()-1,84),ROW()-1,FALSE))</f>
        <v>3.8242473459999999</v>
      </c>
      <c r="BN203">
        <f ca="1">IF(AND(ISNUMBER($BN$407),$B$252=1),$BN$407,HLOOKUP(INDIRECT(ADDRESS(2,COLUMN())),OFFSET($CL$2,0,0,ROW()-1,84),ROW()-1,FALSE))</f>
        <v>3.8859032560000002</v>
      </c>
      <c r="BO203">
        <f ca="1">IF(AND(ISNUMBER($BO$407),$B$252=1),$BO$407,HLOOKUP(INDIRECT(ADDRESS(2,COLUMN())),OFFSET($CL$2,0,0,ROW()-1,84),ROW()-1,FALSE))</f>
        <v>3.688181036</v>
      </c>
      <c r="BP203">
        <f ca="1">IF(AND(ISNUMBER($BP$407),$B$252=1),$BP$407,HLOOKUP(INDIRECT(ADDRESS(2,COLUMN())),OFFSET($CL$2,0,0,ROW()-1,84),ROW()-1,FALSE))</f>
        <v>3.6835495819999999</v>
      </c>
      <c r="BQ203">
        <f ca="1">IF(AND(ISNUMBER($BQ$407),$B$252=1),$BQ$407,HLOOKUP(INDIRECT(ADDRESS(2,COLUMN())),OFFSET($CL$2,0,0,ROW()-1,84),ROW()-1,FALSE))</f>
        <v>3.7005887099999999</v>
      </c>
      <c r="BR203">
        <f ca="1">IF(AND(ISNUMBER($BR$407),$B$252=1),$BR$407,HLOOKUP(INDIRECT(ADDRESS(2,COLUMN())),OFFSET($CL$2,0,0,ROW()-1,84),ROW()-1,FALSE))</f>
        <v>3.8244241429999999</v>
      </c>
      <c r="BS203">
        <f ca="1">IF(AND(ISNUMBER($BS$407),$B$252=1),$BS$407,HLOOKUP(INDIRECT(ADDRESS(2,COLUMN())),OFFSET($CL$2,0,0,ROW()-1,84),ROW()-1,FALSE))</f>
        <v>3.6258755470000001</v>
      </c>
      <c r="BT203">
        <f ca="1">IF(AND(ISNUMBER($BT$407),$B$252=1),$BT$407,HLOOKUP(INDIRECT(ADDRESS(2,COLUMN())),OFFSET($CL$2,0,0,ROW()-1,84),ROW()-1,FALSE))</f>
        <v>3.5455277810000001</v>
      </c>
      <c r="BU203">
        <f ca="1">IF(AND(ISNUMBER($BU$407),$B$252=1),$BU$407,HLOOKUP(INDIRECT(ADDRESS(2,COLUMN())),OFFSET($CL$2,0,0,ROW()-1,84),ROW()-1,FALSE))</f>
        <v>3.4851484959999999</v>
      </c>
      <c r="BV203">
        <f ca="1">IF(AND(ISNUMBER($BV$407),$B$252=1),$BV$407,HLOOKUP(INDIRECT(ADDRESS(2,COLUMN())),OFFSET($CL$2,0,0,ROW()-1,84),ROW()-1,FALSE))</f>
        <v>3.3070274149999999</v>
      </c>
      <c r="BW203">
        <f ca="1">IF(AND(ISNUMBER($BW$407),$B$252=1),$BW$407,HLOOKUP(INDIRECT(ADDRESS(2,COLUMN())),OFFSET($CL$2,0,0,ROW()-1,84),ROW()-1,FALSE))</f>
        <v>3.405572737</v>
      </c>
      <c r="BX203">
        <f ca="1">IF(AND(ISNUMBER($BX$407),$B$252=1),$BX$407,HLOOKUP(INDIRECT(ADDRESS(2,COLUMN())),OFFSET($CL$2,0,0,ROW()-1,84),ROW()-1,FALSE))</f>
        <v>3.3976833790000001</v>
      </c>
      <c r="BY203">
        <f ca="1">IF(AND(ISNUMBER($BY$407),$B$252=1),$BY$407,HLOOKUP(INDIRECT(ADDRESS(2,COLUMN())),OFFSET($CL$2,0,0,ROW()-1,84),ROW()-1,FALSE))</f>
        <v>3.342195196</v>
      </c>
      <c r="BZ203">
        <f ca="1">IF(AND(ISNUMBER($BZ$407),$B$252=1),$BZ$407,HLOOKUP(INDIRECT(ADDRESS(2,COLUMN())),OFFSET($CL$2,0,0,ROW()-1,84),ROW()-1,FALSE))</f>
        <v>3.2946461820000001</v>
      </c>
      <c r="CA203">
        <f ca="1">IF(AND(ISNUMBER($CA$407),$B$252=1),$CA$407,HLOOKUP(INDIRECT(ADDRESS(2,COLUMN())),OFFSET($CL$2,0,0,ROW()-1,84),ROW()-1,FALSE))</f>
        <v>3.4372502570000001</v>
      </c>
      <c r="CB203">
        <f ca="1">IF(AND(ISNUMBER($CB$407),$B$252=1),$CB$407,HLOOKUP(INDIRECT(ADDRESS(2,COLUMN())),OFFSET($CL$2,0,0,ROW()-1,84),ROW()-1,FALSE))</f>
        <v>3.3051499400000002</v>
      </c>
      <c r="CC203">
        <f ca="1">IF(AND(ISNUMBER($CC$407),$B$252=1),$CC$407,HLOOKUP(INDIRECT(ADDRESS(2,COLUMN())),OFFSET($CL$2,0,0,ROW()-1,84),ROW()-1,FALSE))</f>
        <v>3.4262948780000002</v>
      </c>
      <c r="CD203">
        <f ca="1">IF(AND(ISNUMBER($CD$407),$B$252=1),$CD$407,HLOOKUP(INDIRECT(ADDRESS(2,COLUMN())),OFFSET($CL$2,0,0,ROW()-1,84),ROW()-1,FALSE))</f>
        <v>3.40425537</v>
      </c>
      <c r="CE203">
        <f ca="1">IF(AND(ISNUMBER($CE$407),$B$252=1),$CE$407,HLOOKUP(INDIRECT(ADDRESS(2,COLUMN())),OFFSET($CL$2,0,0,ROW()-1,84),ROW()-1,FALSE))</f>
        <v>3.2089852059999999</v>
      </c>
      <c r="CF203">
        <f ca="1">IF(AND(ISNUMBER($CF$407),$B$252=1),$CF$407,HLOOKUP(INDIRECT(ADDRESS(2,COLUMN())),OFFSET($CL$2,0,0,ROW()-1,84),ROW()-1,FALSE))</f>
        <v>3.6133695210000001</v>
      </c>
      <c r="CG203">
        <f ca="1">IF(AND(ISNUMBER($CG$407),$B$252=1),$CG$407,HLOOKUP(INDIRECT(ADDRESS(2,COLUMN())),OFFSET($CL$2,0,0,ROW()-1,84),ROW()-1,FALSE))</f>
        <v>2.9951329539999998</v>
      </c>
      <c r="CH203">
        <f ca="1">IF(AND(ISNUMBER($CH$407),$B$252=1),$CH$407,HLOOKUP(INDIRECT(ADDRESS(2,COLUMN())),OFFSET($CL$2,0,0,ROW()-1,84),ROW()-1,FALSE))</f>
        <v>3.0406689920000001</v>
      </c>
      <c r="CI203">
        <f ca="1">IF(AND(ISNUMBER($CI$407),$B$252=1),$CI$407,HLOOKUP(INDIRECT(ADDRESS(2,COLUMN())),OFFSET($CL$2,0,0,ROW()-1,84),ROW()-1,FALSE))</f>
        <v>3.258655853</v>
      </c>
      <c r="CJ203">
        <f ca="1">IF(AND(ISNUMBER($CJ$407),$B$252=1),$CJ$407,HLOOKUP(INDIRECT(ADDRESS(2,COLUMN())),OFFSET($CL$2,0,0,ROW()-1,84),ROW()-1,FALSE))</f>
        <v>2.8396009580000001</v>
      </c>
      <c r="CK203">
        <f ca="1">IF(AND(ISNUMBER($CK$407),$B$252=1),$CK$407,HLOOKUP(INDIRECT(ADDRESS(2,COLUMN())),OFFSET($CL$2,0,0,ROW()-1,84),ROW()-1,FALSE))</f>
        <v>2.858246464</v>
      </c>
      <c r="CL203">
        <f>3.510758804</f>
        <v>3.510758804</v>
      </c>
      <c r="CM203">
        <f>3.688280814</f>
        <v>3.6882808140000001</v>
      </c>
      <c r="CN203">
        <f>3.394470324</f>
        <v>3.3944703239999998</v>
      </c>
      <c r="CO203">
        <f>3.219106982</f>
        <v>3.219106982</v>
      </c>
      <c r="CP203">
        <f>3.152809584</f>
        <v>3.1528095839999999</v>
      </c>
      <c r="CQ203">
        <f>3.196700205</f>
        <v>3.196700205</v>
      </c>
      <c r="CR203">
        <f>3.260583775</f>
        <v>3.2605837750000002</v>
      </c>
      <c r="CS203">
        <f>3.194229803</f>
        <v>3.1942298029999998</v>
      </c>
      <c r="CT203">
        <f>3.172166819</f>
        <v>3.1721668190000001</v>
      </c>
      <c r="CU203">
        <f>3.181934846</f>
        <v>3.1819348459999999</v>
      </c>
      <c r="CV203">
        <f>3.211603236</f>
        <v>3.2116032360000002</v>
      </c>
      <c r="CW203">
        <f>3.320835591</f>
        <v>3.3208355909999998</v>
      </c>
      <c r="CX203">
        <f>3.419746303</f>
        <v>3.4197463030000002</v>
      </c>
      <c r="CY203">
        <f>3.232876569</f>
        <v>3.2328765690000001</v>
      </c>
      <c r="CZ203">
        <f>3.376251638</f>
        <v>3.3762516379999998</v>
      </c>
      <c r="DA203">
        <f>3.234648979</f>
        <v>3.2346489790000001</v>
      </c>
      <c r="DB203">
        <f>3.466509834</f>
        <v>3.466509834</v>
      </c>
      <c r="DC203">
        <f>3.374320696</f>
        <v>3.3743206959999998</v>
      </c>
      <c r="DD203">
        <f>3.278688379</f>
        <v>3.2786883790000001</v>
      </c>
      <c r="DE203">
        <f>3.261470281</f>
        <v>3.2614702809999998</v>
      </c>
      <c r="DF203">
        <f>3.169486832</f>
        <v>3.169486832</v>
      </c>
      <c r="DG203">
        <f>3.196099533</f>
        <v>3.1960995329999999</v>
      </c>
      <c r="DH203">
        <f>3.275048425</f>
        <v>3.275048425</v>
      </c>
      <c r="DI203">
        <f>3.379152198</f>
        <v>3.3791521979999999</v>
      </c>
      <c r="DJ203">
        <f>3.062548527</f>
        <v>3.0625485270000001</v>
      </c>
      <c r="DK203">
        <f>3.233323665</f>
        <v>3.2333236649999999</v>
      </c>
      <c r="DL203">
        <f>3.118853651</f>
        <v>3.1188536509999998</v>
      </c>
      <c r="DM203">
        <f>2.954484999</f>
        <v>2.9544849989999999</v>
      </c>
      <c r="DN203">
        <f>3.00731513</f>
        <v>3.0073151299999998</v>
      </c>
      <c r="DO203">
        <f>3.221125985</f>
        <v>3.221125985</v>
      </c>
      <c r="DP203">
        <f>3.219257582</f>
        <v>3.219257582</v>
      </c>
      <c r="DQ203">
        <f>3.436532552</f>
        <v>3.4365325520000001</v>
      </c>
      <c r="DR203">
        <f>3.283052394</f>
        <v>3.2830523939999998</v>
      </c>
      <c r="DS203">
        <f>3.465501137</f>
        <v>3.465501137</v>
      </c>
      <c r="DT203">
        <f>3.409090953</f>
        <v>3.4090909530000002</v>
      </c>
      <c r="DU203">
        <f>3.387244475</f>
        <v>3.3872444750000001</v>
      </c>
      <c r="DV203">
        <f>3.261827841</f>
        <v>3.2618278410000001</v>
      </c>
      <c r="DW203">
        <f>3.256105078</f>
        <v>3.256105078</v>
      </c>
      <c r="DX203">
        <f>3.126879019</f>
        <v>3.126879019</v>
      </c>
      <c r="DY203">
        <f>3.374432063</f>
        <v>3.374432063</v>
      </c>
      <c r="DZ203">
        <f>3.37881729</f>
        <v>3.3788172900000002</v>
      </c>
      <c r="EA203">
        <f>3.440290975</f>
        <v>3.4402909749999999</v>
      </c>
      <c r="EB203">
        <f>3.816513621</f>
        <v>3.8165136209999999</v>
      </c>
      <c r="EC203">
        <f>3.475935701</f>
        <v>3.475935701</v>
      </c>
      <c r="ED203">
        <f>3.576340997</f>
        <v>3.576340997</v>
      </c>
      <c r="EE203">
        <f>3.632553133</f>
        <v>3.632553133</v>
      </c>
      <c r="EF203">
        <f>3.779069629</f>
        <v>3.7790696289999999</v>
      </c>
      <c r="EG203">
        <f>4.021654918</f>
        <v>4.0216549180000003</v>
      </c>
      <c r="EH203">
        <f>4.02632583</f>
        <v>4.0263258300000002</v>
      </c>
      <c r="EI203">
        <f>3.641999216</f>
        <v>3.6419992159999999</v>
      </c>
      <c r="EJ203">
        <f>3.861955619</f>
        <v>3.8619556190000002</v>
      </c>
      <c r="EK203">
        <f>4.025695921</f>
        <v>4.0256959209999996</v>
      </c>
      <c r="EL203">
        <f>4.039535873</f>
        <v>4.0395358730000002</v>
      </c>
      <c r="EM203">
        <f>3.788794831</f>
        <v>3.7887948310000001</v>
      </c>
      <c r="EN203">
        <f>3.966244716</f>
        <v>3.9662447159999998</v>
      </c>
      <c r="EO203">
        <f>4.161133234</f>
        <v>4.1611332340000002</v>
      </c>
      <c r="EP203">
        <f>3.753993601</f>
        <v>3.7539936009999999</v>
      </c>
      <c r="EQ203">
        <f>3.687720665</f>
        <v>3.6877206650000001</v>
      </c>
      <c r="ER203">
        <f>3.857201467</f>
        <v>3.8572014669999999</v>
      </c>
      <c r="ES203">
        <f>3.824247346</f>
        <v>3.8242473459999999</v>
      </c>
      <c r="ET203">
        <f>3.885903256</f>
        <v>3.8859032560000002</v>
      </c>
      <c r="EU203">
        <f>3.688181036</f>
        <v>3.688181036</v>
      </c>
      <c r="EV203">
        <f>3.683549582</f>
        <v>3.6835495819999999</v>
      </c>
      <c r="EW203">
        <f>3.70058871</f>
        <v>3.7005887099999999</v>
      </c>
      <c r="EX203">
        <f>3.824424143</f>
        <v>3.8244241429999999</v>
      </c>
      <c r="EY203">
        <f>3.625875547</f>
        <v>3.6258755470000001</v>
      </c>
      <c r="EZ203">
        <f>3.545527781</f>
        <v>3.5455277810000001</v>
      </c>
      <c r="FA203">
        <f>3.485148496</f>
        <v>3.4851484959999999</v>
      </c>
      <c r="FB203">
        <f>3.307027415</f>
        <v>3.3070274149999999</v>
      </c>
      <c r="FC203">
        <f>3.405572737</f>
        <v>3.405572737</v>
      </c>
      <c r="FD203">
        <f>3.397683379</f>
        <v>3.3976833790000001</v>
      </c>
      <c r="FE203">
        <f>3.342195196</f>
        <v>3.342195196</v>
      </c>
      <c r="FF203">
        <f>3.294646182</f>
        <v>3.2946461820000001</v>
      </c>
      <c r="FG203">
        <f>3.437250257</f>
        <v>3.4372502570000001</v>
      </c>
      <c r="FH203">
        <f>3.30514994</f>
        <v>3.3051499400000002</v>
      </c>
      <c r="FI203">
        <f>3.426294878</f>
        <v>3.4262948780000002</v>
      </c>
      <c r="FJ203">
        <f>3.40425537</f>
        <v>3.40425537</v>
      </c>
      <c r="FK203">
        <f>3.208985206</f>
        <v>3.2089852059999999</v>
      </c>
      <c r="FL203">
        <f>3.613369521</f>
        <v>3.6133695210000001</v>
      </c>
      <c r="FM203">
        <f>2.995132954</f>
        <v>2.9951329539999998</v>
      </c>
      <c r="FN203">
        <f>3.040668992</f>
        <v>3.0406689920000001</v>
      </c>
      <c r="FO203">
        <f>3.258655853</f>
        <v>3.258655853</v>
      </c>
      <c r="FP203">
        <f>2.839600958</f>
        <v>2.8396009580000001</v>
      </c>
      <c r="FQ203">
        <f>2.858246464</f>
        <v>2.858246464</v>
      </c>
    </row>
    <row r="204" spans="1:173">
      <c r="A204" t="str">
        <f>"FFO收益率"</f>
        <v>FFO收益率</v>
      </c>
      <c r="B204" t="str">
        <f>""</f>
        <v/>
      </c>
      <c r="E204" t="str">
        <f>"Average"</f>
        <v>Average</v>
      </c>
      <c r="F204">
        <f ca="1">IF(ISERROR(IF(AVERAGE($F$205:$F$211) = 0, "", AVERAGE($F$205:$F$211))), "", (IF(AVERAGE($F$205:$F$211) = 0, "", AVERAGE($F$205:$F$211))))</f>
        <v>5.5761402094285728</v>
      </c>
      <c r="G204">
        <f ca="1">IF(ISERROR(IF(AVERAGE($G$205:$G$211) = 0, "", AVERAGE($G$205:$G$211))), "", (IF(AVERAGE($G$205:$G$211) = 0, "", AVERAGE($G$205:$G$211))))</f>
        <v>5.8337980799999993</v>
      </c>
      <c r="H204">
        <f ca="1">IF(ISERROR(IF(AVERAGE($H$205:$H$211) = 0, "", AVERAGE($H$205:$H$211))), "", (IF(AVERAGE($H$205:$H$211) = 0, "", AVERAGE($H$205:$H$211))))</f>
        <v>5.3734444917142863</v>
      </c>
      <c r="I204">
        <f ca="1">IF(ISERROR(IF(AVERAGE($I$205:$I$211) = 0, "", AVERAGE($I$205:$I$211))), "", (IF(AVERAGE($I$205:$I$211) = 0, "", AVERAGE($I$205:$I$211))))</f>
        <v>5.1274487907142845</v>
      </c>
      <c r="J204">
        <f ca="1">IF(ISERROR(IF(AVERAGE($J$205:$J$211) = 0, "", AVERAGE($J$205:$J$211))), "", (IF(AVERAGE($J$205:$J$211) = 0, "", AVERAGE($J$205:$J$211))))</f>
        <v>4.953409188285713</v>
      </c>
      <c r="K204">
        <f ca="1">IF(ISERROR(IF(AVERAGE($K$205:$K$211) = 0, "", AVERAGE($K$205:$K$211))), "", (IF(AVERAGE($K$205:$K$211) = 0, "", AVERAGE($K$205:$K$211))))</f>
        <v>4.9213835142857141</v>
      </c>
      <c r="L204">
        <f ca="1">IF(ISERROR(IF(AVERAGE($L$205:$L$211) = 0, "", AVERAGE($L$205:$L$211))), "", (IF(AVERAGE($L$205:$L$211) = 0, "", AVERAGE($L$205:$L$211))))</f>
        <v>4.9480578628571426</v>
      </c>
      <c r="M204">
        <f ca="1">IF(ISERROR(IF(AVERAGE($M$205:$M$211) = 0, "", AVERAGE($M$205:$M$211))), "", (IF(AVERAGE($M$205:$M$211) = 0, "", AVERAGE($M$205:$M$211))))</f>
        <v>4.777521115142858</v>
      </c>
      <c r="N204">
        <f ca="1">IF(ISERROR(IF(AVERAGE($N$205:$N$211) = 0, "", AVERAGE($N$205:$N$211))), "", (IF(AVERAGE($N$205:$N$211) = 0, "", AVERAGE($N$205:$N$211))))</f>
        <v>4.7749935784285711</v>
      </c>
      <c r="O204">
        <f ca="1">IF(ISERROR(IF(AVERAGE($O$205:$O$211) = 0, "", AVERAGE($O$205:$O$211))), "", (IF(AVERAGE($O$205:$O$211) = 0, "", AVERAGE($O$205:$O$211))))</f>
        <v>4.8764176298571433</v>
      </c>
      <c r="P204">
        <f ca="1">IF(ISERROR(IF(AVERAGE($P$205:$P$211) = 0, "", AVERAGE($P$205:$P$211))), "", (IF(AVERAGE($P$205:$P$211) = 0, "", AVERAGE($P$205:$P$211))))</f>
        <v>4.967072268571429</v>
      </c>
      <c r="Q204">
        <f ca="1">IF(ISERROR(IF(AVERAGE($Q$205:$Q$211) = 0, "", AVERAGE($Q$205:$Q$211))), "", (IF(AVERAGE($Q$205:$Q$211) = 0, "", AVERAGE($Q$205:$Q$211))))</f>
        <v>5.0488972372857148</v>
      </c>
      <c r="R204">
        <f ca="1">IF(ISERROR(IF(AVERAGE($R$205:$R$211) = 0, "", AVERAGE($R$205:$R$211))), "", (IF(AVERAGE($R$205:$R$211) = 0, "", AVERAGE($R$205:$R$211))))</f>
        <v>5.1431304942857139</v>
      </c>
      <c r="S204">
        <f ca="1">IF(ISERROR(IF(AVERAGE($S$205:$S$211) = 0, "", AVERAGE($S$205:$S$211))), "", (IF(AVERAGE($S$205:$S$211) = 0, "", AVERAGE($S$205:$S$211))))</f>
        <v>4.967026340857144</v>
      </c>
      <c r="T204">
        <f ca="1">IF(ISERROR(IF(AVERAGE($T$205:$T$211) = 0, "", AVERAGE($T$205:$T$211))), "", (IF(AVERAGE($T$205:$T$211) = 0, "", AVERAGE($T$205:$T$211))))</f>
        <v>5.2076406407142866</v>
      </c>
      <c r="U204">
        <f ca="1">IF(ISERROR(IF(AVERAGE($U$205:$U$211) = 0, "", AVERAGE($U$205:$U$211))), "", (IF(AVERAGE($U$205:$U$211) = 0, "", AVERAGE($U$205:$U$211))))</f>
        <v>5.0450576060000003</v>
      </c>
      <c r="V204">
        <f ca="1">IF(ISERROR(IF(AVERAGE($V$205:$V$211) = 0, "", AVERAGE($V$205:$V$211))), "", (IF(AVERAGE($V$205:$V$211) = 0, "", AVERAGE($V$205:$V$211))))</f>
        <v>5.4381360457142858</v>
      </c>
      <c r="W204">
        <f ca="1">IF(ISERROR(IF(AVERAGE($W$205:$W$211) = 0, "", AVERAGE($W$205:$W$211))), "", (IF(AVERAGE($W$205:$W$211) = 0, "", AVERAGE($W$205:$W$211))))</f>
        <v>5.3023308678571439</v>
      </c>
      <c r="X204">
        <f ca="1">IF(ISERROR(IF(AVERAGE($X$205:$X$211) = 0, "", AVERAGE($X$205:$X$211))), "", (IF(AVERAGE($X$205:$X$211) = 0, "", AVERAGE($X$205:$X$211))))</f>
        <v>5.1361578445714287</v>
      </c>
      <c r="Y204">
        <f ca="1">IF(ISERROR(IF(AVERAGE($Y$205:$Y$211) = 0, "", AVERAGE($Y$205:$Y$211))), "", (IF(AVERAGE($Y$205:$Y$211) = 0, "", AVERAGE($Y$205:$Y$211))))</f>
        <v>5.0884128288571437</v>
      </c>
      <c r="Z204">
        <f ca="1">IF(ISERROR(IF(AVERAGE($Z$205:$Z$211) = 0, "", AVERAGE($Z$205:$Z$211))), "", (IF(AVERAGE($Z$205:$Z$211) = 0, "", AVERAGE($Z$205:$Z$211))))</f>
        <v>4.8495519512857141</v>
      </c>
      <c r="AA204">
        <f ca="1">IF(ISERROR(IF(AVERAGE($AA$205:$AA$211) = 0, "", AVERAGE($AA$205:$AA$211))), "", (IF(AVERAGE($AA$205:$AA$211) = 0, "", AVERAGE($AA$205:$AA$211))))</f>
        <v>4.9172386125714294</v>
      </c>
      <c r="AB204">
        <f ca="1">IF(ISERROR(IF(AVERAGE($AB$205:$AB$211) = 0, "", AVERAGE($AB$205:$AB$211))), "", (IF(AVERAGE($AB$205:$AB$211) = 0, "", AVERAGE($AB$205:$AB$211))))</f>
        <v>4.9584962174285705</v>
      </c>
      <c r="AC204">
        <f ca="1">IF(ISERROR(IF(AVERAGE($AC$205:$AC$211) = 0, "", AVERAGE($AC$205:$AC$211))), "", (IF(AVERAGE($AC$205:$AC$211) = 0, "", AVERAGE($AC$205:$AC$211))))</f>
        <v>5.1758452939999993</v>
      </c>
      <c r="AD204">
        <f ca="1">IF(ISERROR(IF(AVERAGE($AD$205:$AD$211) = 0, "", AVERAGE($AD$205:$AD$211))), "", (IF(AVERAGE($AD$205:$AD$211) = 0, "", AVERAGE($AD$205:$AD$211))))</f>
        <v>4.8432723254285719</v>
      </c>
      <c r="AE204">
        <f ca="1">IF(ISERROR(IF(AVERAGE($AE$205:$AE$211) = 0, "", AVERAGE($AE$205:$AE$211))), "", (IF(AVERAGE($AE$205:$AE$211) = 0, "", AVERAGE($AE$205:$AE$211))))</f>
        <v>5.3325195649999992</v>
      </c>
      <c r="AF204">
        <f ca="1">IF(ISERROR(IF(AVERAGE($AF$205:$AF$211) = 0, "", AVERAGE($AF$205:$AF$211))), "", (IF(AVERAGE($AF$205:$AF$211) = 0, "", AVERAGE($AF$205:$AF$211))))</f>
        <v>5.1627734684285711</v>
      </c>
      <c r="AG204">
        <f ca="1">IF(ISERROR(IF(AVERAGE($AG$205:$AG$211) = 0, "", AVERAGE($AG$205:$AG$211))), "", (IF(AVERAGE($AG$205:$AG$211) = 0, "", AVERAGE($AG$205:$AG$211))))</f>
        <v>4.980205098571429</v>
      </c>
      <c r="AH204">
        <f ca="1">IF(ISERROR(IF(AVERAGE($AH$205:$AH$211) = 0, "", AVERAGE($AH$205:$AH$211))), "", (IF(AVERAGE($AH$205:$AH$211) = 0, "", AVERAGE($AH$205:$AH$211))))</f>
        <v>4.9799908788571434</v>
      </c>
      <c r="AI204">
        <f ca="1">IF(ISERROR(IF(AVERAGE($AI$205:$AI$211) = 0, "", AVERAGE($AI$205:$AI$211))), "", (IF(AVERAGE($AI$205:$AI$211) = 0, "", AVERAGE($AI$205:$AI$211))))</f>
        <v>5.1388225261428557</v>
      </c>
      <c r="AJ204">
        <f ca="1">IF(ISERROR(IF(AVERAGE($AJ$205:$AJ$211) = 0, "", AVERAGE($AJ$205:$AJ$211))), "", (IF(AVERAGE($AJ$205:$AJ$211) = 0, "", AVERAGE($AJ$205:$AJ$211))))</f>
        <v>5.2318878881428574</v>
      </c>
      <c r="AK204">
        <f ca="1">IF(ISERROR(IF(AVERAGE($AK$205:$AK$211) = 0, "", AVERAGE($AK$205:$AK$211))), "", (IF(AVERAGE($AK$205:$AK$211) = 0, "", AVERAGE($AK$205:$AK$211))))</f>
        <v>5.4120823851666664</v>
      </c>
      <c r="AL204">
        <f ca="1">IF(ISERROR(IF(AVERAGE($AL$205:$AL$211) = 0, "", AVERAGE($AL$205:$AL$211))), "", (IF(AVERAGE($AL$205:$AL$211) = 0, "", AVERAGE($AL$205:$AL$211))))</f>
        <v>5.1124966194999999</v>
      </c>
      <c r="AM204">
        <f ca="1">IF(ISERROR(IF(AVERAGE($AM$205:$AM$211) = 0, "", AVERAGE($AM$205:$AM$211))), "", (IF(AVERAGE($AM$205:$AM$211) = 0, "", AVERAGE($AM$205:$AM$211))))</f>
        <v>5.4945743496666664</v>
      </c>
      <c r="AN204">
        <f ca="1">IF(ISERROR(IF(AVERAGE($AN$205:$AN$211) = 0, "", AVERAGE($AN$205:$AN$211))), "", (IF(AVERAGE($AN$205:$AN$211) = 0, "", AVERAGE($AN$205:$AN$211))))</f>
        <v>5.0910643501666666</v>
      </c>
      <c r="AO204">
        <f ca="1">IF(ISERROR(IF(AVERAGE($AO$205:$AO$211) = 0, "", AVERAGE($AO$205:$AO$211))), "", (IF(AVERAGE($AO$205:$AO$211) = 0, "", AVERAGE($AO$205:$AO$211))))</f>
        <v>5.1380265811666668</v>
      </c>
      <c r="AP204">
        <f ca="1">IF(ISERROR(IF(AVERAGE($AP$205:$AP$211) = 0, "", AVERAGE($AP$205:$AP$211))), "", (IF(AVERAGE($AP$205:$AP$211) = 0, "", AVERAGE($AP$205:$AP$211))))</f>
        <v>4.9208025306666672</v>
      </c>
      <c r="AQ204">
        <f ca="1">IF(ISERROR(IF(AVERAGE($AQ$205:$AQ$211) = 0, "", AVERAGE($AQ$205:$AQ$211))), "", (IF(AVERAGE($AQ$205:$AQ$211) = 0, "", AVERAGE($AQ$205:$AQ$211))))</f>
        <v>5.0314019766666664</v>
      </c>
      <c r="AR204">
        <f ca="1">IF(ISERROR(IF(AVERAGE($AR$205:$AR$211) = 0, "", AVERAGE($AR$205:$AR$211))), "", (IF(AVERAGE($AR$205:$AR$211) = 0, "", AVERAGE($AR$205:$AR$211))))</f>
        <v>4.793557099</v>
      </c>
      <c r="AS204">
        <f ca="1">IF(ISERROR(IF(AVERAGE($AS$205:$AS$211) = 0, "", AVERAGE($AS$205:$AS$211))), "", (IF(AVERAGE($AS$205:$AS$211) = 0, "", AVERAGE($AS$205:$AS$211))))</f>
        <v>5.1122804830000002</v>
      </c>
      <c r="AT204">
        <f ca="1">IF(ISERROR(IF(AVERAGE($AT$205:$AT$211) = 0, "", AVERAGE($AT$205:$AT$211))), "", (IF(AVERAGE($AT$205:$AT$211) = 0, "", AVERAGE($AT$205:$AT$211))))</f>
        <v>4.9541196224999995</v>
      </c>
      <c r="AU204">
        <f ca="1">IF(ISERROR(IF(AVERAGE($AU$205:$AU$211) = 0, "", AVERAGE($AU$205:$AU$211))), "", (IF(AVERAGE($AU$205:$AU$211) = 0, "", AVERAGE($AU$205:$AU$211))))</f>
        <v>5.0754921244999993</v>
      </c>
      <c r="AV204">
        <f ca="1">IF(ISERROR(IF(AVERAGE($AV$205:$AV$211) = 0, "", AVERAGE($AV$205:$AV$211))), "", (IF(AVERAGE($AV$205:$AV$211) = 0, "", AVERAGE($AV$205:$AV$211))))</f>
        <v>5.6409768611666671</v>
      </c>
      <c r="AW204">
        <f ca="1">IF(ISERROR(IF(AVERAGE($AW$205:$AW$211) = 0, "", AVERAGE($AW$205:$AW$211))), "", (IF(AVERAGE($AW$205:$AW$211) = 0, "", AVERAGE($AW$205:$AW$211))))</f>
        <v>4.9825009031666658</v>
      </c>
      <c r="AX204">
        <f ca="1">IF(ISERROR(IF(AVERAGE($AX$205:$AX$211) = 0, "", AVERAGE($AX$205:$AX$211))), "", (IF(AVERAGE($AX$205:$AX$211) = 0, "", AVERAGE($AX$205:$AX$211))))</f>
        <v>5.1124586713333331</v>
      </c>
      <c r="AY204">
        <f ca="1">IF(ISERROR(IF(AVERAGE($AY$205:$AY$211) = 0, "", AVERAGE($AY$205:$AY$211))), "", (IF(AVERAGE($AY$205:$AY$211) = 0, "", AVERAGE($AY$205:$AY$211))))</f>
        <v>5.2065722523333333</v>
      </c>
      <c r="AZ204">
        <f ca="1">IF(ISERROR(IF(AVERAGE($AZ$205:$AZ$211) = 0, "", AVERAGE($AZ$205:$AZ$211))), "", (IF(AVERAGE($AZ$205:$AZ$211) = 0, "", AVERAGE($AZ$205:$AZ$211))))</f>
        <v>5.238355872833333</v>
      </c>
      <c r="BA204">
        <f ca="1">IF(ISERROR(IF(AVERAGE($BA$205:$BA$211) = 0, "", AVERAGE($BA$205:$BA$211))), "", (IF(AVERAGE($BA$205:$BA$211) = 0, "", AVERAGE($BA$205:$BA$211))))</f>
        <v>5.4135159629999992</v>
      </c>
      <c r="BB204">
        <f ca="1">IF(ISERROR(IF(AVERAGE($BB$205:$BB$211) = 0, "", AVERAGE($BB$205:$BB$211))), "", (IF(AVERAGE($BB$205:$BB$211) = 0, "", AVERAGE($BB$205:$BB$211))))</f>
        <v>5.5366589879999992</v>
      </c>
      <c r="BC204">
        <f ca="1">IF(ISERROR(IF(AVERAGE($BC$205:$BC$211) = 0, "", AVERAGE($BC$205:$BC$211))), "", (IF(AVERAGE($BC$205:$BC$211) = 0, "", AVERAGE($BC$205:$BC$211))))</f>
        <v>5.3428576733333335</v>
      </c>
      <c r="BD204">
        <f ca="1">IF(ISERROR(IF(AVERAGE($BD$205:$BD$211) = 0, "", AVERAGE($BD$205:$BD$211))), "", (IF(AVERAGE($BD$205:$BD$211) = 0, "", AVERAGE($BD$205:$BD$211))))</f>
        <v>5.6635492979999995</v>
      </c>
      <c r="BE204">
        <f ca="1">IF(ISERROR(IF(AVERAGE($BE$205:$BE$211) = 0, "", AVERAGE($BE$205:$BE$211))), "", (IF(AVERAGE($BE$205:$BE$211) = 0, "", AVERAGE($BE$205:$BE$211))))</f>
        <v>6.0743128827142865</v>
      </c>
      <c r="BF204">
        <f ca="1">IF(ISERROR(IF(AVERAGE($BF$205:$BF$211) = 0, "", AVERAGE($BF$205:$BF$211))), "", (IF(AVERAGE($BF$205:$BF$211) = 0, "", AVERAGE($BF$205:$BF$211))))</f>
        <v>6.1147810025714291</v>
      </c>
      <c r="BG204">
        <f ca="1">IF(ISERROR(IF(AVERAGE($BG$205:$BG$211) = 0, "", AVERAGE($BG$205:$BG$211))), "", (IF(AVERAGE($BG$205:$BG$211) = 0, "", AVERAGE($BG$205:$BG$211))))</f>
        <v>5.6629878397142859</v>
      </c>
      <c r="BH204">
        <f ca="1">IF(ISERROR(IF(AVERAGE($BH$205:$BH$211) = 0, "", AVERAGE($BH$205:$BH$211))), "", (IF(AVERAGE($BH$205:$BH$211) = 0, "", AVERAGE($BH$205:$BH$211))))</f>
        <v>5.8406718521428571</v>
      </c>
      <c r="BI204">
        <f ca="1">IF(ISERROR(IF(AVERAGE($BI$205:$BI$211) = 0, "", AVERAGE($BI$205:$BI$211))), "", (IF(AVERAGE($BI$205:$BI$211) = 0, "", AVERAGE($BI$205:$BI$211))))</f>
        <v>5.9117133995714282</v>
      </c>
      <c r="BJ204">
        <f ca="1">IF(ISERROR(IF(AVERAGE($BJ$205:$BJ$211) = 0, "", AVERAGE($BJ$205:$BJ$211))), "", (IF(AVERAGE($BJ$205:$BJ$211) = 0, "", AVERAGE($BJ$205:$BJ$211))))</f>
        <v>5.3722403395714284</v>
      </c>
      <c r="BK204">
        <f ca="1">IF(ISERROR(IF(AVERAGE($BK$205:$BK$211) = 0, "", AVERAGE($BK$205:$BK$211))), "", (IF(AVERAGE($BK$205:$BK$211) = 0, "", AVERAGE($BK$205:$BK$211))))</f>
        <v>5.3367801252857143</v>
      </c>
      <c r="BL204">
        <f ca="1">IF(ISERROR(IF(AVERAGE($BL$205:$BL$211) = 0, "", AVERAGE($BL$205:$BL$211))), "", (IF(AVERAGE($BL$205:$BL$211) = 0, "", AVERAGE($BL$205:$BL$211))))</f>
        <v>5.2264990149999999</v>
      </c>
      <c r="BM204">
        <f ca="1">IF(ISERROR(IF(AVERAGE($BM$205:$BM$211) = 0, "", AVERAGE($BM$205:$BM$211))), "", (IF(AVERAGE($BM$205:$BM$211) = 0, "", AVERAGE($BM$205:$BM$211))))</f>
        <v>5.1338732994285721</v>
      </c>
      <c r="BN204">
        <f ca="1">IF(ISERROR(IF(AVERAGE($BN$205:$BN$211) = 0, "", AVERAGE($BN$205:$BN$211))), "", (IF(AVERAGE($BN$205:$BN$211) = 0, "", AVERAGE($BN$205:$BN$211))))</f>
        <v>5.283604280714286</v>
      </c>
      <c r="BO204">
        <f ca="1">IF(ISERROR(IF(AVERAGE($BO$205:$BO$211) = 0, "", AVERAGE($BO$205:$BO$211))), "", (IF(AVERAGE($BO$205:$BO$211) = 0, "", AVERAGE($BO$205:$BO$211))))</f>
        <v>5.3604538031428577</v>
      </c>
      <c r="BP204">
        <f ca="1">IF(ISERROR(IF(AVERAGE($BP$205:$BP$211) = 0, "", AVERAGE($BP$205:$BP$211))), "", (IF(AVERAGE($BP$205:$BP$211) = 0, "", AVERAGE($BP$205:$BP$211))))</f>
        <v>5.436386366571428</v>
      </c>
      <c r="BQ204">
        <f ca="1">IF(ISERROR(IF(AVERAGE($BQ$205:$BQ$211) = 0, "", AVERAGE($BQ$205:$BQ$211))), "", (IF(AVERAGE($BQ$205:$BQ$211) = 0, "", AVERAGE($BQ$205:$BQ$211))))</f>
        <v>5.4566989837142872</v>
      </c>
      <c r="BR204">
        <f ca="1">IF(ISERROR(IF(AVERAGE($BR$205:$BR$211) = 0, "", AVERAGE($BR$205:$BR$211))), "", (IF(AVERAGE($BR$205:$BR$211) = 0, "", AVERAGE($BR$205:$BR$211))))</f>
        <v>5.4928890111428572</v>
      </c>
      <c r="BS204">
        <f ca="1">IF(ISERROR(IF(AVERAGE($BS$205:$BS$211) = 0, "", AVERAGE($BS$205:$BS$211))), "", (IF(AVERAGE($BS$205:$BS$211) = 0, "", AVERAGE($BS$205:$BS$211))))</f>
        <v>5.2749419302857143</v>
      </c>
      <c r="BT204">
        <f ca="1">IF(ISERROR(IF(AVERAGE($BT$205:$BT$211) = 0, "", AVERAGE($BT$205:$BT$211))), "", (IF(AVERAGE($BT$205:$BT$211) = 0, "", AVERAGE($BT$205:$BT$211))))</f>
        <v>5.2886239404285718</v>
      </c>
      <c r="BU204">
        <f ca="1">IF(ISERROR(IF(AVERAGE($BU$205:$BU$211) = 0, "", AVERAGE($BU$205:$BU$211))), "", (IF(AVERAGE($BU$205:$BU$211) = 0, "", AVERAGE($BU$205:$BU$211))))</f>
        <v>4.9308808164285711</v>
      </c>
      <c r="BV204">
        <f ca="1">IF(ISERROR(IF(AVERAGE($BV$205:$BV$211) = 0, "", AVERAGE($BV$205:$BV$211))), "", (IF(AVERAGE($BV$205:$BV$211) = 0, "", AVERAGE($BV$205:$BV$211))))</f>
        <v>4.760238465714286</v>
      </c>
      <c r="BW204">
        <f ca="1">IF(ISERROR(IF(AVERAGE($BW$205:$BW$211) = 0, "", AVERAGE($BW$205:$BW$211))), "", (IF(AVERAGE($BW$205:$BW$211) = 0, "", AVERAGE($BW$205:$BW$211))))</f>
        <v>4.8839484258571426</v>
      </c>
      <c r="BX204">
        <f ca="1">IF(ISERROR(IF(AVERAGE($BX$205:$BX$211) = 0, "", AVERAGE($BX$205:$BX$211))), "", (IF(AVERAGE($BX$205:$BX$211) = 0, "", AVERAGE($BX$205:$BX$211))))</f>
        <v>4.6785252752857147</v>
      </c>
      <c r="BY204">
        <f ca="1">IF(ISERROR(IF(AVERAGE($BY$205:$BY$211) = 0, "", AVERAGE($BY$205:$BY$211))), "", (IF(AVERAGE($BY$205:$BY$211) = 0, "", AVERAGE($BY$205:$BY$211))))</f>
        <v>4.582784245428571</v>
      </c>
      <c r="BZ204">
        <f ca="1">IF(ISERROR(IF(AVERAGE($BZ$205:$BZ$211) = 0, "", AVERAGE($BZ$205:$BZ$211))), "", (IF(AVERAGE($BZ$205:$BZ$211) = 0, "", AVERAGE($BZ$205:$BZ$211))))</f>
        <v>4.6512571875714288</v>
      </c>
      <c r="CA204">
        <f ca="1">IF(ISERROR(IF(AVERAGE($CA$205:$CA$211) = 0, "", AVERAGE($CA$205:$CA$211))), "", (IF(AVERAGE($CA$205:$CA$211) = 0, "", AVERAGE($CA$205:$CA$211))))</f>
        <v>4.8552606015714295</v>
      </c>
      <c r="CB204">
        <f ca="1">IF(ISERROR(IF(AVERAGE($CB$205:$CB$211) = 0, "", AVERAGE($CB$205:$CB$211))), "", (IF(AVERAGE($CB$205:$CB$211) = 0, "", AVERAGE($CB$205:$CB$211))))</f>
        <v>4.7231969352857135</v>
      </c>
      <c r="CC204">
        <f ca="1">IF(ISERROR(IF(AVERAGE($CC$205:$CC$211) = 0, "", AVERAGE($CC$205:$CC$211))), "", (IF(AVERAGE($CC$205:$CC$211) = 0, "", AVERAGE($CC$205:$CC$211))))</f>
        <v>4.9142469048571433</v>
      </c>
      <c r="CD204">
        <f ca="1">IF(ISERROR(IF(AVERAGE($CD$205:$CD$211) = 0, "", AVERAGE($CD$205:$CD$211))), "", (IF(AVERAGE($CD$205:$CD$211) = 0, "", AVERAGE($CD$205:$CD$211))))</f>
        <v>4.9743674670000004</v>
      </c>
      <c r="CE204">
        <f ca="1">IF(ISERROR(IF(AVERAGE($CE$205:$CE$211) = 0, "", AVERAGE($CE$205:$CE$211))), "", (IF(AVERAGE($CE$205:$CE$211) = 0, "", AVERAGE($CE$205:$CE$211))))</f>
        <v>4.6027465851428584</v>
      </c>
      <c r="CF204">
        <f ca="1">IF(ISERROR(IF(AVERAGE($CF$205:$CF$211) = 0, "", AVERAGE($CF$205:$CF$211))), "", (IF(AVERAGE($CF$205:$CF$211) = 0, "", AVERAGE($CF$205:$CF$211))))</f>
        <v>5.1360950294285725</v>
      </c>
      <c r="CG204">
        <f ca="1">IF(ISERROR(IF(AVERAGE($CG$205:$CG$211) = 0, "", AVERAGE($CG$205:$CG$211))), "", (IF(AVERAGE($CG$205:$CG$211) = 0, "", AVERAGE($CG$205:$CG$211))))</f>
        <v>4.1577886624285707</v>
      </c>
      <c r="CH204">
        <f ca="1">IF(ISERROR(IF(AVERAGE($CH$205:$CH$211) = 0, "", AVERAGE($CH$205:$CH$211))), "", (IF(AVERAGE($CH$205:$CH$211) = 0, "", AVERAGE($CH$205:$CH$211))))</f>
        <v>4.1656116695714287</v>
      </c>
      <c r="CI204">
        <f ca="1">IF(ISERROR(IF(AVERAGE($CI$205:$CI$211) = 0, "", AVERAGE($CI$205:$CI$211))), "", (IF(AVERAGE($CI$205:$CI$211) = 0, "", AVERAGE($CI$205:$CI$211))))</f>
        <v>4.3851184134285708</v>
      </c>
      <c r="CJ204">
        <f ca="1">IF(ISERROR(IF(AVERAGE($CJ$205:$CJ$211) = 0, "", AVERAGE($CJ$205:$CJ$211))), "", (IF(AVERAGE($CJ$205:$CJ$211) = 0, "", AVERAGE($CJ$205:$CJ$211))))</f>
        <v>4.3046478937142849</v>
      </c>
      <c r="CK204">
        <f ca="1">IF(ISERROR(IF(AVERAGE($CK$205:$CK$211) = 0, "", AVERAGE($CK$205:$CK$211))), "", (IF(AVERAGE($CK$205:$CK$211) = 0, "", AVERAGE($CK$205:$CK$211))))</f>
        <v>4.3843128402857152</v>
      </c>
      <c r="CL204">
        <f>5.576140209</f>
        <v>5.5761402090000001</v>
      </c>
      <c r="CM204">
        <f>5.83379808</f>
        <v>5.8337980800000002</v>
      </c>
      <c r="CN204">
        <f>5.373444492</f>
        <v>5.373444492</v>
      </c>
      <c r="CO204">
        <f>5.127448791</f>
        <v>5.127448791</v>
      </c>
      <c r="CP204">
        <f>4.953409188</f>
        <v>4.9534091880000002</v>
      </c>
      <c r="CQ204">
        <f>4.921383514</f>
        <v>4.9213835140000004</v>
      </c>
      <c r="CR204">
        <f>4.948057863</f>
        <v>4.9480578629999998</v>
      </c>
      <c r="CS204">
        <f>4.777521115</f>
        <v>4.7775211149999999</v>
      </c>
      <c r="CT204">
        <f>4.774993578</f>
        <v>4.7749935780000001</v>
      </c>
      <c r="CU204">
        <f>4.87641763</f>
        <v>4.8764176299999997</v>
      </c>
      <c r="CV204">
        <f>4.967072269</f>
        <v>4.967072269</v>
      </c>
      <c r="CW204">
        <f>5.048897237</f>
        <v>5.0488972370000003</v>
      </c>
      <c r="CX204">
        <f>5.143130494</f>
        <v>5.1431304940000002</v>
      </c>
      <c r="CY204">
        <f>4.967026341</f>
        <v>4.9670263410000004</v>
      </c>
      <c r="CZ204">
        <f>5.207640641</f>
        <v>5.2076406410000002</v>
      </c>
      <c r="DA204">
        <f>5.045057606</f>
        <v>5.0450576060000003</v>
      </c>
      <c r="DB204">
        <f>5.438136046</f>
        <v>5.4381360460000003</v>
      </c>
      <c r="DC204">
        <f>5.302330868</f>
        <v>5.3023308680000003</v>
      </c>
      <c r="DD204">
        <f>5.136157845</f>
        <v>5.1361578449999996</v>
      </c>
      <c r="DE204">
        <f>5.088412829</f>
        <v>5.0884128290000001</v>
      </c>
      <c r="DF204">
        <f>4.849551951</f>
        <v>4.8495519509999996</v>
      </c>
      <c r="DG204">
        <f>4.917238613</f>
        <v>4.9172386130000003</v>
      </c>
      <c r="DH204">
        <f>4.958496218</f>
        <v>4.9584962179999996</v>
      </c>
      <c r="DI204">
        <f>5.175845294</f>
        <v>5.1758452940000002</v>
      </c>
      <c r="DJ204">
        <f>4.843272325</f>
        <v>4.843272325</v>
      </c>
      <c r="DK204">
        <f>5.332519565</f>
        <v>5.3325195650000001</v>
      </c>
      <c r="DL204">
        <f>5.162773468</f>
        <v>5.1627734680000001</v>
      </c>
      <c r="DM204">
        <f>4.980205099</f>
        <v>4.980205099</v>
      </c>
      <c r="DN204">
        <f>4.979990879</f>
        <v>4.9799908789999998</v>
      </c>
      <c r="DO204">
        <f>5.138822526</f>
        <v>5.1388225260000002</v>
      </c>
      <c r="DP204">
        <f>5.231887888</f>
        <v>5.2318878880000002</v>
      </c>
      <c r="DQ204">
        <f>5.412082385</f>
        <v>5.4120823849999997</v>
      </c>
      <c r="DR204">
        <f>5.112496619</f>
        <v>5.1124966189999999</v>
      </c>
      <c r="DS204">
        <f>5.49457435</f>
        <v>5.4945743499999997</v>
      </c>
      <c r="DT204">
        <f>5.09106435</f>
        <v>5.0910643499999999</v>
      </c>
      <c r="DU204">
        <f>5.138026581</f>
        <v>5.1380265810000001</v>
      </c>
      <c r="DV204">
        <f>4.920802531</f>
        <v>4.9208025309999996</v>
      </c>
      <c r="DW204">
        <f>5.031401977</f>
        <v>5.0314019769999998</v>
      </c>
      <c r="DX204">
        <f>4.793557099</f>
        <v>4.793557099</v>
      </c>
      <c r="DY204">
        <f>5.112280483</f>
        <v>5.1122804830000002</v>
      </c>
      <c r="DZ204">
        <f>4.954119622</f>
        <v>4.9541196220000003</v>
      </c>
      <c r="EA204">
        <f>5.075492125</f>
        <v>5.0754921250000002</v>
      </c>
      <c r="EB204">
        <f>5.640976861</f>
        <v>5.6409768610000004</v>
      </c>
      <c r="EC204">
        <f>4.982500903</f>
        <v>4.982500903</v>
      </c>
      <c r="ED204">
        <f>5.112458671</f>
        <v>5.1124586709999997</v>
      </c>
      <c r="EE204">
        <f>5.206572252</f>
        <v>5.206572252</v>
      </c>
      <c r="EF204">
        <f>5.238355873</f>
        <v>5.2383558729999997</v>
      </c>
      <c r="EG204">
        <f>5.413515963</f>
        <v>5.413515963</v>
      </c>
      <c r="EH204">
        <f>5.536658988</f>
        <v>5.5366589880000001</v>
      </c>
      <c r="EI204">
        <f>5.342857673</f>
        <v>5.3428576730000001</v>
      </c>
      <c r="EJ204">
        <f>5.663549298</f>
        <v>5.6635492980000004</v>
      </c>
      <c r="EK204">
        <f>6.074312883</f>
        <v>6.0743128830000002</v>
      </c>
      <c r="EL204">
        <f>6.114781003</f>
        <v>6.114781003</v>
      </c>
      <c r="EM204">
        <f>5.66298784</f>
        <v>5.6629878400000004</v>
      </c>
      <c r="EN204">
        <f>5.840671852</f>
        <v>5.8406718519999998</v>
      </c>
      <c r="EO204">
        <f>5.9117134</f>
        <v>5.9117134</v>
      </c>
      <c r="EP204">
        <f>5.37224034</f>
        <v>5.3722403400000003</v>
      </c>
      <c r="EQ204">
        <f>5.336780125</f>
        <v>5.3367801249999998</v>
      </c>
      <c r="ER204">
        <f>5.226499015</f>
        <v>5.2264990149999999</v>
      </c>
      <c r="ES204">
        <f>5.1338733</f>
        <v>5.1338733000000003</v>
      </c>
      <c r="ET204">
        <f>5.283604281</f>
        <v>5.2836042809999997</v>
      </c>
      <c r="EU204">
        <f>5.360453803</f>
        <v>5.3604538030000004</v>
      </c>
      <c r="EV204">
        <f>5.436386366</f>
        <v>5.4363863659999998</v>
      </c>
      <c r="EW204">
        <f>5.456698984</f>
        <v>5.456698984</v>
      </c>
      <c r="EX204">
        <f>5.492889011</f>
        <v>5.4928890109999999</v>
      </c>
      <c r="EY204">
        <f>5.27494193</f>
        <v>5.2749419299999998</v>
      </c>
      <c r="EZ204">
        <f>5.288623941</f>
        <v>5.288623941</v>
      </c>
      <c r="FA204">
        <f>4.930880817</f>
        <v>4.9308808170000002</v>
      </c>
      <c r="FB204">
        <f>4.760238466</f>
        <v>4.7602384659999997</v>
      </c>
      <c r="FC204">
        <f>4.883948426</f>
        <v>4.8839484259999999</v>
      </c>
      <c r="FD204">
        <f>4.678525275</f>
        <v>4.6785252750000001</v>
      </c>
      <c r="FE204">
        <f>4.582784246</f>
        <v>4.5827842460000001</v>
      </c>
      <c r="FF204">
        <f>4.651257188</f>
        <v>4.6512571879999998</v>
      </c>
      <c r="FG204">
        <f>4.855260602</f>
        <v>4.8552606020000004</v>
      </c>
      <c r="FH204">
        <f>4.723196935</f>
        <v>4.7231969349999998</v>
      </c>
      <c r="FI204">
        <f>4.914246905</f>
        <v>4.9142469049999997</v>
      </c>
      <c r="FJ204">
        <f>4.974367467</f>
        <v>4.9743674670000004</v>
      </c>
      <c r="FK204">
        <f>4.602746585</f>
        <v>4.6027465850000002</v>
      </c>
      <c r="FL204">
        <f>5.13609503</f>
        <v>5.1360950299999999</v>
      </c>
      <c r="FM204">
        <f>4.157788662</f>
        <v>4.1577886619999997</v>
      </c>
      <c r="FN204">
        <f>4.16561167</f>
        <v>4.1656116699999997</v>
      </c>
      <c r="FO204">
        <f>4.385118414</f>
        <v>4.3851184139999999</v>
      </c>
      <c r="FP204">
        <f>4.304647894</f>
        <v>4.3046478940000004</v>
      </c>
      <c r="FQ204">
        <f>4.38431284</f>
        <v>4.3843128399999998</v>
      </c>
    </row>
    <row r="205" spans="1:173">
      <c r="A205" t="str">
        <f>"    公寓投资与管理"</f>
        <v xml:space="preserve">    公寓投资与管理</v>
      </c>
      <c r="B205" t="str">
        <f>"AIV US Equity"</f>
        <v>AIV US Equity</v>
      </c>
      <c r="C205" t="str">
        <f t="shared" ref="C205:C211" si="66">"RR890"</f>
        <v>RR890</v>
      </c>
      <c r="D205" t="str">
        <f t="shared" ref="D205:D211" si="67">"FFO_YIELD"</f>
        <v>FFO_YIELD</v>
      </c>
      <c r="E205" t="str">
        <f t="shared" ref="E205:E211" si="68">"动态"</f>
        <v>动态</v>
      </c>
      <c r="F205">
        <f ca="1">IF(AND(ISNUMBER($F$408),$B$252=1),$F$408,HLOOKUP(INDIRECT(ADDRESS(2,COLUMN())),OFFSET($CL$2,0,0,ROW()-1,84),ROW()-1,FALSE))</f>
        <v>6.1188811190000001</v>
      </c>
      <c r="G205">
        <f ca="1">IF(AND(ISNUMBER($G$408),$B$252=1),$G$408,HLOOKUP(INDIRECT(ADDRESS(2,COLUMN())),OFFSET($CL$2,0,0,ROW()-1,84),ROW()-1,FALSE))</f>
        <v>6.3372995339999996</v>
      </c>
      <c r="H205">
        <f ca="1">IF(AND(ISNUMBER($H$408),$B$252=1),$H$408,HLOOKUP(INDIRECT(ADDRESS(2,COLUMN())),OFFSET($CL$2,0,0,ROW()-1,84),ROW()-1,FALSE))</f>
        <v>5.855640535</v>
      </c>
      <c r="I205">
        <f ca="1">IF(AND(ISNUMBER($I$408),$B$252=1),$I$408,HLOOKUP(INDIRECT(ADDRESS(2,COLUMN())),OFFSET($CL$2,0,0,ROW()-1,84),ROW()-1,FALSE))</f>
        <v>5.6051246849999998</v>
      </c>
      <c r="J205">
        <f ca="1">IF(AND(ISNUMBER($J$408),$B$252=1),$J$408,HLOOKUP(INDIRECT(ADDRESS(2,COLUMN())),OFFSET($CL$2,0,0,ROW()-1,84),ROW()-1,FALSE))</f>
        <v>5.4887729639999998</v>
      </c>
      <c r="K205">
        <f ca="1">IF(AND(ISNUMBER($K$408),$B$252=1),$K$408,HLOOKUP(INDIRECT(ADDRESS(2,COLUMN())),OFFSET($CL$2,0,0,ROW()-1,84),ROW()-1,FALSE))</f>
        <v>5.5025011370000003</v>
      </c>
      <c r="L205">
        <f ca="1">IF(AND(ISNUMBER($L$408),$B$252=1),$L$408,HLOOKUP(INDIRECT(ADDRESS(2,COLUMN())),OFFSET($CL$2,0,0,ROW()-1,84),ROW()-1,FALSE))</f>
        <v>5.5175558599999999</v>
      </c>
      <c r="M205">
        <f ca="1">IF(AND(ISNUMBER($M$408),$B$252=1),$M$408,HLOOKUP(INDIRECT(ADDRESS(2,COLUMN())),OFFSET($CL$2,0,0,ROW()-1,84),ROW()-1,FALSE))</f>
        <v>5.14008383</v>
      </c>
      <c r="N205">
        <f ca="1">IF(AND(ISNUMBER($N$408),$B$252=1),$N$408,HLOOKUP(INDIRECT(ADDRESS(2,COLUMN())),OFFSET($CL$2,0,0,ROW()-1,84),ROW()-1,FALSE))</f>
        <v>5.1152579579999999</v>
      </c>
      <c r="O205">
        <f ca="1">IF(AND(ISNUMBER($O$408),$B$252=1),$O$408,HLOOKUP(INDIRECT(ADDRESS(2,COLUMN())),OFFSET($CL$2,0,0,ROW()-1,84),ROW()-1,FALSE))</f>
        <v>5.4223877119999999</v>
      </c>
      <c r="P205">
        <f ca="1">IF(AND(ISNUMBER($P$408),$B$252=1),$P$408,HLOOKUP(INDIRECT(ADDRESS(2,COLUMN())),OFFSET($CL$2,0,0,ROW()-1,84),ROW()-1,FALSE))</f>
        <v>5.382106244</v>
      </c>
      <c r="Q205">
        <f ca="1">IF(AND(ISNUMBER($Q$408),$B$252=1),$Q$408,HLOOKUP(INDIRECT(ADDRESS(2,COLUMN())),OFFSET($CL$2,0,0,ROW()-1,84),ROW()-1,FALSE))</f>
        <v>5.2812071329999997</v>
      </c>
      <c r="R205">
        <f ca="1">IF(AND(ISNUMBER($R$408),$B$252=1),$R$408,HLOOKUP(INDIRECT(ADDRESS(2,COLUMN())),OFFSET($CL$2,0,0,ROW()-1,84),ROW()-1,FALSE))</f>
        <v>5.2085682069999999</v>
      </c>
      <c r="S205">
        <f ca="1">IF(AND(ISNUMBER($S$408),$B$252=1),$S$408,HLOOKUP(INDIRECT(ADDRESS(2,COLUMN())),OFFSET($CL$2,0,0,ROW()-1,84),ROW()-1,FALSE))</f>
        <v>4.9430474960000002</v>
      </c>
      <c r="T205">
        <f ca="1">IF(AND(ISNUMBER($T$408),$B$252=1),$T$408,HLOOKUP(INDIRECT(ADDRESS(2,COLUMN())),OFFSET($CL$2,0,0,ROW()-1,84),ROW()-1,FALSE))</f>
        <v>5.218969821</v>
      </c>
      <c r="U205">
        <f ca="1">IF(AND(ISNUMBER($U$408),$B$252=1),$U$408,HLOOKUP(INDIRECT(ADDRESS(2,COLUMN())),OFFSET($CL$2,0,0,ROW()-1,84),ROW()-1,FALSE))</f>
        <v>5.0605060509999999</v>
      </c>
      <c r="V205">
        <f ca="1">IF(AND(ISNUMBER($V$408),$B$252=1),$V$408,HLOOKUP(INDIRECT(ADDRESS(2,COLUMN())),OFFSET($CL$2,0,0,ROW()-1,84),ROW()-1,FALSE))</f>
        <v>5.4156769599999999</v>
      </c>
      <c r="W205">
        <f ca="1">IF(AND(ISNUMBER($W$408),$B$252=1),$W$408,HLOOKUP(INDIRECT(ADDRESS(2,COLUMN())),OFFSET($CL$2,0,0,ROW()-1,84),ROW()-1,FALSE))</f>
        <v>5.1735874739999996</v>
      </c>
      <c r="X205">
        <f ca="1">IF(AND(ISNUMBER($X$408),$B$252=1),$X$408,HLOOKUP(INDIRECT(ADDRESS(2,COLUMN())),OFFSET($CL$2,0,0,ROW()-1,84),ROW()-1,FALSE))</f>
        <v>4.9662382919999999</v>
      </c>
      <c r="Y205">
        <f ca="1">IF(AND(ISNUMBER($Y$408),$B$252=1),$Y$408,HLOOKUP(INDIRECT(ADDRESS(2,COLUMN())),OFFSET($CL$2,0,0,ROW()-1,84),ROW()-1,FALSE))</f>
        <v>5.1128818059999999</v>
      </c>
      <c r="Z205">
        <f ca="1">IF(AND(ISNUMBER($Z$408),$B$252=1),$Z$408,HLOOKUP(INDIRECT(ADDRESS(2,COLUMN())),OFFSET($CL$2,0,0,ROW()-1,84),ROW()-1,FALSE))</f>
        <v>5.0250163150000002</v>
      </c>
      <c r="AA205">
        <f ca="1">IF(AND(ISNUMBER($AA$408),$B$252=1),$AA$408,HLOOKUP(INDIRECT(ADDRESS(2,COLUMN())),OFFSET($CL$2,0,0,ROW()-1,84),ROW()-1,FALSE))</f>
        <v>5.2309782609999997</v>
      </c>
      <c r="AB205">
        <f ca="1">IF(AND(ISNUMBER($AB$408),$B$252=1),$AB$408,HLOOKUP(INDIRECT(ADDRESS(2,COLUMN())),OFFSET($CL$2,0,0,ROW()-1,84),ROW()-1,FALSE))</f>
        <v>5.3458382179999999</v>
      </c>
      <c r="AC205">
        <f ca="1">IF(AND(ISNUMBER($AC$408),$B$252=1),$AC$408,HLOOKUP(INDIRECT(ADDRESS(2,COLUMN())),OFFSET($CL$2,0,0,ROW()-1,84),ROW()-1,FALSE))</f>
        <v>5.6914628059999997</v>
      </c>
      <c r="AD205">
        <f ca="1">IF(AND(ISNUMBER($AD$408),$B$252=1),$AD$408,HLOOKUP(INDIRECT(ADDRESS(2,COLUMN())),OFFSET($CL$2,0,0,ROW()-1,84),ROW()-1,FALSE))</f>
        <v>5.4519368720000001</v>
      </c>
      <c r="AE205">
        <f ca="1">IF(AND(ISNUMBER($AE$408),$B$252=1),$AE$408,HLOOKUP(INDIRECT(ADDRESS(2,COLUMN())),OFFSET($CL$2,0,0,ROW()-1,84),ROW()-1,FALSE))</f>
        <v>6.0639169629999996</v>
      </c>
      <c r="AF205">
        <f ca="1">IF(AND(ISNUMBER($AF$408),$B$252=1),$AF$408,HLOOKUP(INDIRECT(ADDRESS(2,COLUMN())),OFFSET($CL$2,0,0,ROW()-1,84),ROW()-1,FALSE))</f>
        <v>5.6704980840000001</v>
      </c>
      <c r="AG205">
        <f ca="1">IF(AND(ISNUMBER($AG$408),$B$252=1),$AG$408,HLOOKUP(INDIRECT(ADDRESS(2,COLUMN())),OFFSET($CL$2,0,0,ROW()-1,84),ROW()-1,FALSE))</f>
        <v>5.5458406199999999</v>
      </c>
      <c r="AH205">
        <f ca="1">IF(AND(ISNUMBER($AH$408),$B$252=1),$AH$408,HLOOKUP(INDIRECT(ADDRESS(2,COLUMN())),OFFSET($CL$2,0,0,ROW()-1,84),ROW()-1,FALSE))</f>
        <v>5.7202833899999996</v>
      </c>
      <c r="AI205">
        <f ca="1">IF(AND(ISNUMBER($AI$408),$B$252=1),$AI$408,HLOOKUP(INDIRECT(ADDRESS(2,COLUMN())),OFFSET($CL$2,0,0,ROW()-1,84),ROW()-1,FALSE))</f>
        <v>5.5626435320000001</v>
      </c>
      <c r="AJ205">
        <f ca="1">IF(AND(ISNUMBER($AJ$408),$B$252=1),$AJ$408,HLOOKUP(INDIRECT(ADDRESS(2,COLUMN())),OFFSET($CL$2,0,0,ROW()-1,84),ROW()-1,FALSE))</f>
        <v>5.8887088060000004</v>
      </c>
      <c r="AK205">
        <f ca="1">IF(AND(ISNUMBER($AK$408),$B$252=1),$AK$408,HLOOKUP(INDIRECT(ADDRESS(2,COLUMN())),OFFSET($CL$2,0,0,ROW()-1,84),ROW()-1,FALSE))</f>
        <v>5.8839855679999999</v>
      </c>
      <c r="AL205">
        <f ca="1">IF(AND(ISNUMBER($AL$408),$B$252=1),$AL$408,HLOOKUP(INDIRECT(ADDRESS(2,COLUMN())),OFFSET($CL$2,0,0,ROW()-1,84),ROW()-1,FALSE))</f>
        <v>5.4247697029999999</v>
      </c>
      <c r="AM205">
        <f ca="1">IF(AND(ISNUMBER($AM$408),$B$252=1),$AM$408,HLOOKUP(INDIRECT(ADDRESS(2,COLUMN())),OFFSET($CL$2,0,0,ROW()-1,84),ROW()-1,FALSE))</f>
        <v>5.7405903059999996</v>
      </c>
      <c r="AN205">
        <f ca="1">IF(AND(ISNUMBER($AN$408),$B$252=1),$AN$408,HLOOKUP(INDIRECT(ADDRESS(2,COLUMN())),OFFSET($CL$2,0,0,ROW()-1,84),ROW()-1,FALSE))</f>
        <v>5.483785921</v>
      </c>
      <c r="AO205">
        <f ca="1">IF(AND(ISNUMBER($AO$408),$B$252=1),$AO$408,HLOOKUP(INDIRECT(ADDRESS(2,COLUMN())),OFFSET($CL$2,0,0,ROW()-1,84),ROW()-1,FALSE))</f>
        <v>5.5128544919999998</v>
      </c>
      <c r="AP205">
        <f ca="1">IF(AND(ISNUMBER($AP$408),$B$252=1),$AP$408,HLOOKUP(INDIRECT(ADDRESS(2,COLUMN())),OFFSET($CL$2,0,0,ROW()-1,84),ROW()-1,FALSE))</f>
        <v>5.2845528460000004</v>
      </c>
      <c r="AQ205">
        <f ca="1">IF(AND(ISNUMBER($AQ$408),$B$252=1),$AQ$408,HLOOKUP(INDIRECT(ADDRESS(2,COLUMN())),OFFSET($CL$2,0,0,ROW()-1,84),ROW()-1,FALSE))</f>
        <v>5.4936305729999999</v>
      </c>
      <c r="AR205">
        <f ca="1">IF(AND(ISNUMBER($AR$408),$B$252=1),$AR$408,HLOOKUP(INDIRECT(ADDRESS(2,COLUMN())),OFFSET($CL$2,0,0,ROW()-1,84),ROW()-1,FALSE))</f>
        <v>5.1931761160000001</v>
      </c>
      <c r="AS205">
        <f ca="1">IF(AND(ISNUMBER($AS$408),$B$252=1),$AS$408,HLOOKUP(INDIRECT(ADDRESS(2,COLUMN())),OFFSET($CL$2,0,0,ROW()-1,84),ROW()-1,FALSE))</f>
        <v>5.5720053839999997</v>
      </c>
      <c r="AT205">
        <f ca="1">IF(AND(ISNUMBER($AT$408),$B$252=1),$AT$408,HLOOKUP(INDIRECT(ADDRESS(2,COLUMN())),OFFSET($CL$2,0,0,ROW()-1,84),ROW()-1,FALSE))</f>
        <v>5.6375838930000004</v>
      </c>
      <c r="AU205">
        <f ca="1">IF(AND(ISNUMBER($AU$408),$B$252=1),$AU$408,HLOOKUP(INDIRECT(ADDRESS(2,COLUMN())),OFFSET($CL$2,0,0,ROW()-1,84),ROW()-1,FALSE))</f>
        <v>5.867560771</v>
      </c>
      <c r="AV205">
        <f ca="1">IF(AND(ISNUMBER($AV$408),$B$252=1),$AV$408,HLOOKUP(INDIRECT(ADDRESS(2,COLUMN())),OFFSET($CL$2,0,0,ROW()-1,84),ROW()-1,FALSE))</f>
        <v>6.599622879</v>
      </c>
      <c r="AW205">
        <f ca="1">IF(AND(ISNUMBER($AW$408),$B$252=1),$AW$408,HLOOKUP(INDIRECT(ADDRESS(2,COLUMN())),OFFSET($CL$2,0,0,ROW()-1,84),ROW()-1,FALSE))</f>
        <v>6.0986285379999998</v>
      </c>
      <c r="AX205">
        <f ca="1">IF(AND(ISNUMBER($AX$408),$B$252=1),$AX$408,HLOOKUP(INDIRECT(ADDRESS(2,COLUMN())),OFFSET($CL$2,0,0,ROW()-1,84),ROW()-1,FALSE))</f>
        <v>6.1146869510000004</v>
      </c>
      <c r="AY205">
        <f ca="1">IF(AND(ISNUMBER($AY$408),$B$252=1),$AY$408,HLOOKUP(INDIRECT(ADDRESS(2,COLUMN())),OFFSET($CL$2,0,0,ROW()-1,84),ROW()-1,FALSE))</f>
        <v>6.4766036570000001</v>
      </c>
      <c r="AZ205">
        <f ca="1">IF(AND(ISNUMBER($AZ$408),$B$252=1),$AZ$408,HLOOKUP(INDIRECT(ADDRESS(2,COLUMN())),OFFSET($CL$2,0,0,ROW()-1,84),ROW()-1,FALSE))</f>
        <v>6.5438373570000001</v>
      </c>
      <c r="BA205">
        <f ca="1">IF(AND(ISNUMBER($BA$408),$B$252=1),$BA$408,HLOOKUP(INDIRECT(ADDRESS(2,COLUMN())),OFFSET($CL$2,0,0,ROW()-1,84),ROW()-1,FALSE))</f>
        <v>6.6818034380000002</v>
      </c>
      <c r="BB205">
        <f ca="1">IF(AND(ISNUMBER($BB$408),$B$252=1),$BB$408,HLOOKUP(INDIRECT(ADDRESS(2,COLUMN())),OFFSET($CL$2,0,0,ROW()-1,84),ROW()-1,FALSE))</f>
        <v>6.8166776970000003</v>
      </c>
      <c r="BC205">
        <f ca="1">IF(AND(ISNUMBER($BC$408),$B$252=1),$BC$408,HLOOKUP(INDIRECT(ADDRESS(2,COLUMN())),OFFSET($CL$2,0,0,ROW()-1,84),ROW()-1,FALSE))</f>
        <v>6.8250250919999997</v>
      </c>
      <c r="BD205">
        <f ca="1">IF(AND(ISNUMBER($BD$408),$B$252=1),$BD$408,HLOOKUP(INDIRECT(ADDRESS(2,COLUMN())),OFFSET($CL$2,0,0,ROW()-1,84),ROW()-1,FALSE))</f>
        <v>7.293528781</v>
      </c>
      <c r="BE205">
        <f ca="1">IF(AND(ISNUMBER($BE$408),$B$252=1),$BE$408,HLOOKUP(INDIRECT(ADDRESS(2,COLUMN())),OFFSET($CL$2,0,0,ROW()-1,84),ROW()-1,FALSE))</f>
        <v>7.8734079509999999</v>
      </c>
      <c r="BF205">
        <f ca="1">IF(AND(ISNUMBER($BF$408),$B$252=1),$BF$408,HLOOKUP(INDIRECT(ADDRESS(2,COLUMN())),OFFSET($CL$2,0,0,ROW()-1,84),ROW()-1,FALSE))</f>
        <v>7.9251294310000002</v>
      </c>
      <c r="BG205">
        <f ca="1">IF(AND(ISNUMBER($BG$408),$B$252=1),$BG$408,HLOOKUP(INDIRECT(ADDRESS(2,COLUMN())),OFFSET($CL$2,0,0,ROW()-1,84),ROW()-1,FALSE))</f>
        <v>7.1122230159999997</v>
      </c>
      <c r="BH205">
        <f ca="1">IF(AND(ISNUMBER($BH$408),$B$252=1),$BH$408,HLOOKUP(INDIRECT(ADDRESS(2,COLUMN())),OFFSET($CL$2,0,0,ROW()-1,84),ROW()-1,FALSE))</f>
        <v>7.122405154</v>
      </c>
      <c r="BI205">
        <f ca="1">IF(AND(ISNUMBER($BI$408),$B$252=1),$BI$408,HLOOKUP(INDIRECT(ADDRESS(2,COLUMN())),OFFSET($CL$2,0,0,ROW()-1,84),ROW()-1,FALSE))</f>
        <v>6.7925899019999996</v>
      </c>
      <c r="BJ205">
        <f ca="1">IF(AND(ISNUMBER($BJ$408),$B$252=1),$BJ$408,HLOOKUP(INDIRECT(ADDRESS(2,COLUMN())),OFFSET($CL$2,0,0,ROW()-1,84),ROW()-1,FALSE))</f>
        <v>6.3648740640000003</v>
      </c>
      <c r="BK205">
        <f ca="1">IF(AND(ISNUMBER($BK$408),$B$252=1),$BK$408,HLOOKUP(INDIRECT(ADDRESS(2,COLUMN())),OFFSET($CL$2,0,0,ROW()-1,84),ROW()-1,FALSE))</f>
        <v>6.2250332889999997</v>
      </c>
      <c r="BL205">
        <f ca="1">IF(AND(ISNUMBER($BL$408),$B$252=1),$BL$408,HLOOKUP(INDIRECT(ADDRESS(2,COLUMN())),OFFSET($CL$2,0,0,ROW()-1,84),ROW()-1,FALSE))</f>
        <v>5.8162590879999998</v>
      </c>
      <c r="BM205">
        <f ca="1">IF(AND(ISNUMBER($BM$408),$B$252=1),$BM$408,HLOOKUP(INDIRECT(ADDRESS(2,COLUMN())),OFFSET($CL$2,0,0,ROW()-1,84),ROW()-1,FALSE))</f>
        <v>5.6573449050000004</v>
      </c>
      <c r="BN205">
        <f ca="1">IF(AND(ISNUMBER($BN$408),$B$252=1),$BN$408,HLOOKUP(INDIRECT(ADDRESS(2,COLUMN())),OFFSET($CL$2,0,0,ROW()-1,84),ROW()-1,FALSE))</f>
        <v>5.7403783429999997</v>
      </c>
      <c r="BO205">
        <f ca="1">IF(AND(ISNUMBER($BO$408),$B$252=1),$BO$408,HLOOKUP(INDIRECT(ADDRESS(2,COLUMN())),OFFSET($CL$2,0,0,ROW()-1,84),ROW()-1,FALSE))</f>
        <v>5.6718433490000004</v>
      </c>
      <c r="BP205">
        <f ca="1">IF(AND(ISNUMBER($BP$408),$B$252=1),$BP$408,HLOOKUP(INDIRECT(ADDRESS(2,COLUMN())),OFFSET($CL$2,0,0,ROW()-1,84),ROW()-1,FALSE))</f>
        <v>6.1583577710000004</v>
      </c>
      <c r="BQ205">
        <f ca="1">IF(AND(ISNUMBER($BQ$408),$B$252=1),$BQ$408,HLOOKUP(INDIRECT(ADDRESS(2,COLUMN())),OFFSET($CL$2,0,0,ROW()-1,84),ROW()-1,FALSE))</f>
        <v>6.2084257210000002</v>
      </c>
      <c r="BR205">
        <f ca="1">IF(AND(ISNUMBER($BR$408),$B$252=1),$BR$408,HLOOKUP(INDIRECT(ADDRESS(2,COLUMN())),OFFSET($CL$2,0,0,ROW()-1,84),ROW()-1,FALSE))</f>
        <v>6.3422417229999999</v>
      </c>
      <c r="BS205">
        <f ca="1">IF(AND(ISNUMBER($BS$408),$B$252=1),$BS$408,HLOOKUP(INDIRECT(ADDRESS(2,COLUMN())),OFFSET($CL$2,0,0,ROW()-1,84),ROW()-1,FALSE))</f>
        <v>5.9572873739999999</v>
      </c>
      <c r="BT205">
        <f ca="1">IF(AND(ISNUMBER($BT$408),$B$252=1),$BT$408,HLOOKUP(INDIRECT(ADDRESS(2,COLUMN())),OFFSET($CL$2,0,0,ROW()-1,84),ROW()-1,FALSE))</f>
        <v>6.117737591</v>
      </c>
      <c r="BU205">
        <f ca="1">IF(AND(ISNUMBER($BU$408),$B$252=1),$BU$408,HLOOKUP(INDIRECT(ADDRESS(2,COLUMN())),OFFSET($CL$2,0,0,ROW()-1,84),ROW()-1,FALSE))</f>
        <v>6.1178247729999997</v>
      </c>
      <c r="BV205">
        <f ca="1">IF(AND(ISNUMBER($BV$408),$B$252=1),$BV$408,HLOOKUP(INDIRECT(ADDRESS(2,COLUMN())),OFFSET($CL$2,0,0,ROW()-1,84),ROW()-1,FALSE))</f>
        <v>5.9059423989999997</v>
      </c>
      <c r="BW205">
        <f ca="1">IF(AND(ISNUMBER($BW$408),$B$252=1),$BW$408,HLOOKUP(INDIRECT(ADDRESS(2,COLUMN())),OFFSET($CL$2,0,0,ROW()-1,84),ROW()-1,FALSE))</f>
        <v>5.9933407330000001</v>
      </c>
      <c r="BX205">
        <f ca="1">IF(AND(ISNUMBER($BX$408),$B$252=1),$BX$408,HLOOKUP(INDIRECT(ADDRESS(2,COLUMN())),OFFSET($CL$2,0,0,ROW()-1,84),ROW()-1,FALSE))</f>
        <v>5.652013299</v>
      </c>
      <c r="BY205">
        <f ca="1">IF(AND(ISNUMBER($BY$408),$B$252=1),$BY$408,HLOOKUP(INDIRECT(ADDRESS(2,COLUMN())),OFFSET($CL$2,0,0,ROW()-1,84),ROW()-1,FALSE))</f>
        <v>5.6353591160000001</v>
      </c>
      <c r="BZ205">
        <f ca="1">IF(AND(ISNUMBER($BZ$408),$B$252=1),$BZ$408,HLOOKUP(INDIRECT(ADDRESS(2,COLUMN())),OFFSET($CL$2,0,0,ROW()-1,84),ROW()-1,FALSE))</f>
        <v>5.7932601290000001</v>
      </c>
      <c r="CA205">
        <f ca="1">IF(AND(ISNUMBER($CA$408),$B$252=1),$CA$408,HLOOKUP(INDIRECT(ADDRESS(2,COLUMN())),OFFSET($CL$2,0,0,ROW()-1,84),ROW()-1,FALSE))</f>
        <v>6.119162641</v>
      </c>
      <c r="CB205">
        <f ca="1">IF(AND(ISNUMBER($CB$408),$B$252=1),$CB$408,HLOOKUP(INDIRECT(ADDRESS(2,COLUMN())),OFFSET($CL$2,0,0,ROW()-1,84),ROW()-1,FALSE))</f>
        <v>6.1889250809999998</v>
      </c>
      <c r="CC205">
        <f ca="1">IF(AND(ISNUMBER($CC$408),$B$252=1),$CC$408,HLOOKUP(INDIRECT(ADDRESS(2,COLUMN())),OFFSET($CL$2,0,0,ROW()-1,84),ROW()-1,FALSE))</f>
        <v>6.6346573549999999</v>
      </c>
      <c r="CD205">
        <f ca="1">IF(AND(ISNUMBER($CD$408),$B$252=1),$CD$408,HLOOKUP(INDIRECT(ADDRESS(2,COLUMN())),OFFSET($CL$2,0,0,ROW()-1,84),ROW()-1,FALSE))</f>
        <v>6.6115702479999996</v>
      </c>
      <c r="CE205">
        <f ca="1">IF(AND(ISNUMBER($CE$408),$B$252=1),$CE$408,HLOOKUP(INDIRECT(ADDRESS(2,COLUMN())),OFFSET($CL$2,0,0,ROW()-1,84),ROW()-1,FALSE))</f>
        <v>5.8370490469999998</v>
      </c>
      <c r="CF205">
        <f ca="1">IF(AND(ISNUMBER($CF$408),$B$252=1),$CF$408,HLOOKUP(INDIRECT(ADDRESS(2,COLUMN())),OFFSET($CL$2,0,0,ROW()-1,84),ROW()-1,FALSE))</f>
        <v>6.50994575</v>
      </c>
      <c r="CG205">
        <f ca="1">IF(AND(ISNUMBER($CG$408),$B$252=1),$CG$408,HLOOKUP(INDIRECT(ADDRESS(2,COLUMN())),OFFSET($CL$2,0,0,ROW()-1,84),ROW()-1,FALSE))</f>
        <v>5.4572826499999998</v>
      </c>
      <c r="CH205">
        <f ca="1">IF(AND(ISNUMBER($CH$408),$B$252=1),$CH$408,HLOOKUP(INDIRECT(ADDRESS(2,COLUMN())),OFFSET($CL$2,0,0,ROW()-1,84),ROW()-1,FALSE))</f>
        <v>5.3113553109999998</v>
      </c>
      <c r="CI205">
        <f ca="1">IF(AND(ISNUMBER($CI$408),$B$252=1),$CI$408,HLOOKUP(INDIRECT(ADDRESS(2,COLUMN())),OFFSET($CL$2,0,0,ROW()-1,84),ROW()-1,FALSE))</f>
        <v>5.6795926359999998</v>
      </c>
      <c r="CJ205">
        <f ca="1">IF(AND(ISNUMBER($CJ$408),$B$252=1),$CJ$408,HLOOKUP(INDIRECT(ADDRESS(2,COLUMN())),OFFSET($CL$2,0,0,ROW()-1,84),ROW()-1,FALSE))</f>
        <v>5.836139169</v>
      </c>
      <c r="CK205">
        <f ca="1">IF(AND(ISNUMBER($CK$408),$B$252=1),$CK$408,HLOOKUP(INDIRECT(ADDRESS(2,COLUMN())),OFFSET($CL$2,0,0,ROW()-1,84),ROW()-1,FALSE))</f>
        <v>5.7863501480000004</v>
      </c>
      <c r="CL205">
        <f>6.118881119</f>
        <v>6.1188811190000001</v>
      </c>
      <c r="CM205">
        <f>6.337299534</f>
        <v>6.3372995339999996</v>
      </c>
      <c r="CN205">
        <f>5.855640535</f>
        <v>5.855640535</v>
      </c>
      <c r="CO205">
        <f>5.605124685</f>
        <v>5.6051246849999998</v>
      </c>
      <c r="CP205">
        <f>5.488772964</f>
        <v>5.4887729639999998</v>
      </c>
      <c r="CQ205">
        <f>5.502501137</f>
        <v>5.5025011370000003</v>
      </c>
      <c r="CR205">
        <f>5.51755586</f>
        <v>5.5175558599999999</v>
      </c>
      <c r="CS205">
        <f>5.14008383</f>
        <v>5.14008383</v>
      </c>
      <c r="CT205">
        <f>5.115257958</f>
        <v>5.1152579579999999</v>
      </c>
      <c r="CU205">
        <f>5.422387712</f>
        <v>5.4223877119999999</v>
      </c>
      <c r="CV205">
        <f>5.382106244</f>
        <v>5.382106244</v>
      </c>
      <c r="CW205">
        <f>5.281207133</f>
        <v>5.2812071329999997</v>
      </c>
      <c r="CX205">
        <f>5.208568207</f>
        <v>5.2085682069999999</v>
      </c>
      <c r="CY205">
        <f>4.943047496</f>
        <v>4.9430474960000002</v>
      </c>
      <c r="CZ205">
        <f>5.218969821</f>
        <v>5.218969821</v>
      </c>
      <c r="DA205">
        <f>5.060506051</f>
        <v>5.0605060509999999</v>
      </c>
      <c r="DB205">
        <f>5.41567696</f>
        <v>5.4156769599999999</v>
      </c>
      <c r="DC205">
        <f>5.173587474</f>
        <v>5.1735874739999996</v>
      </c>
      <c r="DD205">
        <f>4.966238292</f>
        <v>4.9662382919999999</v>
      </c>
      <c r="DE205">
        <f>5.112881806</f>
        <v>5.1128818059999999</v>
      </c>
      <c r="DF205">
        <f>5.025016315</f>
        <v>5.0250163150000002</v>
      </c>
      <c r="DG205">
        <f>5.230978261</f>
        <v>5.2309782609999997</v>
      </c>
      <c r="DH205">
        <f>5.345838218</f>
        <v>5.3458382179999999</v>
      </c>
      <c r="DI205">
        <f>5.691462806</f>
        <v>5.6914628059999997</v>
      </c>
      <c r="DJ205">
        <f>5.451936872</f>
        <v>5.4519368720000001</v>
      </c>
      <c r="DK205">
        <f>6.063916963</f>
        <v>6.0639169629999996</v>
      </c>
      <c r="DL205">
        <f>5.670498084</f>
        <v>5.6704980840000001</v>
      </c>
      <c r="DM205">
        <f>5.54584062</f>
        <v>5.5458406199999999</v>
      </c>
      <c r="DN205">
        <f>5.72028339</f>
        <v>5.7202833899999996</v>
      </c>
      <c r="DO205">
        <f>5.562643532</f>
        <v>5.5626435320000001</v>
      </c>
      <c r="DP205">
        <f>5.888708806</f>
        <v>5.8887088060000004</v>
      </c>
      <c r="DQ205">
        <f>5.883985568</f>
        <v>5.8839855679999999</v>
      </c>
      <c r="DR205">
        <f>5.424769703</f>
        <v>5.4247697029999999</v>
      </c>
      <c r="DS205">
        <f>5.740590306</f>
        <v>5.7405903059999996</v>
      </c>
      <c r="DT205">
        <f>5.483785921</f>
        <v>5.483785921</v>
      </c>
      <c r="DU205">
        <f>5.512854492</f>
        <v>5.5128544919999998</v>
      </c>
      <c r="DV205">
        <f>5.284552846</f>
        <v>5.2845528460000004</v>
      </c>
      <c r="DW205">
        <f>5.493630573</f>
        <v>5.4936305729999999</v>
      </c>
      <c r="DX205">
        <f>5.193176116</f>
        <v>5.1931761160000001</v>
      </c>
      <c r="DY205">
        <f>5.572005384</f>
        <v>5.5720053839999997</v>
      </c>
      <c r="DZ205">
        <f>5.637583893</f>
        <v>5.6375838930000004</v>
      </c>
      <c r="EA205">
        <f>5.867560771</f>
        <v>5.867560771</v>
      </c>
      <c r="EB205">
        <f>6.599622879</f>
        <v>6.599622879</v>
      </c>
      <c r="EC205">
        <f>6.098628538</f>
        <v>6.0986285379999998</v>
      </c>
      <c r="ED205">
        <f>6.114686951</f>
        <v>6.1146869510000004</v>
      </c>
      <c r="EE205">
        <f>6.476603657</f>
        <v>6.4766036570000001</v>
      </c>
      <c r="EF205">
        <f>6.543837357</f>
        <v>6.5438373570000001</v>
      </c>
      <c r="EG205">
        <f>6.681803438</f>
        <v>6.6818034380000002</v>
      </c>
      <c r="EH205">
        <f>6.816677697</f>
        <v>6.8166776970000003</v>
      </c>
      <c r="EI205">
        <f>6.825025092</f>
        <v>6.8250250919999997</v>
      </c>
      <c r="EJ205">
        <f>7.293528781</f>
        <v>7.293528781</v>
      </c>
      <c r="EK205">
        <f>7.873407951</f>
        <v>7.8734079509999999</v>
      </c>
      <c r="EL205">
        <f>7.925129431</f>
        <v>7.9251294310000002</v>
      </c>
      <c r="EM205">
        <f>7.112223016</f>
        <v>7.1122230159999997</v>
      </c>
      <c r="EN205">
        <f>7.122405154</f>
        <v>7.122405154</v>
      </c>
      <c r="EO205">
        <f>6.792589902</f>
        <v>6.7925899019999996</v>
      </c>
      <c r="EP205">
        <f>6.364874064</f>
        <v>6.3648740640000003</v>
      </c>
      <c r="EQ205">
        <f>6.225033289</f>
        <v>6.2250332889999997</v>
      </c>
      <c r="ER205">
        <f>5.816259088</f>
        <v>5.8162590879999998</v>
      </c>
      <c r="ES205">
        <f>5.657344905</f>
        <v>5.6573449050000004</v>
      </c>
      <c r="ET205">
        <f>5.740378343</f>
        <v>5.7403783429999997</v>
      </c>
      <c r="EU205">
        <f>5.671843349</f>
        <v>5.6718433490000004</v>
      </c>
      <c r="EV205">
        <f>6.158357771</f>
        <v>6.1583577710000004</v>
      </c>
      <c r="EW205">
        <f>6.208425721</f>
        <v>6.2084257210000002</v>
      </c>
      <c r="EX205">
        <f>6.342241723</f>
        <v>6.3422417229999999</v>
      </c>
      <c r="EY205">
        <f>5.957287374</f>
        <v>5.9572873739999999</v>
      </c>
      <c r="EZ205">
        <f>6.117737591</f>
        <v>6.117737591</v>
      </c>
      <c r="FA205">
        <f>6.117824773</f>
        <v>6.1178247729999997</v>
      </c>
      <c r="FB205">
        <f>5.905942399</f>
        <v>5.9059423989999997</v>
      </c>
      <c r="FC205">
        <f>5.993340733</f>
        <v>5.9933407330000001</v>
      </c>
      <c r="FD205">
        <f>5.652013299</f>
        <v>5.652013299</v>
      </c>
      <c r="FE205">
        <f>5.635359116</f>
        <v>5.6353591160000001</v>
      </c>
      <c r="FF205">
        <f>5.793260129</f>
        <v>5.7932601290000001</v>
      </c>
      <c r="FG205">
        <f>6.119162641</f>
        <v>6.119162641</v>
      </c>
      <c r="FH205">
        <f>6.188925081</f>
        <v>6.1889250809999998</v>
      </c>
      <c r="FI205">
        <f>6.634657355</f>
        <v>6.6346573549999999</v>
      </c>
      <c r="FJ205">
        <f>6.611570248</f>
        <v>6.6115702479999996</v>
      </c>
      <c r="FK205">
        <f>5.837049047</f>
        <v>5.8370490469999998</v>
      </c>
      <c r="FL205">
        <f>6.50994575</f>
        <v>6.50994575</v>
      </c>
      <c r="FM205">
        <f>5.45728265</f>
        <v>5.4572826499999998</v>
      </c>
      <c r="FN205">
        <f>5.311355311</f>
        <v>5.3113553109999998</v>
      </c>
      <c r="FO205">
        <f>5.679592636</f>
        <v>5.6795926359999998</v>
      </c>
      <c r="FP205">
        <f>5.836139169</f>
        <v>5.836139169</v>
      </c>
      <c r="FQ205">
        <f>5.786350148</f>
        <v>5.7863501480000004</v>
      </c>
    </row>
    <row r="206" spans="1:173">
      <c r="A206" t="str">
        <f>"    AvalonBay社区股份有限公司"</f>
        <v xml:space="preserve">    AvalonBay社区股份有限公司</v>
      </c>
      <c r="B206" t="str">
        <f>"AVB US Equity"</f>
        <v>AVB US Equity</v>
      </c>
      <c r="C206" t="str">
        <f t="shared" si="66"/>
        <v>RR890</v>
      </c>
      <c r="D206" t="str">
        <f t="shared" si="67"/>
        <v>FFO_YIELD</v>
      </c>
      <c r="E206" t="str">
        <f t="shared" si="68"/>
        <v>动态</v>
      </c>
      <c r="F206">
        <f ca="1">IF(AND(ISNUMBER($F$409),$B$252=1),$F$409,HLOOKUP(INDIRECT(ADDRESS(2,COLUMN())),OFFSET($CL$2,0,0,ROW()-1,84),ROW()-1,FALSE))</f>
        <v>5.2377413180000003</v>
      </c>
      <c r="G206">
        <f ca="1">IF(AND(ISNUMBER($G$409),$B$252=1),$G$409,HLOOKUP(INDIRECT(ADDRESS(2,COLUMN())),OFFSET($CL$2,0,0,ROW()-1,84),ROW()-1,FALSE))</f>
        <v>5.4223817460000001</v>
      </c>
      <c r="H206">
        <f ca="1">IF(AND(ISNUMBER($H$409),$B$252=1),$H$409,HLOOKUP(INDIRECT(ADDRESS(2,COLUMN())),OFFSET($CL$2,0,0,ROW()-1,84),ROW()-1,FALSE))</f>
        <v>4.9647887319999997</v>
      </c>
      <c r="I206">
        <f ca="1">IF(AND(ISNUMBER($I$409),$B$252=1),$I$409,HLOOKUP(INDIRECT(ADDRESS(2,COLUMN())),OFFSET($CL$2,0,0,ROW()-1,84),ROW()-1,FALSE))</f>
        <v>4.7418866660000001</v>
      </c>
      <c r="J206">
        <f ca="1">IF(AND(ISNUMBER($J$409),$B$252=1),$J$409,HLOOKUP(INDIRECT(ADDRESS(2,COLUMN())),OFFSET($CL$2,0,0,ROW()-1,84),ROW()-1,FALSE))</f>
        <v>4.6180052939999996</v>
      </c>
      <c r="K206">
        <f ca="1">IF(AND(ISNUMBER($K$409),$B$252=1),$K$409,HLOOKUP(INDIRECT(ADDRESS(2,COLUMN())),OFFSET($CL$2,0,0,ROW()-1,84),ROW()-1,FALSE))</f>
        <v>4.6180052939999996</v>
      </c>
      <c r="L206">
        <f ca="1">IF(AND(ISNUMBER($L$409),$B$252=1),$L$409,HLOOKUP(INDIRECT(ADDRESS(2,COLUMN())),OFFSET($CL$2,0,0,ROW()-1,84),ROW()-1,FALSE))</f>
        <v>4.6933241790000002</v>
      </c>
      <c r="M206">
        <f ca="1">IF(AND(ISNUMBER($M$409),$B$252=1),$M$409,HLOOKUP(INDIRECT(ADDRESS(2,COLUMN())),OFFSET($CL$2,0,0,ROW()-1,84),ROW()-1,FALSE))</f>
        <v>4.3361732279999998</v>
      </c>
      <c r="N206">
        <f ca="1">IF(AND(ISNUMBER($N$409),$B$252=1),$N$409,HLOOKUP(INDIRECT(ADDRESS(2,COLUMN())),OFFSET($CL$2,0,0,ROW()-1,84),ROW()-1,FALSE))</f>
        <v>4.2320239150000001</v>
      </c>
      <c r="O206">
        <f ca="1">IF(AND(ISNUMBER($O$409),$B$252=1),$O$409,HLOOKUP(INDIRECT(ADDRESS(2,COLUMN())),OFFSET($CL$2,0,0,ROW()-1,84),ROW()-1,FALSE))</f>
        <v>4.235987927</v>
      </c>
      <c r="P206">
        <f ca="1">IF(AND(ISNUMBER($P$409),$B$252=1),$P$409,HLOOKUP(INDIRECT(ADDRESS(2,COLUMN())),OFFSET($CL$2,0,0,ROW()-1,84),ROW()-1,FALSE))</f>
        <v>4.3036488180000001</v>
      </c>
      <c r="Q206">
        <f ca="1">IF(AND(ISNUMBER($Q$409),$B$252=1),$Q$409,HLOOKUP(INDIRECT(ADDRESS(2,COLUMN())),OFFSET($CL$2,0,0,ROW()-1,84),ROW()-1,FALSE))</f>
        <v>4.3353866410000004</v>
      </c>
      <c r="R206">
        <f ca="1">IF(AND(ISNUMBER($R$409),$B$252=1),$R$409,HLOOKUP(INDIRECT(ADDRESS(2,COLUMN())),OFFSET($CL$2,0,0,ROW()-1,84),ROW()-1,FALSE))</f>
        <v>4.4827331150000003</v>
      </c>
      <c r="S206">
        <f ca="1">IF(AND(ISNUMBER($S$409),$B$252=1),$S$409,HLOOKUP(INDIRECT(ADDRESS(2,COLUMN())),OFFSET($CL$2,0,0,ROW()-1,84),ROW()-1,FALSE))</f>
        <v>4.4946664490000003</v>
      </c>
      <c r="T206">
        <f ca="1">IF(AND(ISNUMBER($T$409),$B$252=1),$T$409,HLOOKUP(INDIRECT(ADDRESS(2,COLUMN())),OFFSET($CL$2,0,0,ROW()-1,84),ROW()-1,FALSE))</f>
        <v>4.7661981420000004</v>
      </c>
      <c r="U206">
        <f ca="1">IF(AND(ISNUMBER($U$409),$B$252=1),$U$409,HLOOKUP(INDIRECT(ADDRESS(2,COLUMN())),OFFSET($CL$2,0,0,ROW()-1,84),ROW()-1,FALSE))</f>
        <v>4.6628834320000001</v>
      </c>
      <c r="V206">
        <f ca="1">IF(AND(ISNUMBER($V$409),$B$252=1),$V$409,HLOOKUP(INDIRECT(ADDRESS(2,COLUMN())),OFFSET($CL$2,0,0,ROW()-1,84),ROW()-1,FALSE))</f>
        <v>4.9437272779999999</v>
      </c>
      <c r="W206">
        <f ca="1">IF(AND(ISNUMBER($W$409),$B$252=1),$W$409,HLOOKUP(INDIRECT(ADDRESS(2,COLUMN())),OFFSET($CL$2,0,0,ROW()-1,84),ROW()-1,FALSE))</f>
        <v>4.7505181680000002</v>
      </c>
      <c r="X206">
        <f ca="1">IF(AND(ISNUMBER($X$409),$B$252=1),$X$409,HLOOKUP(INDIRECT(ADDRESS(2,COLUMN())),OFFSET($CL$2,0,0,ROW()-1,84),ROW()-1,FALSE))</f>
        <v>4.5726141480000004</v>
      </c>
      <c r="Y206">
        <f ca="1">IF(AND(ISNUMBER($Y$409),$B$252=1),$Y$409,HLOOKUP(INDIRECT(ADDRESS(2,COLUMN())),OFFSET($CL$2,0,0,ROW()-1,84),ROW()-1,FALSE))</f>
        <v>4.5977184160000002</v>
      </c>
      <c r="Z206">
        <f ca="1">IF(AND(ISNUMBER($Z$409),$B$252=1),$Z$409,HLOOKUP(INDIRECT(ADDRESS(2,COLUMN())),OFFSET($CL$2,0,0,ROW()-1,84),ROW()-1,FALSE))</f>
        <v>4.3342133049999996</v>
      </c>
      <c r="AA206">
        <f ca="1">IF(AND(ISNUMBER($AA$409),$B$252=1),$AA$409,HLOOKUP(INDIRECT(ADDRESS(2,COLUMN())),OFFSET($CL$2,0,0,ROW()-1,84),ROW()-1,FALSE))</f>
        <v>4.460594822</v>
      </c>
      <c r="AB206">
        <f ca="1">IF(AND(ISNUMBER($AB$409),$B$252=1),$AB$409,HLOOKUP(INDIRECT(ADDRESS(2,COLUMN())),OFFSET($CL$2,0,0,ROW()-1,84),ROW()-1,FALSE))</f>
        <v>4.5803063149999996</v>
      </c>
      <c r="AC206">
        <f ca="1">IF(AND(ISNUMBER($AC$409),$B$252=1),$AC$409,HLOOKUP(INDIRECT(ADDRESS(2,COLUMN())),OFFSET($CL$2,0,0,ROW()-1,84),ROW()-1,FALSE))</f>
        <v>4.6603625769999999</v>
      </c>
      <c r="AD206">
        <f ca="1">IF(AND(ISNUMBER($AD$409),$B$252=1),$AD$409,HLOOKUP(INDIRECT(ADDRESS(2,COLUMN())),OFFSET($CL$2,0,0,ROW()-1,84),ROW()-1,FALSE))</f>
        <v>4.3317849629999996</v>
      </c>
      <c r="AE206">
        <f ca="1">IF(AND(ISNUMBER($AE$409),$B$252=1),$AE$409,HLOOKUP(INDIRECT(ADDRESS(2,COLUMN())),OFFSET($CL$2,0,0,ROW()-1,84),ROW()-1,FALSE))</f>
        <v>4.6894983689999998</v>
      </c>
      <c r="AF206">
        <f ca="1">IF(AND(ISNUMBER($AF$409),$B$252=1),$AF$409,HLOOKUP(INDIRECT(ADDRESS(2,COLUMN())),OFFSET($CL$2,0,0,ROW()-1,84),ROW()-1,FALSE))</f>
        <v>4.6936002099999996</v>
      </c>
      <c r="AG206">
        <f ca="1">IF(AND(ISNUMBER($AG$409),$B$252=1),$AG$409,HLOOKUP(INDIRECT(ADDRESS(2,COLUMN())),OFFSET($CL$2,0,0,ROW()-1,84),ROW()-1,FALSE))</f>
        <v>4.3713979250000001</v>
      </c>
      <c r="AH206">
        <f ca="1">IF(AND(ISNUMBER($AH$409),$B$252=1),$AH$409,HLOOKUP(INDIRECT(ADDRESS(2,COLUMN())),OFFSET($CL$2,0,0,ROW()-1,84),ROW()-1,FALSE))</f>
        <v>4.3140920840000003</v>
      </c>
      <c r="AI206">
        <f ca="1">IF(AND(ISNUMBER($AI$409),$B$252=1),$AI$409,HLOOKUP(INDIRECT(ADDRESS(2,COLUMN())),OFFSET($CL$2,0,0,ROW()-1,84),ROW()-1,FALSE))</f>
        <v>4.485836527</v>
      </c>
      <c r="AJ206">
        <f ca="1">IF(AND(ISNUMBER($AJ$409),$B$252=1),$AJ$409,HLOOKUP(INDIRECT(ADDRESS(2,COLUMN())),OFFSET($CL$2,0,0,ROW()-1,84),ROW()-1,FALSE))</f>
        <v>4.4860931239999999</v>
      </c>
      <c r="AK206">
        <f ca="1">IF(AND(ISNUMBER($AK$409),$B$252=1),$AK$409,HLOOKUP(INDIRECT(ADDRESS(2,COLUMN())),OFFSET($CL$2,0,0,ROW()-1,84),ROW()-1,FALSE))</f>
        <v>4.8240567070000004</v>
      </c>
      <c r="AL206">
        <f ca="1">IF(AND(ISNUMBER($AL$409),$B$252=1),$AL$409,HLOOKUP(INDIRECT(ADDRESS(2,COLUMN())),OFFSET($CL$2,0,0,ROW()-1,84),ROW()-1,FALSE))</f>
        <v>4.6202785190000002</v>
      </c>
      <c r="AM206">
        <f ca="1">IF(AND(ISNUMBER($AM$409),$B$252=1),$AM$409,HLOOKUP(INDIRECT(ADDRESS(2,COLUMN())),OFFSET($CL$2,0,0,ROW()-1,84),ROW()-1,FALSE))</f>
        <v>4.98066429</v>
      </c>
      <c r="AN206">
        <f ca="1">IF(AND(ISNUMBER($AN$409),$B$252=1),$AN$409,HLOOKUP(INDIRECT(ADDRESS(2,COLUMN())),OFFSET($CL$2,0,0,ROW()-1,84),ROW()-1,FALSE))</f>
        <v>4.498498498</v>
      </c>
      <c r="AO206">
        <f ca="1">IF(AND(ISNUMBER($AO$409),$B$252=1),$AO$409,HLOOKUP(INDIRECT(ADDRESS(2,COLUMN())),OFFSET($CL$2,0,0,ROW()-1,84),ROW()-1,FALSE))</f>
        <v>4.5576244370000003</v>
      </c>
      <c r="AP206">
        <f ca="1">IF(AND(ISNUMBER($AP$409),$B$252=1),$AP$409,HLOOKUP(INDIRECT(ADDRESS(2,COLUMN())),OFFSET($CL$2,0,0,ROW()-1,84),ROW()-1,FALSE))</f>
        <v>4.2984218079999996</v>
      </c>
      <c r="AQ206">
        <f ca="1">IF(AND(ISNUMBER($AQ$409),$B$252=1),$AQ$409,HLOOKUP(INDIRECT(ADDRESS(2,COLUMN())),OFFSET($CL$2,0,0,ROW()-1,84),ROW()-1,FALSE))</f>
        <v>4.3067601279999996</v>
      </c>
      <c r="AR206">
        <f ca="1">IF(AND(ISNUMBER($AR$409),$B$252=1),$AR$409,HLOOKUP(INDIRECT(ADDRESS(2,COLUMN())),OFFSET($CL$2,0,0,ROW()-1,84),ROW()-1,FALSE))</f>
        <v>4.1909936989999999</v>
      </c>
      <c r="AS206">
        <f ca="1">IF(AND(ISNUMBER($AS$409),$B$252=1),$AS$409,HLOOKUP(INDIRECT(ADDRESS(2,COLUMN())),OFFSET($CL$2,0,0,ROW()-1,84),ROW()-1,FALSE))</f>
        <v>4.4372360610000001</v>
      </c>
      <c r="AT206">
        <f ca="1">IF(AND(ISNUMBER($AT$409),$B$252=1),$AT$409,HLOOKUP(INDIRECT(ADDRESS(2,COLUMN())),OFFSET($CL$2,0,0,ROW()-1,84),ROW()-1,FALSE))</f>
        <v>4.3515821880000001</v>
      </c>
      <c r="AU206">
        <f ca="1">IF(AND(ISNUMBER($AU$409),$B$252=1),$AU$409,HLOOKUP(INDIRECT(ADDRESS(2,COLUMN())),OFFSET($CL$2,0,0,ROW()-1,84),ROW()-1,FALSE))</f>
        <v>4.4898030029999996</v>
      </c>
      <c r="AV206">
        <f ca="1">IF(AND(ISNUMBER($AV$409),$B$252=1),$AV$409,HLOOKUP(INDIRECT(ADDRESS(2,COLUMN())),OFFSET($CL$2,0,0,ROW()-1,84),ROW()-1,FALSE))</f>
        <v>4.9634028519999998</v>
      </c>
      <c r="AW206">
        <f ca="1">IF(AND(ISNUMBER($AW$409),$B$252=1),$AW$409,HLOOKUP(INDIRECT(ADDRESS(2,COLUMN())),OFFSET($CL$2,0,0,ROW()-1,84),ROW()-1,FALSE))</f>
        <v>3.9175269309999998</v>
      </c>
      <c r="AX206">
        <f ca="1">IF(AND(ISNUMBER($AX$409),$B$252=1),$AX$409,HLOOKUP(INDIRECT(ADDRESS(2,COLUMN())),OFFSET($CL$2,0,0,ROW()-1,84),ROW()-1,FALSE))</f>
        <v>4.0767888980000002</v>
      </c>
      <c r="AY206">
        <f ca="1">IF(AND(ISNUMBER($AY$409),$B$252=1),$AY$409,HLOOKUP(INDIRECT(ADDRESS(2,COLUMN())),OFFSET($CL$2,0,0,ROW()-1,84),ROW()-1,FALSE))</f>
        <v>4.2456635489999996</v>
      </c>
      <c r="AZ206">
        <f ca="1">IF(AND(ISNUMBER($AZ$409),$B$252=1),$AZ$409,HLOOKUP(INDIRECT(ADDRESS(2,COLUMN())),OFFSET($CL$2,0,0,ROW()-1,84),ROW()-1,FALSE))</f>
        <v>4.1433368579999996</v>
      </c>
      <c r="BA206">
        <f ca="1">IF(AND(ISNUMBER($BA$409),$B$252=1),$BA$409,HLOOKUP(INDIRECT(ADDRESS(2,COLUMN())),OFFSET($CL$2,0,0,ROW()-1,84),ROW()-1,FALSE))</f>
        <v>4.3038513370000002</v>
      </c>
      <c r="BB206">
        <f ca="1">IF(AND(ISNUMBER($BB$409),$B$252=1),$BB$409,HLOOKUP(INDIRECT(ADDRESS(2,COLUMN())),OFFSET($CL$2,0,0,ROW()-1,84),ROW()-1,FALSE))</f>
        <v>4.475258148</v>
      </c>
      <c r="BC206">
        <f ca="1">IF(AND(ISNUMBER($BC$409),$B$252=1),$BC$409,HLOOKUP(INDIRECT(ADDRESS(2,COLUMN())),OFFSET($CL$2,0,0,ROW()-1,84),ROW()-1,FALSE))</f>
        <v>3.8899813910000001</v>
      </c>
      <c r="BD206">
        <f ca="1">IF(AND(ISNUMBER($BD$409),$B$252=1),$BD$409,HLOOKUP(INDIRECT(ADDRESS(2,COLUMN())),OFFSET($CL$2,0,0,ROW()-1,84),ROW()-1,FALSE))</f>
        <v>4.0622744940000004</v>
      </c>
      <c r="BE206">
        <f ca="1">IF(AND(ISNUMBER($BE$409),$B$252=1),$BE$409,HLOOKUP(INDIRECT(ADDRESS(2,COLUMN())),OFFSET($CL$2,0,0,ROW()-1,84),ROW()-1,FALSE))</f>
        <v>4.2433468660000004</v>
      </c>
      <c r="BF206">
        <f ca="1">IF(AND(ISNUMBER($BF$409),$B$252=1),$BF$409,HLOOKUP(INDIRECT(ADDRESS(2,COLUMN())),OFFSET($CL$2,0,0,ROW()-1,84),ROW()-1,FALSE))</f>
        <v>4.0313630229999999</v>
      </c>
      <c r="BG206">
        <f ca="1">IF(AND(ISNUMBER($BG$409),$B$252=1),$BG$409,HLOOKUP(INDIRECT(ADDRESS(2,COLUMN())),OFFSET($CL$2,0,0,ROW()-1,84),ROW()-1,FALSE))</f>
        <v>3.8221383449999999</v>
      </c>
      <c r="BH206">
        <f ca="1">IF(AND(ISNUMBER($BH$409),$B$252=1),$BH$409,HLOOKUP(INDIRECT(ADDRESS(2,COLUMN())),OFFSET($CL$2,0,0,ROW()-1,84),ROW()-1,FALSE))</f>
        <v>3.7607868440000001</v>
      </c>
      <c r="BI206">
        <f ca="1">IF(AND(ISNUMBER($BI$409),$B$252=1),$BI$409,HLOOKUP(INDIRECT(ADDRESS(2,COLUMN())),OFFSET($CL$2,0,0,ROW()-1,84),ROW()-1,FALSE))</f>
        <v>4.0654374500000001</v>
      </c>
      <c r="BJ206">
        <f ca="1">IF(AND(ISNUMBER($BJ$409),$B$252=1),$BJ$409,HLOOKUP(INDIRECT(ADDRESS(2,COLUMN())),OFFSET($CL$2,0,0,ROW()-1,84),ROW()-1,FALSE))</f>
        <v>3.7217947389999999</v>
      </c>
      <c r="BK206">
        <f ca="1">IF(AND(ISNUMBER($BK$409),$B$252=1),$BK$409,HLOOKUP(INDIRECT(ADDRESS(2,COLUMN())),OFFSET($CL$2,0,0,ROW()-1,84),ROW()-1,FALSE))</f>
        <v>3.7336572530000001</v>
      </c>
      <c r="BL206">
        <f ca="1">IF(AND(ISNUMBER($BL$409),$B$252=1),$BL$409,HLOOKUP(INDIRECT(ADDRESS(2,COLUMN())),OFFSET($CL$2,0,0,ROW()-1,84),ROW()-1,FALSE))</f>
        <v>3.6353135839999999</v>
      </c>
      <c r="BM206">
        <f ca="1">IF(AND(ISNUMBER($BM$409),$B$252=1),$BM$409,HLOOKUP(INDIRECT(ADDRESS(2,COLUMN())),OFFSET($CL$2,0,0,ROW()-1,84),ROW()-1,FALSE))</f>
        <v>3.6249300959999999</v>
      </c>
      <c r="BN206">
        <f ca="1">IF(AND(ISNUMBER($BN$409),$B$252=1),$BN$409,HLOOKUP(INDIRECT(ADDRESS(2,COLUMN())),OFFSET($CL$2,0,0,ROW()-1,84),ROW()-1,FALSE))</f>
        <v>3.807221126</v>
      </c>
      <c r="BO206">
        <f ca="1">IF(AND(ISNUMBER($BO$409),$B$252=1),$BO$409,HLOOKUP(INDIRECT(ADDRESS(2,COLUMN())),OFFSET($CL$2,0,0,ROW()-1,84),ROW()-1,FALSE))</f>
        <v>4.263884483</v>
      </c>
      <c r="BP206">
        <f ca="1">IF(AND(ISNUMBER($BP$409),$B$252=1),$BP$409,HLOOKUP(INDIRECT(ADDRESS(2,COLUMN())),OFFSET($CL$2,0,0,ROW()-1,84),ROW()-1,FALSE))</f>
        <v>4.1009376690000003</v>
      </c>
      <c r="BQ206">
        <f ca="1">IF(AND(ISNUMBER($BQ$409),$B$252=1),$BQ$409,HLOOKUP(INDIRECT(ADDRESS(2,COLUMN())),OFFSET($CL$2,0,0,ROW()-1,84),ROW()-1,FALSE))</f>
        <v>3.9255158940000001</v>
      </c>
      <c r="BR206">
        <f ca="1">IF(AND(ISNUMBER($BR$409),$B$252=1),$BR$409,HLOOKUP(INDIRECT(ADDRESS(2,COLUMN())),OFFSET($CL$2,0,0,ROW()-1,84),ROW()-1,FALSE))</f>
        <v>3.9763419080000002</v>
      </c>
      <c r="BS206">
        <f ca="1">IF(AND(ISNUMBER($BS$409),$B$252=1),$BS$409,HLOOKUP(INDIRECT(ADDRESS(2,COLUMN())),OFFSET($CL$2,0,0,ROW()-1,84),ROW()-1,FALSE))</f>
        <v>3.8657575980000001</v>
      </c>
      <c r="BT206">
        <f ca="1">IF(AND(ISNUMBER($BT$409),$B$252=1),$BT$409,HLOOKUP(INDIRECT(ADDRESS(2,COLUMN())),OFFSET($CL$2,0,0,ROW()-1,84),ROW()-1,FALSE))</f>
        <v>3.853534083</v>
      </c>
      <c r="BU206">
        <f ca="1">IF(AND(ISNUMBER($BU$409),$B$252=1),$BU$409,HLOOKUP(INDIRECT(ADDRESS(2,COLUMN())),OFFSET($CL$2,0,0,ROW()-1,84),ROW()-1,FALSE))</f>
        <v>3.5099335780000001</v>
      </c>
      <c r="BV206">
        <f ca="1">IF(AND(ISNUMBER($BV$409),$B$252=1),$BV$409,HLOOKUP(INDIRECT(ADDRESS(2,COLUMN())),OFFSET($CL$2,0,0,ROW()-1,84),ROW()-1,FALSE))</f>
        <v>3.3770195119999999</v>
      </c>
      <c r="BW206">
        <f ca="1">IF(AND(ISNUMBER($BW$409),$B$252=1),$BW$409,HLOOKUP(INDIRECT(ADDRESS(2,COLUMN())),OFFSET($CL$2,0,0,ROW()-1,84),ROW()-1,FALSE))</f>
        <v>3.5109259260000001</v>
      </c>
      <c r="BX206">
        <f ca="1">IF(AND(ISNUMBER($BX$409),$B$252=1),$BX$409,HLOOKUP(INDIRECT(ADDRESS(2,COLUMN())),OFFSET($CL$2,0,0,ROW()-1,84),ROW()-1,FALSE))</f>
        <v>3.4095806799999999</v>
      </c>
      <c r="BY206">
        <f ca="1">IF(AND(ISNUMBER($BY$409),$B$252=1),$BY$409,HLOOKUP(INDIRECT(ADDRESS(2,COLUMN())),OFFSET($CL$2,0,0,ROW()-1,84),ROW()-1,FALSE))</f>
        <v>3.2770900959999998</v>
      </c>
      <c r="BZ206">
        <f ca="1">IF(AND(ISNUMBER($BZ$409),$B$252=1),$BZ$409,HLOOKUP(INDIRECT(ADDRESS(2,COLUMN())),OFFSET($CL$2,0,0,ROW()-1,84),ROW()-1,FALSE))</f>
        <v>3.3709862039999998</v>
      </c>
      <c r="CA206">
        <f ca="1">IF(AND(ISNUMBER($CA$409),$B$252=1),$CA$409,HLOOKUP(INDIRECT(ADDRESS(2,COLUMN())),OFFSET($CL$2,0,0,ROW()-1,84),ROW()-1,FALSE))</f>
        <v>3.5203894500000001</v>
      </c>
      <c r="CB206">
        <f ca="1">IF(AND(ISNUMBER($CB$409),$B$252=1),$CB$409,HLOOKUP(INDIRECT(ADDRESS(2,COLUMN())),OFFSET($CL$2,0,0,ROW()-1,84),ROW()-1,FALSE))</f>
        <v>3.356289243</v>
      </c>
      <c r="CC206">
        <f ca="1">IF(AND(ISNUMBER($CC$409),$B$252=1),$CC$409,HLOOKUP(INDIRECT(ADDRESS(2,COLUMN())),OFFSET($CL$2,0,0,ROW()-1,84),ROW()-1,FALSE))</f>
        <v>3.495320827</v>
      </c>
      <c r="CD206">
        <f ca="1">IF(AND(ISNUMBER($CD$409),$B$252=1),$CD$409,HLOOKUP(INDIRECT(ADDRESS(2,COLUMN())),OFFSET($CL$2,0,0,ROW()-1,84),ROW()-1,FALSE))</f>
        <v>3.5125903080000001</v>
      </c>
      <c r="CE206">
        <f ca="1">IF(AND(ISNUMBER($CE$409),$B$252=1),$CE$409,HLOOKUP(INDIRECT(ADDRESS(2,COLUMN())),OFFSET($CL$2,0,0,ROW()-1,84),ROW()-1,FALSE))</f>
        <v>3.2803268760000002</v>
      </c>
      <c r="CF206">
        <f ca="1">IF(AND(ISNUMBER($CF$409),$B$252=1),$CF$409,HLOOKUP(INDIRECT(ADDRESS(2,COLUMN())),OFFSET($CL$2,0,0,ROW()-1,84),ROW()-1,FALSE))</f>
        <v>3.8452161330000001</v>
      </c>
      <c r="CG206">
        <f ca="1">IF(AND(ISNUMBER($CG$409),$B$252=1),$CG$409,HLOOKUP(INDIRECT(ADDRESS(2,COLUMN())),OFFSET($CL$2,0,0,ROW()-1,84),ROW()-1,FALSE))</f>
        <v>3.0829256489999999</v>
      </c>
      <c r="CH206">
        <f ca="1">IF(AND(ISNUMBER($CH$409),$B$252=1),$CH$409,HLOOKUP(INDIRECT(ADDRESS(2,COLUMN())),OFFSET($CL$2,0,0,ROW()-1,84),ROW()-1,FALSE))</f>
        <v>3.1332394369999998</v>
      </c>
      <c r="CI206">
        <f ca="1">IF(AND(ISNUMBER($CI$409),$B$252=1),$CI$409,HLOOKUP(INDIRECT(ADDRESS(2,COLUMN())),OFFSET($CL$2,0,0,ROW()-1,84),ROW()-1,FALSE))</f>
        <v>3.2745280370000001</v>
      </c>
      <c r="CJ206">
        <f ca="1">IF(AND(ISNUMBER($CJ$409),$B$252=1),$CJ$409,HLOOKUP(INDIRECT(ADDRESS(2,COLUMN())),OFFSET($CL$2,0,0,ROW()-1,84),ROW()-1,FALSE))</f>
        <v>3.0918358760000002</v>
      </c>
      <c r="CK206">
        <f ca="1">IF(AND(ISNUMBER($CK$409),$B$252=1),$CK$409,HLOOKUP(INDIRECT(ADDRESS(2,COLUMN())),OFFSET($CL$2,0,0,ROW()-1,84),ROW()-1,FALSE))</f>
        <v>3.2495900799999999</v>
      </c>
      <c r="CL206">
        <f>5.237741318</f>
        <v>5.2377413180000003</v>
      </c>
      <c r="CM206">
        <f>5.422381746</f>
        <v>5.4223817460000001</v>
      </c>
      <c r="CN206">
        <f>4.964788732</f>
        <v>4.9647887319999997</v>
      </c>
      <c r="CO206">
        <f>4.741886666</f>
        <v>4.7418866660000001</v>
      </c>
      <c r="CP206">
        <f>4.618005294</f>
        <v>4.6180052939999996</v>
      </c>
      <c r="CQ206">
        <f>4.618005294</f>
        <v>4.6180052939999996</v>
      </c>
      <c r="CR206">
        <f>4.693324179</f>
        <v>4.6933241790000002</v>
      </c>
      <c r="CS206">
        <f>4.336173228</f>
        <v>4.3361732279999998</v>
      </c>
      <c r="CT206">
        <f>4.232023915</f>
        <v>4.2320239150000001</v>
      </c>
      <c r="CU206">
        <f>4.235987927</f>
        <v>4.235987927</v>
      </c>
      <c r="CV206">
        <f>4.303648818</f>
        <v>4.3036488180000001</v>
      </c>
      <c r="CW206">
        <f>4.335386641</f>
        <v>4.3353866410000004</v>
      </c>
      <c r="CX206">
        <f>4.482733115</f>
        <v>4.4827331150000003</v>
      </c>
      <c r="CY206">
        <f>4.494666449</f>
        <v>4.4946664490000003</v>
      </c>
      <c r="CZ206">
        <f>4.766198142</f>
        <v>4.7661981420000004</v>
      </c>
      <c r="DA206">
        <f>4.662883432</f>
        <v>4.6628834320000001</v>
      </c>
      <c r="DB206">
        <f>4.943727278</f>
        <v>4.9437272779999999</v>
      </c>
      <c r="DC206">
        <f>4.750518168</f>
        <v>4.7505181680000002</v>
      </c>
      <c r="DD206">
        <f>4.572614148</f>
        <v>4.5726141480000004</v>
      </c>
      <c r="DE206">
        <f>4.597718416</f>
        <v>4.5977184160000002</v>
      </c>
      <c r="DF206">
        <f>4.334213305</f>
        <v>4.3342133049999996</v>
      </c>
      <c r="DG206">
        <f>4.460594822</f>
        <v>4.460594822</v>
      </c>
      <c r="DH206">
        <f>4.580306315</f>
        <v>4.5803063149999996</v>
      </c>
      <c r="DI206">
        <f>4.660362577</f>
        <v>4.6603625769999999</v>
      </c>
      <c r="DJ206">
        <f>4.331784963</f>
        <v>4.3317849629999996</v>
      </c>
      <c r="DK206">
        <f>4.689498369</f>
        <v>4.6894983689999998</v>
      </c>
      <c r="DL206">
        <f>4.69360021</f>
        <v>4.6936002099999996</v>
      </c>
      <c r="DM206">
        <f>4.371397925</f>
        <v>4.3713979250000001</v>
      </c>
      <c r="DN206">
        <f>4.314092084</f>
        <v>4.3140920840000003</v>
      </c>
      <c r="DO206">
        <f>4.485836527</f>
        <v>4.485836527</v>
      </c>
      <c r="DP206">
        <f>4.486093124</f>
        <v>4.4860931239999999</v>
      </c>
      <c r="DQ206">
        <f>4.824056707</f>
        <v>4.8240567070000004</v>
      </c>
      <c r="DR206">
        <f>4.620278519</f>
        <v>4.6202785190000002</v>
      </c>
      <c r="DS206">
        <f>4.98066429</f>
        <v>4.98066429</v>
      </c>
      <c r="DT206">
        <f>4.498498498</f>
        <v>4.498498498</v>
      </c>
      <c r="DU206">
        <f>4.557624437</f>
        <v>4.5576244370000003</v>
      </c>
      <c r="DV206">
        <f>4.298421808</f>
        <v>4.2984218079999996</v>
      </c>
      <c r="DW206">
        <f>4.306760128</f>
        <v>4.3067601279999996</v>
      </c>
      <c r="DX206">
        <f>4.190993699</f>
        <v>4.1909936989999999</v>
      </c>
      <c r="DY206">
        <f>4.437236061</f>
        <v>4.4372360610000001</v>
      </c>
      <c r="DZ206">
        <f>4.351582188</f>
        <v>4.3515821880000001</v>
      </c>
      <c r="EA206">
        <f>4.489803003</f>
        <v>4.4898030029999996</v>
      </c>
      <c r="EB206">
        <f>4.963402852</f>
        <v>4.9634028519999998</v>
      </c>
      <c r="EC206">
        <f>3.917526931</f>
        <v>3.9175269309999998</v>
      </c>
      <c r="ED206">
        <f>4.076788898</f>
        <v>4.0767888980000002</v>
      </c>
      <c r="EE206">
        <f>4.245663549</f>
        <v>4.2456635489999996</v>
      </c>
      <c r="EF206">
        <f>4.143336858</f>
        <v>4.1433368579999996</v>
      </c>
      <c r="EG206">
        <f>4.303851337</f>
        <v>4.3038513370000002</v>
      </c>
      <c r="EH206">
        <f>4.475258148</f>
        <v>4.475258148</v>
      </c>
      <c r="EI206">
        <f>3.889981391</f>
        <v>3.8899813910000001</v>
      </c>
      <c r="EJ206">
        <f>4.062274494</f>
        <v>4.0622744940000004</v>
      </c>
      <c r="EK206">
        <f>4.243346866</f>
        <v>4.2433468660000004</v>
      </c>
      <c r="EL206">
        <f>4.031363023</f>
        <v>4.0313630229999999</v>
      </c>
      <c r="EM206">
        <f>3.822138345</f>
        <v>3.8221383449999999</v>
      </c>
      <c r="EN206">
        <f>3.760786844</f>
        <v>3.7607868440000001</v>
      </c>
      <c r="EO206">
        <f>4.06543745</f>
        <v>4.0654374500000001</v>
      </c>
      <c r="EP206">
        <f>3.721794739</f>
        <v>3.7217947389999999</v>
      </c>
      <c r="EQ206">
        <f>3.733657253</f>
        <v>3.7336572530000001</v>
      </c>
      <c r="ER206">
        <f>3.635313584</f>
        <v>3.6353135839999999</v>
      </c>
      <c r="ES206">
        <f>3.624930096</f>
        <v>3.6249300959999999</v>
      </c>
      <c r="ET206">
        <f>3.807221126</f>
        <v>3.807221126</v>
      </c>
      <c r="EU206">
        <f>4.263884483</f>
        <v>4.263884483</v>
      </c>
      <c r="EV206">
        <f>4.100937669</f>
        <v>4.1009376690000003</v>
      </c>
      <c r="EW206">
        <f>3.925515894</f>
        <v>3.9255158940000001</v>
      </c>
      <c r="EX206">
        <f>3.976341908</f>
        <v>3.9763419080000002</v>
      </c>
      <c r="EY206">
        <f>3.865757598</f>
        <v>3.8657575980000001</v>
      </c>
      <c r="EZ206">
        <f>3.853534083</f>
        <v>3.853534083</v>
      </c>
      <c r="FA206">
        <f>3.509933578</f>
        <v>3.5099335780000001</v>
      </c>
      <c r="FB206">
        <f>3.377019512</f>
        <v>3.3770195119999999</v>
      </c>
      <c r="FC206">
        <f>3.510925926</f>
        <v>3.5109259260000001</v>
      </c>
      <c r="FD206">
        <f>3.40958068</f>
        <v>3.4095806799999999</v>
      </c>
      <c r="FE206">
        <f>3.277090096</f>
        <v>3.2770900959999998</v>
      </c>
      <c r="FF206">
        <f>3.370986204</f>
        <v>3.3709862039999998</v>
      </c>
      <c r="FG206">
        <f>3.52038945</f>
        <v>3.5203894500000001</v>
      </c>
      <c r="FH206">
        <f>3.356289243</f>
        <v>3.356289243</v>
      </c>
      <c r="FI206">
        <f>3.495320827</f>
        <v>3.495320827</v>
      </c>
      <c r="FJ206">
        <f>3.512590308</f>
        <v>3.5125903080000001</v>
      </c>
      <c r="FK206">
        <f>3.280326876</f>
        <v>3.2803268760000002</v>
      </c>
      <c r="FL206">
        <f>3.845216133</f>
        <v>3.8452161330000001</v>
      </c>
      <c r="FM206">
        <f>3.082925649</f>
        <v>3.0829256489999999</v>
      </c>
      <c r="FN206">
        <f>3.133239437</f>
        <v>3.1332394369999998</v>
      </c>
      <c r="FO206">
        <f>3.274528037</f>
        <v>3.2745280370000001</v>
      </c>
      <c r="FP206">
        <f>3.091835876</f>
        <v>3.0918358760000002</v>
      </c>
      <c r="FQ206">
        <f>3.24959008</f>
        <v>3.2495900799999999</v>
      </c>
    </row>
    <row r="207" spans="1:173">
      <c r="A207" t="str">
        <f>"    Camden 房地产信托公司"</f>
        <v xml:space="preserve">    Camden 房地产信托公司</v>
      </c>
      <c r="B207" t="str">
        <f>"CPT US Equity"</f>
        <v>CPT US Equity</v>
      </c>
      <c r="C207" t="str">
        <f t="shared" si="66"/>
        <v>RR890</v>
      </c>
      <c r="D207" t="str">
        <f t="shared" si="67"/>
        <v>FFO_YIELD</v>
      </c>
      <c r="E207" t="str">
        <f t="shared" si="68"/>
        <v>动态</v>
      </c>
      <c r="F207">
        <f ca="1">IF(AND(ISNUMBER($F$410),$B$252=1),$F$410,HLOOKUP(INDIRECT(ADDRESS(2,COLUMN())),OFFSET($CL$2,0,0,ROW()-1,84),ROW()-1,FALSE))</f>
        <v>5.4499516970000004</v>
      </c>
      <c r="G207">
        <f ca="1">IF(AND(ISNUMBER($G$410),$B$252=1),$G$410,HLOOKUP(INDIRECT(ADDRESS(2,COLUMN())),OFFSET($CL$2,0,0,ROW()-1,84),ROW()-1,FALSE))</f>
        <v>5.6831012420000002</v>
      </c>
      <c r="H207">
        <f ca="1">IF(AND(ISNUMBER($H$410),$B$252=1),$H$410,HLOOKUP(INDIRECT(ADDRESS(2,COLUMN())),OFFSET($CL$2,0,0,ROW()-1,84),ROW()-1,FALSE))</f>
        <v>5.2333641399999999</v>
      </c>
      <c r="I207">
        <f ca="1">IF(AND(ISNUMBER($I$410),$B$252=1),$I$410,HLOOKUP(INDIRECT(ADDRESS(2,COLUMN())),OFFSET($CL$2,0,0,ROW()-1,84),ROW()-1,FALSE))</f>
        <v>4.9207038890000003</v>
      </c>
      <c r="J207">
        <f ca="1">IF(AND(ISNUMBER($J$410),$B$252=1),$J$410,HLOOKUP(INDIRECT(ADDRESS(2,COLUMN())),OFFSET($CL$2,0,0,ROW()-1,84),ROW()-1,FALSE))</f>
        <v>4.9298860649999998</v>
      </c>
      <c r="K207">
        <f ca="1">IF(AND(ISNUMBER($K$410),$B$252=1),$K$410,HLOOKUP(INDIRECT(ADDRESS(2,COLUMN())),OFFSET($CL$2,0,0,ROW()-1,84),ROW()-1,FALSE))</f>
        <v>4.9320473480000002</v>
      </c>
      <c r="L207">
        <f ca="1">IF(AND(ISNUMBER($L$410),$B$252=1),$L$410,HLOOKUP(INDIRECT(ADDRESS(2,COLUMN())),OFFSET($CL$2,0,0,ROW()-1,84),ROW()-1,FALSE))</f>
        <v>4.9207217060000001</v>
      </c>
      <c r="M207">
        <f ca="1">IF(AND(ISNUMBER($M$410),$B$252=1),$M$410,HLOOKUP(INDIRECT(ADDRESS(2,COLUMN())),OFFSET($CL$2,0,0,ROW()-1,84),ROW()-1,FALSE))</f>
        <v>5.051408136</v>
      </c>
      <c r="N207">
        <f ca="1">IF(AND(ISNUMBER($N$410),$B$252=1),$N$410,HLOOKUP(INDIRECT(ADDRESS(2,COLUMN())),OFFSET($CL$2,0,0,ROW()-1,84),ROW()-1,FALSE))</f>
        <v>5.0390189520000002</v>
      </c>
      <c r="O207">
        <f ca="1">IF(AND(ISNUMBER($O$410),$B$252=1),$O$410,HLOOKUP(INDIRECT(ADDRESS(2,COLUMN())),OFFSET($CL$2,0,0,ROW()-1,84),ROW()-1,FALSE))</f>
        <v>5.2859314700000004</v>
      </c>
      <c r="P207">
        <f ca="1">IF(AND(ISNUMBER($P$410),$B$252=1),$P$410,HLOOKUP(INDIRECT(ADDRESS(2,COLUMN())),OFFSET($CL$2,0,0,ROW()-1,84),ROW()-1,FALSE))</f>
        <v>5.425519145</v>
      </c>
      <c r="Q207">
        <f ca="1">IF(AND(ISNUMBER($Q$410),$B$252=1),$Q$410,HLOOKUP(INDIRECT(ADDRESS(2,COLUMN())),OFFSET($CL$2,0,0,ROW()-1,84),ROW()-1,FALSE))</f>
        <v>5.4901008139999998</v>
      </c>
      <c r="R207">
        <f ca="1">IF(AND(ISNUMBER($R$410),$B$252=1),$R$410,HLOOKUP(INDIRECT(ADDRESS(2,COLUMN())),OFFSET($CL$2,0,0,ROW()-1,84),ROW()-1,FALSE))</f>
        <v>5.6176982349999998</v>
      </c>
      <c r="S207">
        <f ca="1">IF(AND(ISNUMBER($S$410),$B$252=1),$S$410,HLOOKUP(INDIRECT(ADDRESS(2,COLUMN())),OFFSET($CL$2,0,0,ROW()-1,84),ROW()-1,FALSE))</f>
        <v>5.4695806259999999</v>
      </c>
      <c r="T207">
        <f ca="1">IF(AND(ISNUMBER($T$410),$B$252=1),$T$410,HLOOKUP(INDIRECT(ADDRESS(2,COLUMN())),OFFSET($CL$2,0,0,ROW()-1,84),ROW()-1,FALSE))</f>
        <v>5.5402656459999999</v>
      </c>
      <c r="U207">
        <f ca="1">IF(AND(ISNUMBER($U$410),$B$252=1),$U$410,HLOOKUP(INDIRECT(ADDRESS(2,COLUMN())),OFFSET($CL$2,0,0,ROW()-1,84),ROW()-1,FALSE))</f>
        <v>5.5073153320000001</v>
      </c>
      <c r="V207">
        <f ca="1">IF(AND(ISNUMBER($V$410),$B$252=1),$V$410,HLOOKUP(INDIRECT(ADDRESS(2,COLUMN())),OFFSET($CL$2,0,0,ROW()-1,84),ROW()-1,FALSE))</f>
        <v>5.9458772709999996</v>
      </c>
      <c r="W207">
        <f ca="1">IF(AND(ISNUMBER($W$410),$B$252=1),$W$410,HLOOKUP(INDIRECT(ADDRESS(2,COLUMN())),OFFSET($CL$2,0,0,ROW()-1,84),ROW()-1,FALSE))</f>
        <v>5.7465618860000003</v>
      </c>
      <c r="X207">
        <f ca="1">IF(AND(ISNUMBER($X$410),$B$252=1),$X$410,HLOOKUP(INDIRECT(ADDRESS(2,COLUMN())),OFFSET($CL$2,0,0,ROW()-1,84),ROW()-1,FALSE))</f>
        <v>5.5887270119999997</v>
      </c>
      <c r="Y207">
        <f ca="1">IF(AND(ISNUMBER($Y$410),$B$252=1),$Y$410,HLOOKUP(INDIRECT(ADDRESS(2,COLUMN())),OFFSET($CL$2,0,0,ROW()-1,84),ROW()-1,FALSE))</f>
        <v>5.3435114500000003</v>
      </c>
      <c r="Z207">
        <f ca="1">IF(AND(ISNUMBER($Z$410),$B$252=1),$Z$410,HLOOKUP(INDIRECT(ADDRESS(2,COLUMN())),OFFSET($CL$2,0,0,ROW()-1,84),ROW()-1,FALSE))</f>
        <v>5.234959259</v>
      </c>
      <c r="AA207">
        <f ca="1">IF(AND(ISNUMBER($AA$410),$B$252=1),$AA$410,HLOOKUP(INDIRECT(ADDRESS(2,COLUMN())),OFFSET($CL$2,0,0,ROW()-1,84),ROW()-1,FALSE))</f>
        <v>5.304229812</v>
      </c>
      <c r="AB207">
        <f ca="1">IF(AND(ISNUMBER($AB$410),$B$252=1),$AB$410,HLOOKUP(INDIRECT(ADDRESS(2,COLUMN())),OFFSET($CL$2,0,0,ROW()-1,84),ROW()-1,FALSE))</f>
        <v>5.4688416850000001</v>
      </c>
      <c r="AC207">
        <f ca="1">IF(AND(ISNUMBER($AC$410),$B$252=1),$AC$410,HLOOKUP(INDIRECT(ADDRESS(2,COLUMN())),OFFSET($CL$2,0,0,ROW()-1,84),ROW()-1,FALSE))</f>
        <v>5.7723275110000003</v>
      </c>
      <c r="AD207">
        <f ca="1">IF(AND(ISNUMBER($AD$410),$B$252=1),$AD$410,HLOOKUP(INDIRECT(ADDRESS(2,COLUMN())),OFFSET($CL$2,0,0,ROW()-1,84),ROW()-1,FALSE))</f>
        <v>5.5416815320000001</v>
      </c>
      <c r="AE207">
        <f ca="1">IF(AND(ISNUMBER($AE$410),$B$252=1),$AE$410,HLOOKUP(INDIRECT(ADDRESS(2,COLUMN())),OFFSET($CL$2,0,0,ROW()-1,84),ROW()-1,FALSE))</f>
        <v>6.0743912230000001</v>
      </c>
      <c r="AF207">
        <f ca="1">IF(AND(ISNUMBER($AF$410),$B$252=1),$AF$410,HLOOKUP(INDIRECT(ADDRESS(2,COLUMN())),OFFSET($CL$2,0,0,ROW()-1,84),ROW()-1,FALSE))</f>
        <v>5.9501965920000002</v>
      </c>
      <c r="AG207">
        <f ca="1">IF(AND(ISNUMBER($AG$410),$B$252=1),$AG$410,HLOOKUP(INDIRECT(ADDRESS(2,COLUMN())),OFFSET($CL$2,0,0,ROW()-1,84),ROW()-1,FALSE))</f>
        <v>5.9145388219999999</v>
      </c>
      <c r="AH207">
        <f ca="1">IF(AND(ISNUMBER($AH$410),$B$252=1),$AH$410,HLOOKUP(INDIRECT(ADDRESS(2,COLUMN())),OFFSET($CL$2,0,0,ROW()-1,84),ROW()-1,FALSE))</f>
        <v>5.6690233049999996</v>
      </c>
      <c r="AI207">
        <f ca="1">IF(AND(ISNUMBER($AI$410),$B$252=1),$AI$410,HLOOKUP(INDIRECT(ADDRESS(2,COLUMN())),OFFSET($CL$2,0,0,ROW()-1,84),ROW()-1,FALSE))</f>
        <v>5.8680037949999999</v>
      </c>
      <c r="AJ207">
        <f ca="1">IF(AND(ISNUMBER($AJ$410),$B$252=1),$AJ$410,HLOOKUP(INDIRECT(ADDRESS(2,COLUMN())),OFFSET($CL$2,0,0,ROW()-1,84),ROW()-1,FALSE))</f>
        <v>5.8592692829999997</v>
      </c>
      <c r="AK207">
        <f ca="1">IF(AND(ISNUMBER($AK$410),$B$252=1),$AK$410,HLOOKUP(INDIRECT(ADDRESS(2,COLUMN())),OFFSET($CL$2,0,0,ROW()-1,84),ROW()-1,FALSE))</f>
        <v>5.9419686240000003</v>
      </c>
      <c r="AL207">
        <f ca="1">IF(AND(ISNUMBER($AL$410),$B$252=1),$AL$410,HLOOKUP(INDIRECT(ADDRESS(2,COLUMN())),OFFSET($CL$2,0,0,ROW()-1,84),ROW()-1,FALSE))</f>
        <v>5.3748587219999999</v>
      </c>
      <c r="AM207">
        <f ca="1">IF(AND(ISNUMBER($AM$410),$B$252=1),$AM$410,HLOOKUP(INDIRECT(ADDRESS(2,COLUMN())),OFFSET($CL$2,0,0,ROW()-1,84),ROW()-1,FALSE))</f>
        <v>5.7619816909999999</v>
      </c>
      <c r="AN207">
        <f ca="1">IF(AND(ISNUMBER($AN$410),$B$252=1),$AN$410,HLOOKUP(INDIRECT(ADDRESS(2,COLUMN())),OFFSET($CL$2,0,0,ROW()-1,84),ROW()-1,FALSE))</f>
        <v>5.6148306210000003</v>
      </c>
      <c r="AO207">
        <f ca="1">IF(AND(ISNUMBER($AO$410),$B$252=1),$AO$410,HLOOKUP(INDIRECT(ADDRESS(2,COLUMN())),OFFSET($CL$2,0,0,ROW()-1,84),ROW()-1,FALSE))</f>
        <v>5.6073521580000003</v>
      </c>
      <c r="AP207">
        <f ca="1">IF(AND(ISNUMBER($AP$410),$B$252=1),$AP$410,HLOOKUP(INDIRECT(ADDRESS(2,COLUMN())),OFFSET($CL$2,0,0,ROW()-1,84),ROW()-1,FALSE))</f>
        <v>5.3884551390000004</v>
      </c>
      <c r="AQ207">
        <f ca="1">IF(AND(ISNUMBER($AQ$410),$B$252=1),$AQ$410,HLOOKUP(INDIRECT(ADDRESS(2,COLUMN())),OFFSET($CL$2,0,0,ROW()-1,84),ROW()-1,FALSE))</f>
        <v>5.742547053</v>
      </c>
      <c r="AR207">
        <f ca="1">IF(AND(ISNUMBER($AR$410),$B$252=1),$AR$410,HLOOKUP(INDIRECT(ADDRESS(2,COLUMN())),OFFSET($CL$2,0,0,ROW()-1,84),ROW()-1,FALSE))</f>
        <v>5.4250486699999998</v>
      </c>
      <c r="AS207">
        <f ca="1">IF(AND(ISNUMBER($AS$410),$B$252=1),$AS$410,HLOOKUP(INDIRECT(ADDRESS(2,COLUMN())),OFFSET($CL$2,0,0,ROW()-1,84),ROW()-1,FALSE))</f>
        <v>5.6608884069999998</v>
      </c>
      <c r="AT207">
        <f ca="1">IF(AND(ISNUMBER($AT$410),$B$252=1),$AT$410,HLOOKUP(INDIRECT(ADDRESS(2,COLUMN())),OFFSET($CL$2,0,0,ROW()-1,84),ROW()-1,FALSE))</f>
        <v>5.5685967659999998</v>
      </c>
      <c r="AU207">
        <f ca="1">IF(AND(ISNUMBER($AU$410),$B$252=1),$AU$410,HLOOKUP(INDIRECT(ADDRESS(2,COLUMN())),OFFSET($CL$2,0,0,ROW()-1,84),ROW()-1,FALSE))</f>
        <v>5.5693230729999996</v>
      </c>
      <c r="AV207">
        <f ca="1">IF(AND(ISNUMBER($AV$410),$B$252=1),$AV$410,HLOOKUP(INDIRECT(ADDRESS(2,COLUMN())),OFFSET($CL$2,0,0,ROW()-1,84),ROW()-1,FALSE))</f>
        <v>6.2308478039999997</v>
      </c>
      <c r="AW207">
        <f ca="1">IF(AND(ISNUMBER($AW$410),$B$252=1),$AW$410,HLOOKUP(INDIRECT(ADDRESS(2,COLUMN())),OFFSET($CL$2,0,0,ROW()-1,84),ROW()-1,FALSE))</f>
        <v>5.6386958849999997</v>
      </c>
      <c r="AX207">
        <f ca="1">IF(AND(ISNUMBER($AX$410),$B$252=1),$AX$410,HLOOKUP(INDIRECT(ADDRESS(2,COLUMN())),OFFSET($CL$2,0,0,ROW()-1,84),ROW()-1,FALSE))</f>
        <v>5.8319513540000001</v>
      </c>
      <c r="AY207">
        <f ca="1">IF(AND(ISNUMBER($AY$410),$B$252=1),$AY$410,HLOOKUP(INDIRECT(ADDRESS(2,COLUMN())),OFFSET($CL$2,0,0,ROW()-1,84),ROW()-1,FALSE))</f>
        <v>5.9311314130000001</v>
      </c>
      <c r="AZ207">
        <f ca="1">IF(AND(ISNUMBER($AZ$410),$B$252=1),$AZ$410,HLOOKUP(INDIRECT(ADDRESS(2,COLUMN())),OFFSET($CL$2,0,0,ROW()-1,84),ROW()-1,FALSE))</f>
        <v>5.9652619590000002</v>
      </c>
      <c r="BA207">
        <f ca="1">IF(AND(ISNUMBER($BA$410),$B$252=1),$BA$410,HLOOKUP(INDIRECT(ADDRESS(2,COLUMN())),OFFSET($CL$2,0,0,ROW()-1,84),ROW()-1,FALSE))</f>
        <v>6.1176814129999997</v>
      </c>
      <c r="BB207">
        <f ca="1">IF(AND(ISNUMBER($BB$410),$B$252=1),$BB$410,HLOOKUP(INDIRECT(ADDRESS(2,COLUMN())),OFFSET($CL$2,0,0,ROW()-1,84),ROW()-1,FALSE))</f>
        <v>6.2221562219999997</v>
      </c>
      <c r="BC207">
        <f ca="1">IF(AND(ISNUMBER($BC$410),$B$252=1),$BC$410,HLOOKUP(INDIRECT(ADDRESS(2,COLUMN())),OFFSET($CL$2,0,0,ROW()-1,84),ROW()-1,FALSE))</f>
        <v>6.1619190399999999</v>
      </c>
      <c r="BD207">
        <f ca="1">IF(AND(ISNUMBER($BD$410),$B$252=1),$BD$410,HLOOKUP(INDIRECT(ADDRESS(2,COLUMN())),OFFSET($CL$2,0,0,ROW()-1,84),ROW()-1,FALSE))</f>
        <v>6.6483338730000003</v>
      </c>
      <c r="BE207">
        <f ca="1">IF(AND(ISNUMBER($BE$410),$B$252=1),$BE$410,HLOOKUP(INDIRECT(ADDRESS(2,COLUMN())),OFFSET($CL$2,0,0,ROW()-1,84),ROW()-1,FALSE))</f>
        <v>7.2257383969999998</v>
      </c>
      <c r="BF207">
        <f ca="1">IF(AND(ISNUMBER($BF$410),$B$252=1),$BF$410,HLOOKUP(INDIRECT(ADDRESS(2,COLUMN())),OFFSET($CL$2,0,0,ROW()-1,84),ROW()-1,FALSE))</f>
        <v>6.9060773480000002</v>
      </c>
      <c r="BG207">
        <f ca="1">IF(AND(ISNUMBER($BG$410),$B$252=1),$BG$410,HLOOKUP(INDIRECT(ADDRESS(2,COLUMN())),OFFSET($CL$2,0,0,ROW()-1,84),ROW()-1,FALSE))</f>
        <v>6.2305295950000001</v>
      </c>
      <c r="BH207">
        <f ca="1">IF(AND(ISNUMBER($BH$410),$B$252=1),$BH$410,HLOOKUP(INDIRECT(ADDRESS(2,COLUMN())),OFFSET($CL$2,0,0,ROW()-1,84),ROW()-1,FALSE))</f>
        <v>6.5104166670000003</v>
      </c>
      <c r="BI207">
        <f ca="1">IF(AND(ISNUMBER($BI$410),$B$252=1),$BI$410,HLOOKUP(INDIRECT(ADDRESS(2,COLUMN())),OFFSET($CL$2,0,0,ROW()-1,84),ROW()-1,FALSE))</f>
        <v>6.2955170740000002</v>
      </c>
      <c r="BJ207">
        <f ca="1">IF(AND(ISNUMBER($BJ$410),$B$252=1),$BJ$410,HLOOKUP(INDIRECT(ADDRESS(2,COLUMN())),OFFSET($CL$2,0,0,ROW()-1,84),ROW()-1,FALSE))</f>
        <v>5.5146016439999999</v>
      </c>
      <c r="BK207">
        <f ca="1">IF(AND(ISNUMBER($BK$410),$B$252=1),$BK$410,HLOOKUP(INDIRECT(ADDRESS(2,COLUMN())),OFFSET($CL$2,0,0,ROW()-1,84),ROW()-1,FALSE))</f>
        <v>5.6262655480000001</v>
      </c>
      <c r="BL207">
        <f ca="1">IF(AND(ISNUMBER($BL$410),$B$252=1),$BL$410,HLOOKUP(INDIRECT(ADDRESS(2,COLUMN())),OFFSET($CL$2,0,0,ROW()-1,84),ROW()-1,FALSE))</f>
        <v>5.4296028879999998</v>
      </c>
      <c r="BM207">
        <f ca="1">IF(AND(ISNUMBER($BM$410),$B$252=1),$BM$410,HLOOKUP(INDIRECT(ADDRESS(2,COLUMN())),OFFSET($CL$2,0,0,ROW()-1,84),ROW()-1,FALSE))</f>
        <v>5.1976776329999996</v>
      </c>
      <c r="BN207">
        <f ca="1">IF(AND(ISNUMBER($BN$410),$B$252=1),$BN$410,HLOOKUP(INDIRECT(ADDRESS(2,COLUMN())),OFFSET($CL$2,0,0,ROW()-1,84),ROW()-1,FALSE))</f>
        <v>5.4746651140000004</v>
      </c>
      <c r="BO207">
        <f ca="1">IF(AND(ISNUMBER($BO$410),$B$252=1),$BO$410,HLOOKUP(INDIRECT(ADDRESS(2,COLUMN())),OFFSET($CL$2,0,0,ROW()-1,84),ROW()-1,FALSE))</f>
        <v>5.2357535439999996</v>
      </c>
      <c r="BP207">
        <f ca="1">IF(AND(ISNUMBER($BP$410),$B$252=1),$BP$410,HLOOKUP(INDIRECT(ADDRESS(2,COLUMN())),OFFSET($CL$2,0,0,ROW()-1,84),ROW()-1,FALSE))</f>
        <v>5.2168900420000002</v>
      </c>
      <c r="BQ207">
        <f ca="1">IF(AND(ISNUMBER($BQ$410),$B$252=1),$BQ$410,HLOOKUP(INDIRECT(ADDRESS(2,COLUMN())),OFFSET($CL$2,0,0,ROW()-1,84),ROW()-1,FALSE))</f>
        <v>5.307139716</v>
      </c>
      <c r="BR207">
        <f ca="1">IF(AND(ISNUMBER($BR$410),$B$252=1),$BR$410,HLOOKUP(INDIRECT(ADDRESS(2,COLUMN())),OFFSET($CL$2,0,0,ROW()-1,84),ROW()-1,FALSE))</f>
        <v>5.312024353</v>
      </c>
      <c r="BS207">
        <f ca="1">IF(AND(ISNUMBER($BS$410),$B$252=1),$BS$410,HLOOKUP(INDIRECT(ADDRESS(2,COLUMN())),OFFSET($CL$2,0,0,ROW()-1,84),ROW()-1,FALSE))</f>
        <v>5.3176900810000003</v>
      </c>
      <c r="BT207">
        <f ca="1">IF(AND(ISNUMBER($BT$410),$B$252=1),$BT$410,HLOOKUP(INDIRECT(ADDRESS(2,COLUMN())),OFFSET($CL$2,0,0,ROW()-1,84),ROW()-1,FALSE))</f>
        <v>5.4116917349999998</v>
      </c>
      <c r="BU207">
        <f ca="1">IF(AND(ISNUMBER($BU$410),$B$252=1),$BU$410,HLOOKUP(INDIRECT(ADDRESS(2,COLUMN())),OFFSET($CL$2,0,0,ROW()-1,84),ROW()-1,FALSE))</f>
        <v>4.796197609</v>
      </c>
      <c r="BV207">
        <f ca="1">IF(AND(ISNUMBER($BV$410),$B$252=1),$BV$410,HLOOKUP(INDIRECT(ADDRESS(2,COLUMN())),OFFSET($CL$2,0,0,ROW()-1,84),ROW()-1,FALSE))</f>
        <v>4.6697517880000001</v>
      </c>
      <c r="BW207">
        <f ca="1">IF(AND(ISNUMBER($BW$410),$B$252=1),$BW$410,HLOOKUP(INDIRECT(ADDRESS(2,COLUMN())),OFFSET($CL$2,0,0,ROW()-1,84),ROW()-1,FALSE))</f>
        <v>4.9209398550000003</v>
      </c>
      <c r="BX207">
        <f ca="1">IF(AND(ISNUMBER($BX$410),$B$252=1),$BX$410,HLOOKUP(INDIRECT(ADDRESS(2,COLUMN())),OFFSET($CL$2,0,0,ROW()-1,84),ROW()-1,FALSE))</f>
        <v>4.3618491779999999</v>
      </c>
      <c r="BY207">
        <f ca="1">IF(AND(ISNUMBER($BY$410),$B$252=1),$BY$410,HLOOKUP(INDIRECT(ADDRESS(2,COLUMN())),OFFSET($CL$2,0,0,ROW()-1,84),ROW()-1,FALSE))</f>
        <v>4.1968375939999998</v>
      </c>
      <c r="BZ207">
        <f ca="1">IF(AND(ISNUMBER($BZ$410),$B$252=1),$BZ$410,HLOOKUP(INDIRECT(ADDRESS(2,COLUMN())),OFFSET($CL$2,0,0,ROW()-1,84),ROW()-1,FALSE))</f>
        <v>4.3193916349999997</v>
      </c>
      <c r="CA207">
        <f ca="1">IF(AND(ISNUMBER($CA$410),$B$252=1),$CA$410,HLOOKUP(INDIRECT(ADDRESS(2,COLUMN())),OFFSET($CL$2,0,0,ROW()-1,84),ROW()-1,FALSE))</f>
        <v>4.403225806</v>
      </c>
      <c r="CB207">
        <f ca="1">IF(AND(ISNUMBER($CB$410),$B$252=1),$CB$410,HLOOKUP(INDIRECT(ADDRESS(2,COLUMN())),OFFSET($CL$2,0,0,ROW()-1,84),ROW()-1,FALSE))</f>
        <v>4.2325581400000001</v>
      </c>
      <c r="CC207">
        <f ca="1">IF(AND(ISNUMBER($CC$410),$B$252=1),$CC$410,HLOOKUP(INDIRECT(ADDRESS(2,COLUMN())),OFFSET($CL$2,0,0,ROW()-1,84),ROW()-1,FALSE))</f>
        <v>4.3862467870000001</v>
      </c>
      <c r="CD207">
        <f ca="1">IF(AND(ISNUMBER($CD$410),$B$252=1),$CD$410,HLOOKUP(INDIRECT(ADDRESS(2,COLUMN())),OFFSET($CL$2,0,0,ROW()-1,84),ROW()-1,FALSE))</f>
        <v>4.538368266</v>
      </c>
      <c r="CE207">
        <f ca="1">IF(AND(ISNUMBER($CE$410),$B$252=1),$CE$410,HLOOKUP(INDIRECT(ADDRESS(2,COLUMN())),OFFSET($CL$2,0,0,ROW()-1,84),ROW()-1,FALSE))</f>
        <v>4.3205804749999999</v>
      </c>
      <c r="CF207">
        <f ca="1">IF(AND(ISNUMBER($CF$410),$B$252=1),$CF$410,HLOOKUP(INDIRECT(ADDRESS(2,COLUMN())),OFFSET($CL$2,0,0,ROW()-1,84),ROW()-1,FALSE))</f>
        <v>4.7412233080000004</v>
      </c>
      <c r="CG207">
        <f ca="1">IF(AND(ISNUMBER($CG$410),$B$252=1),$CG$410,HLOOKUP(INDIRECT(ADDRESS(2,COLUMN())),OFFSET($CL$2,0,0,ROW()-1,84),ROW()-1,FALSE))</f>
        <v>3.7413947919999999</v>
      </c>
      <c r="CH207">
        <f ca="1">IF(AND(ISNUMBER($CH$410),$B$252=1),$CH$410,HLOOKUP(INDIRECT(ADDRESS(2,COLUMN())),OFFSET($CL$2,0,0,ROW()-1,84),ROW()-1,FALSE))</f>
        <v>3.7274489339999999</v>
      </c>
      <c r="CI207">
        <f ca="1">IF(AND(ISNUMBER($CI$410),$B$252=1),$CI$410,HLOOKUP(INDIRECT(ADDRESS(2,COLUMN())),OFFSET($CL$2,0,0,ROW()-1,84),ROW()-1,FALSE))</f>
        <v>3.9295818919999999</v>
      </c>
      <c r="CJ207">
        <f ca="1">IF(AND(ISNUMBER($CJ$410),$B$252=1),$CJ$410,HLOOKUP(INDIRECT(ADDRESS(2,COLUMN())),OFFSET($CL$2,0,0,ROW()-1,84),ROW()-1,FALSE))</f>
        <v>4.2937149970000004</v>
      </c>
      <c r="CK207">
        <f ca="1">IF(AND(ISNUMBER($CK$410),$B$252=1),$CK$410,HLOOKUP(INDIRECT(ADDRESS(2,COLUMN())),OFFSET($CL$2,0,0,ROW()-1,84),ROW()-1,FALSE))</f>
        <v>4.3984063750000004</v>
      </c>
      <c r="CL207">
        <f>5.449951697</f>
        <v>5.4499516970000004</v>
      </c>
      <c r="CM207">
        <f>5.683101242</f>
        <v>5.6831012420000002</v>
      </c>
      <c r="CN207">
        <f>5.23336414</f>
        <v>5.2333641399999999</v>
      </c>
      <c r="CO207">
        <f>4.920703889</f>
        <v>4.9207038890000003</v>
      </c>
      <c r="CP207">
        <f>4.929886065</f>
        <v>4.9298860649999998</v>
      </c>
      <c r="CQ207">
        <f>4.932047348</f>
        <v>4.9320473480000002</v>
      </c>
      <c r="CR207">
        <f>4.920721706</f>
        <v>4.9207217060000001</v>
      </c>
      <c r="CS207">
        <f>5.051408136</f>
        <v>5.051408136</v>
      </c>
      <c r="CT207">
        <f>5.039018952</f>
        <v>5.0390189520000002</v>
      </c>
      <c r="CU207">
        <f>5.28593147</f>
        <v>5.2859314700000004</v>
      </c>
      <c r="CV207">
        <f>5.425519145</f>
        <v>5.425519145</v>
      </c>
      <c r="CW207">
        <f>5.490100814</f>
        <v>5.4901008139999998</v>
      </c>
      <c r="CX207">
        <f>5.617698235</f>
        <v>5.6176982349999998</v>
      </c>
      <c r="CY207">
        <f>5.469580626</f>
        <v>5.4695806259999999</v>
      </c>
      <c r="CZ207">
        <f>5.540265646</f>
        <v>5.5402656459999999</v>
      </c>
      <c r="DA207">
        <f>5.507315332</f>
        <v>5.5073153320000001</v>
      </c>
      <c r="DB207">
        <f>5.945877271</f>
        <v>5.9458772709999996</v>
      </c>
      <c r="DC207">
        <f>5.746561886</f>
        <v>5.7465618860000003</v>
      </c>
      <c r="DD207">
        <f>5.588727012</f>
        <v>5.5887270119999997</v>
      </c>
      <c r="DE207">
        <f>5.34351145</f>
        <v>5.3435114500000003</v>
      </c>
      <c r="DF207">
        <f>5.234959259</f>
        <v>5.234959259</v>
      </c>
      <c r="DG207">
        <f>5.304229812</f>
        <v>5.304229812</v>
      </c>
      <c r="DH207">
        <f>5.468841685</f>
        <v>5.4688416850000001</v>
      </c>
      <c r="DI207">
        <f>5.772327511</f>
        <v>5.7723275110000003</v>
      </c>
      <c r="DJ207">
        <f>5.541681532</f>
        <v>5.5416815320000001</v>
      </c>
      <c r="DK207">
        <f>6.074391223</f>
        <v>6.0743912230000001</v>
      </c>
      <c r="DL207">
        <f>5.950196592</f>
        <v>5.9501965920000002</v>
      </c>
      <c r="DM207">
        <f>5.914538822</f>
        <v>5.9145388219999999</v>
      </c>
      <c r="DN207">
        <f>5.669023305</f>
        <v>5.6690233049999996</v>
      </c>
      <c r="DO207">
        <f>5.868003795</f>
        <v>5.8680037949999999</v>
      </c>
      <c r="DP207">
        <f>5.859269283</f>
        <v>5.8592692829999997</v>
      </c>
      <c r="DQ207">
        <f>5.941968624</f>
        <v>5.9419686240000003</v>
      </c>
      <c r="DR207">
        <f>5.374858722</f>
        <v>5.3748587219999999</v>
      </c>
      <c r="DS207">
        <f>5.761981691</f>
        <v>5.7619816909999999</v>
      </c>
      <c r="DT207">
        <f>5.614830621</f>
        <v>5.6148306210000003</v>
      </c>
      <c r="DU207">
        <f>5.607352158</f>
        <v>5.6073521580000003</v>
      </c>
      <c r="DV207">
        <f>5.388455139</f>
        <v>5.3884551390000004</v>
      </c>
      <c r="DW207">
        <f>5.742547053</f>
        <v>5.742547053</v>
      </c>
      <c r="DX207">
        <f>5.42504867</f>
        <v>5.4250486699999998</v>
      </c>
      <c r="DY207">
        <f>5.660888407</f>
        <v>5.6608884069999998</v>
      </c>
      <c r="DZ207">
        <f>5.568596766</f>
        <v>5.5685967659999998</v>
      </c>
      <c r="EA207">
        <f>5.569323073</f>
        <v>5.5693230729999996</v>
      </c>
      <c r="EB207">
        <f>6.230847804</f>
        <v>6.2308478039999997</v>
      </c>
      <c r="EC207">
        <f>5.638695885</f>
        <v>5.6386958849999997</v>
      </c>
      <c r="ED207">
        <f>5.831951354</f>
        <v>5.8319513540000001</v>
      </c>
      <c r="EE207">
        <f>5.931131413</f>
        <v>5.9311314130000001</v>
      </c>
      <c r="EF207">
        <f>5.965261959</f>
        <v>5.9652619590000002</v>
      </c>
      <c r="EG207">
        <f>6.117681413</f>
        <v>6.1176814129999997</v>
      </c>
      <c r="EH207">
        <f>6.222156222</f>
        <v>6.2221562219999997</v>
      </c>
      <c r="EI207">
        <f>6.16191904</f>
        <v>6.1619190399999999</v>
      </c>
      <c r="EJ207">
        <f>6.648333873</f>
        <v>6.6483338730000003</v>
      </c>
      <c r="EK207">
        <f>7.225738397</f>
        <v>7.2257383969999998</v>
      </c>
      <c r="EL207">
        <f>6.906077348</f>
        <v>6.9060773480000002</v>
      </c>
      <c r="EM207">
        <f>6.230529595</f>
        <v>6.2305295950000001</v>
      </c>
      <c r="EN207">
        <f>6.510416667</f>
        <v>6.5104166670000003</v>
      </c>
      <c r="EO207">
        <f>6.295517074</f>
        <v>6.2955170740000002</v>
      </c>
      <c r="EP207">
        <f>5.514601644</f>
        <v>5.5146016439999999</v>
      </c>
      <c r="EQ207">
        <f>5.626265548</f>
        <v>5.6262655480000001</v>
      </c>
      <c r="ER207">
        <f>5.429602888</f>
        <v>5.4296028879999998</v>
      </c>
      <c r="ES207">
        <f>5.197677633</f>
        <v>5.1976776329999996</v>
      </c>
      <c r="ET207">
        <f>5.474665114</f>
        <v>5.4746651140000004</v>
      </c>
      <c r="EU207">
        <f>5.235753544</f>
        <v>5.2357535439999996</v>
      </c>
      <c r="EV207">
        <f>5.216890042</f>
        <v>5.2168900420000002</v>
      </c>
      <c r="EW207">
        <f>5.307139716</f>
        <v>5.307139716</v>
      </c>
      <c r="EX207">
        <f>5.312024353</f>
        <v>5.312024353</v>
      </c>
      <c r="EY207">
        <f>5.317690081</f>
        <v>5.3176900810000003</v>
      </c>
      <c r="EZ207">
        <f>5.411691735</f>
        <v>5.4116917349999998</v>
      </c>
      <c r="FA207">
        <f>4.796197609</f>
        <v>4.796197609</v>
      </c>
      <c r="FB207">
        <f>4.669751788</f>
        <v>4.6697517880000001</v>
      </c>
      <c r="FC207">
        <f>4.920939855</f>
        <v>4.9209398550000003</v>
      </c>
      <c r="FD207">
        <f>4.361849178</f>
        <v>4.3618491779999999</v>
      </c>
      <c r="FE207">
        <f>4.196837594</f>
        <v>4.1968375939999998</v>
      </c>
      <c r="FF207">
        <f>4.319391635</f>
        <v>4.3193916349999997</v>
      </c>
      <c r="FG207">
        <f>4.403225806</f>
        <v>4.403225806</v>
      </c>
      <c r="FH207">
        <f>4.23255814</f>
        <v>4.2325581400000001</v>
      </c>
      <c r="FI207">
        <f>4.386246787</f>
        <v>4.3862467870000001</v>
      </c>
      <c r="FJ207">
        <f>4.538368266</f>
        <v>4.538368266</v>
      </c>
      <c r="FK207">
        <f>4.320580475</f>
        <v>4.3205804749999999</v>
      </c>
      <c r="FL207">
        <f>4.741223308</f>
        <v>4.7412233080000004</v>
      </c>
      <c r="FM207">
        <f>3.741394792</f>
        <v>3.7413947919999999</v>
      </c>
      <c r="FN207">
        <f>3.727448934</f>
        <v>3.7274489339999999</v>
      </c>
      <c r="FO207">
        <f>3.929581892</f>
        <v>3.9295818919999999</v>
      </c>
      <c r="FP207">
        <f>4.293714997</f>
        <v>4.2937149970000004</v>
      </c>
      <c r="FQ207">
        <f>4.398406375</f>
        <v>4.3984063750000004</v>
      </c>
    </row>
    <row r="208" spans="1:173">
      <c r="A208" t="str">
        <f>"    公寓物业权益信托"</f>
        <v xml:space="preserve">    公寓物业权益信托</v>
      </c>
      <c r="B208" t="str">
        <f>"EQR US Equity"</f>
        <v>EQR US Equity</v>
      </c>
      <c r="C208" t="str">
        <f t="shared" si="66"/>
        <v>RR890</v>
      </c>
      <c r="D208" t="str">
        <f t="shared" si="67"/>
        <v>FFO_YIELD</v>
      </c>
      <c r="E208" t="str">
        <f t="shared" si="68"/>
        <v>动态</v>
      </c>
      <c r="F208">
        <f ca="1">IF(AND(ISNUMBER($F$411),$B$252=1),$F$411,HLOOKUP(INDIRECT(ADDRESS(2,COLUMN())),OFFSET($CL$2,0,0,ROW()-1,84),ROW()-1,FALSE))</f>
        <v>5.3225535739999996</v>
      </c>
      <c r="G208">
        <f ca="1">IF(AND(ISNUMBER($G$411),$B$252=1),$G$411,HLOOKUP(INDIRECT(ADDRESS(2,COLUMN())),OFFSET($CL$2,0,0,ROW()-1,84),ROW()-1,FALSE))</f>
        <v>5.6197759200000004</v>
      </c>
      <c r="H208">
        <f ca="1">IF(AND(ISNUMBER($H$411),$B$252=1),$H$411,HLOOKUP(INDIRECT(ADDRESS(2,COLUMN())),OFFSET($CL$2,0,0,ROW()-1,84),ROW()-1,FALSE))</f>
        <v>5.1290374940000003</v>
      </c>
      <c r="I208">
        <f ca="1">IF(AND(ISNUMBER($I$411),$B$252=1),$I$411,HLOOKUP(INDIRECT(ADDRESS(2,COLUMN())),OFFSET($CL$2,0,0,ROW()-1,84),ROW()-1,FALSE))</f>
        <v>4.9553081389999996</v>
      </c>
      <c r="J208">
        <f ca="1">IF(AND(ISNUMBER($J$411),$B$252=1),$J$411,HLOOKUP(INDIRECT(ADDRESS(2,COLUMN())),OFFSET($CL$2,0,0,ROW()-1,84),ROW()-1,FALSE))</f>
        <v>4.714157438</v>
      </c>
      <c r="K208">
        <f ca="1">IF(AND(ISNUMBER($K$411),$B$252=1),$K$411,HLOOKUP(INDIRECT(ADDRESS(2,COLUMN())),OFFSET($CL$2,0,0,ROW()-1,84),ROW()-1,FALSE))</f>
        <v>4.6833184660000002</v>
      </c>
      <c r="L208">
        <f ca="1">IF(AND(ISNUMBER($L$411),$B$252=1),$L$411,HLOOKUP(INDIRECT(ADDRESS(2,COLUMN())),OFFSET($CL$2,0,0,ROW()-1,84),ROW()-1,FALSE))</f>
        <v>4.7777946309999999</v>
      </c>
      <c r="M208">
        <f ca="1">IF(AND(ISNUMBER($M$411),$B$252=1),$M$411,HLOOKUP(INDIRECT(ADDRESS(2,COLUMN())),OFFSET($CL$2,0,0,ROW()-1,84),ROW()-1,FALSE))</f>
        <v>4.646314222</v>
      </c>
      <c r="N208">
        <f ca="1">IF(AND(ISNUMBER($N$411),$B$252=1),$N$411,HLOOKUP(INDIRECT(ADDRESS(2,COLUMN())),OFFSET($CL$2,0,0,ROW()-1,84),ROW()-1,FALSE))</f>
        <v>4.5841904199999997</v>
      </c>
      <c r="O208">
        <f ca="1">IF(AND(ISNUMBER($O$411),$B$252=1),$O$411,HLOOKUP(INDIRECT(ADDRESS(2,COLUMN())),OFFSET($CL$2,0,0,ROW()-1,84),ROW()-1,FALSE))</f>
        <v>4.7394804800000001</v>
      </c>
      <c r="P208">
        <f ca="1">IF(AND(ISNUMBER($P$411),$B$252=1),$P$411,HLOOKUP(INDIRECT(ADDRESS(2,COLUMN())),OFFSET($CL$2,0,0,ROW()-1,84),ROW()-1,FALSE))</f>
        <v>5.0084498389999998</v>
      </c>
      <c r="Q208">
        <f ca="1">IF(AND(ISNUMBER($Q$411),$B$252=1),$Q$411,HLOOKUP(INDIRECT(ADDRESS(2,COLUMN())),OFFSET($CL$2,0,0,ROW()-1,84),ROW()-1,FALSE))</f>
        <v>5.0480024779999999</v>
      </c>
      <c r="R208">
        <f ca="1">IF(AND(ISNUMBER($R$411),$B$252=1),$R$411,HLOOKUP(INDIRECT(ADDRESS(2,COLUMN())),OFFSET($CL$2,0,0,ROW()-1,84),ROW()-1,FALSE))</f>
        <v>5.2394728380000002</v>
      </c>
      <c r="S208">
        <f ca="1">IF(AND(ISNUMBER($S$411),$B$252=1),$S$411,HLOOKUP(INDIRECT(ADDRESS(2,COLUMN())),OFFSET($CL$2,0,0,ROW()-1,84),ROW()-1,FALSE))</f>
        <v>4.7090534330000002</v>
      </c>
      <c r="T208">
        <f ca="1">IF(AND(ISNUMBER($T$411),$B$252=1),$T$411,HLOOKUP(INDIRECT(ADDRESS(2,COLUMN())),OFFSET($CL$2,0,0,ROW()-1,84),ROW()-1,FALSE))</f>
        <v>4.887279908</v>
      </c>
      <c r="U208">
        <f ca="1">IF(AND(ISNUMBER($U$411),$B$252=1),$U$411,HLOOKUP(INDIRECT(ADDRESS(2,COLUMN())),OFFSET($CL$2,0,0,ROW()-1,84),ROW()-1,FALSE))</f>
        <v>4.614667495</v>
      </c>
      <c r="V208">
        <f ca="1">IF(AND(ISNUMBER($V$411),$B$252=1),$V$411,HLOOKUP(INDIRECT(ADDRESS(2,COLUMN())),OFFSET($CL$2,0,0,ROW()-1,84),ROW()-1,FALSE))</f>
        <v>5.1037210460000004</v>
      </c>
      <c r="W208">
        <f ca="1">IF(AND(ISNUMBER($W$411),$B$252=1),$W$411,HLOOKUP(INDIRECT(ADDRESS(2,COLUMN())),OFFSET($CL$2,0,0,ROW()-1,84),ROW()-1,FALSE))</f>
        <v>4.9599076919999998</v>
      </c>
      <c r="X208">
        <f ca="1">IF(AND(ISNUMBER($X$411),$B$252=1),$X$411,HLOOKUP(INDIRECT(ADDRESS(2,COLUMN())),OFFSET($CL$2,0,0,ROW()-1,84),ROW()-1,FALSE))</f>
        <v>4.7609870980000002</v>
      </c>
      <c r="Y208">
        <f ca="1">IF(AND(ISNUMBER($Y$411),$B$252=1),$Y$411,HLOOKUP(INDIRECT(ADDRESS(2,COLUMN())),OFFSET($CL$2,0,0,ROW()-1,84),ROW()-1,FALSE))</f>
        <v>4.877360876</v>
      </c>
      <c r="Z208">
        <f ca="1">IF(AND(ISNUMBER($Z$411),$B$252=1),$Z$411,HLOOKUP(INDIRECT(ADDRESS(2,COLUMN())),OFFSET($CL$2,0,0,ROW()-1,84),ROW()-1,FALSE))</f>
        <v>4.6535431679999997</v>
      </c>
      <c r="AA208">
        <f ca="1">IF(AND(ISNUMBER($AA$411),$B$252=1),$AA$411,HLOOKUP(INDIRECT(ADDRESS(2,COLUMN())),OFFSET($CL$2,0,0,ROW()-1,84),ROW()-1,FALSE))</f>
        <v>4.5934146340000002</v>
      </c>
      <c r="AB208">
        <f ca="1">IF(AND(ISNUMBER($AB$411),$B$252=1),$AB$411,HLOOKUP(INDIRECT(ADDRESS(2,COLUMN())),OFFSET($CL$2,0,0,ROW()-1,84),ROW()-1,FALSE))</f>
        <v>4.567621731</v>
      </c>
      <c r="AC208">
        <f ca="1">IF(AND(ISNUMBER($AC$411),$B$252=1),$AC$411,HLOOKUP(INDIRECT(ADDRESS(2,COLUMN())),OFFSET($CL$2,0,0,ROW()-1,84),ROW()-1,FALSE))</f>
        <v>4.64411782</v>
      </c>
      <c r="AD208">
        <f ca="1">IF(AND(ISNUMBER($AD$411),$B$252=1),$AD$411,HLOOKUP(INDIRECT(ADDRESS(2,COLUMN())),OFFSET($CL$2,0,0,ROW()-1,84),ROW()-1,FALSE))</f>
        <v>4.2133160070000004</v>
      </c>
      <c r="AE208">
        <f ca="1">IF(AND(ISNUMBER($AE$411),$B$252=1),$AE$411,HLOOKUP(INDIRECT(ADDRESS(2,COLUMN())),OFFSET($CL$2,0,0,ROW()-1,84),ROW()-1,FALSE))</f>
        <v>4.6734474429999997</v>
      </c>
      <c r="AF208">
        <f ca="1">IF(AND(ISNUMBER($AF$411),$B$252=1),$AF$411,HLOOKUP(INDIRECT(ADDRESS(2,COLUMN())),OFFSET($CL$2,0,0,ROW()-1,84),ROW()-1,FALSE))</f>
        <v>4.5158269559999997</v>
      </c>
      <c r="AG208">
        <f ca="1">IF(AND(ISNUMBER($AG$411),$B$252=1),$AG$411,HLOOKUP(INDIRECT(ADDRESS(2,COLUMN())),OFFSET($CL$2,0,0,ROW()-1,84),ROW()-1,FALSE))</f>
        <v>4.2667618579999997</v>
      </c>
      <c r="AH208">
        <f ca="1">IF(AND(ISNUMBER($AH$411),$B$252=1),$AH$411,HLOOKUP(INDIRECT(ADDRESS(2,COLUMN())),OFFSET($CL$2,0,0,ROW()-1,84),ROW()-1,FALSE))</f>
        <v>4.2952994240000004</v>
      </c>
      <c r="AI208">
        <f ca="1">IF(AND(ISNUMBER($AI$411),$B$252=1),$AI$411,HLOOKUP(INDIRECT(ADDRESS(2,COLUMN())),OFFSET($CL$2,0,0,ROW()-1,84),ROW()-1,FALSE))</f>
        <v>4.4341800310000004</v>
      </c>
      <c r="AJ208">
        <f ca="1">IF(AND(ISNUMBER($AJ$411),$B$252=1),$AJ$411,HLOOKUP(INDIRECT(ADDRESS(2,COLUMN())),OFFSET($CL$2,0,0,ROW()-1,84),ROW()-1,FALSE))</f>
        <v>4.5640415340000002</v>
      </c>
      <c r="AK208">
        <f ca="1">IF(AND(ISNUMBER($AK$411),$B$252=1),$AK$411,HLOOKUP(INDIRECT(ADDRESS(2,COLUMN())),OFFSET($CL$2,0,0,ROW()-1,84),ROW()-1,FALSE))</f>
        <v>4.7260449119999999</v>
      </c>
      <c r="AL208">
        <f ca="1">IF(AND(ISNUMBER($AL$411),$B$252=1),$AL$411,HLOOKUP(INDIRECT(ADDRESS(2,COLUMN())),OFFSET($CL$2,0,0,ROW()-1,84),ROW()-1,FALSE))</f>
        <v>4.5011455690000002</v>
      </c>
      <c r="AM208">
        <f ca="1">IF(AND(ISNUMBER($AM$411),$B$252=1),$AM$411,HLOOKUP(INDIRECT(ADDRESS(2,COLUMN())),OFFSET($CL$2,0,0,ROW()-1,84),ROW()-1,FALSE))</f>
        <v>4.7987843809999999</v>
      </c>
      <c r="AN208">
        <f ca="1">IF(AND(ISNUMBER($AN$411),$B$252=1),$AN$411,HLOOKUP(INDIRECT(ADDRESS(2,COLUMN())),OFFSET($CL$2,0,0,ROW()-1,84),ROW()-1,FALSE))</f>
        <v>4.3864370289999997</v>
      </c>
      <c r="AO208">
        <f ca="1">IF(AND(ISNUMBER($AO$411),$B$252=1),$AO$411,HLOOKUP(INDIRECT(ADDRESS(2,COLUMN())),OFFSET($CL$2,0,0,ROW()-1,84),ROW()-1,FALSE))</f>
        <v>4.4137557540000003</v>
      </c>
      <c r="AP208">
        <f ca="1">IF(AND(ISNUMBER($AP$411),$B$252=1),$AP$411,HLOOKUP(INDIRECT(ADDRESS(2,COLUMN())),OFFSET($CL$2,0,0,ROW()-1,84),ROW()-1,FALSE))</f>
        <v>4.1870023119999997</v>
      </c>
      <c r="AQ208">
        <f ca="1">IF(AND(ISNUMBER($AQ$411),$B$252=1),$AQ$411,HLOOKUP(INDIRECT(ADDRESS(2,COLUMN())),OFFSET($CL$2,0,0,ROW()-1,84),ROW()-1,FALSE))</f>
        <v>4.1282617159999999</v>
      </c>
      <c r="AR208">
        <f ca="1">IF(AND(ISNUMBER($AR$411),$B$252=1),$AR$411,HLOOKUP(INDIRECT(ADDRESS(2,COLUMN())),OFFSET($CL$2,0,0,ROW()-1,84),ROW()-1,FALSE))</f>
        <v>4.0974101279999999</v>
      </c>
      <c r="AS208">
        <f ca="1">IF(AND(ISNUMBER($AS$411),$B$252=1),$AS$411,HLOOKUP(INDIRECT(ADDRESS(2,COLUMN())),OFFSET($CL$2,0,0,ROW()-1,84),ROW()-1,FALSE))</f>
        <v>4.4265033410000001</v>
      </c>
      <c r="AT208">
        <f ca="1">IF(AND(ISNUMBER($AT$411),$B$252=1),$AT$411,HLOOKUP(INDIRECT(ADDRESS(2,COLUMN())),OFFSET($CL$2,0,0,ROW()-1,84),ROW()-1,FALSE))</f>
        <v>4.2066629019999997</v>
      </c>
      <c r="AU208">
        <f ca="1">IF(AND(ISNUMBER($AU$411),$B$252=1),$AU$411,HLOOKUP(INDIRECT(ADDRESS(2,COLUMN())),OFFSET($CL$2,0,0,ROW()-1,84),ROW()-1,FALSE))</f>
        <v>4.2840713050000003</v>
      </c>
      <c r="AV208">
        <f ca="1">IF(AND(ISNUMBER($AV$411),$B$252=1),$AV$411,HLOOKUP(INDIRECT(ADDRESS(2,COLUMN())),OFFSET($CL$2,0,0,ROW()-1,84),ROW()-1,FALSE))</f>
        <v>4.8392335170000003</v>
      </c>
      <c r="AW208">
        <f ca="1">IF(AND(ISNUMBER($AW$411),$B$252=1),$AW$411,HLOOKUP(INDIRECT(ADDRESS(2,COLUMN())),OFFSET($CL$2,0,0,ROW()-1,84),ROW()-1,FALSE))</f>
        <v>4.3327817059999996</v>
      </c>
      <c r="AX208">
        <f ca="1">IF(AND(ISNUMBER($AX$411),$B$252=1),$AX$411,HLOOKUP(INDIRECT(ADDRESS(2,COLUMN())),OFFSET($CL$2,0,0,ROW()-1,84),ROW()-1,FALSE))</f>
        <v>4.4547563810000002</v>
      </c>
      <c r="AY208">
        <f ca="1">IF(AND(ISNUMBER($AY$411),$B$252=1),$AY$411,HLOOKUP(INDIRECT(ADDRESS(2,COLUMN())),OFFSET($CL$2,0,0,ROW()-1,84),ROW()-1,FALSE))</f>
        <v>4.5714285710000002</v>
      </c>
      <c r="AZ208">
        <f ca="1">IF(AND(ISNUMBER($AZ$411),$B$252=1),$AZ$411,HLOOKUP(INDIRECT(ADDRESS(2,COLUMN())),OFFSET($CL$2,0,0,ROW()-1,84),ROW()-1,FALSE))</f>
        <v>4.5954692560000003</v>
      </c>
      <c r="BA208">
        <f ca="1">IF(AND(ISNUMBER($BA$411),$B$252=1),$BA$411,HLOOKUP(INDIRECT(ADDRESS(2,COLUMN())),OFFSET($CL$2,0,0,ROW()-1,84),ROW()-1,FALSE))</f>
        <v>4.777927322</v>
      </c>
      <c r="BB208">
        <f ca="1">IF(AND(ISNUMBER($BB$411),$B$252=1),$BB$411,HLOOKUP(INDIRECT(ADDRESS(2,COLUMN())),OFFSET($CL$2,0,0,ROW()-1,84),ROW()-1,FALSE))</f>
        <v>4.8973961030000002</v>
      </c>
      <c r="BC208">
        <f ca="1">IF(AND(ISNUMBER($BC$411),$B$252=1),$BC$411,HLOOKUP(INDIRECT(ADDRESS(2,COLUMN())),OFFSET($CL$2,0,0,ROW()-1,84),ROW()-1,FALSE))</f>
        <v>4.0362579099999998</v>
      </c>
      <c r="BD208">
        <f ca="1">IF(AND(ISNUMBER($BD$411),$B$252=1),$BD$411,HLOOKUP(INDIRECT(ADDRESS(2,COLUMN())),OFFSET($CL$2,0,0,ROW()-1,84),ROW()-1,FALSE))</f>
        <v>4.2614662330000002</v>
      </c>
      <c r="BE208">
        <f ca="1">IF(AND(ISNUMBER($BE$411),$B$252=1),$BE$411,HLOOKUP(INDIRECT(ADDRESS(2,COLUMN())),OFFSET($CL$2,0,0,ROW()-1,84),ROW()-1,FALSE))</f>
        <v>4.549836129</v>
      </c>
      <c r="BF208">
        <f ca="1">IF(AND(ISNUMBER($BF$411),$B$252=1),$BF$411,HLOOKUP(INDIRECT(ADDRESS(2,COLUMN())),OFFSET($CL$2,0,0,ROW()-1,84),ROW()-1,FALSE))</f>
        <v>5.1222351570000004</v>
      </c>
      <c r="BG208">
        <f ca="1">IF(AND(ISNUMBER($BG$411),$B$252=1),$BG$411,HLOOKUP(INDIRECT(ADDRESS(2,COLUMN())),OFFSET($CL$2,0,0,ROW()-1,84),ROW()-1,FALSE))</f>
        <v>5.0420168070000004</v>
      </c>
      <c r="BH208">
        <f ca="1">IF(AND(ISNUMBER($BH$411),$B$252=1),$BH$411,HLOOKUP(INDIRECT(ADDRESS(2,COLUMN())),OFFSET($CL$2,0,0,ROW()-1,84),ROW()-1,FALSE))</f>
        <v>4.9281314170000003</v>
      </c>
      <c r="BI208">
        <f ca="1">IF(AND(ISNUMBER($BI$411),$B$252=1),$BI$411,HLOOKUP(INDIRECT(ADDRESS(2,COLUMN())),OFFSET($CL$2,0,0,ROW()-1,84),ROW()-1,FALSE))</f>
        <v>5.4923877430000001</v>
      </c>
      <c r="BJ208">
        <f ca="1">IF(AND(ISNUMBER($BJ$411),$B$252=1),$BJ$411,HLOOKUP(INDIRECT(ADDRESS(2,COLUMN())),OFFSET($CL$2,0,0,ROW()-1,84),ROW()-1,FALSE))</f>
        <v>5.0892857139999998</v>
      </c>
      <c r="BK208">
        <f ca="1">IF(AND(ISNUMBER($BK$411),$B$252=1),$BK$411,HLOOKUP(INDIRECT(ADDRESS(2,COLUMN())),OFFSET($CL$2,0,0,ROW()-1,84),ROW()-1,FALSE))</f>
        <v>4.9087151220000003</v>
      </c>
      <c r="BL208">
        <f ca="1">IF(AND(ISNUMBER($BL$411),$B$252=1),$BL$411,HLOOKUP(INDIRECT(ADDRESS(2,COLUMN())),OFFSET($CL$2,0,0,ROW()-1,84),ROW()-1,FALSE))</f>
        <v>4.8806366050000003</v>
      </c>
      <c r="BM208">
        <f ca="1">IF(AND(ISNUMBER($BM$411),$B$252=1),$BM$411,HLOOKUP(INDIRECT(ADDRESS(2,COLUMN())),OFFSET($CL$2,0,0,ROW()-1,84),ROW()-1,FALSE))</f>
        <v>4.7537030659999999</v>
      </c>
      <c r="BN208">
        <f ca="1">IF(AND(ISNUMBER($BN$411),$B$252=1),$BN$411,HLOOKUP(INDIRECT(ADDRESS(2,COLUMN())),OFFSET($CL$2,0,0,ROW()-1,84),ROW()-1,FALSE))</f>
        <v>5.0127134040000003</v>
      </c>
      <c r="BO208">
        <f ca="1">IF(AND(ISNUMBER($BO$411),$B$252=1),$BO$411,HLOOKUP(INDIRECT(ADDRESS(2,COLUMN())),OFFSET($CL$2,0,0,ROW()-1,84),ROW()-1,FALSE))</f>
        <v>5.6867732560000004</v>
      </c>
      <c r="BP208">
        <f ca="1">IF(AND(ISNUMBER($BP$411),$B$252=1),$BP$411,HLOOKUP(INDIRECT(ADDRESS(2,COLUMN())),OFFSET($CL$2,0,0,ROW()-1,84),ROW()-1,FALSE))</f>
        <v>5.6508395020000002</v>
      </c>
      <c r="BQ208">
        <f ca="1">IF(AND(ISNUMBER($BQ$411),$B$252=1),$BQ$411,HLOOKUP(INDIRECT(ADDRESS(2,COLUMN())),OFFSET($CL$2,0,0,ROW()-1,84),ROW()-1,FALSE))</f>
        <v>5.5232045169999999</v>
      </c>
      <c r="BR208">
        <f ca="1">IF(AND(ISNUMBER($BR$411),$B$252=1),$BR$411,HLOOKUP(INDIRECT(ADDRESS(2,COLUMN())),OFFSET($CL$2,0,0,ROW()-1,84),ROW()-1,FALSE))</f>
        <v>5.0981805080000004</v>
      </c>
      <c r="BS208">
        <f ca="1">IF(AND(ISNUMBER($BS$411),$B$252=1),$BS$411,HLOOKUP(INDIRECT(ADDRESS(2,COLUMN())),OFFSET($CL$2,0,0,ROW()-1,84),ROW()-1,FALSE))</f>
        <v>4.9294547990000002</v>
      </c>
      <c r="BT208">
        <f ca="1">IF(AND(ISNUMBER($BT$411),$B$252=1),$BT$411,HLOOKUP(INDIRECT(ADDRESS(2,COLUMN())),OFFSET($CL$2,0,0,ROW()-1,84),ROW()-1,FALSE))</f>
        <v>4.9191726060000001</v>
      </c>
      <c r="BU208">
        <f ca="1">IF(AND(ISNUMBER($BU$411),$B$252=1),$BU$411,HLOOKUP(INDIRECT(ADDRESS(2,COLUMN())),OFFSET($CL$2,0,0,ROW()-1,84),ROW()-1,FALSE))</f>
        <v>4.2052980130000002</v>
      </c>
      <c r="BV208">
        <f ca="1">IF(AND(ISNUMBER($BV$411),$B$252=1),$BV$411,HLOOKUP(INDIRECT(ADDRESS(2,COLUMN())),OFFSET($CL$2,0,0,ROW()-1,84),ROW()-1,FALSE))</f>
        <v>4.0120044229999996</v>
      </c>
      <c r="BW208">
        <f ca="1">IF(AND(ISNUMBER($BW$411),$B$252=1),$BW$411,HLOOKUP(INDIRECT(ADDRESS(2,COLUMN())),OFFSET($CL$2,0,0,ROW()-1,84),ROW()-1,FALSE))</f>
        <v>4.073123797</v>
      </c>
      <c r="BX208">
        <f ca="1">IF(AND(ISNUMBER($BX$411),$B$252=1),$BX$411,HLOOKUP(INDIRECT(ADDRESS(2,COLUMN())),OFFSET($CL$2,0,0,ROW()-1,84),ROW()-1,FALSE))</f>
        <v>4.0589198040000003</v>
      </c>
      <c r="BY208">
        <f ca="1">IF(AND(ISNUMBER($BY$411),$B$252=1),$BY$411,HLOOKUP(INDIRECT(ADDRESS(2,COLUMN())),OFFSET($CL$2,0,0,ROW()-1,84),ROW()-1,FALSE))</f>
        <v>4.0364583329999997</v>
      </c>
      <c r="BZ208">
        <f ca="1">IF(AND(ISNUMBER($BZ$411),$B$252=1),$BZ$411,HLOOKUP(INDIRECT(ADDRESS(2,COLUMN())),OFFSET($CL$2,0,0,ROW()-1,84),ROW()-1,FALSE))</f>
        <v>3.96039604</v>
      </c>
      <c r="CA208">
        <f ca="1">IF(AND(ISNUMBER($CA$411),$B$252=1),$CA$411,HLOOKUP(INDIRECT(ADDRESS(2,COLUMN())),OFFSET($CL$2,0,0,ROW()-1,84),ROW()-1,FALSE))</f>
        <v>4.3065565130000003</v>
      </c>
      <c r="CB208">
        <f ca="1">IF(AND(ISNUMBER($CB$411),$B$252=1),$CB$411,HLOOKUP(INDIRECT(ADDRESS(2,COLUMN())),OFFSET($CL$2,0,0,ROW()-1,84),ROW()-1,FALSE))</f>
        <v>4.1141897570000001</v>
      </c>
      <c r="CC208">
        <f ca="1">IF(AND(ISNUMBER($CC$411),$B$252=1),$CC$411,HLOOKUP(INDIRECT(ADDRESS(2,COLUMN())),OFFSET($CL$2,0,0,ROW()-1,84),ROW()-1,FALSE))</f>
        <v>4.2959845699999999</v>
      </c>
      <c r="CD208">
        <f ca="1">IF(AND(ISNUMBER($CD$411),$B$252=1),$CD$411,HLOOKUP(INDIRECT(ADDRESS(2,COLUMN())),OFFSET($CL$2,0,0,ROW()-1,84),ROW()-1,FALSE))</f>
        <v>4.0949447360000004</v>
      </c>
      <c r="CE208">
        <f ca="1">IF(AND(ISNUMBER($CE$411),$B$252=1),$CE$411,HLOOKUP(INDIRECT(ADDRESS(2,COLUMN())),OFFSET($CL$2,0,0,ROW()-1,84),ROW()-1,FALSE))</f>
        <v>3.8513974100000001</v>
      </c>
      <c r="CF208">
        <f ca="1">IF(AND(ISNUMBER($CF$411),$B$252=1),$CF$411,HLOOKUP(INDIRECT(ADDRESS(2,COLUMN())),OFFSET($CL$2,0,0,ROW()-1,84),ROW()-1,FALSE))</f>
        <v>4.3570464619999996</v>
      </c>
      <c r="CG208">
        <f ca="1">IF(AND(ISNUMBER($CG$411),$B$252=1),$CG$411,HLOOKUP(INDIRECT(ADDRESS(2,COLUMN())),OFFSET($CL$2,0,0,ROW()-1,84),ROW()-1,FALSE))</f>
        <v>3.5632559659999998</v>
      </c>
      <c r="CH208">
        <f ca="1">IF(AND(ISNUMBER($CH$411),$B$252=1),$CH$411,HLOOKUP(INDIRECT(ADDRESS(2,COLUMN())),OFFSET($CL$2,0,0,ROW()-1,84),ROW()-1,FALSE))</f>
        <v>3.5263668720000001</v>
      </c>
      <c r="CI208">
        <f ca="1">IF(AND(ISNUMBER($CI$411),$B$252=1),$CI$411,HLOOKUP(INDIRECT(ADDRESS(2,COLUMN())),OFFSET($CL$2,0,0,ROW()-1,84),ROW()-1,FALSE))</f>
        <v>3.6333333329999999</v>
      </c>
      <c r="CJ208">
        <f ca="1">IF(AND(ISNUMBER($CJ$411),$B$252=1),$CJ$411,HLOOKUP(INDIRECT(ADDRESS(2,COLUMN())),OFFSET($CL$2,0,0,ROW()-1,84),ROW()-1,FALSE))</f>
        <v>3.5257965389999999</v>
      </c>
      <c r="CK208">
        <f ca="1">IF(AND(ISNUMBER($CK$411),$B$252=1),$CK$411,HLOOKUP(INDIRECT(ADDRESS(2,COLUMN())),OFFSET($CL$2,0,0,ROW()-1,84),ROW()-1,FALSE))</f>
        <v>3.649146301</v>
      </c>
      <c r="CL208">
        <f>5.322553574</f>
        <v>5.3225535739999996</v>
      </c>
      <c r="CM208">
        <f>5.61977592</f>
        <v>5.6197759200000004</v>
      </c>
      <c r="CN208">
        <f>5.129037494</f>
        <v>5.1290374940000003</v>
      </c>
      <c r="CO208">
        <f>4.955308139</f>
        <v>4.9553081389999996</v>
      </c>
      <c r="CP208">
        <f>4.714157438</f>
        <v>4.714157438</v>
      </c>
      <c r="CQ208">
        <f>4.683318466</f>
        <v>4.6833184660000002</v>
      </c>
      <c r="CR208">
        <f>4.777794631</f>
        <v>4.7777946309999999</v>
      </c>
      <c r="CS208">
        <f>4.646314222</f>
        <v>4.646314222</v>
      </c>
      <c r="CT208">
        <f>4.58419042</f>
        <v>4.5841904199999997</v>
      </c>
      <c r="CU208">
        <f>4.73948048</f>
        <v>4.7394804800000001</v>
      </c>
      <c r="CV208">
        <f>5.008449839</f>
        <v>5.0084498389999998</v>
      </c>
      <c r="CW208">
        <f>5.048002478</f>
        <v>5.0480024779999999</v>
      </c>
      <c r="CX208">
        <f>5.239472838</f>
        <v>5.2394728380000002</v>
      </c>
      <c r="CY208">
        <f>4.709053433</f>
        <v>4.7090534330000002</v>
      </c>
      <c r="CZ208">
        <f>4.887279908</f>
        <v>4.887279908</v>
      </c>
      <c r="DA208">
        <f>4.614667495</f>
        <v>4.614667495</v>
      </c>
      <c r="DB208">
        <f>5.103721046</f>
        <v>5.1037210460000004</v>
      </c>
      <c r="DC208">
        <f>4.959907692</f>
        <v>4.9599076919999998</v>
      </c>
      <c r="DD208">
        <f>4.760987098</f>
        <v>4.7609870980000002</v>
      </c>
      <c r="DE208">
        <f>4.877360876</f>
        <v>4.877360876</v>
      </c>
      <c r="DF208">
        <f>4.653543168</f>
        <v>4.6535431679999997</v>
      </c>
      <c r="DG208">
        <f>4.593414634</f>
        <v>4.5934146340000002</v>
      </c>
      <c r="DH208">
        <f>4.567621731</f>
        <v>4.567621731</v>
      </c>
      <c r="DI208">
        <f>4.64411782</f>
        <v>4.64411782</v>
      </c>
      <c r="DJ208">
        <f>4.213316007</f>
        <v>4.2133160070000004</v>
      </c>
      <c r="DK208">
        <f>4.673447443</f>
        <v>4.6734474429999997</v>
      </c>
      <c r="DL208">
        <f>4.515826956</f>
        <v>4.5158269559999997</v>
      </c>
      <c r="DM208">
        <f>4.266761858</f>
        <v>4.2667618579999997</v>
      </c>
      <c r="DN208">
        <f>4.295299424</f>
        <v>4.2952994240000004</v>
      </c>
      <c r="DO208">
        <f>4.434180031</f>
        <v>4.4341800310000004</v>
      </c>
      <c r="DP208">
        <f>4.564041534</f>
        <v>4.5640415340000002</v>
      </c>
      <c r="DQ208">
        <f>4.726044912</f>
        <v>4.7260449119999999</v>
      </c>
      <c r="DR208">
        <f>4.501145569</f>
        <v>4.5011455690000002</v>
      </c>
      <c r="DS208">
        <f>4.798784381</f>
        <v>4.7987843809999999</v>
      </c>
      <c r="DT208">
        <f>4.386437029</f>
        <v>4.3864370289999997</v>
      </c>
      <c r="DU208">
        <f>4.413755754</f>
        <v>4.4137557540000003</v>
      </c>
      <c r="DV208">
        <f>4.187002312</f>
        <v>4.1870023119999997</v>
      </c>
      <c r="DW208">
        <f>4.128261716</f>
        <v>4.1282617159999999</v>
      </c>
      <c r="DX208">
        <f>4.097410128</f>
        <v>4.0974101279999999</v>
      </c>
      <c r="DY208">
        <f>4.426503341</f>
        <v>4.4265033410000001</v>
      </c>
      <c r="DZ208">
        <f>4.206662902</f>
        <v>4.2066629019999997</v>
      </c>
      <c r="EA208">
        <f>4.284071305</f>
        <v>4.2840713050000003</v>
      </c>
      <c r="EB208">
        <f>4.839233517</f>
        <v>4.8392335170000003</v>
      </c>
      <c r="EC208">
        <f>4.332781706</f>
        <v>4.3327817059999996</v>
      </c>
      <c r="ED208">
        <f>4.454756381</f>
        <v>4.4547563810000002</v>
      </c>
      <c r="EE208">
        <f>4.571428571</f>
        <v>4.5714285710000002</v>
      </c>
      <c r="EF208">
        <f>4.595469256</f>
        <v>4.5954692560000003</v>
      </c>
      <c r="EG208">
        <f>4.777927322</f>
        <v>4.777927322</v>
      </c>
      <c r="EH208">
        <f>4.897396103</f>
        <v>4.8973961030000002</v>
      </c>
      <c r="EI208">
        <f>4.03625791</f>
        <v>4.0362579099999998</v>
      </c>
      <c r="EJ208">
        <f>4.261466233</f>
        <v>4.2614662330000002</v>
      </c>
      <c r="EK208">
        <f>4.549836129</f>
        <v>4.549836129</v>
      </c>
      <c r="EL208">
        <f>5.122235157</f>
        <v>5.1222351570000004</v>
      </c>
      <c r="EM208">
        <f>5.042016807</f>
        <v>5.0420168070000004</v>
      </c>
      <c r="EN208">
        <f>4.928131417</f>
        <v>4.9281314170000003</v>
      </c>
      <c r="EO208">
        <f>5.492387743</f>
        <v>5.4923877430000001</v>
      </c>
      <c r="EP208">
        <f>5.089285714</f>
        <v>5.0892857139999998</v>
      </c>
      <c r="EQ208">
        <f>4.908715122</f>
        <v>4.9087151220000003</v>
      </c>
      <c r="ER208">
        <f>4.880636605</f>
        <v>4.8806366050000003</v>
      </c>
      <c r="ES208">
        <f>4.753703066</f>
        <v>4.7537030659999999</v>
      </c>
      <c r="ET208">
        <f>5.012713404</f>
        <v>5.0127134040000003</v>
      </c>
      <c r="EU208">
        <f>5.686773256</f>
        <v>5.6867732560000004</v>
      </c>
      <c r="EV208">
        <f>5.650839502</f>
        <v>5.6508395020000002</v>
      </c>
      <c r="EW208">
        <f>5.523204517</f>
        <v>5.5232045169999999</v>
      </c>
      <c r="EX208">
        <f>5.098180508</f>
        <v>5.0981805080000004</v>
      </c>
      <c r="EY208">
        <f>4.929454799</f>
        <v>4.9294547990000002</v>
      </c>
      <c r="EZ208">
        <f>4.919172606</f>
        <v>4.9191726060000001</v>
      </c>
      <c r="FA208">
        <f>4.205298013</f>
        <v>4.2052980130000002</v>
      </c>
      <c r="FB208">
        <f>4.012004423</f>
        <v>4.0120044229999996</v>
      </c>
      <c r="FC208">
        <f>4.073123797</f>
        <v>4.073123797</v>
      </c>
      <c r="FD208">
        <f>4.058919804</f>
        <v>4.0589198040000003</v>
      </c>
      <c r="FE208">
        <f>4.036458333</f>
        <v>4.0364583329999997</v>
      </c>
      <c r="FF208">
        <f>3.96039604</f>
        <v>3.96039604</v>
      </c>
      <c r="FG208">
        <f>4.306556513</f>
        <v>4.3065565130000003</v>
      </c>
      <c r="FH208">
        <f>4.114189757</f>
        <v>4.1141897570000001</v>
      </c>
      <c r="FI208">
        <f>4.29598457</f>
        <v>4.2959845699999999</v>
      </c>
      <c r="FJ208">
        <f>4.094944736</f>
        <v>4.0949447360000004</v>
      </c>
      <c r="FK208">
        <f>3.85139741</f>
        <v>3.8513974100000001</v>
      </c>
      <c r="FL208">
        <f>4.357046462</f>
        <v>4.3570464619999996</v>
      </c>
      <c r="FM208">
        <f>3.563255966</f>
        <v>3.5632559659999998</v>
      </c>
      <c r="FN208">
        <f>3.526366872</f>
        <v>3.5263668720000001</v>
      </c>
      <c r="FO208">
        <f>3.633333333</f>
        <v>3.6333333329999999</v>
      </c>
      <c r="FP208">
        <f>3.525796539</f>
        <v>3.5257965389999999</v>
      </c>
      <c r="FQ208">
        <f>3.649146301</f>
        <v>3.649146301</v>
      </c>
    </row>
    <row r="209" spans="1:173">
      <c r="A209" t="str">
        <f>"    埃塞克斯房地产信托公司"</f>
        <v xml:space="preserve">    埃塞克斯房地产信托公司</v>
      </c>
      <c r="B209" t="str">
        <f>"ESS US Equity"</f>
        <v>ESS US Equity</v>
      </c>
      <c r="C209" t="str">
        <f t="shared" si="66"/>
        <v>RR890</v>
      </c>
      <c r="D209" t="str">
        <f t="shared" si="67"/>
        <v>FFO_YIELD</v>
      </c>
      <c r="E209" t="str">
        <f t="shared" si="68"/>
        <v>动态</v>
      </c>
      <c r="F209">
        <f ca="1">IF(AND(ISNUMBER($F$412),$B$252=1),$F$412,HLOOKUP(INDIRECT(ADDRESS(2,COLUMN())),OFFSET($CL$2,0,0,ROW()-1,84),ROW()-1,FALSE))</f>
        <v>5.0023427209999998</v>
      </c>
      <c r="G209">
        <f ca="1">IF(AND(ISNUMBER($G$412),$B$252=1),$G$412,HLOOKUP(INDIRECT(ADDRESS(2,COLUMN())),OFFSET($CL$2,0,0,ROW()-1,84),ROW()-1,FALSE))</f>
        <v>5.3201434120000002</v>
      </c>
      <c r="H209">
        <f ca="1">IF(AND(ISNUMBER($H$412),$B$252=1),$H$412,HLOOKUP(INDIRECT(ADDRESS(2,COLUMN())),OFFSET($CL$2,0,0,ROW()-1,84),ROW()-1,FALSE))</f>
        <v>5.1112013909999998</v>
      </c>
      <c r="I209">
        <f ca="1">IF(AND(ISNUMBER($I$412),$B$252=1),$I$412,HLOOKUP(INDIRECT(ADDRESS(2,COLUMN())),OFFSET($CL$2,0,0,ROW()-1,84),ROW()-1,FALSE))</f>
        <v>4.9335364789999998</v>
      </c>
      <c r="J209">
        <f ca="1">IF(AND(ISNUMBER($J$412),$B$252=1),$J$412,HLOOKUP(INDIRECT(ADDRESS(2,COLUMN())),OFFSET($CL$2,0,0,ROW()-1,84),ROW()-1,FALSE))</f>
        <v>4.7564990490000003</v>
      </c>
      <c r="K209">
        <f ca="1">IF(AND(ISNUMBER($K$412),$B$252=1),$K$412,HLOOKUP(INDIRECT(ADDRESS(2,COLUMN())),OFFSET($CL$2,0,0,ROW()-1,84),ROW()-1,FALSE))</f>
        <v>4.4766516789999997</v>
      </c>
      <c r="L209">
        <f ca="1">IF(AND(ISNUMBER($L$412),$B$252=1),$L$412,HLOOKUP(INDIRECT(ADDRESS(2,COLUMN())),OFFSET($CL$2,0,0,ROW()-1,84),ROW()-1,FALSE))</f>
        <v>4.6246809430000004</v>
      </c>
      <c r="M209">
        <f ca="1">IF(AND(ISNUMBER($M$412),$B$252=1),$M$412,HLOOKUP(INDIRECT(ADDRESS(2,COLUMN())),OFFSET($CL$2,0,0,ROW()-1,84),ROW()-1,FALSE))</f>
        <v>4.3548050529999998</v>
      </c>
      <c r="N209">
        <f ca="1">IF(AND(ISNUMBER($N$412),$B$252=1),$N$412,HLOOKUP(INDIRECT(ADDRESS(2,COLUMN())),OFFSET($CL$2,0,0,ROW()-1,84),ROW()-1,FALSE))</f>
        <v>4.4258597630000001</v>
      </c>
      <c r="O209">
        <f ca="1">IF(AND(ISNUMBER($O$412),$B$252=1),$O$412,HLOOKUP(INDIRECT(ADDRESS(2,COLUMN())),OFFSET($CL$2,0,0,ROW()-1,84),ROW()-1,FALSE))</f>
        <v>4.5020698100000001</v>
      </c>
      <c r="P209">
        <f ca="1">IF(AND(ISNUMBER($P$412),$B$252=1),$P$412,HLOOKUP(INDIRECT(ADDRESS(2,COLUMN())),OFFSET($CL$2,0,0,ROW()-1,84),ROW()-1,FALSE))</f>
        <v>4.4466055579999999</v>
      </c>
      <c r="Q209">
        <f ca="1">IF(AND(ISNUMBER($Q$412),$B$252=1),$Q$412,HLOOKUP(INDIRECT(ADDRESS(2,COLUMN())),OFFSET($CL$2,0,0,ROW()-1,84),ROW()-1,FALSE))</f>
        <v>4.6730555899999997</v>
      </c>
      <c r="R209">
        <f ca="1">IF(AND(ISNUMBER($R$412),$B$252=1),$R$412,HLOOKUP(INDIRECT(ADDRESS(2,COLUMN())),OFFSET($CL$2,0,0,ROW()-1,84),ROW()-1,FALSE))</f>
        <v>4.9342283939999998</v>
      </c>
      <c r="S209">
        <f ca="1">IF(AND(ISNUMBER($S$412),$B$252=1),$S$412,HLOOKUP(INDIRECT(ADDRESS(2,COLUMN())),OFFSET($CL$2,0,0,ROW()-1,84),ROW()-1,FALSE))</f>
        <v>4.7355002129999999</v>
      </c>
      <c r="T209">
        <f ca="1">IF(AND(ISNUMBER($T$412),$B$252=1),$T$412,HLOOKUP(INDIRECT(ADDRESS(2,COLUMN())),OFFSET($CL$2,0,0,ROW()-1,84),ROW()-1,FALSE))</f>
        <v>4.9550686580000001</v>
      </c>
      <c r="U209">
        <f ca="1">IF(AND(ISNUMBER($U$412),$B$252=1),$U$412,HLOOKUP(INDIRECT(ADDRESS(2,COLUMN())),OFFSET($CL$2,0,0,ROW()-1,84),ROW()-1,FALSE))</f>
        <v>4.7803092469999999</v>
      </c>
      <c r="V209">
        <f ca="1">IF(AND(ISNUMBER($V$412),$B$252=1),$V$412,HLOOKUP(INDIRECT(ADDRESS(2,COLUMN())),OFFSET($CL$2,0,0,ROW()-1,84),ROW()-1,FALSE))</f>
        <v>4.9987898299999998</v>
      </c>
      <c r="W209">
        <f ca="1">IF(AND(ISNUMBER($W$412),$B$252=1),$W$412,HLOOKUP(INDIRECT(ADDRESS(2,COLUMN())),OFFSET($CL$2,0,0,ROW()-1,84),ROW()-1,FALSE))</f>
        <v>5.0415185200000003</v>
      </c>
      <c r="X209">
        <f ca="1">IF(AND(ISNUMBER($X$412),$B$252=1),$X$412,HLOOKUP(INDIRECT(ADDRESS(2,COLUMN())),OFFSET($CL$2,0,0,ROW()-1,84),ROW()-1,FALSE))</f>
        <v>4.8466039519999997</v>
      </c>
      <c r="Y209">
        <f ca="1">IF(AND(ISNUMBER($Y$412),$B$252=1),$Y$412,HLOOKUP(INDIRECT(ADDRESS(2,COLUMN())),OFFSET($CL$2,0,0,ROW()-1,84),ROW()-1,FALSE))</f>
        <v>4.6296217530000003</v>
      </c>
      <c r="Z209">
        <f ca="1">IF(AND(ISNUMBER($Z$412),$B$252=1),$Z$412,HLOOKUP(INDIRECT(ADDRESS(2,COLUMN())),OFFSET($CL$2,0,0,ROW()-1,84),ROW()-1,FALSE))</f>
        <v>4.4954126050000003</v>
      </c>
      <c r="AA209">
        <f ca="1">IF(AND(ISNUMBER($AA$412),$B$252=1),$AA$412,HLOOKUP(INDIRECT(ADDRESS(2,COLUMN())),OFFSET($CL$2,0,0,ROW()-1,84),ROW()-1,FALSE))</f>
        <v>4.6095273800000003</v>
      </c>
      <c r="AB209">
        <f ca="1">IF(AND(ISNUMBER($AB$412),$B$252=1),$AB$412,HLOOKUP(INDIRECT(ADDRESS(2,COLUMN())),OFFSET($CL$2,0,0,ROW()-1,84),ROW()-1,FALSE))</f>
        <v>4.4367068610000002</v>
      </c>
      <c r="AC209">
        <f ca="1">IF(AND(ISNUMBER($AC$412),$B$252=1),$AC$412,HLOOKUP(INDIRECT(ADDRESS(2,COLUMN())),OFFSET($CL$2,0,0,ROW()-1,84),ROW()-1,FALSE))</f>
        <v>4.5731589929999998</v>
      </c>
      <c r="AD209">
        <f ca="1">IF(AND(ISNUMBER($AD$412),$B$252=1),$AD$412,HLOOKUP(INDIRECT(ADDRESS(2,COLUMN())),OFFSET($CL$2,0,0,ROW()-1,84),ROW()-1,FALSE))</f>
        <v>4.3109249119999999</v>
      </c>
      <c r="AE209">
        <f ca="1">IF(AND(ISNUMBER($AE$412),$B$252=1),$AE$412,HLOOKUP(INDIRECT(ADDRESS(2,COLUMN())),OFFSET($CL$2,0,0,ROW()-1,84),ROW()-1,FALSE))</f>
        <v>4.6404477259999997</v>
      </c>
      <c r="AF209">
        <f ca="1">IF(AND(ISNUMBER($AF$412),$B$252=1),$AF$412,HLOOKUP(INDIRECT(ADDRESS(2,COLUMN())),OFFSET($CL$2,0,0,ROW()-1,84),ROW()-1,FALSE))</f>
        <v>4.5570498800000001</v>
      </c>
      <c r="AG209">
        <f ca="1">IF(AND(ISNUMBER($AG$412),$B$252=1),$AG$412,HLOOKUP(INDIRECT(ADDRESS(2,COLUMN())),OFFSET($CL$2,0,0,ROW()-1,84),ROW()-1,FALSE))</f>
        <v>4.0564425039999996</v>
      </c>
      <c r="AH209">
        <f ca="1">IF(AND(ISNUMBER($AH$412),$B$252=1),$AH$412,HLOOKUP(INDIRECT(ADDRESS(2,COLUMN())),OFFSET($CL$2,0,0,ROW()-1,84),ROW()-1,FALSE))</f>
        <v>4.1055383680000004</v>
      </c>
      <c r="AI209">
        <f ca="1">IF(AND(ISNUMBER($AI$412),$B$252=1),$AI$412,HLOOKUP(INDIRECT(ADDRESS(2,COLUMN())),OFFSET($CL$2,0,0,ROW()-1,84),ROW()-1,FALSE))</f>
        <v>4.2982997640000002</v>
      </c>
      <c r="AJ209">
        <f ca="1">IF(AND(ISNUMBER($AJ$412),$B$252=1),$AJ$412,HLOOKUP(INDIRECT(ADDRESS(2,COLUMN())),OFFSET($CL$2,0,0,ROW()-1,84),ROW()-1,FALSE))</f>
        <v>4.2409685789999996</v>
      </c>
      <c r="AK209">
        <f ca="1">IF(AND(ISNUMBER($AK$412),$B$252=1),$AK$412,HLOOKUP(INDIRECT(ADDRESS(2,COLUMN())),OFFSET($CL$2,0,0,ROW()-1,84),ROW()-1,FALSE))</f>
        <v>4.2055605260000002</v>
      </c>
      <c r="AL209">
        <f ca="1">IF(AND(ISNUMBER($AL$412),$B$252=1),$AL$412,HLOOKUP(INDIRECT(ADDRESS(2,COLUMN())),OFFSET($CL$2,0,0,ROW()-1,84),ROW()-1,FALSE))</f>
        <v>4.0131492599999996</v>
      </c>
      <c r="AM209">
        <f ca="1">IF(AND(ISNUMBER($AM$412),$B$252=1),$AM$412,HLOOKUP(INDIRECT(ADDRESS(2,COLUMN())),OFFSET($CL$2,0,0,ROW()-1,84),ROW()-1,FALSE))</f>
        <v>4.2475171759999997</v>
      </c>
      <c r="AN209">
        <f ca="1">IF(AND(ISNUMBER($AN$412),$B$252=1),$AN$412,HLOOKUP(INDIRECT(ADDRESS(2,COLUMN())),OFFSET($CL$2,0,0,ROW()-1,84),ROW()-1,FALSE))</f>
        <v>3.7556603179999999</v>
      </c>
      <c r="AO209">
        <f ca="1">IF(AND(ISNUMBER($AO$412),$B$252=1),$AO$412,HLOOKUP(INDIRECT(ADDRESS(2,COLUMN())),OFFSET($CL$2,0,0,ROW()-1,84),ROW()-1,FALSE))</f>
        <v>3.766997522</v>
      </c>
      <c r="AP209">
        <f ca="1">IF(AND(ISNUMBER($AP$412),$B$252=1),$AP$412,HLOOKUP(INDIRECT(ADDRESS(2,COLUMN())),OFFSET($CL$2,0,0,ROW()-1,84),ROW()-1,FALSE))</f>
        <v>3.6367337970000002</v>
      </c>
      <c r="AQ209">
        <f ca="1">IF(AND(ISNUMBER($AQ$412),$B$252=1),$AQ$412,HLOOKUP(INDIRECT(ADDRESS(2,COLUMN())),OFFSET($CL$2,0,0,ROW()-1,84),ROW()-1,FALSE))</f>
        <v>3.4936164189999999</v>
      </c>
      <c r="AR209">
        <f ca="1">IF(AND(ISNUMBER($AR$412),$B$252=1),$AR$412,HLOOKUP(INDIRECT(ADDRESS(2,COLUMN())),OFFSET($CL$2,0,0,ROW()-1,84),ROW()-1,FALSE))</f>
        <v>3.4376690999999999</v>
      </c>
      <c r="AS209">
        <f ca="1">IF(AND(ISNUMBER($AS$412),$B$252=1),$AS$412,HLOOKUP(INDIRECT(ADDRESS(2,COLUMN())),OFFSET($CL$2,0,0,ROW()-1,84),ROW()-1,FALSE))</f>
        <v>3.7613025169999998</v>
      </c>
      <c r="AT209">
        <f ca="1">IF(AND(ISNUMBER($AT$412),$B$252=1),$AT$412,HLOOKUP(INDIRECT(ADDRESS(2,COLUMN())),OFFSET($CL$2,0,0,ROW()-1,84),ROW()-1,FALSE))</f>
        <v>3.593199941</v>
      </c>
      <c r="AU209">
        <f ca="1">IF(AND(ISNUMBER($AU$412),$B$252=1),$AU$412,HLOOKUP(INDIRECT(ADDRESS(2,COLUMN())),OFFSET($CL$2,0,0,ROW()-1,84),ROW()-1,FALSE))</f>
        <v>3.604775971</v>
      </c>
      <c r="AV209">
        <f ca="1">IF(AND(ISNUMBER($AV$412),$B$252=1),$AV$412,HLOOKUP(INDIRECT(ADDRESS(2,COLUMN())),OFFSET($CL$2,0,0,ROW()-1,84),ROW()-1,FALSE))</f>
        <v>4.0688089510000003</v>
      </c>
      <c r="AW209">
        <f ca="1">IF(AND(ISNUMBER($AW$412),$B$252=1),$AW$412,HLOOKUP(INDIRECT(ADDRESS(2,COLUMN())),OFFSET($CL$2,0,0,ROW()-1,84),ROW()-1,FALSE))</f>
        <v>3.671199793</v>
      </c>
      <c r="AX209">
        <f ca="1">IF(AND(ISNUMBER($AX$412),$B$252=1),$AX$412,HLOOKUP(INDIRECT(ADDRESS(2,COLUMN())),OFFSET($CL$2,0,0,ROW()-1,84),ROW()-1,FALSE))</f>
        <v>3.7463396109999998</v>
      </c>
      <c r="AY209">
        <f ca="1">IF(AND(ISNUMBER($AY$412),$B$252=1),$AY$412,HLOOKUP(INDIRECT(ADDRESS(2,COLUMN())),OFFSET($CL$2,0,0,ROW()-1,84),ROW()-1,FALSE))</f>
        <v>3.8407527990000001</v>
      </c>
      <c r="AZ209">
        <f ca="1">IF(AND(ISNUMBER($AZ$412),$B$252=1),$AZ$412,HLOOKUP(INDIRECT(ADDRESS(2,COLUMN())),OFFSET($CL$2,0,0,ROW()-1,84),ROW()-1,FALSE))</f>
        <v>4.0315732759999996</v>
      </c>
      <c r="BA209">
        <f ca="1">IF(AND(ISNUMBER($BA$412),$B$252=1),$BA$412,HLOOKUP(INDIRECT(ADDRESS(2,COLUMN())),OFFSET($CL$2,0,0,ROW()-1,84),ROW()-1,FALSE))</f>
        <v>4.2107439690000001</v>
      </c>
      <c r="BB209">
        <f ca="1">IF(AND(ISNUMBER($BB$412),$B$252=1),$BB$412,HLOOKUP(INDIRECT(ADDRESS(2,COLUMN())),OFFSET($CL$2,0,0,ROW()-1,84),ROW()-1,FALSE))</f>
        <v>4.2902293440000001</v>
      </c>
      <c r="BC209">
        <f ca="1">IF(AND(ISNUMBER($BC$412),$B$252=1),$BC$412,HLOOKUP(INDIRECT(ADDRESS(2,COLUMN())),OFFSET($CL$2,0,0,ROW()-1,84),ROW()-1,FALSE))</f>
        <v>4.5354469359999996</v>
      </c>
      <c r="BD209">
        <f ca="1">IF(AND(ISNUMBER($BD$412),$B$252=1),$BD$412,HLOOKUP(INDIRECT(ADDRESS(2,COLUMN())),OFFSET($CL$2,0,0,ROW()-1,84),ROW()-1,FALSE))</f>
        <v>4.7897550039999999</v>
      </c>
      <c r="BE209">
        <f ca="1">IF(AND(ISNUMBER($BE$412),$B$252=1),$BE$412,HLOOKUP(INDIRECT(ADDRESS(2,COLUMN())),OFFSET($CL$2,0,0,ROW()-1,84),ROW()-1,FALSE))</f>
        <v>5.2857187650000004</v>
      </c>
      <c r="BF209">
        <f ca="1">IF(AND(ISNUMBER($BF$412),$B$252=1),$BF$412,HLOOKUP(INDIRECT(ADDRESS(2,COLUMN())),OFFSET($CL$2,0,0,ROW()-1,84),ROW()-1,FALSE))</f>
        <v>4.944626177</v>
      </c>
      <c r="BG209">
        <f ca="1">IF(AND(ISNUMBER($BG$412),$B$252=1),$BG$412,HLOOKUP(INDIRECT(ADDRESS(2,COLUMN())),OFFSET($CL$2,0,0,ROW()-1,84),ROW()-1,FALSE))</f>
        <v>4.6623832299999997</v>
      </c>
      <c r="BH209">
        <f ca="1">IF(AND(ISNUMBER($BH$412),$B$252=1),$BH$412,HLOOKUP(INDIRECT(ADDRESS(2,COLUMN())),OFFSET($CL$2,0,0,ROW()-1,84),ROW()-1,FALSE))</f>
        <v>5.0822186870000001</v>
      </c>
      <c r="BI209">
        <f ca="1">IF(AND(ISNUMBER($BI$412),$B$252=1),$BI$412,HLOOKUP(INDIRECT(ADDRESS(2,COLUMN())),OFFSET($CL$2,0,0,ROW()-1,84),ROW()-1,FALSE))</f>
        <v>5.0713879000000004</v>
      </c>
      <c r="BJ209">
        <f ca="1">IF(AND(ISNUMBER($BJ$412),$B$252=1),$BJ$412,HLOOKUP(INDIRECT(ADDRESS(2,COLUMN())),OFFSET($CL$2,0,0,ROW()-1,84),ROW()-1,FALSE))</f>
        <v>4.506048732</v>
      </c>
      <c r="BK209">
        <f ca="1">IF(AND(ISNUMBER($BK$412),$B$252=1),$BK$412,HLOOKUP(INDIRECT(ADDRESS(2,COLUMN())),OFFSET($CL$2,0,0,ROW()-1,84),ROW()-1,FALSE))</f>
        <v>4.5732481749999998</v>
      </c>
      <c r="BL209">
        <f ca="1">IF(AND(ISNUMBER($BL$412),$B$252=1),$BL$412,HLOOKUP(INDIRECT(ADDRESS(2,COLUMN())),OFFSET($CL$2,0,0,ROW()-1,84),ROW()-1,FALSE))</f>
        <v>4.4872470409999998</v>
      </c>
      <c r="BM209">
        <f ca="1">IF(AND(ISNUMBER($BM$412),$B$252=1),$BM$412,HLOOKUP(INDIRECT(ADDRESS(2,COLUMN())),OFFSET($CL$2,0,0,ROW()-1,84),ROW()-1,FALSE))</f>
        <v>4.4898185289999999</v>
      </c>
      <c r="BN209">
        <f ca="1">IF(AND(ISNUMBER($BN$412),$B$252=1),$BN$412,HLOOKUP(INDIRECT(ADDRESS(2,COLUMN())),OFFSET($CL$2,0,0,ROW()-1,84),ROW()-1,FALSE))</f>
        <v>4.6827334309999999</v>
      </c>
      <c r="BO209">
        <f ca="1">IF(AND(ISNUMBER($BO$412),$B$252=1),$BO$412,HLOOKUP(INDIRECT(ADDRESS(2,COLUMN())),OFFSET($CL$2,0,0,ROW()-1,84),ROW()-1,FALSE))</f>
        <v>4.504503658</v>
      </c>
      <c r="BP209">
        <f ca="1">IF(AND(ISNUMBER($BP$412),$B$252=1),$BP$412,HLOOKUP(INDIRECT(ADDRESS(2,COLUMN())),OFFSET($CL$2,0,0,ROW()-1,84),ROW()-1,FALSE))</f>
        <v>4.3641956039999998</v>
      </c>
      <c r="BQ209">
        <f ca="1">IF(AND(ISNUMBER($BQ$412),$B$252=1),$BQ$412,HLOOKUP(INDIRECT(ADDRESS(2,COLUMN())),OFFSET($CL$2,0,0,ROW()-1,84),ROW()-1,FALSE))</f>
        <v>4.5763791339999997</v>
      </c>
      <c r="BR209">
        <f ca="1">IF(AND(ISNUMBER($BR$412),$B$252=1),$BR$412,HLOOKUP(INDIRECT(ADDRESS(2,COLUMN())),OFFSET($CL$2,0,0,ROW()-1,84),ROW()-1,FALSE))</f>
        <v>4.6590291119999998</v>
      </c>
      <c r="BS209">
        <f ca="1">IF(AND(ISNUMBER($BS$412),$B$252=1),$BS$412,HLOOKUP(INDIRECT(ADDRESS(2,COLUMN())),OFFSET($CL$2,0,0,ROW()-1,84),ROW()-1,FALSE))</f>
        <v>4.3636466670000003</v>
      </c>
      <c r="BT209">
        <f ca="1">IF(AND(ISNUMBER($BT$412),$B$252=1),$BT$412,HLOOKUP(INDIRECT(ADDRESS(2,COLUMN())),OFFSET($CL$2,0,0,ROW()-1,84),ROW()-1,FALSE))</f>
        <v>4.4154546679999997</v>
      </c>
      <c r="BU209">
        <f ca="1">IF(AND(ISNUMBER($BU$412),$B$252=1),$BU$412,HLOOKUP(INDIRECT(ADDRESS(2,COLUMN())),OFFSET($CL$2,0,0,ROW()-1,84),ROW()-1,FALSE))</f>
        <v>4.1478319519999998</v>
      </c>
      <c r="BV209">
        <f ca="1">IF(AND(ISNUMBER($BV$412),$B$252=1),$BV$412,HLOOKUP(INDIRECT(ADDRESS(2,COLUMN())),OFFSET($CL$2,0,0,ROW()-1,84),ROW()-1,FALSE))</f>
        <v>4.0060212249999996</v>
      </c>
      <c r="BW209">
        <f ca="1">IF(AND(ISNUMBER($BW$412),$B$252=1),$BW$412,HLOOKUP(INDIRECT(ADDRESS(2,COLUMN())),OFFSET($CL$2,0,0,ROW()-1,84),ROW()-1,FALSE))</f>
        <v>4.095552885</v>
      </c>
      <c r="BX209">
        <f ca="1">IF(AND(ISNUMBER($BX$412),$B$252=1),$BX$412,HLOOKUP(INDIRECT(ADDRESS(2,COLUMN())),OFFSET($CL$2,0,0,ROW()-1,84),ROW()-1,FALSE))</f>
        <v>3.9412920379999998</v>
      </c>
      <c r="BY209">
        <f ca="1">IF(AND(ISNUMBER($BY$412),$B$252=1),$BY$412,HLOOKUP(INDIRECT(ADDRESS(2,COLUMN())),OFFSET($CL$2,0,0,ROW()-1,84),ROW()-1,FALSE))</f>
        <v>3.7539203649999999</v>
      </c>
      <c r="BZ209">
        <f ca="1">IF(AND(ISNUMBER($BZ$412),$B$252=1),$BZ$412,HLOOKUP(INDIRECT(ADDRESS(2,COLUMN())),OFFSET($CL$2,0,0,ROW()-1,84),ROW()-1,FALSE))</f>
        <v>3.913977955</v>
      </c>
      <c r="CA209">
        <f ca="1">IF(AND(ISNUMBER($CA$412),$B$252=1),$CA$412,HLOOKUP(INDIRECT(ADDRESS(2,COLUMN())),OFFSET($CL$2,0,0,ROW()-1,84),ROW()-1,FALSE))</f>
        <v>4.1003414530000004</v>
      </c>
      <c r="CB209">
        <f ca="1">IF(AND(ISNUMBER($CB$412),$B$252=1),$CB$412,HLOOKUP(INDIRECT(ADDRESS(2,COLUMN())),OFFSET($CL$2,0,0,ROW()-1,84),ROW()-1,FALSE))</f>
        <v>3.9861583330000001</v>
      </c>
      <c r="CC209">
        <f ca="1">IF(AND(ISNUMBER($CC$412),$B$252=1),$CC$412,HLOOKUP(INDIRECT(ADDRESS(2,COLUMN())),OFFSET($CL$2,0,0,ROW()-1,84),ROW()-1,FALSE))</f>
        <v>4.0851668920000002</v>
      </c>
      <c r="CD209">
        <f ca="1">IF(AND(ISNUMBER($CD$412),$B$252=1),$CD$412,HLOOKUP(INDIRECT(ADDRESS(2,COLUMN())),OFFSET($CL$2,0,0,ROW()-1,84),ROW()-1,FALSE))</f>
        <v>4.1374851340000003</v>
      </c>
      <c r="CE209">
        <f ca="1">IF(AND(ISNUMBER($CE$412),$B$252=1),$CE$412,HLOOKUP(INDIRECT(ADDRESS(2,COLUMN())),OFFSET($CL$2,0,0,ROW()-1,84),ROW()-1,FALSE))</f>
        <v>3.8502724850000001</v>
      </c>
      <c r="CF209">
        <f ca="1">IF(AND(ISNUMBER($CF$412),$B$252=1),$CF$412,HLOOKUP(INDIRECT(ADDRESS(2,COLUMN())),OFFSET($CL$2,0,0,ROW()-1,84),ROW()-1,FALSE))</f>
        <v>4.579014495</v>
      </c>
      <c r="CG209">
        <f ca="1">IF(AND(ISNUMBER($CG$412),$B$252=1),$CG$412,HLOOKUP(INDIRECT(ADDRESS(2,COLUMN())),OFFSET($CL$2,0,0,ROW()-1,84),ROW()-1,FALSE))</f>
        <v>3.7030066179999999</v>
      </c>
      <c r="CH209">
        <f ca="1">IF(AND(ISNUMBER($CH$412),$B$252=1),$CH$412,HLOOKUP(INDIRECT(ADDRESS(2,COLUMN())),OFFSET($CL$2,0,0,ROW()-1,84),ROW()-1,FALSE))</f>
        <v>3.7871658589999999</v>
      </c>
      <c r="CI209">
        <f ca="1">IF(AND(ISNUMBER($CI$412),$B$252=1),$CI$412,HLOOKUP(INDIRECT(ADDRESS(2,COLUMN())),OFFSET($CL$2,0,0,ROW()-1,84),ROW()-1,FALSE))</f>
        <v>3.9290901030000001</v>
      </c>
      <c r="CJ209">
        <f ca="1">IF(AND(ISNUMBER($CJ$412),$B$252=1),$CJ$412,HLOOKUP(INDIRECT(ADDRESS(2,COLUMN())),OFFSET($CL$2,0,0,ROW()-1,84),ROW()-1,FALSE))</f>
        <v>3.8793968460000001</v>
      </c>
      <c r="CK209">
        <f ca="1">IF(AND(ISNUMBER($CK$412),$B$252=1),$CK$412,HLOOKUP(INDIRECT(ADDRESS(2,COLUMN())),OFFSET($CL$2,0,0,ROW()-1,84),ROW()-1,FALSE))</f>
        <v>3.9403882490000002</v>
      </c>
      <c r="CL209">
        <f>5.002342721</f>
        <v>5.0023427209999998</v>
      </c>
      <c r="CM209">
        <f>5.320143412</f>
        <v>5.3201434120000002</v>
      </c>
      <c r="CN209">
        <f>5.111201391</f>
        <v>5.1112013909999998</v>
      </c>
      <c r="CO209">
        <f>4.933536479</f>
        <v>4.9335364789999998</v>
      </c>
      <c r="CP209">
        <f>4.756499049</f>
        <v>4.7564990490000003</v>
      </c>
      <c r="CQ209">
        <f>4.476651679</f>
        <v>4.4766516789999997</v>
      </c>
      <c r="CR209">
        <f>4.624680943</f>
        <v>4.6246809430000004</v>
      </c>
      <c r="CS209">
        <f>4.354805053</f>
        <v>4.3548050529999998</v>
      </c>
      <c r="CT209">
        <f>4.425859763</f>
        <v>4.4258597630000001</v>
      </c>
      <c r="CU209">
        <f>4.50206981</f>
        <v>4.5020698100000001</v>
      </c>
      <c r="CV209">
        <f>4.446605558</f>
        <v>4.4466055579999999</v>
      </c>
      <c r="CW209">
        <f>4.67305559</f>
        <v>4.6730555899999997</v>
      </c>
      <c r="CX209">
        <f>4.934228394</f>
        <v>4.9342283939999998</v>
      </c>
      <c r="CY209">
        <f>4.735500213</f>
        <v>4.7355002129999999</v>
      </c>
      <c r="CZ209">
        <f>4.955068658</f>
        <v>4.9550686580000001</v>
      </c>
      <c r="DA209">
        <f>4.780309247</f>
        <v>4.7803092469999999</v>
      </c>
      <c r="DB209">
        <f>4.99878983</f>
        <v>4.9987898299999998</v>
      </c>
      <c r="DC209">
        <f>5.04151852</f>
        <v>5.0415185200000003</v>
      </c>
      <c r="DD209">
        <f>4.846603952</f>
        <v>4.8466039519999997</v>
      </c>
      <c r="DE209">
        <f>4.629621753</f>
        <v>4.6296217530000003</v>
      </c>
      <c r="DF209">
        <f>4.495412605</f>
        <v>4.4954126050000003</v>
      </c>
      <c r="DG209">
        <f>4.60952738</f>
        <v>4.6095273800000003</v>
      </c>
      <c r="DH209">
        <f>4.436706861</f>
        <v>4.4367068610000002</v>
      </c>
      <c r="DI209">
        <f>4.573158993</f>
        <v>4.5731589929999998</v>
      </c>
      <c r="DJ209">
        <f>4.310924912</f>
        <v>4.3109249119999999</v>
      </c>
      <c r="DK209">
        <f>4.640447726</f>
        <v>4.6404477259999997</v>
      </c>
      <c r="DL209">
        <f>4.55704988</f>
        <v>4.5570498800000001</v>
      </c>
      <c r="DM209">
        <f>4.056442504</f>
        <v>4.0564425039999996</v>
      </c>
      <c r="DN209">
        <f>4.105538368</f>
        <v>4.1055383680000004</v>
      </c>
      <c r="DO209">
        <f>4.298299764</f>
        <v>4.2982997640000002</v>
      </c>
      <c r="DP209">
        <f>4.240968579</f>
        <v>4.2409685789999996</v>
      </c>
      <c r="DQ209">
        <f>4.205560526</f>
        <v>4.2055605260000002</v>
      </c>
      <c r="DR209">
        <f>4.01314926</f>
        <v>4.0131492599999996</v>
      </c>
      <c r="DS209">
        <f>4.247517176</f>
        <v>4.2475171759999997</v>
      </c>
      <c r="DT209">
        <f>3.755660318</f>
        <v>3.7556603179999999</v>
      </c>
      <c r="DU209">
        <f>3.766997522</f>
        <v>3.766997522</v>
      </c>
      <c r="DV209">
        <f>3.636733797</f>
        <v>3.6367337970000002</v>
      </c>
      <c r="DW209">
        <f>3.493616419</f>
        <v>3.4936164189999999</v>
      </c>
      <c r="DX209">
        <f>3.4376691</f>
        <v>3.4376690999999999</v>
      </c>
      <c r="DY209">
        <f>3.761302517</f>
        <v>3.7613025169999998</v>
      </c>
      <c r="DZ209">
        <f>3.593199941</f>
        <v>3.593199941</v>
      </c>
      <c r="EA209">
        <f>3.604775971</f>
        <v>3.604775971</v>
      </c>
      <c r="EB209">
        <f>4.068808951</f>
        <v>4.0688089510000003</v>
      </c>
      <c r="EC209">
        <f>3.671199793</f>
        <v>3.671199793</v>
      </c>
      <c r="ED209">
        <f>3.746339611</f>
        <v>3.7463396109999998</v>
      </c>
      <c r="EE209">
        <f>3.840752799</f>
        <v>3.8407527990000001</v>
      </c>
      <c r="EF209">
        <f>4.031573276</f>
        <v>4.0315732759999996</v>
      </c>
      <c r="EG209">
        <f>4.210743969</f>
        <v>4.2107439690000001</v>
      </c>
      <c r="EH209">
        <f>4.290229344</f>
        <v>4.2902293440000001</v>
      </c>
      <c r="EI209">
        <f>4.535446936</f>
        <v>4.5354469359999996</v>
      </c>
      <c r="EJ209">
        <f>4.789755004</f>
        <v>4.7897550039999999</v>
      </c>
      <c r="EK209">
        <f>5.285718765</f>
        <v>5.2857187650000004</v>
      </c>
      <c r="EL209">
        <f>4.944626177</f>
        <v>4.944626177</v>
      </c>
      <c r="EM209">
        <f>4.66238323</f>
        <v>4.6623832299999997</v>
      </c>
      <c r="EN209">
        <f>5.082218687</f>
        <v>5.0822186870000001</v>
      </c>
      <c r="EO209">
        <f>5.0713879</f>
        <v>5.0713879000000004</v>
      </c>
      <c r="EP209">
        <f>4.506048732</f>
        <v>4.506048732</v>
      </c>
      <c r="EQ209">
        <f>4.573248175</f>
        <v>4.5732481749999998</v>
      </c>
      <c r="ER209">
        <f>4.487247041</f>
        <v>4.4872470409999998</v>
      </c>
      <c r="ES209">
        <f>4.489818529</f>
        <v>4.4898185289999999</v>
      </c>
      <c r="ET209">
        <f>4.682733431</f>
        <v>4.6827334309999999</v>
      </c>
      <c r="EU209">
        <f>4.504503658</f>
        <v>4.504503658</v>
      </c>
      <c r="EV209">
        <f>4.364195604</f>
        <v>4.3641956039999998</v>
      </c>
      <c r="EW209">
        <f>4.576379134</f>
        <v>4.5763791339999997</v>
      </c>
      <c r="EX209">
        <f>4.659029112</f>
        <v>4.6590291119999998</v>
      </c>
      <c r="EY209">
        <f>4.363646667</f>
        <v>4.3636466670000003</v>
      </c>
      <c r="EZ209">
        <f>4.415454668</f>
        <v>4.4154546679999997</v>
      </c>
      <c r="FA209">
        <f>4.147831952</f>
        <v>4.1478319519999998</v>
      </c>
      <c r="FB209">
        <f>4.006021225</f>
        <v>4.0060212249999996</v>
      </c>
      <c r="FC209">
        <f>4.095552885</f>
        <v>4.095552885</v>
      </c>
      <c r="FD209">
        <f>3.941292038</f>
        <v>3.9412920379999998</v>
      </c>
      <c r="FE209">
        <f>3.753920365</f>
        <v>3.7539203649999999</v>
      </c>
      <c r="FF209">
        <f>3.913977955</f>
        <v>3.913977955</v>
      </c>
      <c r="FG209">
        <f>4.100341453</f>
        <v>4.1003414530000004</v>
      </c>
      <c r="FH209">
        <f>3.986158333</f>
        <v>3.9861583330000001</v>
      </c>
      <c r="FI209">
        <f>4.085166892</f>
        <v>4.0851668920000002</v>
      </c>
      <c r="FJ209">
        <f>4.137485134</f>
        <v>4.1374851340000003</v>
      </c>
      <c r="FK209">
        <f>3.850272485</f>
        <v>3.8502724850000001</v>
      </c>
      <c r="FL209">
        <f>4.579014495</f>
        <v>4.579014495</v>
      </c>
      <c r="FM209">
        <f>3.703006618</f>
        <v>3.7030066179999999</v>
      </c>
      <c r="FN209">
        <f>3.787165859</f>
        <v>3.7871658589999999</v>
      </c>
      <c r="FO209">
        <f>3.929090103</f>
        <v>3.9290901030000001</v>
      </c>
      <c r="FP209">
        <f>3.879396846</f>
        <v>3.8793968460000001</v>
      </c>
      <c r="FQ209">
        <f>3.940388249</f>
        <v>3.9403882490000002</v>
      </c>
    </row>
    <row r="210" spans="1:173">
      <c r="A210" t="str">
        <f>"    Mid-America Apartment Communities股份有限公司"</f>
        <v xml:space="preserve">    Mid-America Apartment Communities股份有限公司</v>
      </c>
      <c r="B210" t="str">
        <f>"MAA US Equity"</f>
        <v>MAA US Equity</v>
      </c>
      <c r="C210" t="str">
        <f t="shared" si="66"/>
        <v>RR890</v>
      </c>
      <c r="D210" t="str">
        <f t="shared" si="67"/>
        <v>FFO_YIELD</v>
      </c>
      <c r="E210" t="str">
        <f t="shared" si="68"/>
        <v>动态</v>
      </c>
      <c r="F210">
        <f ca="1">IF(AND(ISNUMBER($F$413),$B$252=1),$F$413,HLOOKUP(INDIRECT(ADDRESS(2,COLUMN())),OFFSET($CL$2,0,0,ROW()-1,84),ROW()-1,FALSE))</f>
        <v>6.6487575550000004</v>
      </c>
      <c r="G210">
        <f ca="1">IF(AND(ISNUMBER($G$413),$B$252=1),$G$413,HLOOKUP(INDIRECT(ADDRESS(2,COLUMN())),OFFSET($CL$2,0,0,ROW()-1,84),ROW()-1,FALSE))</f>
        <v>6.9214635280000003</v>
      </c>
      <c r="H210">
        <f ca="1">IF(AND(ISNUMBER($H$413),$B$252=1),$H$413,HLOOKUP(INDIRECT(ADDRESS(2,COLUMN())),OFFSET($CL$2,0,0,ROW()-1,84),ROW()-1,FALSE))</f>
        <v>6.2283737019999998</v>
      </c>
      <c r="I210">
        <f ca="1">IF(AND(ISNUMBER($I$413),$B$252=1),$I$413,HLOOKUP(INDIRECT(ADDRESS(2,COLUMN())),OFFSET($CL$2,0,0,ROW()-1,84),ROW()-1,FALSE))</f>
        <v>5.906921241</v>
      </c>
      <c r="J210">
        <f ca="1">IF(AND(ISNUMBER($J$413),$B$252=1),$J$413,HLOOKUP(INDIRECT(ADDRESS(2,COLUMN())),OFFSET($CL$2,0,0,ROW()-1,84),ROW()-1,FALSE))</f>
        <v>5.4373291679999998</v>
      </c>
      <c r="K210">
        <f ca="1">IF(AND(ISNUMBER($K$413),$B$252=1),$K$413,HLOOKUP(INDIRECT(ADDRESS(2,COLUMN())),OFFSET($CL$2,0,0,ROW()-1,84),ROW()-1,FALSE))</f>
        <v>5.4421104050000002</v>
      </c>
      <c r="L210">
        <f ca="1">IF(AND(ISNUMBER($L$413),$B$252=1),$L$413,HLOOKUP(INDIRECT(ADDRESS(2,COLUMN())),OFFSET($CL$2,0,0,ROW()-1,84),ROW()-1,FALSE))</f>
        <v>5.2114520960000004</v>
      </c>
      <c r="M210">
        <f ca="1">IF(AND(ISNUMBER($M$413),$B$252=1),$M$413,HLOOKUP(INDIRECT(ADDRESS(2,COLUMN())),OFFSET($CL$2,0,0,ROW()-1,84),ROW()-1,FALSE))</f>
        <v>5.2038324249999999</v>
      </c>
      <c r="N210">
        <f ca="1">IF(AND(ISNUMBER($N$413),$B$252=1),$N$413,HLOOKUP(INDIRECT(ADDRESS(2,COLUMN())),OFFSET($CL$2,0,0,ROW()-1,84),ROW()-1,FALSE))</f>
        <v>5.3511059599999999</v>
      </c>
      <c r="O210">
        <f ca="1">IF(AND(ISNUMBER($O$413),$B$252=1),$O$413,HLOOKUP(INDIRECT(ADDRESS(2,COLUMN())),OFFSET($CL$2,0,0,ROW()-1,84),ROW()-1,FALSE))</f>
        <v>5.2571645470000004</v>
      </c>
      <c r="P210">
        <f ca="1">IF(AND(ISNUMBER($P$413),$B$252=1),$P$413,HLOOKUP(INDIRECT(ADDRESS(2,COLUMN())),OFFSET($CL$2,0,0,ROW()-1,84),ROW()-1,FALSE))</f>
        <v>5.4934275059999997</v>
      </c>
      <c r="Q210">
        <f ca="1">IF(AND(ISNUMBER($Q$413),$B$252=1),$Q$413,HLOOKUP(INDIRECT(ADDRESS(2,COLUMN())),OFFSET($CL$2,0,0,ROW()-1,84),ROW()-1,FALSE))</f>
        <v>5.6445922790000003</v>
      </c>
      <c r="R210">
        <f ca="1">IF(AND(ISNUMBER($R$413),$B$252=1),$R$413,HLOOKUP(INDIRECT(ADDRESS(2,COLUMN())),OFFSET($CL$2,0,0,ROW()-1,84),ROW()-1,FALSE))</f>
        <v>5.5042264599999999</v>
      </c>
      <c r="S210">
        <f ca="1">IF(AND(ISNUMBER($S$413),$B$252=1),$S$413,HLOOKUP(INDIRECT(ADDRESS(2,COLUMN())),OFFSET($CL$2,0,0,ROW()-1,84),ROW()-1,FALSE))</f>
        <v>5.4901197310000001</v>
      </c>
      <c r="T210">
        <f ca="1">IF(AND(ISNUMBER($T$413),$B$252=1),$T$413,HLOOKUP(INDIRECT(ADDRESS(2,COLUMN())),OFFSET($CL$2,0,0,ROW()-1,84),ROW()-1,FALSE))</f>
        <v>5.939968404</v>
      </c>
      <c r="U210">
        <f ca="1">IF(AND(ISNUMBER($U$413),$B$252=1),$U$413,HLOOKUP(INDIRECT(ADDRESS(2,COLUMN())),OFFSET($CL$2,0,0,ROW()-1,84),ROW()-1,FALSE))</f>
        <v>5.7598039219999997</v>
      </c>
      <c r="V210">
        <f ca="1">IF(AND(ISNUMBER($V$413),$B$252=1),$V$413,HLOOKUP(INDIRECT(ADDRESS(2,COLUMN())),OFFSET($CL$2,0,0,ROW()-1,84),ROW()-1,FALSE))</f>
        <v>6.5521270329999997</v>
      </c>
      <c r="W210">
        <f ca="1">IF(AND(ISNUMBER($W$413),$B$252=1),$W$413,HLOOKUP(INDIRECT(ADDRESS(2,COLUMN())),OFFSET($CL$2,0,0,ROW()-1,84),ROW()-1,FALSE))</f>
        <v>6.4730070079999997</v>
      </c>
      <c r="X210">
        <f ca="1">IF(AND(ISNUMBER($X$413),$B$252=1),$X$413,HLOOKUP(INDIRECT(ADDRESS(2,COLUMN())),OFFSET($CL$2,0,0,ROW()-1,84),ROW()-1,FALSE))</f>
        <v>6.3876093200000001</v>
      </c>
      <c r="Y210">
        <f ca="1">IF(AND(ISNUMBER($Y$413),$B$252=1),$Y$413,HLOOKUP(INDIRECT(ADDRESS(2,COLUMN())),OFFSET($CL$2,0,0,ROW()-1,84),ROW()-1,FALSE))</f>
        <v>6.3590669220000002</v>
      </c>
      <c r="Z210">
        <f ca="1">IF(AND(ISNUMBER($Z$413),$B$252=1),$Z$413,HLOOKUP(INDIRECT(ADDRESS(2,COLUMN())),OFFSET($CL$2,0,0,ROW()-1,84),ROW()-1,FALSE))</f>
        <v>5.637508961</v>
      </c>
      <c r="AA210">
        <f ca="1">IF(AND(ISNUMBER($AA$413),$B$252=1),$AA$413,HLOOKUP(INDIRECT(ADDRESS(2,COLUMN())),OFFSET($CL$2,0,0,ROW()-1,84),ROW()-1,FALSE))</f>
        <v>5.617375</v>
      </c>
      <c r="AB210">
        <f ca="1">IF(AND(ISNUMBER($AB$413),$B$252=1),$AB$413,HLOOKUP(INDIRECT(ADDRESS(2,COLUMN())),OFFSET($CL$2,0,0,ROW()-1,84),ROW()-1,FALSE))</f>
        <v>5.6825206330000002</v>
      </c>
      <c r="AC210">
        <f ca="1">IF(AND(ISNUMBER($AC$413),$B$252=1),$AC$413,HLOOKUP(INDIRECT(ADDRESS(2,COLUMN())),OFFSET($CL$2,0,0,ROW()-1,84),ROW()-1,FALSE))</f>
        <v>6.1147508100000003</v>
      </c>
      <c r="AD210">
        <f ca="1">IF(AND(ISNUMBER($AD$413),$B$252=1),$AD$413,HLOOKUP(INDIRECT(ADDRESS(2,COLUMN())),OFFSET($CL$2,0,0,ROW()-1,84),ROW()-1,FALSE))</f>
        <v>5.7258859209999997</v>
      </c>
      <c r="AE210">
        <f ca="1">IF(AND(ISNUMBER($AE$413),$B$252=1),$AE$413,HLOOKUP(INDIRECT(ADDRESS(2,COLUMN())),OFFSET($CL$2,0,0,ROW()-1,84),ROW()-1,FALSE))</f>
        <v>6.3291394260000002</v>
      </c>
      <c r="AF210">
        <f ca="1">IF(AND(ISNUMBER($AF$413),$B$252=1),$AF$413,HLOOKUP(INDIRECT(ADDRESS(2,COLUMN())),OFFSET($CL$2,0,0,ROW()-1,84),ROW()-1,FALSE))</f>
        <v>6.0673928799999999</v>
      </c>
      <c r="AG210">
        <f ca="1">IF(AND(ISNUMBER($AG$413),$B$252=1),$AG$413,HLOOKUP(INDIRECT(ADDRESS(2,COLUMN())),OFFSET($CL$2,0,0,ROW()-1,84),ROW()-1,FALSE))</f>
        <v>6.2685034689999997</v>
      </c>
      <c r="AH210">
        <f ca="1">IF(AND(ISNUMBER($AH$413),$B$252=1),$AH$413,HLOOKUP(INDIRECT(ADDRESS(2,COLUMN())),OFFSET($CL$2,0,0,ROW()-1,84),ROW()-1,FALSE))</f>
        <v>6.2654855469999999</v>
      </c>
      <c r="AI210">
        <f ca="1">IF(AND(ISNUMBER($AI$413),$B$252=1),$AI$413,HLOOKUP(INDIRECT(ADDRESS(2,COLUMN())),OFFSET($CL$2,0,0,ROW()-1,84),ROW()-1,FALSE))</f>
        <v>6.5133395939999996</v>
      </c>
      <c r="AJ210">
        <f ca="1">IF(AND(ISNUMBER($AJ$413),$B$252=1),$AJ$413,HLOOKUP(INDIRECT(ADDRESS(2,COLUMN())),OFFSET($CL$2,0,0,ROW()-1,84),ROW()-1,FALSE))</f>
        <v>6.7774691579999997</v>
      </c>
      <c r="AK210">
        <f ca="1">IF(AND(ISNUMBER($AK$413),$B$252=1),$AK$413,HLOOKUP(INDIRECT(ADDRESS(2,COLUMN())),OFFSET($CL$2,0,0,ROW()-1,84),ROW()-1,FALSE))</f>
        <v>6.8908779740000003</v>
      </c>
      <c r="AL210">
        <f ca="1">IF(AND(ISNUMBER($AL$413),$B$252=1),$AL$413,HLOOKUP(INDIRECT(ADDRESS(2,COLUMN())),OFFSET($CL$2,0,0,ROW()-1,84),ROW()-1,FALSE))</f>
        <v>6.7407779440000004</v>
      </c>
      <c r="AM210">
        <f ca="1">IF(AND(ISNUMBER($AM$413),$B$252=1),$AM$413,HLOOKUP(INDIRECT(ADDRESS(2,COLUMN())),OFFSET($CL$2,0,0,ROW()-1,84),ROW()-1,FALSE))</f>
        <v>7.4379082539999999</v>
      </c>
      <c r="AN210">
        <f ca="1">IF(AND(ISNUMBER($AN$413),$B$252=1),$AN$413,HLOOKUP(INDIRECT(ADDRESS(2,COLUMN())),OFFSET($CL$2,0,0,ROW()-1,84),ROW()-1,FALSE))</f>
        <v>6.8071737140000002</v>
      </c>
      <c r="AO210">
        <f ca="1">IF(AND(ISNUMBER($AO$413),$B$252=1),$AO$413,HLOOKUP(INDIRECT(ADDRESS(2,COLUMN())),OFFSET($CL$2,0,0,ROW()-1,84),ROW()-1,FALSE))</f>
        <v>6.9695751240000003</v>
      </c>
      <c r="AP210">
        <f ca="1">IF(AND(ISNUMBER($AP$413),$B$252=1),$AP$413,HLOOKUP(INDIRECT(ADDRESS(2,COLUMN())),OFFSET($CL$2,0,0,ROW()-1,84),ROW()-1,FALSE))</f>
        <v>6.7296492819999996</v>
      </c>
      <c r="AQ210">
        <f ca="1">IF(AND(ISNUMBER($AQ$413),$B$252=1),$AQ$413,HLOOKUP(INDIRECT(ADDRESS(2,COLUMN())),OFFSET($CL$2,0,0,ROW()-1,84),ROW()-1,FALSE))</f>
        <v>7.0235959709999998</v>
      </c>
      <c r="AR210">
        <f ca="1">IF(AND(ISNUMBER($AR$413),$B$252=1),$AR$413,HLOOKUP(INDIRECT(ADDRESS(2,COLUMN())),OFFSET($CL$2,0,0,ROW()-1,84),ROW()-1,FALSE))</f>
        <v>6.4170448809999998</v>
      </c>
      <c r="AS210">
        <f ca="1">IF(AND(ISNUMBER($AS$413),$B$252=1),$AS$413,HLOOKUP(INDIRECT(ADDRESS(2,COLUMN())),OFFSET($CL$2,0,0,ROW()-1,84),ROW()-1,FALSE))</f>
        <v>6.8157471879999996</v>
      </c>
      <c r="AT210">
        <f ca="1">IF(AND(ISNUMBER($AT$413),$B$252=1),$AT$413,HLOOKUP(INDIRECT(ADDRESS(2,COLUMN())),OFFSET($CL$2,0,0,ROW()-1,84),ROW()-1,FALSE))</f>
        <v>6.3670920449999997</v>
      </c>
      <c r="AU210">
        <f ca="1">IF(AND(ISNUMBER($AU$413),$B$252=1),$AU$413,HLOOKUP(INDIRECT(ADDRESS(2,COLUMN())),OFFSET($CL$2,0,0,ROW()-1,84),ROW()-1,FALSE))</f>
        <v>6.6374186240000004</v>
      </c>
      <c r="AV210">
        <f ca="1">IF(AND(ISNUMBER($AV$413),$B$252=1),$AV$413,HLOOKUP(INDIRECT(ADDRESS(2,COLUMN())),OFFSET($CL$2,0,0,ROW()-1,84),ROW()-1,FALSE))</f>
        <v>7.1439451639999998</v>
      </c>
      <c r="AW210">
        <f ca="1">IF(AND(ISNUMBER($AW$413),$B$252=1),$AW$413,HLOOKUP(INDIRECT(ADDRESS(2,COLUMN())),OFFSET($CL$2,0,0,ROW()-1,84),ROW()-1,FALSE))</f>
        <v>6.2361725659999996</v>
      </c>
      <c r="AX210">
        <f ca="1">IF(AND(ISNUMBER($AX$413),$B$252=1),$AX$413,HLOOKUP(INDIRECT(ADDRESS(2,COLUMN())),OFFSET($CL$2,0,0,ROW()-1,84),ROW()-1,FALSE))</f>
        <v>6.4502288329999997</v>
      </c>
      <c r="AY210">
        <f ca="1">IF(AND(ISNUMBER($AY$413),$B$252=1),$AY$413,HLOOKUP(INDIRECT(ADDRESS(2,COLUMN())),OFFSET($CL$2,0,0,ROW()-1,84),ROW()-1,FALSE))</f>
        <v>6.1738535250000002</v>
      </c>
      <c r="AZ210">
        <f ca="1">IF(AND(ISNUMBER($AZ$413),$B$252=1),$AZ$413,HLOOKUP(INDIRECT(ADDRESS(2,COLUMN())),OFFSET($CL$2,0,0,ROW()-1,84),ROW()-1,FALSE))</f>
        <v>6.1506565310000001</v>
      </c>
      <c r="BA210">
        <f ca="1">IF(AND(ISNUMBER($BA$413),$B$252=1),$BA$413,HLOOKUP(INDIRECT(ADDRESS(2,COLUMN())),OFFSET($CL$2,0,0,ROW()-1,84),ROW()-1,FALSE))</f>
        <v>6.389088299</v>
      </c>
      <c r="BB210">
        <f ca="1">IF(AND(ISNUMBER($BB$413),$B$252=1),$BB$413,HLOOKUP(INDIRECT(ADDRESS(2,COLUMN())),OFFSET($CL$2,0,0,ROW()-1,84),ROW()-1,FALSE))</f>
        <v>6.5182364140000004</v>
      </c>
      <c r="BC210">
        <f ca="1">IF(AND(ISNUMBER($BC$413),$B$252=1),$BC$413,HLOOKUP(INDIRECT(ADDRESS(2,COLUMN())),OFFSET($CL$2,0,0,ROW()-1,84),ROW()-1,FALSE))</f>
        <v>6.6085156710000001</v>
      </c>
      <c r="BD210">
        <f ca="1">IF(AND(ISNUMBER($BD$413),$B$252=1),$BD$413,HLOOKUP(INDIRECT(ADDRESS(2,COLUMN())),OFFSET($CL$2,0,0,ROW()-1,84),ROW()-1,FALSE))</f>
        <v>6.9259374029999998</v>
      </c>
      <c r="BE210">
        <f ca="1">IF(AND(ISNUMBER($BE$413),$B$252=1),$BE$413,HLOOKUP(INDIRECT(ADDRESS(2,COLUMN())),OFFSET($CL$2,0,0,ROW()-1,84),ROW()-1,FALSE))</f>
        <v>7.3592360880000003</v>
      </c>
      <c r="BF210">
        <f ca="1">IF(AND(ISNUMBER($BF$413),$B$252=1),$BF$413,HLOOKUP(INDIRECT(ADDRESS(2,COLUMN())),OFFSET($CL$2,0,0,ROW()-1,84),ROW()-1,FALSE))</f>
        <v>7.8577058429999997</v>
      </c>
      <c r="BG210">
        <f ca="1">IF(AND(ISNUMBER($BG$413),$B$252=1),$BG$413,HLOOKUP(INDIRECT(ADDRESS(2,COLUMN())),OFFSET($CL$2,0,0,ROW()-1,84),ROW()-1,FALSE))</f>
        <v>7.1287379519999998</v>
      </c>
      <c r="BH210">
        <f ca="1">IF(AND(ISNUMBER($BH$413),$B$252=1),$BH$413,HLOOKUP(INDIRECT(ADDRESS(2,COLUMN())),OFFSET($CL$2,0,0,ROW()-1,84),ROW()-1,FALSE))</f>
        <v>7.5735711999999999</v>
      </c>
      <c r="BI210">
        <f ca="1">IF(AND(ISNUMBER($BI$413),$B$252=1),$BI$413,HLOOKUP(INDIRECT(ADDRESS(2,COLUMN())),OFFSET($CL$2,0,0,ROW()-1,84),ROW()-1,FALSE))</f>
        <v>7.6443107360000004</v>
      </c>
      <c r="BJ210">
        <f ca="1">IF(AND(ISNUMBER($BJ$413),$B$252=1),$BJ$413,HLOOKUP(INDIRECT(ADDRESS(2,COLUMN())),OFFSET($CL$2,0,0,ROW()-1,84),ROW()-1,FALSE))</f>
        <v>6.9777675800000001</v>
      </c>
      <c r="BK210">
        <f ca="1">IF(AND(ISNUMBER($BK$413),$B$252=1),$BK$413,HLOOKUP(INDIRECT(ADDRESS(2,COLUMN())),OFFSET($CL$2,0,0,ROW()-1,84),ROW()-1,FALSE))</f>
        <v>6.9551158329999998</v>
      </c>
      <c r="BL210">
        <f ca="1">IF(AND(ISNUMBER($BL$413),$B$252=1),$BL$413,HLOOKUP(INDIRECT(ADDRESS(2,COLUMN())),OFFSET($CL$2,0,0,ROW()-1,84),ROW()-1,FALSE))</f>
        <v>6.9199382079999996</v>
      </c>
      <c r="BM210">
        <f ca="1">IF(AND(ISNUMBER($BM$413),$B$252=1),$BM$413,HLOOKUP(INDIRECT(ADDRESS(2,COLUMN())),OFFSET($CL$2,0,0,ROW()-1,84),ROW()-1,FALSE))</f>
        <v>6.8434191760000003</v>
      </c>
      <c r="BN210">
        <f ca="1">IF(AND(ISNUMBER($BN$413),$B$252=1),$BN$413,HLOOKUP(INDIRECT(ADDRESS(2,COLUMN())),OFFSET($CL$2,0,0,ROW()-1,84),ROW()-1,FALSE))</f>
        <v>6.8107182159999997</v>
      </c>
      <c r="BO210">
        <f ca="1">IF(AND(ISNUMBER($BO$413),$B$252=1),$BO$413,HLOOKUP(INDIRECT(ADDRESS(2,COLUMN())),OFFSET($CL$2,0,0,ROW()-1,84),ROW()-1,FALSE))</f>
        <v>6.5862355990000001</v>
      </c>
      <c r="BP210">
        <f ca="1">IF(AND(ISNUMBER($BP$413),$B$252=1),$BP$413,HLOOKUP(INDIRECT(ADDRESS(2,COLUMN())),OFFSET($CL$2,0,0,ROW()-1,84),ROW()-1,FALSE))</f>
        <v>6.9963010560000001</v>
      </c>
      <c r="BQ210">
        <f ca="1">IF(AND(ISNUMBER($BQ$413),$B$252=1),$BQ$413,HLOOKUP(INDIRECT(ADDRESS(2,COLUMN())),OFFSET($CL$2,0,0,ROW()-1,84),ROW()-1,FALSE))</f>
        <v>7.0632926640000004</v>
      </c>
      <c r="BR210">
        <f ca="1">IF(AND(ISNUMBER($BR$413),$B$252=1),$BR$413,HLOOKUP(INDIRECT(ADDRESS(2,COLUMN())),OFFSET($CL$2,0,0,ROW()-1,84),ROW()-1,FALSE))</f>
        <v>7.1084724010000002</v>
      </c>
      <c r="BS210">
        <f ca="1">IF(AND(ISNUMBER($BS$413),$B$252=1),$BS$413,HLOOKUP(INDIRECT(ADDRESS(2,COLUMN())),OFFSET($CL$2,0,0,ROW()-1,84),ROW()-1,FALSE))</f>
        <v>6.8459279860000004</v>
      </c>
      <c r="BT210">
        <f ca="1">IF(AND(ISNUMBER($BT$413),$B$252=1),$BT$413,HLOOKUP(INDIRECT(ADDRESS(2,COLUMN())),OFFSET($CL$2,0,0,ROW()-1,84),ROW()-1,FALSE))</f>
        <v>6.7830347570000002</v>
      </c>
      <c r="BU210">
        <f ca="1">IF(AND(ISNUMBER($BU$413),$B$252=1),$BU$413,HLOOKUP(INDIRECT(ADDRESS(2,COLUMN())),OFFSET($CL$2,0,0,ROW()-1,84),ROW()-1,FALSE))</f>
        <v>6.3529411759999999</v>
      </c>
      <c r="BV210">
        <f ca="1">IF(AND(ISNUMBER($BV$413),$B$252=1),$BV$413,HLOOKUP(INDIRECT(ADDRESS(2,COLUMN())),OFFSET($CL$2,0,0,ROW()-1,84),ROW()-1,FALSE))</f>
        <v>6.2400693340000002</v>
      </c>
      <c r="BW210">
        <f ca="1">IF(AND(ISNUMBER($BW$413),$B$252=1),$BW$413,HLOOKUP(INDIRECT(ADDRESS(2,COLUMN())),OFFSET($CL$2,0,0,ROW()-1,84),ROW()-1,FALSE))</f>
        <v>6.3305978899999999</v>
      </c>
      <c r="BX210">
        <f ca="1">IF(AND(ISNUMBER($BX$413),$B$252=1),$BX$413,HLOOKUP(INDIRECT(ADDRESS(2,COLUMN())),OFFSET($CL$2,0,0,ROW()-1,84),ROW()-1,FALSE))</f>
        <v>6.113666716</v>
      </c>
      <c r="BY210">
        <f ca="1">IF(AND(ISNUMBER($BY$413),$B$252=1),$BY$413,HLOOKUP(INDIRECT(ADDRESS(2,COLUMN())),OFFSET($CL$2,0,0,ROW()-1,84),ROW()-1,FALSE))</f>
        <v>6.0525929190000003</v>
      </c>
      <c r="BZ210">
        <f ca="1">IF(AND(ISNUMBER($BZ$413),$B$252=1),$BZ$413,HLOOKUP(INDIRECT(ADDRESS(2,COLUMN())),OFFSET($CL$2,0,0,ROW()-1,84),ROW()-1,FALSE))</f>
        <v>6.1465015660000004</v>
      </c>
      <c r="CA210">
        <f ca="1">IF(AND(ISNUMBER($CA$413),$B$252=1),$CA$413,HLOOKUP(INDIRECT(ADDRESS(2,COLUMN())),OFFSET($CL$2,0,0,ROW()-1,84),ROW()-1,FALSE))</f>
        <v>6.3812730479999997</v>
      </c>
      <c r="CB210">
        <f ca="1">IF(AND(ISNUMBER($CB$413),$B$252=1),$CB$413,HLOOKUP(INDIRECT(ADDRESS(2,COLUMN())),OFFSET($CL$2,0,0,ROW()-1,84),ROW()-1,FALSE))</f>
        <v>6.2265331660000003</v>
      </c>
      <c r="CC210">
        <f ca="1">IF(AND(ISNUMBER($CC$413),$B$252=1),$CC$413,HLOOKUP(INDIRECT(ADDRESS(2,COLUMN())),OFFSET($CL$2,0,0,ROW()-1,84),ROW()-1,FALSE))</f>
        <v>6.3629096719999998</v>
      </c>
      <c r="CD210">
        <f ca="1">IF(AND(ISNUMBER($CD$413),$B$252=1),$CD$413,HLOOKUP(INDIRECT(ADDRESS(2,COLUMN())),OFFSET($CL$2,0,0,ROW()-1,84),ROW()-1,FALSE))</f>
        <v>6.7341242149999996</v>
      </c>
      <c r="CE210">
        <f ca="1">IF(AND(ISNUMBER($CE$413),$B$252=1),$CE$413,HLOOKUP(INDIRECT(ADDRESS(2,COLUMN())),OFFSET($CL$2,0,0,ROW()-1,84),ROW()-1,FALSE))</f>
        <v>6.1858974360000003</v>
      </c>
      <c r="CF210">
        <f ca="1">IF(AND(ISNUMBER($CF$413),$B$252=1),$CF$413,HLOOKUP(INDIRECT(ADDRESS(2,COLUMN())),OFFSET($CL$2,0,0,ROW()-1,84),ROW()-1,FALSE))</f>
        <v>6.4098306210000002</v>
      </c>
      <c r="CG210">
        <f ca="1">IF(AND(ISNUMBER($CG$413),$B$252=1),$CG$413,HLOOKUP(INDIRECT(ADDRESS(2,COLUMN())),OFFSET($CL$2,0,0,ROW()-1,84),ROW()-1,FALSE))</f>
        <v>5.1762730829999999</v>
      </c>
      <c r="CH210">
        <f ca="1">IF(AND(ISNUMBER($CH$413),$B$252=1),$CH$413,HLOOKUP(INDIRECT(ADDRESS(2,COLUMN())),OFFSET($CL$2,0,0,ROW()-1,84),ROW()-1,FALSE))</f>
        <v>5.2267269389999997</v>
      </c>
      <c r="CI210">
        <f ca="1">IF(AND(ISNUMBER($CI$413),$B$252=1),$CI$413,HLOOKUP(INDIRECT(ADDRESS(2,COLUMN())),OFFSET($CL$2,0,0,ROW()-1,84),ROW()-1,FALSE))</f>
        <v>5.4839187789999997</v>
      </c>
      <c r="CJ210">
        <f ca="1">IF(AND(ISNUMBER($CJ$413),$B$252=1),$CJ$413,HLOOKUP(INDIRECT(ADDRESS(2,COLUMN())),OFFSET($CL$2,0,0,ROW()-1,84),ROW()-1,FALSE))</f>
        <v>5.2078774619999999</v>
      </c>
      <c r="CK210">
        <f ca="1">IF(AND(ISNUMBER($CK$413),$B$252=1),$CK$413,HLOOKUP(INDIRECT(ADDRESS(2,COLUMN())),OFFSET($CL$2,0,0,ROW()-1,84),ROW()-1,FALSE))</f>
        <v>5.3403141359999999</v>
      </c>
      <c r="CL210">
        <f>6.648757555</f>
        <v>6.6487575550000004</v>
      </c>
      <c r="CM210">
        <f>6.921463528</f>
        <v>6.9214635280000003</v>
      </c>
      <c r="CN210">
        <f>6.228373702</f>
        <v>6.2283737019999998</v>
      </c>
      <c r="CO210">
        <f>5.906921241</f>
        <v>5.906921241</v>
      </c>
      <c r="CP210">
        <f>5.437329168</f>
        <v>5.4373291679999998</v>
      </c>
      <c r="CQ210">
        <f>5.442110405</f>
        <v>5.4421104050000002</v>
      </c>
      <c r="CR210">
        <f>5.211452096</f>
        <v>5.2114520960000004</v>
      </c>
      <c r="CS210">
        <f>5.203832425</f>
        <v>5.2038324249999999</v>
      </c>
      <c r="CT210">
        <f>5.35110596</f>
        <v>5.3511059599999999</v>
      </c>
      <c r="CU210">
        <f>5.257164547</f>
        <v>5.2571645470000004</v>
      </c>
      <c r="CV210">
        <f>5.493427506</f>
        <v>5.4934275059999997</v>
      </c>
      <c r="CW210">
        <f>5.644592279</f>
        <v>5.6445922790000003</v>
      </c>
      <c r="CX210">
        <f>5.50422646</f>
        <v>5.5042264599999999</v>
      </c>
      <c r="CY210">
        <f>5.490119731</f>
        <v>5.4901197310000001</v>
      </c>
      <c r="CZ210">
        <f>5.939968404</f>
        <v>5.939968404</v>
      </c>
      <c r="DA210">
        <f>5.759803922</f>
        <v>5.7598039219999997</v>
      </c>
      <c r="DB210">
        <f>6.552127033</f>
        <v>6.5521270329999997</v>
      </c>
      <c r="DC210">
        <f>6.473007008</f>
        <v>6.4730070079999997</v>
      </c>
      <c r="DD210">
        <f>6.38760932</f>
        <v>6.3876093200000001</v>
      </c>
      <c r="DE210">
        <f>6.359066922</f>
        <v>6.3590669220000002</v>
      </c>
      <c r="DF210">
        <f>5.637508961</f>
        <v>5.637508961</v>
      </c>
      <c r="DG210">
        <f>5.617375</f>
        <v>5.617375</v>
      </c>
      <c r="DH210">
        <f>5.682520633</f>
        <v>5.6825206330000002</v>
      </c>
      <c r="DI210">
        <f>6.11475081</f>
        <v>6.1147508100000003</v>
      </c>
      <c r="DJ210">
        <f>5.725885921</f>
        <v>5.7258859209999997</v>
      </c>
      <c r="DK210">
        <f>6.329139426</f>
        <v>6.3291394260000002</v>
      </c>
      <c r="DL210">
        <f>6.06739288</f>
        <v>6.0673928799999999</v>
      </c>
      <c r="DM210">
        <f>6.268503469</f>
        <v>6.2685034689999997</v>
      </c>
      <c r="DN210">
        <f>6.265485547</f>
        <v>6.2654855469999999</v>
      </c>
      <c r="DO210">
        <f>6.513339594</f>
        <v>6.5133395939999996</v>
      </c>
      <c r="DP210">
        <f>6.777469158</f>
        <v>6.7774691579999997</v>
      </c>
      <c r="DQ210">
        <f>6.890877974</f>
        <v>6.8908779740000003</v>
      </c>
      <c r="DR210">
        <f>6.740777944</f>
        <v>6.7407779440000004</v>
      </c>
      <c r="DS210">
        <f>7.437908254</f>
        <v>7.4379082539999999</v>
      </c>
      <c r="DT210">
        <f>6.807173714</f>
        <v>6.8071737140000002</v>
      </c>
      <c r="DU210">
        <f>6.969575124</f>
        <v>6.9695751240000003</v>
      </c>
      <c r="DV210">
        <f>6.729649282</f>
        <v>6.7296492819999996</v>
      </c>
      <c r="DW210">
        <f>7.023595971</f>
        <v>7.0235959709999998</v>
      </c>
      <c r="DX210">
        <f>6.417044881</f>
        <v>6.4170448809999998</v>
      </c>
      <c r="DY210">
        <f>6.815747188</f>
        <v>6.8157471879999996</v>
      </c>
      <c r="DZ210">
        <f>6.367092045</f>
        <v>6.3670920449999997</v>
      </c>
      <c r="EA210">
        <f>6.637418624</f>
        <v>6.6374186240000004</v>
      </c>
      <c r="EB210">
        <f>7.143945164</f>
        <v>7.1439451639999998</v>
      </c>
      <c r="EC210">
        <f>6.236172566</f>
        <v>6.2361725659999996</v>
      </c>
      <c r="ED210">
        <f>6.450228833</f>
        <v>6.4502288329999997</v>
      </c>
      <c r="EE210">
        <f>6.173853525</f>
        <v>6.1738535250000002</v>
      </c>
      <c r="EF210">
        <f>6.150656531</f>
        <v>6.1506565310000001</v>
      </c>
      <c r="EG210">
        <f>6.389088299</f>
        <v>6.389088299</v>
      </c>
      <c r="EH210">
        <f>6.518236414</f>
        <v>6.5182364140000004</v>
      </c>
      <c r="EI210">
        <f>6.608515671</f>
        <v>6.6085156710000001</v>
      </c>
      <c r="EJ210">
        <f>6.925937403</f>
        <v>6.9259374029999998</v>
      </c>
      <c r="EK210">
        <f>7.359236088</f>
        <v>7.3592360880000003</v>
      </c>
      <c r="EL210">
        <f>7.857705843</f>
        <v>7.8577058429999997</v>
      </c>
      <c r="EM210">
        <f>7.128737952</f>
        <v>7.1287379519999998</v>
      </c>
      <c r="EN210">
        <f>7.5735712</f>
        <v>7.5735711999999999</v>
      </c>
      <c r="EO210">
        <f>7.644310736</f>
        <v>7.6443107360000004</v>
      </c>
      <c r="EP210">
        <f>6.97776758</f>
        <v>6.9777675800000001</v>
      </c>
      <c r="EQ210">
        <f>6.955115833</f>
        <v>6.9551158329999998</v>
      </c>
      <c r="ER210">
        <f>6.919938208</f>
        <v>6.9199382079999996</v>
      </c>
      <c r="ES210">
        <f>6.843419176</f>
        <v>6.8434191760000003</v>
      </c>
      <c r="ET210">
        <f>6.810718216</f>
        <v>6.8107182159999997</v>
      </c>
      <c r="EU210">
        <f>6.586235599</f>
        <v>6.5862355990000001</v>
      </c>
      <c r="EV210">
        <f>6.996301056</f>
        <v>6.9963010560000001</v>
      </c>
      <c r="EW210">
        <f>7.063292664</f>
        <v>7.0632926640000004</v>
      </c>
      <c r="EX210">
        <f>7.108472401</f>
        <v>7.1084724010000002</v>
      </c>
      <c r="EY210">
        <f>6.845927986</f>
        <v>6.8459279860000004</v>
      </c>
      <c r="EZ210">
        <f>6.783034757</f>
        <v>6.7830347570000002</v>
      </c>
      <c r="FA210">
        <f>6.352941176</f>
        <v>6.3529411759999999</v>
      </c>
      <c r="FB210">
        <f>6.240069334</f>
        <v>6.2400693340000002</v>
      </c>
      <c r="FC210">
        <f>6.33059789</f>
        <v>6.3305978899999999</v>
      </c>
      <c r="FD210">
        <f>6.113666716</f>
        <v>6.113666716</v>
      </c>
      <c r="FE210">
        <f>6.052592919</f>
        <v>6.0525929190000003</v>
      </c>
      <c r="FF210">
        <f>6.146501566</f>
        <v>6.1465015660000004</v>
      </c>
      <c r="FG210">
        <f>6.381273048</f>
        <v>6.3812730479999997</v>
      </c>
      <c r="FH210">
        <f>6.226533166</f>
        <v>6.2265331660000003</v>
      </c>
      <c r="FI210">
        <f>6.362909672</f>
        <v>6.3629096719999998</v>
      </c>
      <c r="FJ210">
        <f>6.734124215</f>
        <v>6.7341242149999996</v>
      </c>
      <c r="FK210">
        <f>6.185897436</f>
        <v>6.1858974360000003</v>
      </c>
      <c r="FL210">
        <f>6.409830621</f>
        <v>6.4098306210000002</v>
      </c>
      <c r="FM210">
        <f>5.176273083</f>
        <v>5.1762730829999999</v>
      </c>
      <c r="FN210">
        <f>5.226726939</f>
        <v>5.2267269389999997</v>
      </c>
      <c r="FO210">
        <f>5.483918779</f>
        <v>5.4839187789999997</v>
      </c>
      <c r="FP210">
        <f>5.207877462</f>
        <v>5.2078774619999999</v>
      </c>
      <c r="FQ210">
        <f>5.340314136</f>
        <v>5.3403141359999999</v>
      </c>
    </row>
    <row r="211" spans="1:173">
      <c r="A211" t="str">
        <f>"    UDR 公司"</f>
        <v xml:space="preserve">    UDR 公司</v>
      </c>
      <c r="B211" t="str">
        <f>"UDR US Equity"</f>
        <v>UDR US Equity</v>
      </c>
      <c r="C211" t="str">
        <f t="shared" si="66"/>
        <v>RR890</v>
      </c>
      <c r="D211" t="str">
        <f t="shared" si="67"/>
        <v>FFO_YIELD</v>
      </c>
      <c r="E211" t="str">
        <f t="shared" si="68"/>
        <v>动态</v>
      </c>
      <c r="F211">
        <f ca="1">IF(AND(ISNUMBER($F$414),$B$252=1),$F$414,HLOOKUP(INDIRECT(ADDRESS(2,COLUMN())),OFFSET($CL$2,0,0,ROW()-1,84),ROW()-1,FALSE))</f>
        <v>5.2527534820000001</v>
      </c>
      <c r="G211">
        <f ca="1">IF(AND(ISNUMBER($G$414),$B$252=1),$G$414,HLOOKUP(INDIRECT(ADDRESS(2,COLUMN())),OFFSET($CL$2,0,0,ROW()-1,84),ROW()-1,FALSE))</f>
        <v>5.5324211779999999</v>
      </c>
      <c r="H211">
        <f ca="1">IF(AND(ISNUMBER($H$414),$B$252=1),$H$414,HLOOKUP(INDIRECT(ADDRESS(2,COLUMN())),OFFSET($CL$2,0,0,ROW()-1,84),ROW()-1,FALSE))</f>
        <v>5.0917054479999999</v>
      </c>
      <c r="I211">
        <f ca="1">IF(AND(ISNUMBER($I$414),$B$252=1),$I$414,HLOOKUP(INDIRECT(ADDRESS(2,COLUMN())),OFFSET($CL$2,0,0,ROW()-1,84),ROW()-1,FALSE))</f>
        <v>4.8286604359999998</v>
      </c>
      <c r="J211">
        <f ca="1">IF(AND(ISNUMBER($J$414),$B$252=1),$J$414,HLOOKUP(INDIRECT(ADDRESS(2,COLUMN())),OFFSET($CL$2,0,0,ROW()-1,84),ROW()-1,FALSE))</f>
        <v>4.7292143400000004</v>
      </c>
      <c r="K211">
        <f ca="1">IF(AND(ISNUMBER($K$414),$B$252=1),$K$414,HLOOKUP(INDIRECT(ADDRESS(2,COLUMN())),OFFSET($CL$2,0,0,ROW()-1,84),ROW()-1,FALSE))</f>
        <v>4.795050271</v>
      </c>
      <c r="L211">
        <f ca="1">IF(AND(ISNUMBER($L$414),$B$252=1),$L$414,HLOOKUP(INDIRECT(ADDRESS(2,COLUMN())),OFFSET($CL$2,0,0,ROW()-1,84),ROW()-1,FALSE))</f>
        <v>4.8908756249999996</v>
      </c>
      <c r="M211">
        <f ca="1">IF(AND(ISNUMBER($M$414),$B$252=1),$M$414,HLOOKUP(INDIRECT(ADDRESS(2,COLUMN())),OFFSET($CL$2,0,0,ROW()-1,84),ROW()-1,FALSE))</f>
        <v>4.7100309119999997</v>
      </c>
      <c r="N211">
        <f ca="1">IF(AND(ISNUMBER($N$414),$B$252=1),$N$414,HLOOKUP(INDIRECT(ADDRESS(2,COLUMN())),OFFSET($CL$2,0,0,ROW()-1,84),ROW()-1,FALSE))</f>
        <v>4.6774980810000004</v>
      </c>
      <c r="O211">
        <f ca="1">IF(AND(ISNUMBER($O$414),$B$252=1),$O$414,HLOOKUP(INDIRECT(ADDRESS(2,COLUMN())),OFFSET($CL$2,0,0,ROW()-1,84),ROW()-1,FALSE))</f>
        <v>4.6919014629999998</v>
      </c>
      <c r="P211">
        <f ca="1">IF(AND(ISNUMBER($P$414),$B$252=1),$P$414,HLOOKUP(INDIRECT(ADDRESS(2,COLUMN())),OFFSET($CL$2,0,0,ROW()-1,84),ROW()-1,FALSE))</f>
        <v>4.70974877</v>
      </c>
      <c r="Q211">
        <f ca="1">IF(AND(ISNUMBER($Q$414),$B$252=1),$Q$414,HLOOKUP(INDIRECT(ADDRESS(2,COLUMN())),OFFSET($CL$2,0,0,ROW()-1,84),ROW()-1,FALSE))</f>
        <v>4.8699357259999996</v>
      </c>
      <c r="R211">
        <f ca="1">IF(AND(ISNUMBER($R$414),$B$252=1),$R$414,HLOOKUP(INDIRECT(ADDRESS(2,COLUMN())),OFFSET($CL$2,0,0,ROW()-1,84),ROW()-1,FALSE))</f>
        <v>5.0149862110000001</v>
      </c>
      <c r="S211">
        <f ca="1">IF(AND(ISNUMBER($S$414),$B$252=1),$S$414,HLOOKUP(INDIRECT(ADDRESS(2,COLUMN())),OFFSET($CL$2,0,0,ROW()-1,84),ROW()-1,FALSE))</f>
        <v>4.9272164380000003</v>
      </c>
      <c r="T211">
        <f ca="1">IF(AND(ISNUMBER($T$414),$B$252=1),$T$414,HLOOKUP(INDIRECT(ADDRESS(2,COLUMN())),OFFSET($CL$2,0,0,ROW()-1,84),ROW()-1,FALSE))</f>
        <v>5.1457339060000002</v>
      </c>
      <c r="U211">
        <f ca="1">IF(AND(ISNUMBER($U$414),$B$252=1),$U$414,HLOOKUP(INDIRECT(ADDRESS(2,COLUMN())),OFFSET($CL$2,0,0,ROW()-1,84),ROW()-1,FALSE))</f>
        <v>4.9299177629999997</v>
      </c>
      <c r="V211">
        <f ca="1">IF(AND(ISNUMBER($V$414),$B$252=1),$V$414,HLOOKUP(INDIRECT(ADDRESS(2,COLUMN())),OFFSET($CL$2,0,0,ROW()-1,84),ROW()-1,FALSE))</f>
        <v>5.1070329020000003</v>
      </c>
      <c r="W211">
        <f ca="1">IF(AND(ISNUMBER($W$414),$B$252=1),$W$414,HLOOKUP(INDIRECT(ADDRESS(2,COLUMN())),OFFSET($CL$2,0,0,ROW()-1,84),ROW()-1,FALSE))</f>
        <v>4.9712153270000004</v>
      </c>
      <c r="X211">
        <f ca="1">IF(AND(ISNUMBER($X$414),$B$252=1),$X$414,HLOOKUP(INDIRECT(ADDRESS(2,COLUMN())),OFFSET($CL$2,0,0,ROW()-1,84),ROW()-1,FALSE))</f>
        <v>4.8303250899999997</v>
      </c>
      <c r="Y211">
        <f ca="1">IF(AND(ISNUMBER($Y$414),$B$252=1),$Y$414,HLOOKUP(INDIRECT(ADDRESS(2,COLUMN())),OFFSET($CL$2,0,0,ROW()-1,84),ROW()-1,FALSE))</f>
        <v>4.698728579</v>
      </c>
      <c r="Z211">
        <f ca="1">IF(AND(ISNUMBER($Z$414),$B$252=1),$Z$414,HLOOKUP(INDIRECT(ADDRESS(2,COLUMN())),OFFSET($CL$2,0,0,ROW()-1,84),ROW()-1,FALSE))</f>
        <v>4.5662100460000001</v>
      </c>
      <c r="AA211">
        <f ca="1">IF(AND(ISNUMBER($AA$414),$B$252=1),$AA$414,HLOOKUP(INDIRECT(ADDRESS(2,COLUMN())),OFFSET($CL$2,0,0,ROW()-1,84),ROW()-1,FALSE))</f>
        <v>4.604550379</v>
      </c>
      <c r="AB211">
        <f ca="1">IF(AND(ISNUMBER($AB$414),$B$252=1),$AB$414,HLOOKUP(INDIRECT(ADDRESS(2,COLUMN())),OFFSET($CL$2,0,0,ROW()-1,84),ROW()-1,FALSE))</f>
        <v>4.6276380789999996</v>
      </c>
      <c r="AC211">
        <f ca="1">IF(AND(ISNUMBER($AC$414),$B$252=1),$AC$414,HLOOKUP(INDIRECT(ADDRESS(2,COLUMN())),OFFSET($CL$2,0,0,ROW()-1,84),ROW()-1,FALSE))</f>
        <v>4.7747365410000002</v>
      </c>
      <c r="AD211">
        <f ca="1">IF(AND(ISNUMBER($AD$414),$B$252=1),$AD$414,HLOOKUP(INDIRECT(ADDRESS(2,COLUMN())),OFFSET($CL$2,0,0,ROW()-1,84),ROW()-1,FALSE))</f>
        <v>4.3273760709999998</v>
      </c>
      <c r="AE211">
        <f ca="1">IF(AND(ISNUMBER($AE$414),$B$252=1),$AE$414,HLOOKUP(INDIRECT(ADDRESS(2,COLUMN())),OFFSET($CL$2,0,0,ROW()-1,84),ROW()-1,FALSE))</f>
        <v>4.856795805</v>
      </c>
      <c r="AF211">
        <f ca="1">IF(AND(ISNUMBER($AF$414),$B$252=1),$AF$414,HLOOKUP(INDIRECT(ADDRESS(2,COLUMN())),OFFSET($CL$2,0,0,ROW()-1,84),ROW()-1,FALSE))</f>
        <v>4.6848496769999999</v>
      </c>
      <c r="AG211">
        <f ca="1">IF(AND(ISNUMBER($AG$414),$B$252=1),$AG$414,HLOOKUP(INDIRECT(ADDRESS(2,COLUMN())),OFFSET($CL$2,0,0,ROW()-1,84),ROW()-1,FALSE))</f>
        <v>4.4379504919999997</v>
      </c>
      <c r="AH211">
        <f ca="1">IF(AND(ISNUMBER($AH$414),$B$252=1),$AH$414,HLOOKUP(INDIRECT(ADDRESS(2,COLUMN())),OFFSET($CL$2,0,0,ROW()-1,84),ROW()-1,FALSE))</f>
        <v>4.4902140340000001</v>
      </c>
      <c r="AI211">
        <f ca="1">IF(AND(ISNUMBER($AI$414),$B$252=1),$AI$414,HLOOKUP(INDIRECT(ADDRESS(2,COLUMN())),OFFSET($CL$2,0,0,ROW()-1,84),ROW()-1,FALSE))</f>
        <v>4.8094544399999997</v>
      </c>
      <c r="AJ211">
        <f ca="1">IF(AND(ISNUMBER($AJ$414),$B$252=1),$AJ$414,HLOOKUP(INDIRECT(ADDRESS(2,COLUMN())),OFFSET($CL$2,0,0,ROW()-1,84),ROW()-1,FALSE))</f>
        <v>4.8066647329999999</v>
      </c>
      <c r="AK211" t="str">
        <f ca="1">IF(AND(ISNUMBER($AK$414),$B$252=1),$AK$414,HLOOKUP(INDIRECT(ADDRESS(2,COLUMN())),OFFSET($CL$2,0,0,ROW()-1,84),ROW()-1,FALSE))</f>
        <v/>
      </c>
      <c r="AL211" t="str">
        <f ca="1">IF(AND(ISNUMBER($AL$414),$B$252=1),$AL$414,HLOOKUP(INDIRECT(ADDRESS(2,COLUMN())),OFFSET($CL$2,0,0,ROW()-1,84),ROW()-1,FALSE))</f>
        <v/>
      </c>
      <c r="AM211" t="str">
        <f ca="1">IF(AND(ISNUMBER($AM$414),$B$252=1),$AM$414,HLOOKUP(INDIRECT(ADDRESS(2,COLUMN())),OFFSET($CL$2,0,0,ROW()-1,84),ROW()-1,FALSE))</f>
        <v/>
      </c>
      <c r="AN211" t="str">
        <f ca="1">IF(AND(ISNUMBER($AN$414),$B$252=1),$AN$414,HLOOKUP(INDIRECT(ADDRESS(2,COLUMN())),OFFSET($CL$2,0,0,ROW()-1,84),ROW()-1,FALSE))</f>
        <v/>
      </c>
      <c r="AO211" t="str">
        <f ca="1">IF(AND(ISNUMBER($AO$414),$B$252=1),$AO$414,HLOOKUP(INDIRECT(ADDRESS(2,COLUMN())),OFFSET($CL$2,0,0,ROW()-1,84),ROW()-1,FALSE))</f>
        <v/>
      </c>
      <c r="AP211" t="str">
        <f ca="1">IF(AND(ISNUMBER($AP$414),$B$252=1),$AP$414,HLOOKUP(INDIRECT(ADDRESS(2,COLUMN())),OFFSET($CL$2,0,0,ROW()-1,84),ROW()-1,FALSE))</f>
        <v/>
      </c>
      <c r="AQ211" t="str">
        <f ca="1">IF(AND(ISNUMBER($AQ$414),$B$252=1),$AQ$414,HLOOKUP(INDIRECT(ADDRESS(2,COLUMN())),OFFSET($CL$2,0,0,ROW()-1,84),ROW()-1,FALSE))</f>
        <v/>
      </c>
      <c r="AR211" t="str">
        <f ca="1">IF(AND(ISNUMBER($AR$414),$B$252=1),$AR$414,HLOOKUP(INDIRECT(ADDRESS(2,COLUMN())),OFFSET($CL$2,0,0,ROW()-1,84),ROW()-1,FALSE))</f>
        <v/>
      </c>
      <c r="AS211" t="str">
        <f ca="1">IF(AND(ISNUMBER($AS$414),$B$252=1),$AS$414,HLOOKUP(INDIRECT(ADDRESS(2,COLUMN())),OFFSET($CL$2,0,0,ROW()-1,84),ROW()-1,FALSE))</f>
        <v/>
      </c>
      <c r="AT211" t="str">
        <f ca="1">IF(AND(ISNUMBER($AT$414),$B$252=1),$AT$414,HLOOKUP(INDIRECT(ADDRESS(2,COLUMN())),OFFSET($CL$2,0,0,ROW()-1,84),ROW()-1,FALSE))</f>
        <v/>
      </c>
      <c r="AU211" t="str">
        <f ca="1">IF(AND(ISNUMBER($AU$414),$B$252=1),$AU$414,HLOOKUP(INDIRECT(ADDRESS(2,COLUMN())),OFFSET($CL$2,0,0,ROW()-1,84),ROW()-1,FALSE))</f>
        <v/>
      </c>
      <c r="AV211" t="str">
        <f ca="1">IF(AND(ISNUMBER($AV$414),$B$252=1),$AV$414,HLOOKUP(INDIRECT(ADDRESS(2,COLUMN())),OFFSET($CL$2,0,0,ROW()-1,84),ROW()-1,FALSE))</f>
        <v/>
      </c>
      <c r="AW211" t="str">
        <f ca="1">IF(AND(ISNUMBER($AW$414),$B$252=1),$AW$414,HLOOKUP(INDIRECT(ADDRESS(2,COLUMN())),OFFSET($CL$2,0,0,ROW()-1,84),ROW()-1,FALSE))</f>
        <v/>
      </c>
      <c r="AX211" t="str">
        <f ca="1">IF(AND(ISNUMBER($AX$414),$B$252=1),$AX$414,HLOOKUP(INDIRECT(ADDRESS(2,COLUMN())),OFFSET($CL$2,0,0,ROW()-1,84),ROW()-1,FALSE))</f>
        <v/>
      </c>
      <c r="AY211" t="str">
        <f ca="1">IF(AND(ISNUMBER($AY$414),$B$252=1),$AY$414,HLOOKUP(INDIRECT(ADDRESS(2,COLUMN())),OFFSET($CL$2,0,0,ROW()-1,84),ROW()-1,FALSE))</f>
        <v/>
      </c>
      <c r="AZ211" t="str">
        <f ca="1">IF(AND(ISNUMBER($AZ$414),$B$252=1),$AZ$414,HLOOKUP(INDIRECT(ADDRESS(2,COLUMN())),OFFSET($CL$2,0,0,ROW()-1,84),ROW()-1,FALSE))</f>
        <v/>
      </c>
      <c r="BA211" t="str">
        <f ca="1">IF(AND(ISNUMBER($BA$414),$B$252=1),$BA$414,HLOOKUP(INDIRECT(ADDRESS(2,COLUMN())),OFFSET($CL$2,0,0,ROW()-1,84),ROW()-1,FALSE))</f>
        <v/>
      </c>
      <c r="BB211" t="str">
        <f ca="1">IF(AND(ISNUMBER($BB$414),$B$252=1),$BB$414,HLOOKUP(INDIRECT(ADDRESS(2,COLUMN())),OFFSET($CL$2,0,0,ROW()-1,84),ROW()-1,FALSE))</f>
        <v/>
      </c>
      <c r="BC211" t="str">
        <f ca="1">IF(AND(ISNUMBER($BC$414),$B$252=1),$BC$414,HLOOKUP(INDIRECT(ADDRESS(2,COLUMN())),OFFSET($CL$2,0,0,ROW()-1,84),ROW()-1,FALSE))</f>
        <v/>
      </c>
      <c r="BD211" t="str">
        <f ca="1">IF(AND(ISNUMBER($BD$414),$B$252=1),$BD$414,HLOOKUP(INDIRECT(ADDRESS(2,COLUMN())),OFFSET($CL$2,0,0,ROW()-1,84),ROW()-1,FALSE))</f>
        <v/>
      </c>
      <c r="BE211">
        <f ca="1">IF(AND(ISNUMBER($BE$414),$B$252=1),$BE$414,HLOOKUP(INDIRECT(ADDRESS(2,COLUMN())),OFFSET($CL$2,0,0,ROW()-1,84),ROW()-1,FALSE))</f>
        <v>5.9829059830000002</v>
      </c>
      <c r="BF211">
        <f ca="1">IF(AND(ISNUMBER($BF$414),$B$252=1),$BF$414,HLOOKUP(INDIRECT(ADDRESS(2,COLUMN())),OFFSET($CL$2,0,0,ROW()-1,84),ROW()-1,FALSE))</f>
        <v>6.0163300389999996</v>
      </c>
      <c r="BG211">
        <f ca="1">IF(AND(ISNUMBER($BG$414),$B$252=1),$BG$414,HLOOKUP(INDIRECT(ADDRESS(2,COLUMN())),OFFSET($CL$2,0,0,ROW()-1,84),ROW()-1,FALSE))</f>
        <v>5.6428859329999996</v>
      </c>
      <c r="BH211">
        <f ca="1">IF(AND(ISNUMBER($BH$414),$B$252=1),$BH$414,HLOOKUP(INDIRECT(ADDRESS(2,COLUMN())),OFFSET($CL$2,0,0,ROW()-1,84),ROW()-1,FALSE))</f>
        <v>5.9071729959999999</v>
      </c>
      <c r="BI211">
        <f ca="1">IF(AND(ISNUMBER($BI$414),$B$252=1),$BI$414,HLOOKUP(INDIRECT(ADDRESS(2,COLUMN())),OFFSET($CL$2,0,0,ROW()-1,84),ROW()-1,FALSE))</f>
        <v>6.0203629919999999</v>
      </c>
      <c r="BJ211">
        <f ca="1">IF(AND(ISNUMBER($BJ$414),$B$252=1),$BJ$414,HLOOKUP(INDIRECT(ADDRESS(2,COLUMN())),OFFSET($CL$2,0,0,ROW()-1,84),ROW()-1,FALSE))</f>
        <v>5.4313099039999999</v>
      </c>
      <c r="BK211">
        <f ca="1">IF(AND(ISNUMBER($BK$414),$B$252=1),$BK$414,HLOOKUP(INDIRECT(ADDRESS(2,COLUMN())),OFFSET($CL$2,0,0,ROW()-1,84),ROW()-1,FALSE))</f>
        <v>5.335425657</v>
      </c>
      <c r="BL211">
        <f ca="1">IF(AND(ISNUMBER($BL$414),$B$252=1),$BL$414,HLOOKUP(INDIRECT(ADDRESS(2,COLUMN())),OFFSET($CL$2,0,0,ROW()-1,84),ROW()-1,FALSE))</f>
        <v>5.4164956909999997</v>
      </c>
      <c r="BM211">
        <f ca="1">IF(AND(ISNUMBER($BM$414),$B$252=1),$BM$414,HLOOKUP(INDIRECT(ADDRESS(2,COLUMN())),OFFSET($CL$2,0,0,ROW()-1,84),ROW()-1,FALSE))</f>
        <v>5.370219691</v>
      </c>
      <c r="BN211">
        <f ca="1">IF(AND(ISNUMBER($BN$414),$B$252=1),$BN$414,HLOOKUP(INDIRECT(ADDRESS(2,COLUMN())),OFFSET($CL$2,0,0,ROW()-1,84),ROW()-1,FALSE))</f>
        <v>5.4568003310000002</v>
      </c>
      <c r="BO211">
        <f ca="1">IF(AND(ISNUMBER($BO$414),$B$252=1),$BO$414,HLOOKUP(INDIRECT(ADDRESS(2,COLUMN())),OFFSET($CL$2,0,0,ROW()-1,84),ROW()-1,FALSE))</f>
        <v>5.5741827329999998</v>
      </c>
      <c r="BP211">
        <f ca="1">IF(AND(ISNUMBER($BP$414),$B$252=1),$BP$414,HLOOKUP(INDIRECT(ADDRESS(2,COLUMN())),OFFSET($CL$2,0,0,ROW()-1,84),ROW()-1,FALSE))</f>
        <v>5.5671829219999998</v>
      </c>
      <c r="BQ211">
        <f ca="1">IF(AND(ISNUMBER($BQ$414),$B$252=1),$BQ$414,HLOOKUP(INDIRECT(ADDRESS(2,COLUMN())),OFFSET($CL$2,0,0,ROW()-1,84),ROW()-1,FALSE))</f>
        <v>5.5929352400000001</v>
      </c>
      <c r="BR211">
        <f ca="1">IF(AND(ISNUMBER($BR$414),$B$252=1),$BR$414,HLOOKUP(INDIRECT(ADDRESS(2,COLUMN())),OFFSET($CL$2,0,0,ROW()-1,84),ROW()-1,FALSE))</f>
        <v>5.953933073</v>
      </c>
      <c r="BS211">
        <f ca="1">IF(AND(ISNUMBER($BS$414),$B$252=1),$BS$414,HLOOKUP(INDIRECT(ADDRESS(2,COLUMN())),OFFSET($CL$2,0,0,ROW()-1,84),ROW()-1,FALSE))</f>
        <v>5.6448290070000002</v>
      </c>
      <c r="BT211">
        <f ca="1">IF(AND(ISNUMBER($BT$414),$B$252=1),$BT$414,HLOOKUP(INDIRECT(ADDRESS(2,COLUMN())),OFFSET($CL$2,0,0,ROW()-1,84),ROW()-1,FALSE))</f>
        <v>5.5197421430000002</v>
      </c>
      <c r="BU211">
        <f ca="1">IF(AND(ISNUMBER($BU$414),$B$252=1),$BU$414,HLOOKUP(INDIRECT(ADDRESS(2,COLUMN())),OFFSET($CL$2,0,0,ROW()-1,84),ROW()-1,FALSE))</f>
        <v>5.386138614</v>
      </c>
      <c r="BV211">
        <f ca="1">IF(AND(ISNUMBER($BV$414),$B$252=1),$BV$414,HLOOKUP(INDIRECT(ADDRESS(2,COLUMN())),OFFSET($CL$2,0,0,ROW()-1,84),ROW()-1,FALSE))</f>
        <v>5.1108605789999997</v>
      </c>
      <c r="BW211">
        <f ca="1">IF(AND(ISNUMBER($BW$414),$B$252=1),$BW$414,HLOOKUP(INDIRECT(ADDRESS(2,COLUMN())),OFFSET($CL$2,0,0,ROW()-1,84),ROW()-1,FALSE))</f>
        <v>5.263157895</v>
      </c>
      <c r="BX211">
        <f ca="1">IF(AND(ISNUMBER($BX$414),$B$252=1),$BX$414,HLOOKUP(INDIRECT(ADDRESS(2,COLUMN())),OFFSET($CL$2,0,0,ROW()-1,84),ROW()-1,FALSE))</f>
        <v>5.2123552120000003</v>
      </c>
      <c r="BY211">
        <f ca="1">IF(AND(ISNUMBER($BY$414),$B$252=1),$BY$414,HLOOKUP(INDIRECT(ADDRESS(2,COLUMN())),OFFSET($CL$2,0,0,ROW()-1,84),ROW()-1,FALSE))</f>
        <v>5.1272312949999996</v>
      </c>
      <c r="BZ211">
        <f ca="1">IF(AND(ISNUMBER($BZ$414),$B$252=1),$BZ$414,HLOOKUP(INDIRECT(ADDRESS(2,COLUMN())),OFFSET($CL$2,0,0,ROW()-1,84),ROW()-1,FALSE))</f>
        <v>5.0542867840000003</v>
      </c>
      <c r="CA211">
        <f ca="1">IF(AND(ISNUMBER($CA$414),$B$252=1),$CA$414,HLOOKUP(INDIRECT(ADDRESS(2,COLUMN())),OFFSET($CL$2,0,0,ROW()-1,84),ROW()-1,FALSE))</f>
        <v>5.1558752999999999</v>
      </c>
      <c r="CB211">
        <f ca="1">IF(AND(ISNUMBER($CB$414),$B$252=1),$CB$414,HLOOKUP(INDIRECT(ADDRESS(2,COLUMN())),OFFSET($CL$2,0,0,ROW()-1,84),ROW()-1,FALSE))</f>
        <v>4.9577248269999998</v>
      </c>
      <c r="CC211">
        <f ca="1">IF(AND(ISNUMBER($CC$414),$B$252=1),$CC$414,HLOOKUP(INDIRECT(ADDRESS(2,COLUMN())),OFFSET($CL$2,0,0,ROW()-1,84),ROW()-1,FALSE))</f>
        <v>5.1394422310000003</v>
      </c>
      <c r="CD211">
        <f ca="1">IF(AND(ISNUMBER($CD$414),$B$252=1),$CD$414,HLOOKUP(INDIRECT(ADDRESS(2,COLUMN())),OFFSET($CL$2,0,0,ROW()-1,84),ROW()-1,FALSE))</f>
        <v>5.1914893620000004</v>
      </c>
      <c r="CE211">
        <f ca="1">IF(AND(ISNUMBER($CE$414),$B$252=1),$CE$414,HLOOKUP(INDIRECT(ADDRESS(2,COLUMN())),OFFSET($CL$2,0,0,ROW()-1,84),ROW()-1,FALSE))</f>
        <v>4.8937023670000004</v>
      </c>
      <c r="CF211">
        <f ca="1">IF(AND(ISNUMBER($CF$414),$B$252=1),$CF$414,HLOOKUP(INDIRECT(ADDRESS(2,COLUMN())),OFFSET($CL$2,0,0,ROW()-1,84),ROW()-1,FALSE))</f>
        <v>5.5103884369999996</v>
      </c>
      <c r="CG211">
        <f ca="1">IF(AND(ISNUMBER($CG$414),$B$252=1),$CG$414,HLOOKUP(INDIRECT(ADDRESS(2,COLUMN())),OFFSET($CL$2,0,0,ROW()-1,84),ROW()-1,FALSE))</f>
        <v>4.3803818789999998</v>
      </c>
      <c r="CH211">
        <f ca="1">IF(AND(ISNUMBER($CH$414),$B$252=1),$CH$414,HLOOKUP(INDIRECT(ADDRESS(2,COLUMN())),OFFSET($CL$2,0,0,ROW()-1,84),ROW()-1,FALSE))</f>
        <v>4.4469783349999998</v>
      </c>
      <c r="CI211">
        <f ca="1">IF(AND(ISNUMBER($CI$414),$B$252=1),$CI$414,HLOOKUP(INDIRECT(ADDRESS(2,COLUMN())),OFFSET($CL$2,0,0,ROW()-1,84),ROW()-1,FALSE))</f>
        <v>4.7657841139999997</v>
      </c>
      <c r="CJ211">
        <f ca="1">IF(AND(ISNUMBER($CJ$414),$B$252=1),$CJ$414,HLOOKUP(INDIRECT(ADDRESS(2,COLUMN())),OFFSET($CL$2,0,0,ROW()-1,84),ROW()-1,FALSE))</f>
        <v>4.2977743669999997</v>
      </c>
      <c r="CK211">
        <f ca="1">IF(AND(ISNUMBER($CK$414),$B$252=1),$CK$414,HLOOKUP(INDIRECT(ADDRESS(2,COLUMN())),OFFSET($CL$2,0,0,ROW()-1,84),ROW()-1,FALSE))</f>
        <v>4.3259945929999999</v>
      </c>
      <c r="CL211">
        <f>5.252753482</f>
        <v>5.2527534820000001</v>
      </c>
      <c r="CM211">
        <f>5.532421178</f>
        <v>5.5324211779999999</v>
      </c>
      <c r="CN211">
        <f>5.091705448</f>
        <v>5.0917054479999999</v>
      </c>
      <c r="CO211">
        <f>4.828660436</f>
        <v>4.8286604359999998</v>
      </c>
      <c r="CP211">
        <f>4.72921434</f>
        <v>4.7292143400000004</v>
      </c>
      <c r="CQ211">
        <f>4.795050271</f>
        <v>4.795050271</v>
      </c>
      <c r="CR211">
        <f>4.890875625</f>
        <v>4.8908756249999996</v>
      </c>
      <c r="CS211">
        <f>4.710030912</f>
        <v>4.7100309119999997</v>
      </c>
      <c r="CT211">
        <f>4.677498081</f>
        <v>4.6774980810000004</v>
      </c>
      <c r="CU211">
        <f>4.691901463</f>
        <v>4.6919014629999998</v>
      </c>
      <c r="CV211">
        <f>4.70974877</f>
        <v>4.70974877</v>
      </c>
      <c r="CW211">
        <f>4.869935726</f>
        <v>4.8699357259999996</v>
      </c>
      <c r="CX211">
        <f>5.014986211</f>
        <v>5.0149862110000001</v>
      </c>
      <c r="CY211">
        <f>4.927216438</f>
        <v>4.9272164380000003</v>
      </c>
      <c r="CZ211">
        <f>5.145733906</f>
        <v>5.1457339060000002</v>
      </c>
      <c r="DA211">
        <f>4.929917763</f>
        <v>4.9299177629999997</v>
      </c>
      <c r="DB211">
        <f>5.107032902</f>
        <v>5.1070329020000003</v>
      </c>
      <c r="DC211">
        <f>4.971215327</f>
        <v>4.9712153270000004</v>
      </c>
      <c r="DD211">
        <f>4.83032509</f>
        <v>4.8303250899999997</v>
      </c>
      <c r="DE211">
        <f>4.698728579</f>
        <v>4.698728579</v>
      </c>
      <c r="DF211">
        <f>4.566210046</f>
        <v>4.5662100460000001</v>
      </c>
      <c r="DG211">
        <f>4.604550379</f>
        <v>4.604550379</v>
      </c>
      <c r="DH211">
        <f>4.627638079</f>
        <v>4.6276380789999996</v>
      </c>
      <c r="DI211">
        <f>4.774736541</f>
        <v>4.7747365410000002</v>
      </c>
      <c r="DJ211">
        <f>4.327376071</f>
        <v>4.3273760709999998</v>
      </c>
      <c r="DK211">
        <f>4.856795805</f>
        <v>4.856795805</v>
      </c>
      <c r="DL211">
        <f>4.684849677</f>
        <v>4.6848496769999999</v>
      </c>
      <c r="DM211">
        <f>4.437950492</f>
        <v>4.4379504919999997</v>
      </c>
      <c r="DN211">
        <f>4.490214034</f>
        <v>4.4902140340000001</v>
      </c>
      <c r="DO211">
        <f>4.80945444</f>
        <v>4.8094544399999997</v>
      </c>
      <c r="DP211">
        <f>4.806664733</f>
        <v>4.8066647329999999</v>
      </c>
      <c r="DQ211" t="str">
        <f>""</f>
        <v/>
      </c>
      <c r="DR211" t="str">
        <f>""</f>
        <v/>
      </c>
      <c r="DS211" t="str">
        <f>""</f>
        <v/>
      </c>
      <c r="DT211" t="str">
        <f>""</f>
        <v/>
      </c>
      <c r="DU211" t="str">
        <f>""</f>
        <v/>
      </c>
      <c r="DV211" t="str">
        <f>""</f>
        <v/>
      </c>
      <c r="DW211" t="str">
        <f>""</f>
        <v/>
      </c>
      <c r="DX211" t="str">
        <f>""</f>
        <v/>
      </c>
      <c r="DY211" t="str">
        <f>""</f>
        <v/>
      </c>
      <c r="DZ211" t="str">
        <f>""</f>
        <v/>
      </c>
      <c r="EA211" t="str">
        <f>""</f>
        <v/>
      </c>
      <c r="EB211" t="str">
        <f>""</f>
        <v/>
      </c>
      <c r="EC211" t="str">
        <f>""</f>
        <v/>
      </c>
      <c r="ED211" t="str">
        <f>""</f>
        <v/>
      </c>
      <c r="EE211" t="str">
        <f>""</f>
        <v/>
      </c>
      <c r="EF211" t="str">
        <f>""</f>
        <v/>
      </c>
      <c r="EG211" t="str">
        <f>""</f>
        <v/>
      </c>
      <c r="EH211" t="str">
        <f>""</f>
        <v/>
      </c>
      <c r="EI211" t="str">
        <f>""</f>
        <v/>
      </c>
      <c r="EJ211" t="str">
        <f>""</f>
        <v/>
      </c>
      <c r="EK211">
        <f>5.982905983</f>
        <v>5.9829059830000002</v>
      </c>
      <c r="EL211">
        <f>6.016330039</f>
        <v>6.0163300389999996</v>
      </c>
      <c r="EM211">
        <f>5.642885933</f>
        <v>5.6428859329999996</v>
      </c>
      <c r="EN211">
        <f>5.907172996</f>
        <v>5.9071729959999999</v>
      </c>
      <c r="EO211">
        <f>6.020362992</f>
        <v>6.0203629919999999</v>
      </c>
      <c r="EP211">
        <f>5.431309904</f>
        <v>5.4313099039999999</v>
      </c>
      <c r="EQ211">
        <f>5.335425657</f>
        <v>5.335425657</v>
      </c>
      <c r="ER211">
        <f>5.416495691</f>
        <v>5.4164956909999997</v>
      </c>
      <c r="ES211">
        <f>5.370219691</f>
        <v>5.370219691</v>
      </c>
      <c r="ET211">
        <f>5.456800331</f>
        <v>5.4568003310000002</v>
      </c>
      <c r="EU211">
        <f>5.574182733</f>
        <v>5.5741827329999998</v>
      </c>
      <c r="EV211">
        <f>5.567182922</f>
        <v>5.5671829219999998</v>
      </c>
      <c r="EW211">
        <f>5.59293524</f>
        <v>5.5929352400000001</v>
      </c>
      <c r="EX211">
        <f>5.953933073</f>
        <v>5.953933073</v>
      </c>
      <c r="EY211">
        <f>5.644829007</f>
        <v>5.6448290070000002</v>
      </c>
      <c r="EZ211">
        <f>5.519742143</f>
        <v>5.5197421430000002</v>
      </c>
      <c r="FA211">
        <f>5.386138614</f>
        <v>5.386138614</v>
      </c>
      <c r="FB211">
        <f>5.110860579</f>
        <v>5.1108605789999997</v>
      </c>
      <c r="FC211">
        <f>5.263157895</f>
        <v>5.263157895</v>
      </c>
      <c r="FD211">
        <f>5.212355212</f>
        <v>5.2123552120000003</v>
      </c>
      <c r="FE211">
        <f>5.127231295</f>
        <v>5.1272312949999996</v>
      </c>
      <c r="FF211">
        <f>5.054286784</f>
        <v>5.0542867840000003</v>
      </c>
      <c r="FG211">
        <f>5.1558753</f>
        <v>5.1558752999999999</v>
      </c>
      <c r="FH211">
        <f>4.957724827</f>
        <v>4.9577248269999998</v>
      </c>
      <c r="FI211">
        <f>5.139442231</f>
        <v>5.1394422310000003</v>
      </c>
      <c r="FJ211">
        <f>5.191489362</f>
        <v>5.1914893620000004</v>
      </c>
      <c r="FK211">
        <f>4.893702367</f>
        <v>4.8937023670000004</v>
      </c>
      <c r="FL211">
        <f>5.510388437</f>
        <v>5.5103884369999996</v>
      </c>
      <c r="FM211">
        <f>4.380381879</f>
        <v>4.3803818789999998</v>
      </c>
      <c r="FN211">
        <f>4.446978335</f>
        <v>4.4469783349999998</v>
      </c>
      <c r="FO211">
        <f>4.765784114</f>
        <v>4.7657841139999997</v>
      </c>
      <c r="FP211">
        <f>4.297774367</f>
        <v>4.2977743669999997</v>
      </c>
      <c r="FQ211">
        <f>4.325994593</f>
        <v>4.3259945929999999</v>
      </c>
    </row>
    <row r="212" spans="1:173">
      <c r="A212" t="str">
        <f>"企业价值"</f>
        <v>企业价值</v>
      </c>
      <c r="B212" t="str">
        <f>""</f>
        <v/>
      </c>
      <c r="E212" t="str">
        <f>"Sum"</f>
        <v>Sum</v>
      </c>
      <c r="F212">
        <f ca="1">IF(ISERROR(IF(SUM($F$213:$F$219) = 0, "", SUM($F$213:$F$219))), "", (IF(SUM($F$213:$F$219) = 0, "", SUM($F$213:$F$219))))</f>
        <v>133834.16959400001</v>
      </c>
      <c r="G212">
        <f ca="1">IF(ISERROR(IF(SUM($G$213:$G$219) = 0, "", SUM($G$213:$G$219))), "", (IF(SUM($G$213:$G$219) = 0, "", SUM($G$213:$G$219))))</f>
        <v>129400.712959</v>
      </c>
      <c r="H212">
        <f ca="1">IF(ISERROR(IF(SUM($H$213:$H$219) = 0, "", SUM($H$213:$H$219))), "", (IF(SUM($H$213:$H$219) = 0, "", SUM($H$213:$H$219))))</f>
        <v>137161.60454999999</v>
      </c>
      <c r="I212">
        <f ca="1">IF(ISERROR(IF(SUM($I$213:$I$219) = 0, "", SUM($I$213:$I$219))), "", (IF(SUM($I$213:$I$219) = 0, "", SUM($I$213:$I$219))))</f>
        <v>141648.40005000003</v>
      </c>
      <c r="J212">
        <f ca="1">IF(ISERROR(IF(SUM($J$213:$J$219) = 0, "", SUM($J$213:$J$219))), "", (IF(SUM($J$213:$J$219) = 0, "", SUM($J$213:$J$219))))</f>
        <v>143963.86187999998</v>
      </c>
      <c r="K212">
        <f ca="1">IF(ISERROR(IF(SUM($K$213:$K$219) = 0, "", SUM($K$213:$K$219))), "", (IF(SUM($K$213:$K$219) = 0, "", SUM($K$213:$K$219))))</f>
        <v>144971.07994</v>
      </c>
      <c r="L212">
        <f ca="1">IF(ISERROR(IF(SUM($L$213:$L$219) = 0, "", SUM($L$213:$L$219))), "", (IF(SUM($L$213:$L$219) = 0, "", SUM($L$213:$L$219))))</f>
        <v>143792.40006999997</v>
      </c>
      <c r="M212">
        <f ca="1">IF(ISERROR(IF(SUM($M$213:$M$219) = 0, "", SUM($M$213:$M$219))), "", (IF(SUM($M$213:$M$219) = 0, "", SUM($M$213:$M$219))))</f>
        <v>146411.36068999997</v>
      </c>
      <c r="N212">
        <f ca="1">IF(ISERROR(IF(SUM($N$213:$N$219) = 0, "", SUM($N$213:$N$219))), "", (IF(SUM($N$213:$N$219) = 0, "", SUM($N$213:$N$219))))</f>
        <v>146835.43515999999</v>
      </c>
      <c r="O212">
        <f ca="1">IF(ISERROR(IF(SUM($O$213:$O$219) = 0, "", SUM($O$213:$O$219))), "", (IF(SUM($O$213:$O$219) = 0, "", SUM($O$213:$O$219))))</f>
        <v>144919.08635999999</v>
      </c>
      <c r="P212">
        <f ca="1">IF(ISERROR(IF(SUM($P$213:$P$219) = 0, "", SUM($P$213:$P$219))), "", (IF(SUM($P$213:$P$219) = 0, "", SUM($P$213:$P$219))))</f>
        <v>143587.99609500001</v>
      </c>
      <c r="Q212">
        <f ca="1">IF(ISERROR(IF(SUM($Q$213:$Q$219) = 0, "", SUM($Q$213:$Q$219))), "", (IF(SUM($Q$213:$Q$219) = 0, "", SUM($Q$213:$Q$219))))</f>
        <v>141641.39808000001</v>
      </c>
      <c r="R212">
        <f ca="1">IF(ISERROR(IF(SUM($R$213:$R$219) = 0, "", SUM($R$213:$R$219))), "", (IF(SUM($R$213:$R$219) = 0, "", SUM($R$213:$R$219))))</f>
        <v>138890.33482300001</v>
      </c>
      <c r="S212">
        <f ca="1">IF(ISERROR(IF(SUM($S$213:$S$219) = 0, "", SUM($S$213:$S$219))), "", (IF(SUM($S$213:$S$219) = 0, "", SUM($S$213:$S$219))))</f>
        <v>140143.71797500001</v>
      </c>
      <c r="T212">
        <f ca="1">IF(ISERROR(IF(SUM($T$213:$T$219) = 0, "", SUM($T$213:$T$219))), "", (IF(SUM($T$213:$T$219) = 0, "", SUM($T$213:$T$219))))</f>
        <v>135181.639796</v>
      </c>
      <c r="U212">
        <f ca="1">IF(ISERROR(IF(SUM($U$213:$U$219) = 0, "", SUM($U$213:$U$219))), "", (IF(SUM($U$213:$U$219) = 0, "", SUM($U$213:$U$219))))</f>
        <v>138659.804875</v>
      </c>
      <c r="V212">
        <f ca="1">IF(ISERROR(IF(SUM($V$213:$V$219) = 0, "", SUM($V$213:$V$219))), "", (IF(SUM($V$213:$V$219) = 0, "", SUM($V$213:$V$219))))</f>
        <v>126210.318212</v>
      </c>
      <c r="W212">
        <f ca="1">IF(ISERROR(IF(SUM($W$213:$W$219) = 0, "", SUM($W$213:$W$219))), "", (IF(SUM($W$213:$W$219) = 0, "", SUM($W$213:$W$219))))</f>
        <v>128558.71281199998</v>
      </c>
      <c r="X212">
        <f ca="1">IF(ISERROR(IF(SUM($X$213:$X$219) = 0, "", SUM($X$213:$X$219))), "", (IF(SUM($X$213:$X$219) = 0, "", SUM($X$213:$X$219))))</f>
        <v>131871.03201300002</v>
      </c>
      <c r="Y212">
        <f ca="1">IF(ISERROR(IF(SUM($Y$213:$Y$219) = 0, "", SUM($Y$213:$Y$219))), "", (IF(SUM($Y$213:$Y$219) = 0, "", SUM($Y$213:$Y$219))))</f>
        <v>132458.78075000001</v>
      </c>
      <c r="Z212">
        <f ca="1">IF(ISERROR(IF(SUM($Z$213:$Z$219) = 0, "", SUM($Z$213:$Z$219))), "", (IF(SUM($Z$213:$Z$219) = 0, "", SUM($Z$213:$Z$219))))</f>
        <v>137081.37339999998</v>
      </c>
      <c r="AA212">
        <f ca="1">IF(ISERROR(IF(SUM($AA$213:$AA$219) = 0, "", SUM($AA$213:$AA$219))), "", (IF(SUM($AA$213:$AA$219) = 0, "", SUM($AA$213:$AA$219))))</f>
        <v>135793.52794</v>
      </c>
      <c r="AB212">
        <f ca="1">IF(ISERROR(IF(SUM($AB$213:$AB$219) = 0, "", SUM($AB$213:$AB$219))), "", (IF(SUM($AB$213:$AB$219) = 0, "", SUM($AB$213:$AB$219))))</f>
        <v>134962.83921000001</v>
      </c>
      <c r="AC212">
        <f ca="1">IF(ISERROR(IF(SUM($AC$213:$AC$219) = 0, "", SUM($AC$213:$AC$219))), "", (IF(SUM($AC$213:$AC$219) = 0, "", SUM($AC$213:$AC$219))))</f>
        <v>131911.51978999999</v>
      </c>
      <c r="AD212">
        <f ca="1">IF(ISERROR(IF(SUM($AD$213:$AD$219) = 0, "", SUM($AD$213:$AD$219))), "", (IF(SUM($AD$213:$AD$219) = 0, "", SUM($AD$213:$AD$219))))</f>
        <v>139393.51364999998</v>
      </c>
      <c r="AE212">
        <f ca="1">IF(ISERROR(IF(SUM($AE$213:$AE$219) = 0, "", SUM($AE$213:$AE$219))), "", (IF(SUM($AE$213:$AE$219) = 0, "", SUM($AE$213:$AE$219))))</f>
        <v>132870.64013300001</v>
      </c>
      <c r="AF212">
        <f ca="1">IF(ISERROR(IF(SUM($AF$213:$AF$219) = 0, "", SUM($AF$213:$AF$219))), "", (IF(SUM($AF$213:$AF$219) = 0, "", SUM($AF$213:$AF$219))))</f>
        <v>135298.02801800001</v>
      </c>
      <c r="AG212">
        <f ca="1">IF(ISERROR(IF(SUM($AG$213:$AG$219) = 0, "", SUM($AG$213:$AG$219))), "", (IF(SUM($AG$213:$AG$219) = 0, "", SUM($AG$213:$AG$219))))</f>
        <v>141006.710705</v>
      </c>
      <c r="AH212">
        <f ca="1">IF(ISERROR(IF(SUM($AH$213:$AH$219) = 0, "", SUM($AH$213:$AH$219))), "", (IF(SUM($AH$213:$AH$219) = 0, "", SUM($AH$213:$AH$219))))</f>
        <v>138326.01444300002</v>
      </c>
      <c r="AI212">
        <f ca="1">IF(ISERROR(IF(SUM($AI$213:$AI$219) = 0, "", SUM($AI$213:$AI$219))), "", (IF(SUM($AI$213:$AI$219) = 0, "", SUM($AI$213:$AI$219))))</f>
        <v>133978.55911900001</v>
      </c>
      <c r="AJ212">
        <f ca="1">IF(ISERROR(IF(SUM($AJ$213:$AJ$219) = 0, "", SUM($AJ$213:$AJ$219))), "", (IF(SUM($AJ$213:$AJ$219) = 0, "", SUM($AJ$213:$AJ$219))))</f>
        <v>132655.13262799999</v>
      </c>
      <c r="AK212">
        <f ca="1">IF(ISERROR(IF(SUM($AK$213:$AK$219) = 0, "", SUM($AK$213:$AK$219))), "", (IF(SUM($AK$213:$AK$219) = 0, "", SUM($AK$213:$AK$219))))</f>
        <v>128644.35026000001</v>
      </c>
      <c r="AL212">
        <f ca="1">IF(ISERROR(IF(SUM($AL$213:$AL$219) = 0, "", SUM($AL$213:$AL$219))), "", (IF(SUM($AL$213:$AL$219) = 0, "", SUM($AL$213:$AL$219))))</f>
        <v>133063.051768</v>
      </c>
      <c r="AM212">
        <f ca="1">IF(ISERROR(IF(SUM($AM$213:$AM$219) = 0, "", SUM($AM$213:$AM$219))), "", (IF(SUM($AM$213:$AM$219) = 0, "", SUM($AM$213:$AM$219))))</f>
        <v>126912.45511600001</v>
      </c>
      <c r="AN212">
        <f ca="1">IF(ISERROR(IF(SUM($AN$213:$AN$219) = 0, "", SUM($AN$213:$AN$219))), "", (IF(SUM($AN$213:$AN$219) = 0, "", SUM($AN$213:$AN$219))))</f>
        <v>130480.456871</v>
      </c>
      <c r="AO212">
        <f ca="1">IF(ISERROR(IF(SUM($AO$213:$AO$219) = 0, "", SUM($AO$213:$AO$219))), "", (IF(SUM($AO$213:$AO$219) = 0, "", SUM($AO$213:$AO$219))))</f>
        <v>130034.302105</v>
      </c>
      <c r="AP212">
        <f ca="1">IF(ISERROR(IF(SUM($AP$213:$AP$219) = 0, "", SUM($AP$213:$AP$219))), "", (IF(SUM($AP$213:$AP$219) = 0, "", SUM($AP$213:$AP$219))))</f>
        <v>134449.290095</v>
      </c>
      <c r="AQ212">
        <f ca="1">IF(ISERROR(IF(SUM($AQ$213:$AQ$219) = 0, "", SUM($AQ$213:$AQ$219))), "", (IF(SUM($AQ$213:$AQ$219) = 0, "", SUM($AQ$213:$AQ$219))))</f>
        <v>130477.999096</v>
      </c>
      <c r="AR212">
        <f ca="1">IF(ISERROR(IF(SUM($AR$213:$AR$219) = 0, "", SUM($AR$213:$AR$219))), "", (IF(SUM($AR$213:$AR$219) = 0, "", SUM($AR$213:$AR$219))))</f>
        <v>132881.43763100001</v>
      </c>
      <c r="AS212">
        <f ca="1">IF(ISERROR(IF(SUM($AS$213:$AS$219) = 0, "", SUM($AS$213:$AS$219))), "", (IF(SUM($AS$213:$AS$219) = 0, "", SUM($AS$213:$AS$219))))</f>
        <v>126278.14554999999</v>
      </c>
      <c r="AT212">
        <f ca="1">IF(ISERROR(IF(SUM($AT$213:$AT$219) = 0, "", SUM($AT$213:$AT$219))), "", (IF(SUM($AT$213:$AT$219) = 0, "", SUM($AT$213:$AT$219))))</f>
        <v>125074.07541200001</v>
      </c>
      <c r="AU212">
        <f ca="1">IF(ISERROR(IF(SUM($AU$213:$AU$219) = 0, "", SUM($AU$213:$AU$219))), "", (IF(SUM($AU$213:$AU$219) = 0, "", SUM($AU$213:$AU$219))))</f>
        <v>123822.55795</v>
      </c>
      <c r="AV212">
        <f ca="1">IF(ISERROR(IF(SUM($AV$213:$AV$219) = 0, "", SUM($AV$213:$AV$219))), "", (IF(SUM($AV$213:$AV$219) = 0, "", SUM($AV$213:$AV$219))))</f>
        <v>114621.915825</v>
      </c>
      <c r="AW212">
        <f ca="1">IF(ISERROR(IF(SUM($AW$213:$AW$219) = 0, "", SUM($AW$213:$AW$219))), "", (IF(SUM($AW$213:$AW$219) = 0, "", SUM($AW$213:$AW$219))))</f>
        <v>120995.90717000002</v>
      </c>
      <c r="AX212">
        <f ca="1">IF(ISERROR(IF(SUM($AX$213:$AX$219) = 0, "", SUM($AX$213:$AX$219))), "", (IF(SUM($AX$213:$AX$219) = 0, "", SUM($AX$213:$AX$219))))</f>
        <v>118152.92353099999</v>
      </c>
      <c r="AY212">
        <f ca="1">IF(ISERROR(IF(SUM($AY$213:$AY$219) = 0, "", SUM($AY$213:$AY$219))), "", (IF(SUM($AY$213:$AY$219) = 0, "", SUM($AY$213:$AY$219))))</f>
        <v>116192.42855299999</v>
      </c>
      <c r="AZ212">
        <f ca="1">IF(ISERROR(IF(SUM($AZ$213:$AZ$219) = 0, "", SUM($AZ$213:$AZ$219))), "", (IF(SUM($AZ$213:$AZ$219) = 0, "", SUM($AZ$213:$AZ$219))))</f>
        <v>113940.65339200001</v>
      </c>
      <c r="BA212">
        <f ca="1">IF(ISERROR(IF(SUM($BA$213:$BA$219) = 0, "", SUM($BA$213:$BA$219))), "", (IF(SUM($BA$213:$BA$219) = 0, "", SUM($BA$213:$BA$219))))</f>
        <v>111973.77893299999</v>
      </c>
      <c r="BB212">
        <f ca="1">IF(ISERROR(IF(SUM($BB$213:$BB$219) = 0, "", SUM($BB$213:$BB$219))), "", (IF(SUM($BB$213:$BB$219) = 0, "", SUM($BB$213:$BB$219))))</f>
        <v>105338.71165500002</v>
      </c>
      <c r="BC212">
        <f ca="1">IF(ISERROR(IF(SUM($BC$213:$BC$219) = 0, "", SUM($BC$213:$BC$219))), "", (IF(SUM($BC$213:$BC$219) = 0, "", SUM($BC$213:$BC$219))))</f>
        <v>102804.43461400001</v>
      </c>
      <c r="BD212">
        <f ca="1">IF(ISERROR(IF(SUM($BD$213:$BD$219) = 0, "", SUM($BD$213:$BD$219))), "", (IF(SUM($BD$213:$BD$219) = 0, "", SUM($BD$213:$BD$219))))</f>
        <v>98967.655418999988</v>
      </c>
      <c r="BE212">
        <f ca="1">IF(ISERROR(IF(SUM($BE$213:$BE$219) = 0, "", SUM($BE$213:$BE$219))), "", (IF(SUM($BE$213:$BE$219) = 0, "", SUM($BE$213:$BE$219))))</f>
        <v>95078.56079600002</v>
      </c>
      <c r="BF212">
        <f ca="1">IF(ISERROR(IF(SUM($BF$213:$BF$219) = 0, "", SUM($BF$213:$BF$219))), "", (IF(SUM($BF$213:$BF$219) = 0, "", SUM($BF$213:$BF$219))))</f>
        <v>93665.04623800001</v>
      </c>
      <c r="BG212">
        <f ca="1">IF(ISERROR(IF(SUM($BG$213:$BG$219) = 0, "", SUM($BG$213:$BG$219))), "", (IF(SUM($BG$213:$BG$219) = 0, "", SUM($BG$213:$BG$219))))</f>
        <v>97026.148390000017</v>
      </c>
      <c r="BH212">
        <f ca="1">IF(ISERROR(IF(SUM($BH$213:$BH$219) = 0, "", SUM($BH$213:$BH$219))), "", (IF(SUM($BH$213:$BH$219) = 0, "", SUM($BH$213:$BH$219))))</f>
        <v>94378.912377000001</v>
      </c>
      <c r="BI212">
        <f ca="1">IF(ISERROR(IF(SUM($BI$213:$BI$219) = 0, "", SUM($BI$213:$BI$219))), "", (IF(SUM($BI$213:$BI$219) = 0, "", SUM($BI$213:$BI$219))))</f>
        <v>93335.904181000005</v>
      </c>
      <c r="BJ212">
        <f ca="1">IF(ISERROR(IF(SUM($BJ$213:$BJ$219) = 0, "", SUM($BJ$213:$BJ$219))), "", (IF(SUM($BJ$213:$BJ$219) = 0, "", SUM($BJ$213:$BJ$219))))</f>
        <v>98973.087658000004</v>
      </c>
      <c r="BK212">
        <f ca="1">IF(ISERROR(IF(SUM($BK$213:$BK$219) = 0, "", SUM($BK$213:$BK$219))), "", (IF(SUM($BK$213:$BK$219) = 0, "", SUM($BK$213:$BK$219))))</f>
        <v>99669.750432999994</v>
      </c>
      <c r="BL212">
        <f ca="1">IF(ISERROR(IF(SUM($BL$213:$BL$219) = 0, "", SUM($BL$213:$BL$219))), "", (IF(SUM($BL$213:$BL$219) = 0, "", SUM($BL$213:$BL$219))))</f>
        <v>98643.350584999993</v>
      </c>
      <c r="BM212">
        <f ca="1">IF(ISERROR(IF(SUM($BM$213:$BM$219) = 0, "", SUM($BM$213:$BM$219))), "", (IF(SUM($BM$213:$BM$219) = 0, "", SUM($BM$213:$BM$219))))</f>
        <v>99650.144307999988</v>
      </c>
      <c r="BN212">
        <f ca="1">IF(ISERROR(IF(SUM($BN$213:$BN$219) = 0, "", SUM($BN$213:$BN$219))), "", (IF(SUM($BN$213:$BN$219) = 0, "", SUM($BN$213:$BN$219))))</f>
        <v>96960.486462000001</v>
      </c>
      <c r="BO212">
        <f ca="1">IF(ISERROR(IF(SUM($BO$213:$BO$219) = 0, "", SUM($BO$213:$BO$219))), "", (IF(SUM($BO$213:$BO$219) = 0, "", SUM($BO$213:$BO$219))))</f>
        <v>84108.112858999986</v>
      </c>
      <c r="BP212">
        <f ca="1">IF(ISERROR(IF(SUM($BP$213:$BP$219) = 0, "", SUM($BP$213:$BP$219))), "", (IF(SUM($BP$213:$BP$219) = 0, "", SUM($BP$213:$BP$219))))</f>
        <v>84195.021735000002</v>
      </c>
      <c r="BQ212">
        <f ca="1">IF(ISERROR(IF(SUM($BQ$213:$BQ$219) = 0, "", SUM($BQ$213:$BQ$219))), "", (IF(SUM($BQ$213:$BQ$219) = 0, "", SUM($BQ$213:$BQ$219))))</f>
        <v>84824.909289000017</v>
      </c>
      <c r="BR212">
        <f ca="1">IF(ISERROR(IF(SUM($BR$213:$BR$219) = 0, "", SUM($BR$213:$BR$219))), "", (IF(SUM($BR$213:$BR$219) = 0, "", SUM($BR$213:$BR$219))))</f>
        <v>86102.716244999989</v>
      </c>
      <c r="BS212">
        <f ca="1">IF(ISERROR(IF(SUM($BS$213:$BS$219) = 0, "", SUM($BS$213:$BS$219))), "", (IF(SUM($BS$213:$BS$219) = 0, "", SUM($BS$213:$BS$219))))</f>
        <v>84469.078301000001</v>
      </c>
      <c r="BT212">
        <f ca="1">IF(ISERROR(IF(SUM($BT$213:$BT$219) = 0, "", SUM($BT$213:$BT$219))), "", (IF(SUM($BT$213:$BT$219) = 0, "", SUM($BT$213:$BT$219))))</f>
        <v>84349.180453000008</v>
      </c>
      <c r="BU212">
        <f ca="1">IF(ISERROR(IF(SUM($BU$213:$BU$219) = 0, "", SUM($BU$213:$BU$219))), "", (IF(SUM($BU$213:$BU$219) = 0, "", SUM($BU$213:$BU$219))))</f>
        <v>87005.310736999993</v>
      </c>
      <c r="BV212">
        <f ca="1">IF(ISERROR(IF(SUM($BV$213:$BV$219) = 0, "", SUM($BV$213:$BV$219))), "", (IF(SUM($BV$213:$BV$219) = 0, "", SUM($BV$213:$BV$219))))</f>
        <v>88523.523222999997</v>
      </c>
      <c r="BW212">
        <f ca="1">IF(ISERROR(IF(SUM($BW$213:$BW$219) = 0, "", SUM($BW$213:$BW$219))), "", (IF(SUM($BW$213:$BW$219) = 0, "", SUM($BW$213:$BW$219))))</f>
        <v>86940.160571999993</v>
      </c>
      <c r="BX212">
        <f ca="1">IF(ISERROR(IF(SUM($BX$213:$BX$219) = 0, "", SUM($BX$213:$BX$219))), "", (IF(SUM($BX$213:$BX$219) = 0, "", SUM($BX$213:$BX$219))))</f>
        <v>86687.820394000009</v>
      </c>
      <c r="BY212">
        <f ca="1">IF(ISERROR(IF(SUM($BY$213:$BY$219) = 0, "", SUM($BY$213:$BY$219))), "", (IF(SUM($BY$213:$BY$219) = 0, "", SUM($BY$213:$BY$219))))</f>
        <v>86561.922856999998</v>
      </c>
      <c r="BZ212">
        <f ca="1">IF(ISERROR(IF(SUM($BZ$213:$BZ$219) = 0, "", SUM($BZ$213:$BZ$219))), "", (IF(SUM($BZ$213:$BZ$219) = 0, "", SUM($BZ$213:$BZ$219))))</f>
        <v>85981.325142999995</v>
      </c>
      <c r="CA212">
        <f ca="1">IF(ISERROR(IF(SUM($CA$213:$CA$219) = 0, "", SUM($CA$213:$CA$219))), "", (IF(SUM($CA$213:$CA$219) = 0, "", SUM($CA$213:$CA$219))))</f>
        <v>81749.862200000003</v>
      </c>
      <c r="CB212">
        <f ca="1">IF(ISERROR(IF(SUM($CB$213:$CB$219) = 0, "", SUM($CB$213:$CB$219))), "", (IF(SUM($CB$213:$CB$219) = 0, "", SUM($CB$213:$CB$219))))</f>
        <v>83169.216729000007</v>
      </c>
      <c r="CC212">
        <f ca="1">IF(ISERROR(IF(SUM($CC$213:$CC$219) = 0, "", SUM($CC$213:$CC$219))), "", (IF(SUM($CC$213:$CC$219) = 0, "", SUM($CC$213:$CC$219))))</f>
        <v>80623.926942000006</v>
      </c>
      <c r="CD212">
        <f ca="1">IF(ISERROR(IF(SUM($CD$213:$CD$219) = 0, "", SUM($CD$213:$CD$219))), "", (IF(SUM($CD$213:$CD$219) = 0, "", SUM($CD$213:$CD$219))))</f>
        <v>76900.063213999994</v>
      </c>
      <c r="CE212">
        <f ca="1">IF(ISERROR(IF(SUM($CE$213:$CE$219) = 0, "", SUM($CE$213:$CE$219))), "", (IF(SUM($CE$213:$CE$219) = 0, "", SUM($CE$213:$CE$219))))</f>
        <v>80054.029131999996</v>
      </c>
      <c r="CF212">
        <f ca="1">IF(ISERROR(IF(SUM($CF$213:$CF$219) = 0, "", SUM($CF$213:$CF$219))), "", (IF(SUM($CF$213:$CF$219) = 0, "", SUM($CF$213:$CF$219))))</f>
        <v>73830.851437000005</v>
      </c>
      <c r="CG212">
        <f ca="1">IF(ISERROR(IF(SUM($CG$213:$CG$219) = 0, "", SUM($CG$213:$CG$219))), "", (IF(SUM($CG$213:$CG$219) = 0, "", SUM($CG$213:$CG$219))))</f>
        <v>83324.730712999997</v>
      </c>
      <c r="CH212">
        <f ca="1">IF(ISERROR(IF(SUM($CH$213:$CH$219) = 0, "", SUM($CH$213:$CH$219))), "", (IF(SUM($CH$213:$CH$219) = 0, "", SUM($CH$213:$CH$219))))</f>
        <v>81822.528203000009</v>
      </c>
      <c r="CI212">
        <f ca="1">IF(ISERROR(IF(SUM($CI$213:$CI$219) = 0, "", SUM($CI$213:$CI$219))), "", (IF(SUM($CI$213:$CI$219) = 0, "", SUM($CI$213:$CI$219))))</f>
        <v>78908.534875999991</v>
      </c>
      <c r="CJ212">
        <f ca="1">IF(ISERROR(IF(SUM($CJ$213:$CJ$219) = 0, "", SUM($CJ$213:$CJ$219))), "", (IF(SUM($CJ$213:$CJ$219) = 0, "", SUM($CJ$213:$CJ$219))))</f>
        <v>80577.235364000007</v>
      </c>
      <c r="CK212">
        <f ca="1">IF(ISERROR(IF(SUM($CK$213:$CK$219) = 0, "", SUM($CK$213:$CK$219))), "", (IF(SUM($CK$213:$CK$219) = 0, "", SUM($CK$213:$CK$219))))</f>
        <v>78680.266522000005</v>
      </c>
      <c r="CL212">
        <f>133834.1696</f>
        <v>133834.16959999999</v>
      </c>
      <c r="CM212">
        <f>129400.713</f>
        <v>129400.713</v>
      </c>
      <c r="CN212">
        <f>137161.6045</f>
        <v>137161.60449999999</v>
      </c>
      <c r="CO212">
        <f>141648.4001</f>
        <v>141648.4001</v>
      </c>
      <c r="CP212">
        <f>143963.8619</f>
        <v>143963.86189999999</v>
      </c>
      <c r="CQ212">
        <f>144971.0799</f>
        <v>144971.07990000001</v>
      </c>
      <c r="CR212">
        <f>143792.4001</f>
        <v>143792.4001</v>
      </c>
      <c r="CS212">
        <f>146411.3607</f>
        <v>146411.36069999999</v>
      </c>
      <c r="CT212">
        <f>146835.4352</f>
        <v>146835.43520000001</v>
      </c>
      <c r="CU212">
        <f>144919.0864</f>
        <v>144919.0864</v>
      </c>
      <c r="CV212">
        <f>143587.9961</f>
        <v>143587.99609999999</v>
      </c>
      <c r="CW212">
        <f>141641.3981</f>
        <v>141641.39809999999</v>
      </c>
      <c r="CX212">
        <f>138890.3348</f>
        <v>138890.33480000001</v>
      </c>
      <c r="CY212">
        <f>140143.718</f>
        <v>140143.71799999999</v>
      </c>
      <c r="CZ212">
        <f>135181.6398</f>
        <v>135181.6398</v>
      </c>
      <c r="DA212">
        <f>138659.8049</f>
        <v>138659.80489999999</v>
      </c>
      <c r="DB212">
        <f>126210.3182</f>
        <v>126210.31819999999</v>
      </c>
      <c r="DC212">
        <f>128558.7128</f>
        <v>128558.71279999999</v>
      </c>
      <c r="DD212">
        <f>131871.032</f>
        <v>131871.03200000001</v>
      </c>
      <c r="DE212">
        <f>132458.7808</f>
        <v>132458.78080000001</v>
      </c>
      <c r="DF212">
        <f>137081.3734</f>
        <v>137081.37340000001</v>
      </c>
      <c r="DG212">
        <f>135793.5279</f>
        <v>135793.52789999999</v>
      </c>
      <c r="DH212">
        <f>134962.8392</f>
        <v>134962.83919999999</v>
      </c>
      <c r="DI212">
        <f>131911.5198</f>
        <v>131911.51980000001</v>
      </c>
      <c r="DJ212">
        <f>139393.5137</f>
        <v>139393.51370000001</v>
      </c>
      <c r="DK212">
        <f>132870.6401</f>
        <v>132870.64009999999</v>
      </c>
      <c r="DL212">
        <f>135298.028</f>
        <v>135298.02799999999</v>
      </c>
      <c r="DM212">
        <f>141006.7107</f>
        <v>141006.7107</v>
      </c>
      <c r="DN212">
        <f>138326.0144</f>
        <v>138326.01439999999</v>
      </c>
      <c r="DO212">
        <f>133978.5591</f>
        <v>133978.55910000001</v>
      </c>
      <c r="DP212">
        <f>132655.1326</f>
        <v>132655.13260000001</v>
      </c>
      <c r="DQ212">
        <f>128644.3503</f>
        <v>128644.35030000001</v>
      </c>
      <c r="DR212">
        <f>133063.0518</f>
        <v>133063.05179999999</v>
      </c>
      <c r="DS212">
        <f>126912.4551</f>
        <v>126912.45510000001</v>
      </c>
      <c r="DT212">
        <f>130480.4569</f>
        <v>130480.4569</v>
      </c>
      <c r="DU212">
        <f>130034.3021</f>
        <v>130034.3021</v>
      </c>
      <c r="DV212">
        <f>134449.2901</f>
        <v>134449.29010000001</v>
      </c>
      <c r="DW212">
        <f>130477.9991</f>
        <v>130477.9991</v>
      </c>
      <c r="DX212">
        <f>132881.4376</f>
        <v>132881.4376</v>
      </c>
      <c r="DY212">
        <f>126278.1456</f>
        <v>126278.1456</v>
      </c>
      <c r="DZ212">
        <f>125074.0754</f>
        <v>125074.0754</v>
      </c>
      <c r="EA212">
        <f>123822.5579</f>
        <v>123822.5579</v>
      </c>
      <c r="EB212">
        <f>114621.9158</f>
        <v>114621.9158</v>
      </c>
      <c r="EC212">
        <f>120995.9072</f>
        <v>120995.9072</v>
      </c>
      <c r="ED212">
        <f>118152.9235</f>
        <v>118152.9235</v>
      </c>
      <c r="EE212">
        <f>116192.4286</f>
        <v>116192.4286</v>
      </c>
      <c r="EF212">
        <f>113940.6534</f>
        <v>113940.6534</v>
      </c>
      <c r="EG212">
        <f>111973.7789</f>
        <v>111973.7789</v>
      </c>
      <c r="EH212">
        <f>105338.7116</f>
        <v>105338.7116</v>
      </c>
      <c r="EI212">
        <f>102804.4346</f>
        <v>102804.43459999999</v>
      </c>
      <c r="EJ212">
        <f>98967.65541</f>
        <v>98967.655410000007</v>
      </c>
      <c r="EK212">
        <f>95078.56079</f>
        <v>95078.560790000003</v>
      </c>
      <c r="EL212">
        <f>93665.04624</f>
        <v>93665.046239999996</v>
      </c>
      <c r="EM212">
        <f>97026.14839</f>
        <v>97026.148390000002</v>
      </c>
      <c r="EN212">
        <f>94378.91238</f>
        <v>94378.912379999994</v>
      </c>
      <c r="EO212">
        <f>93335.90419</f>
        <v>93335.904190000001</v>
      </c>
      <c r="EP212">
        <f>98973.08766</f>
        <v>98973.087660000005</v>
      </c>
      <c r="EQ212">
        <f>99669.75042</f>
        <v>99669.750419999997</v>
      </c>
      <c r="ER212">
        <f>98643.35058</f>
        <v>98643.350579999998</v>
      </c>
      <c r="ES212">
        <f>99650.1443</f>
        <v>99650.1443</v>
      </c>
      <c r="ET212">
        <f>96960.48646</f>
        <v>96960.48646</v>
      </c>
      <c r="EU212">
        <f>84108.11286</f>
        <v>84108.112859999994</v>
      </c>
      <c r="EV212">
        <f>84195.02174</f>
        <v>84195.021739999996</v>
      </c>
      <c r="EW212">
        <f>84824.90929</f>
        <v>84824.909289999996</v>
      </c>
      <c r="EX212">
        <f>86102.71625</f>
        <v>86102.716249999998</v>
      </c>
      <c r="EY212">
        <f>84469.0783</f>
        <v>84469.078299999994</v>
      </c>
      <c r="EZ212">
        <f>84349.18046</f>
        <v>84349.180460000003</v>
      </c>
      <c r="FA212">
        <f>87005.31074</f>
        <v>87005.310740000001</v>
      </c>
      <c r="FB212">
        <f>88523.52322</f>
        <v>88523.523220000003</v>
      </c>
      <c r="FC212">
        <f>86940.16057</f>
        <v>86940.160569999993</v>
      </c>
      <c r="FD212">
        <f>86687.82039</f>
        <v>86687.820389999993</v>
      </c>
      <c r="FE212">
        <f>86561.92286</f>
        <v>86561.922860000006</v>
      </c>
      <c r="FF212">
        <f>85981.32515</f>
        <v>85981.325150000004</v>
      </c>
      <c r="FG212">
        <f>81749.8622</f>
        <v>81749.862200000003</v>
      </c>
      <c r="FH212">
        <f>83169.21672</f>
        <v>83169.216719999997</v>
      </c>
      <c r="FI212">
        <f>80623.92694</f>
        <v>80623.926940000005</v>
      </c>
      <c r="FJ212">
        <f>76900.06321</f>
        <v>76900.063209999993</v>
      </c>
      <c r="FK212">
        <f>80054.02914</f>
        <v>80054.029139999999</v>
      </c>
      <c r="FL212">
        <f>73830.85144</f>
        <v>73830.851439999999</v>
      </c>
      <c r="FM212">
        <f>83324.73071</f>
        <v>83324.730710000003</v>
      </c>
      <c r="FN212">
        <f>81822.5282</f>
        <v>81822.528200000001</v>
      </c>
      <c r="FO212">
        <f>78908.53487</f>
        <v>78908.534870000003</v>
      </c>
      <c r="FP212">
        <f>80577.23537</f>
        <v>80577.235369999995</v>
      </c>
      <c r="FQ212">
        <f>78680.26652</f>
        <v>78680.266520000005</v>
      </c>
    </row>
    <row r="213" spans="1:173">
      <c r="A213" t="str">
        <f>"    公寓投资与管理"</f>
        <v xml:space="preserve">    公寓投资与管理</v>
      </c>
      <c r="B213" t="str">
        <f>"AIV US Equity"</f>
        <v>AIV US Equity</v>
      </c>
      <c r="C213" t="str">
        <f t="shared" ref="C213:C219" si="69">"F0826"</f>
        <v>F0826</v>
      </c>
      <c r="D213" t="str">
        <f t="shared" ref="D213:D219" si="70">"INDUSTRY_STANDARDIZED_EV"</f>
        <v>INDUSTRY_STANDARDIZED_EV</v>
      </c>
      <c r="E213" t="str">
        <f t="shared" ref="E213:E219" si="71">"动态"</f>
        <v>动态</v>
      </c>
      <c r="F213">
        <f ca="1">IF(AND(ISNUMBER($F$415),$B$252=1),$F$415,HLOOKUP(INDIRECT(ADDRESS(2,COLUMN())),OFFSET($CL$2,0,0,ROW()-1,84),ROW()-1,FALSE))</f>
        <v>10622.873170000001</v>
      </c>
      <c r="G213">
        <f ca="1">IF(AND(ISNUMBER($G$415),$B$252=1),$G$415,HLOOKUP(INDIRECT(ADDRESS(2,COLUMN())),OFFSET($CL$2,0,0,ROW()-1,84),ROW()-1,FALSE))</f>
        <v>10395.63235</v>
      </c>
      <c r="H213">
        <f ca="1">IF(AND(ISNUMBER($H$415),$B$252=1),$H$415,HLOOKUP(INDIRECT(ADDRESS(2,COLUMN())),OFFSET($CL$2,0,0,ROW()-1,84),ROW()-1,FALSE))</f>
        <v>10906.43154</v>
      </c>
      <c r="I213">
        <f ca="1">IF(AND(ISNUMBER($I$415),$B$252=1),$I$415,HLOOKUP(INDIRECT(ADDRESS(2,COLUMN())),OFFSET($CL$2,0,0,ROW()-1,84),ROW()-1,FALSE))</f>
        <v>11213.785320000001</v>
      </c>
      <c r="J213">
        <f ca="1">IF(AND(ISNUMBER($J$415),$B$252=1),$J$415,HLOOKUP(INDIRECT(ADDRESS(2,COLUMN())),OFFSET($CL$2,0,0,ROW()-1,84),ROW()-1,FALSE))</f>
        <v>11404.247859999999</v>
      </c>
      <c r="K213">
        <f ca="1">IF(AND(ISNUMBER($K$415),$B$252=1),$K$415,HLOOKUP(INDIRECT(ADDRESS(2,COLUMN())),OFFSET($CL$2,0,0,ROW()-1,84),ROW()-1,FALSE))</f>
        <v>11386.14013</v>
      </c>
      <c r="L213">
        <f ca="1">IF(AND(ISNUMBER($L$415),$B$252=1),$L$415,HLOOKUP(INDIRECT(ADDRESS(2,COLUMN())),OFFSET($CL$2,0,0,ROW()-1,84),ROW()-1,FALSE))</f>
        <v>11366.4148</v>
      </c>
      <c r="M213">
        <f ca="1">IF(AND(ISNUMBER($M$415),$B$252=1),$M$415,HLOOKUP(INDIRECT(ADDRESS(2,COLUMN())),OFFSET($CL$2,0,0,ROW()-1,84),ROW()-1,FALSE))</f>
        <v>11777.35</v>
      </c>
      <c r="N213">
        <f ca="1">IF(AND(ISNUMBER($N$415),$B$252=1),$N$415,HLOOKUP(INDIRECT(ADDRESS(2,COLUMN())),OFFSET($CL$2,0,0,ROW()-1,84),ROW()-1,FALSE))</f>
        <v>11813.4949</v>
      </c>
      <c r="O213">
        <f ca="1">IF(AND(ISNUMBER($O$415),$B$252=1),$O$415,HLOOKUP(INDIRECT(ADDRESS(2,COLUMN())),OFFSET($CL$2,0,0,ROW()-1,84),ROW()-1,FALSE))</f>
        <v>11389.3629</v>
      </c>
      <c r="P213">
        <f ca="1">IF(AND(ISNUMBER($P$415),$B$252=1),$P$415,HLOOKUP(INDIRECT(ADDRESS(2,COLUMN())),OFFSET($CL$2,0,0,ROW()-1,84),ROW()-1,FALSE))</f>
        <v>11315.18571</v>
      </c>
      <c r="Q213">
        <f ca="1">IF(AND(ISNUMBER($Q$415),$B$252=1),$Q$415,HLOOKUP(INDIRECT(ADDRESS(2,COLUMN())),OFFSET($CL$2,0,0,ROW()-1,84),ROW()-1,FALSE))</f>
        <v>11449.940909999999</v>
      </c>
      <c r="R213">
        <f ca="1">IF(AND(ISNUMBER($R$415),$B$252=1),$R$415,HLOOKUP(INDIRECT(ADDRESS(2,COLUMN())),OFFSET($CL$2,0,0,ROW()-1,84),ROW()-1,FALSE))</f>
        <v>11550.341039999999</v>
      </c>
      <c r="S213">
        <f ca="1">IF(AND(ISNUMBER($S$415),$B$252=1),$S$415,HLOOKUP(INDIRECT(ADDRESS(2,COLUMN())),OFFSET($CL$2,0,0,ROW()-1,84),ROW()-1,FALSE))</f>
        <v>11908.03133</v>
      </c>
      <c r="T213">
        <f ca="1">IF(AND(ISNUMBER($T$415),$B$252=1),$T$415,HLOOKUP(INDIRECT(ADDRESS(2,COLUMN())),OFFSET($CL$2,0,0,ROW()-1,84),ROW()-1,FALSE))</f>
        <v>11497.35853</v>
      </c>
      <c r="U213">
        <f ca="1">IF(AND(ISNUMBER($U$415),$B$252=1),$U$415,HLOOKUP(INDIRECT(ADDRESS(2,COLUMN())),OFFSET($CL$2,0,0,ROW()-1,84),ROW()-1,FALSE))</f>
        <v>11724.35887</v>
      </c>
      <c r="V213">
        <f ca="1">IF(AND(ISNUMBER($V$415),$B$252=1),$V$415,HLOOKUP(INDIRECT(ADDRESS(2,COLUMN())),OFFSET($CL$2,0,0,ROW()-1,84),ROW()-1,FALSE))</f>
        <v>11352.40762</v>
      </c>
      <c r="W213">
        <f ca="1">IF(AND(ISNUMBER($W$415),$B$252=1),$W$415,HLOOKUP(INDIRECT(ADDRESS(2,COLUMN())),OFFSET($CL$2,0,0,ROW()-1,84),ROW()-1,FALSE))</f>
        <v>11676.52384</v>
      </c>
      <c r="X213">
        <f ca="1">IF(AND(ISNUMBER($X$415),$B$252=1),$X$415,HLOOKUP(INDIRECT(ADDRESS(2,COLUMN())),OFFSET($CL$2,0,0,ROW()-1,84),ROW()-1,FALSE))</f>
        <v>11966.64703</v>
      </c>
      <c r="Y213">
        <f ca="1">IF(AND(ISNUMBER($Y$415),$B$252=1),$Y$415,HLOOKUP(INDIRECT(ADDRESS(2,COLUMN())),OFFSET($CL$2,0,0,ROW()-1,84),ROW()-1,FALSE))</f>
        <v>12120.99891</v>
      </c>
      <c r="Z213">
        <f ca="1">IF(AND(ISNUMBER($Z$415),$B$252=1),$Z$415,HLOOKUP(INDIRECT(ADDRESS(2,COLUMN())),OFFSET($CL$2,0,0,ROW()-1,84),ROW()-1,FALSE))</f>
        <v>12257.04437</v>
      </c>
      <c r="AA213">
        <f ca="1">IF(AND(ISNUMBER($AA$415),$B$252=1),$AA$415,HLOOKUP(INDIRECT(ADDRESS(2,COLUMN())),OFFSET($CL$2,0,0,ROW()-1,84),ROW()-1,FALSE))</f>
        <v>11944.978709999999</v>
      </c>
      <c r="AB213">
        <f ca="1">IF(AND(ISNUMBER($AB$415),$B$252=1),$AB$415,HLOOKUP(INDIRECT(ADDRESS(2,COLUMN())),OFFSET($CL$2,0,0,ROW()-1,84),ROW()-1,FALSE))</f>
        <v>11304.019480000001</v>
      </c>
      <c r="AC213">
        <f ca="1">IF(AND(ISNUMBER($AC$415),$B$252=1),$AC$415,HLOOKUP(INDIRECT(ADDRESS(2,COLUMN())),OFFSET($CL$2,0,0,ROW()-1,84),ROW()-1,FALSE))</f>
        <v>10878.091</v>
      </c>
      <c r="AD213">
        <f ca="1">IF(AND(ISNUMBER($AD$415),$B$252=1),$AD$415,HLOOKUP(INDIRECT(ADDRESS(2,COLUMN())),OFFSET($CL$2,0,0,ROW()-1,84),ROW()-1,FALSE))</f>
        <v>11167.3004</v>
      </c>
      <c r="AE213">
        <f ca="1">IF(AND(ISNUMBER($AE$415),$B$252=1),$AE$415,HLOOKUP(INDIRECT(ADDRESS(2,COLUMN())),OFFSET($CL$2,0,0,ROW()-1,84),ROW()-1,FALSE))</f>
        <v>10268.46399</v>
      </c>
      <c r="AF213">
        <f ca="1">IF(AND(ISNUMBER($AF$415),$B$252=1),$AF$415,HLOOKUP(INDIRECT(ADDRESS(2,COLUMN())),OFFSET($CL$2,0,0,ROW()-1,84),ROW()-1,FALSE))</f>
        <v>10679.274289999999</v>
      </c>
      <c r="AG213">
        <f ca="1">IF(AND(ISNUMBER($AG$415),$B$252=1),$AG$415,HLOOKUP(INDIRECT(ADDRESS(2,COLUMN())),OFFSET($CL$2,0,0,ROW()-1,84),ROW()-1,FALSE))</f>
        <v>10823.83764</v>
      </c>
      <c r="AH213">
        <f ca="1">IF(AND(ISNUMBER($AH$415),$B$252=1),$AH$415,HLOOKUP(INDIRECT(ADDRESS(2,COLUMN())),OFFSET($CL$2,0,0,ROW()-1,84),ROW()-1,FALSE))</f>
        <v>10559.485280000001</v>
      </c>
      <c r="AI213">
        <f ca="1">IF(AND(ISNUMBER($AI$415),$B$252=1),$AI$415,HLOOKUP(INDIRECT(ADDRESS(2,COLUMN())),OFFSET($CL$2,0,0,ROW()-1,84),ROW()-1,FALSE))</f>
        <v>10731.047909999999</v>
      </c>
      <c r="AJ213">
        <f ca="1">IF(AND(ISNUMBER($AJ$415),$B$252=1),$AJ$415,HLOOKUP(INDIRECT(ADDRESS(2,COLUMN())),OFFSET($CL$2,0,0,ROW()-1,84),ROW()-1,FALSE))</f>
        <v>10375.459720000001</v>
      </c>
      <c r="AK213">
        <f ca="1">IF(AND(ISNUMBER($AK$415),$B$252=1),$AK$415,HLOOKUP(INDIRECT(ADDRESS(2,COLUMN())),OFFSET($CL$2,0,0,ROW()-1,84),ROW()-1,FALSE))</f>
        <v>10161.24475</v>
      </c>
      <c r="AL213">
        <f ca="1">IF(AND(ISNUMBER($AL$415),$B$252=1),$AL$415,HLOOKUP(INDIRECT(ADDRESS(2,COLUMN())),OFFSET($CL$2,0,0,ROW()-1,84),ROW()-1,FALSE))</f>
        <v>10661.126099999999</v>
      </c>
      <c r="AM213">
        <f ca="1">IF(AND(ISNUMBER($AM$415),$B$252=1),$AM$415,HLOOKUP(INDIRECT(ADDRESS(2,COLUMN())),OFFSET($CL$2,0,0,ROW()-1,84),ROW()-1,FALSE))</f>
        <v>10308.63464</v>
      </c>
      <c r="AN213">
        <f ca="1">IF(AND(ISNUMBER($AN$415),$B$252=1),$AN$415,HLOOKUP(INDIRECT(ADDRESS(2,COLUMN())),OFFSET($CL$2,0,0,ROW()-1,84),ROW()-1,FALSE))</f>
        <v>10420.653550000001</v>
      </c>
      <c r="AO213">
        <f ca="1">IF(AND(ISNUMBER($AO$415),$B$252=1),$AO$415,HLOOKUP(INDIRECT(ADDRESS(2,COLUMN())),OFFSET($CL$2,0,0,ROW()-1,84),ROW()-1,FALSE))</f>
        <v>10387.84727</v>
      </c>
      <c r="AP213">
        <f ca="1">IF(AND(ISNUMBER($AP$415),$B$252=1),$AP$415,HLOOKUP(INDIRECT(ADDRESS(2,COLUMN())),OFFSET($CL$2,0,0,ROW()-1,84),ROW()-1,FALSE))</f>
        <v>10655.02507</v>
      </c>
      <c r="AQ213">
        <f ca="1">IF(AND(ISNUMBER($AQ$415),$B$252=1),$AQ$415,HLOOKUP(INDIRECT(ADDRESS(2,COLUMN())),OFFSET($CL$2,0,0,ROW()-1,84),ROW()-1,FALSE))</f>
        <v>10771.474200000001</v>
      </c>
      <c r="AR213">
        <f ca="1">IF(AND(ISNUMBER($AR$415),$B$252=1),$AR$415,HLOOKUP(INDIRECT(ADDRESS(2,COLUMN())),OFFSET($CL$2,0,0,ROW()-1,84),ROW()-1,FALSE))</f>
        <v>11103.23581</v>
      </c>
      <c r="AS213">
        <f ca="1">IF(AND(ISNUMBER($AS$415),$B$252=1),$AS$415,HLOOKUP(INDIRECT(ADDRESS(2,COLUMN())),OFFSET($CL$2,0,0,ROW()-1,84),ROW()-1,FALSE))</f>
        <v>10310.40222</v>
      </c>
      <c r="AT213">
        <f ca="1">IF(AND(ISNUMBER($AT$415),$B$252=1),$AT$415,HLOOKUP(INDIRECT(ADDRESS(2,COLUMN())),OFFSET($CL$2,0,0,ROW()-1,84),ROW()-1,FALSE))</f>
        <v>10169.408460000001</v>
      </c>
      <c r="AU213">
        <f ca="1">IF(AND(ISNUMBER($AU$415),$B$252=1),$AU$415,HLOOKUP(INDIRECT(ADDRESS(2,COLUMN())),OFFSET($CL$2,0,0,ROW()-1,84),ROW()-1,FALSE))</f>
        <v>9944.7679420000004</v>
      </c>
      <c r="AV213">
        <f ca="1">IF(AND(ISNUMBER($AV$415),$B$252=1),$AV$415,HLOOKUP(INDIRECT(ADDRESS(2,COLUMN())),OFFSET($CL$2,0,0,ROW()-1,84),ROW()-1,FALSE))</f>
        <v>9333.3933699999998</v>
      </c>
      <c r="AW213">
        <f ca="1">IF(AND(ISNUMBER($AW$415),$B$252=1),$AW$415,HLOOKUP(INDIRECT(ADDRESS(2,COLUMN())),OFFSET($CL$2,0,0,ROW()-1,84),ROW()-1,FALSE))</f>
        <v>9944.7700550000009</v>
      </c>
      <c r="AX213">
        <f ca="1">IF(AND(ISNUMBER($AX$415),$B$252=1),$AX$415,HLOOKUP(INDIRECT(ADDRESS(2,COLUMN())),OFFSET($CL$2,0,0,ROW()-1,84),ROW()-1,FALSE))</f>
        <v>9927.8872159999992</v>
      </c>
      <c r="AY213">
        <f ca="1">IF(AND(ISNUMBER($AY$415),$B$252=1),$AY$415,HLOOKUP(INDIRECT(ADDRESS(2,COLUMN())),OFFSET($CL$2,0,0,ROW()-1,84),ROW()-1,FALSE))</f>
        <v>9634.1832969999996</v>
      </c>
      <c r="AZ213">
        <f ca="1">IF(AND(ISNUMBER($AZ$415),$B$252=1),$AZ$415,HLOOKUP(INDIRECT(ADDRESS(2,COLUMN())),OFFSET($CL$2,0,0,ROW()-1,84),ROW()-1,FALSE))</f>
        <v>9562.9078649999992</v>
      </c>
      <c r="BA213">
        <f ca="1">IF(AND(ISNUMBER($BA$415),$B$252=1),$BA$415,HLOOKUP(INDIRECT(ADDRESS(2,COLUMN())),OFFSET($CL$2,0,0,ROW()-1,84),ROW()-1,FALSE))</f>
        <v>9462.8459820000007</v>
      </c>
      <c r="BB213">
        <f ca="1">IF(AND(ISNUMBER($BB$415),$B$252=1),$BB$415,HLOOKUP(INDIRECT(ADDRESS(2,COLUMN())),OFFSET($CL$2,0,0,ROW()-1,84),ROW()-1,FALSE))</f>
        <v>9368.9602350000005</v>
      </c>
      <c r="BC213">
        <f ca="1">IF(AND(ISNUMBER($BC$415),$B$252=1),$BC$415,HLOOKUP(INDIRECT(ADDRESS(2,COLUMN())),OFFSET($CL$2,0,0,ROW()-1,84),ROW()-1,FALSE))</f>
        <v>9265.0087050000002</v>
      </c>
      <c r="BD213">
        <f ca="1">IF(AND(ISNUMBER($BD$415),$B$252=1),$BD$415,HLOOKUP(INDIRECT(ADDRESS(2,COLUMN())),OFFSET($CL$2,0,0,ROW()-1,84),ROW()-1,FALSE))</f>
        <v>8964.1843069999995</v>
      </c>
      <c r="BE213">
        <f ca="1">IF(AND(ISNUMBER($BE$415),$B$252=1),$BE$415,HLOOKUP(INDIRECT(ADDRESS(2,COLUMN())),OFFSET($CL$2,0,0,ROW()-1,84),ROW()-1,FALSE))</f>
        <v>8647.2812350000004</v>
      </c>
      <c r="BF213">
        <f ca="1">IF(AND(ISNUMBER($BF$415),$B$252=1),$BF$415,HLOOKUP(INDIRECT(ADDRESS(2,COLUMN())),OFFSET($CL$2,0,0,ROW()-1,84),ROW()-1,FALSE))</f>
        <v>8714.4012930000008</v>
      </c>
      <c r="BG213">
        <f ca="1">IF(AND(ISNUMBER($BG$415),$B$252=1),$BG$415,HLOOKUP(INDIRECT(ADDRESS(2,COLUMN())),OFFSET($CL$2,0,0,ROW()-1,84),ROW()-1,FALSE))</f>
        <v>9155.7082599999994</v>
      </c>
      <c r="BH213">
        <f ca="1">IF(AND(ISNUMBER($BH$415),$B$252=1),$BH$415,HLOOKUP(INDIRECT(ADDRESS(2,COLUMN())),OFFSET($CL$2,0,0,ROW()-1,84),ROW()-1,FALSE))</f>
        <v>9149.5542650000007</v>
      </c>
      <c r="BI213">
        <f ca="1">IF(AND(ISNUMBER($BI$415),$B$252=1),$BI$415,HLOOKUP(INDIRECT(ADDRESS(2,COLUMN())),OFFSET($CL$2,0,0,ROW()-1,84),ROW()-1,FALSE))</f>
        <v>9234.2944650000009</v>
      </c>
      <c r="BJ213">
        <f ca="1">IF(AND(ISNUMBER($BJ$415),$B$252=1),$BJ$415,HLOOKUP(INDIRECT(ADDRESS(2,COLUMN())),OFFSET($CL$2,0,0,ROW()-1,84),ROW()-1,FALSE))</f>
        <v>9516.4176100000004</v>
      </c>
      <c r="BK213">
        <f ca="1">IF(AND(ISNUMBER($BK$415),$B$252=1),$BK$415,HLOOKUP(INDIRECT(ADDRESS(2,COLUMN())),OFFSET($CL$2,0,0,ROW()-1,84),ROW()-1,FALSE))</f>
        <v>9617.9106850000007</v>
      </c>
      <c r="BL213">
        <f ca="1">IF(AND(ISNUMBER($BL$415),$B$252=1),$BL$415,HLOOKUP(INDIRECT(ADDRESS(2,COLUMN())),OFFSET($CL$2,0,0,ROW()-1,84),ROW()-1,FALSE))</f>
        <v>9666.6611219999995</v>
      </c>
      <c r="BM213">
        <f ca="1">IF(AND(ISNUMBER($BM$415),$B$252=1),$BM$415,HLOOKUP(INDIRECT(ADDRESS(2,COLUMN())),OFFSET($CL$2,0,0,ROW()-1,84),ROW()-1,FALSE))</f>
        <v>9797.403429</v>
      </c>
      <c r="BN213">
        <f ca="1">IF(AND(ISNUMBER($BN$415),$B$252=1),$BN$415,HLOOKUP(INDIRECT(ADDRESS(2,COLUMN())),OFFSET($CL$2,0,0,ROW()-1,84),ROW()-1,FALSE))</f>
        <v>9728.1869139999999</v>
      </c>
      <c r="BO213">
        <f ca="1">IF(AND(ISNUMBER($BO$415),$B$252=1),$BO$415,HLOOKUP(INDIRECT(ADDRESS(2,COLUMN())),OFFSET($CL$2,0,0,ROW()-1,84),ROW()-1,FALSE))</f>
        <v>9579.1723829999992</v>
      </c>
      <c r="BP213">
        <f ca="1">IF(AND(ISNUMBER($BP$415),$B$252=1),$BP$415,HLOOKUP(INDIRECT(ADDRESS(2,COLUMN())),OFFSET($CL$2,0,0,ROW()-1,84),ROW()-1,FALSE))</f>
        <v>9211.6904520000007</v>
      </c>
      <c r="BQ213">
        <f ca="1">IF(AND(ISNUMBER($BQ$415),$B$252=1),$BQ$415,HLOOKUP(INDIRECT(ADDRESS(2,COLUMN())),OFFSET($CL$2,0,0,ROW()-1,84),ROW()-1,FALSE))</f>
        <v>9177.9094729999997</v>
      </c>
      <c r="BR213">
        <f ca="1">IF(AND(ISNUMBER($BR$415),$B$252=1),$BR$415,HLOOKUP(INDIRECT(ADDRESS(2,COLUMN())),OFFSET($CL$2,0,0,ROW()-1,84),ROW()-1,FALSE))</f>
        <v>9026.8138579999995</v>
      </c>
      <c r="BS213">
        <f ca="1">IF(AND(ISNUMBER($BS$415),$B$252=1),$BS$415,HLOOKUP(INDIRECT(ADDRESS(2,COLUMN())),OFFSET($CL$2,0,0,ROW()-1,84),ROW()-1,FALSE))</f>
        <v>9275.5592649999999</v>
      </c>
      <c r="BT213">
        <f ca="1">IF(AND(ISNUMBER($BT$415),$B$252=1),$BT$415,HLOOKUP(INDIRECT(ADDRESS(2,COLUMN())),OFFSET($CL$2,0,0,ROW()-1,84),ROW()-1,FALSE))</f>
        <v>9168.0690780000004</v>
      </c>
      <c r="BU213">
        <f ca="1">IF(AND(ISNUMBER($BU$415),$B$252=1),$BU$415,HLOOKUP(INDIRECT(ADDRESS(2,COLUMN())),OFFSET($CL$2,0,0,ROW()-1,84),ROW()-1,FALSE))</f>
        <v>9564.9926469999991</v>
      </c>
      <c r="BV213">
        <f ca="1">IF(AND(ISNUMBER($BV$415),$B$252=1),$BV$415,HLOOKUP(INDIRECT(ADDRESS(2,COLUMN())),OFFSET($CL$2,0,0,ROW()-1,84),ROW()-1,FALSE))</f>
        <v>9596.0329490000004</v>
      </c>
      <c r="BW213">
        <f ca="1">IF(AND(ISNUMBER($BW$415),$B$252=1),$BW$415,HLOOKUP(INDIRECT(ADDRESS(2,COLUMN())),OFFSET($CL$2,0,0,ROW()-1,84),ROW()-1,FALSE))</f>
        <v>9536.2191249999996</v>
      </c>
      <c r="BX213">
        <f ca="1">IF(AND(ISNUMBER($BX$415),$B$252=1),$BX$415,HLOOKUP(INDIRECT(ADDRESS(2,COLUMN())),OFFSET($CL$2,0,0,ROW()-1,84),ROW()-1,FALSE))</f>
        <v>9871.4284719999996</v>
      </c>
      <c r="BY213">
        <f ca="1">IF(AND(ISNUMBER($BY$415),$B$252=1),$BY$415,HLOOKUP(INDIRECT(ADDRESS(2,COLUMN())),OFFSET($CL$2,0,0,ROW()-1,84),ROW()-1,FALSE))</f>
        <v>9578.3653369999993</v>
      </c>
      <c r="BZ213">
        <f ca="1">IF(AND(ISNUMBER($BZ$415),$B$252=1),$BZ$415,HLOOKUP(INDIRECT(ADDRESS(2,COLUMN())),OFFSET($CL$2,0,0,ROW()-1,84),ROW()-1,FALSE))</f>
        <v>9482.7192790000008</v>
      </c>
      <c r="CA213">
        <f ca="1">IF(AND(ISNUMBER($CA$415),$B$252=1),$CA$415,HLOOKUP(INDIRECT(ADDRESS(2,COLUMN())),OFFSET($CL$2,0,0,ROW()-1,84),ROW()-1,FALSE))</f>
        <v>9123.8333939999993</v>
      </c>
      <c r="CB213">
        <f ca="1">IF(AND(ISNUMBER($CB$415),$B$252=1),$CB$415,HLOOKUP(INDIRECT(ADDRESS(2,COLUMN())),OFFSET($CL$2,0,0,ROW()-1,84),ROW()-1,FALSE))</f>
        <v>9081.9824840000001</v>
      </c>
      <c r="CC213">
        <f ca="1">IF(AND(ISNUMBER($CC$415),$B$252=1),$CC$415,HLOOKUP(INDIRECT(ADDRESS(2,COLUMN())),OFFSET($CL$2,0,0,ROW()-1,84),ROW()-1,FALSE))</f>
        <v>8868.6623089999994</v>
      </c>
      <c r="CD213">
        <f ca="1">IF(AND(ISNUMBER($CD$415),$B$252=1),$CD$415,HLOOKUP(INDIRECT(ADDRESS(2,COLUMN())),OFFSET($CL$2,0,0,ROW()-1,84),ROW()-1,FALSE))</f>
        <v>8821.0853850000003</v>
      </c>
      <c r="CE213">
        <f ca="1">IF(AND(ISNUMBER($CE$415),$B$252=1),$CE$415,HLOOKUP(INDIRECT(ADDRESS(2,COLUMN())),OFFSET($CL$2,0,0,ROW()-1,84),ROW()-1,FALSE))</f>
        <v>9194.4905529999996</v>
      </c>
      <c r="CF213">
        <f ca="1">IF(AND(ISNUMBER($CF$415),$B$252=1),$CF$415,HLOOKUP(INDIRECT(ADDRESS(2,COLUMN())),OFFSET($CL$2,0,0,ROW()-1,84),ROW()-1,FALSE))</f>
        <v>8862.5047300000006</v>
      </c>
      <c r="CG213">
        <f ca="1">IF(AND(ISNUMBER($CG$415),$B$252=1),$CG$415,HLOOKUP(INDIRECT(ADDRESS(2,COLUMN())),OFFSET($CL$2,0,0,ROW()-1,84),ROW()-1,FALSE))</f>
        <v>9392.8075590000008</v>
      </c>
      <c r="CH213">
        <f ca="1">IF(AND(ISNUMBER($CH$415),$B$252=1),$CH$415,HLOOKUP(INDIRECT(ADDRESS(2,COLUMN())),OFFSET($CL$2,0,0,ROW()-1,84),ROW()-1,FALSE))</f>
        <v>9451.8123190000006</v>
      </c>
      <c r="CI213">
        <f ca="1">IF(AND(ISNUMBER($CI$415),$B$252=1),$CI$415,HLOOKUP(INDIRECT(ADDRESS(2,COLUMN())),OFFSET($CL$2,0,0,ROW()-1,84),ROW()-1,FALSE))</f>
        <v>9225.5048960000004</v>
      </c>
      <c r="CJ213">
        <f ca="1">IF(AND(ISNUMBER($CJ$415),$B$252=1),$CJ$415,HLOOKUP(INDIRECT(ADDRESS(2,COLUMN())),OFFSET($CL$2,0,0,ROW()-1,84),ROW()-1,FALSE))</f>
        <v>9575.5994910000009</v>
      </c>
      <c r="CK213">
        <f ca="1">IF(AND(ISNUMBER($CK$415),$B$252=1),$CK$415,HLOOKUP(INDIRECT(ADDRESS(2,COLUMN())),OFFSET($CL$2,0,0,ROW()-1,84),ROW()-1,FALSE))</f>
        <v>9605.0278109999999</v>
      </c>
      <c r="CL213">
        <f>10622.87317</f>
        <v>10622.873170000001</v>
      </c>
      <c r="CM213">
        <f>10395.63235</f>
        <v>10395.63235</v>
      </c>
      <c r="CN213">
        <f>10906.43154</f>
        <v>10906.43154</v>
      </c>
      <c r="CO213">
        <f>11213.78532</f>
        <v>11213.785320000001</v>
      </c>
      <c r="CP213">
        <f>11404.24786</f>
        <v>11404.247859999999</v>
      </c>
      <c r="CQ213">
        <f>11386.14013</f>
        <v>11386.14013</v>
      </c>
      <c r="CR213">
        <f>11366.4148</f>
        <v>11366.4148</v>
      </c>
      <c r="CS213">
        <f>11777.35</f>
        <v>11777.35</v>
      </c>
      <c r="CT213">
        <f>11813.4949</f>
        <v>11813.4949</v>
      </c>
      <c r="CU213">
        <f>11389.3629</f>
        <v>11389.3629</v>
      </c>
      <c r="CV213">
        <f>11315.18571</f>
        <v>11315.18571</v>
      </c>
      <c r="CW213">
        <f>11449.94091</f>
        <v>11449.940909999999</v>
      </c>
      <c r="CX213">
        <f>11550.34104</f>
        <v>11550.341039999999</v>
      </c>
      <c r="CY213">
        <f>11908.03133</f>
        <v>11908.03133</v>
      </c>
      <c r="CZ213">
        <f>11497.35853</f>
        <v>11497.35853</v>
      </c>
      <c r="DA213">
        <f>11724.35887</f>
        <v>11724.35887</v>
      </c>
      <c r="DB213">
        <f>11352.40762</f>
        <v>11352.40762</v>
      </c>
      <c r="DC213">
        <f>11676.52384</f>
        <v>11676.52384</v>
      </c>
      <c r="DD213">
        <f>11966.64703</f>
        <v>11966.64703</v>
      </c>
      <c r="DE213">
        <f>12120.99891</f>
        <v>12120.99891</v>
      </c>
      <c r="DF213">
        <f>12257.04437</f>
        <v>12257.04437</v>
      </c>
      <c r="DG213">
        <f>11944.97871</f>
        <v>11944.978709999999</v>
      </c>
      <c r="DH213">
        <f>11304.01948</f>
        <v>11304.019480000001</v>
      </c>
      <c r="DI213">
        <f>10878.091</f>
        <v>10878.091</v>
      </c>
      <c r="DJ213">
        <f>11167.3004</f>
        <v>11167.3004</v>
      </c>
      <c r="DK213">
        <f>10268.46399</f>
        <v>10268.46399</v>
      </c>
      <c r="DL213">
        <f>10679.27429</f>
        <v>10679.274289999999</v>
      </c>
      <c r="DM213">
        <f>10823.83764</f>
        <v>10823.83764</v>
      </c>
      <c r="DN213">
        <f>10559.48528</f>
        <v>10559.485280000001</v>
      </c>
      <c r="DO213">
        <f>10731.04791</f>
        <v>10731.047909999999</v>
      </c>
      <c r="DP213">
        <f>10375.45972</f>
        <v>10375.459720000001</v>
      </c>
      <c r="DQ213">
        <f>10161.24475</f>
        <v>10161.24475</v>
      </c>
      <c r="DR213">
        <f>10661.1261</f>
        <v>10661.126099999999</v>
      </c>
      <c r="DS213">
        <f>10308.63464</f>
        <v>10308.63464</v>
      </c>
      <c r="DT213">
        <f>10420.65355</f>
        <v>10420.653550000001</v>
      </c>
      <c r="DU213">
        <f>10387.84727</f>
        <v>10387.84727</v>
      </c>
      <c r="DV213">
        <f>10655.02507</f>
        <v>10655.02507</v>
      </c>
      <c r="DW213">
        <f>10771.4742</f>
        <v>10771.474200000001</v>
      </c>
      <c r="DX213">
        <f>11103.23581</f>
        <v>11103.23581</v>
      </c>
      <c r="DY213">
        <f>10310.40222</f>
        <v>10310.40222</v>
      </c>
      <c r="DZ213">
        <f>10169.40846</f>
        <v>10169.408460000001</v>
      </c>
      <c r="EA213">
        <f>9944.767942</f>
        <v>9944.7679420000004</v>
      </c>
      <c r="EB213">
        <f>9333.39337</f>
        <v>9333.3933699999998</v>
      </c>
      <c r="EC213">
        <f>9944.770055</f>
        <v>9944.7700550000009</v>
      </c>
      <c r="ED213">
        <f>9927.887216</f>
        <v>9927.8872159999992</v>
      </c>
      <c r="EE213">
        <f>9634.183297</f>
        <v>9634.1832969999996</v>
      </c>
      <c r="EF213">
        <f>9562.907865</f>
        <v>9562.9078649999992</v>
      </c>
      <c r="EG213">
        <f>9462.845982</f>
        <v>9462.8459820000007</v>
      </c>
      <c r="EH213">
        <f>9368.960235</f>
        <v>9368.9602350000005</v>
      </c>
      <c r="EI213">
        <f>9265.008705</f>
        <v>9265.0087050000002</v>
      </c>
      <c r="EJ213">
        <f>8964.184307</f>
        <v>8964.1843069999995</v>
      </c>
      <c r="EK213">
        <f>8647.281235</f>
        <v>8647.2812350000004</v>
      </c>
      <c r="EL213">
        <f>8714.401293</f>
        <v>8714.4012930000008</v>
      </c>
      <c r="EM213">
        <f>9155.70826</f>
        <v>9155.7082599999994</v>
      </c>
      <c r="EN213">
        <f>9149.554265</f>
        <v>9149.5542650000007</v>
      </c>
      <c r="EO213">
        <f>9234.294465</f>
        <v>9234.2944650000009</v>
      </c>
      <c r="EP213">
        <f>9516.41761</f>
        <v>9516.4176100000004</v>
      </c>
      <c r="EQ213">
        <f>9617.910685</f>
        <v>9617.9106850000007</v>
      </c>
      <c r="ER213">
        <f>9666.661122</f>
        <v>9666.6611219999995</v>
      </c>
      <c r="ES213">
        <f>9797.403429</f>
        <v>9797.403429</v>
      </c>
      <c r="ET213">
        <f>9728.186914</f>
        <v>9728.1869139999999</v>
      </c>
      <c r="EU213">
        <f>9579.172383</f>
        <v>9579.1723829999992</v>
      </c>
      <c r="EV213">
        <f>9211.690452</f>
        <v>9211.6904520000007</v>
      </c>
      <c r="EW213">
        <f>9177.909473</f>
        <v>9177.9094729999997</v>
      </c>
      <c r="EX213">
        <f>9026.813858</f>
        <v>9026.8138579999995</v>
      </c>
      <c r="EY213">
        <f>9275.559265</f>
        <v>9275.5592649999999</v>
      </c>
      <c r="EZ213">
        <f>9168.069078</f>
        <v>9168.0690780000004</v>
      </c>
      <c r="FA213">
        <f>9564.992647</f>
        <v>9564.9926469999991</v>
      </c>
      <c r="FB213">
        <f>9596.032949</f>
        <v>9596.0329490000004</v>
      </c>
      <c r="FC213">
        <f>9536.219125</f>
        <v>9536.2191249999996</v>
      </c>
      <c r="FD213">
        <f>9871.428472</f>
        <v>9871.4284719999996</v>
      </c>
      <c r="FE213">
        <f>9578.365337</f>
        <v>9578.3653369999993</v>
      </c>
      <c r="FF213">
        <f>9482.719279</f>
        <v>9482.7192790000008</v>
      </c>
      <c r="FG213">
        <f>9123.833394</f>
        <v>9123.8333939999993</v>
      </c>
      <c r="FH213">
        <f>9081.982484</f>
        <v>9081.9824840000001</v>
      </c>
      <c r="FI213">
        <f>8868.662309</f>
        <v>8868.6623089999994</v>
      </c>
      <c r="FJ213">
        <f>8821.085385</f>
        <v>8821.0853850000003</v>
      </c>
      <c r="FK213">
        <f>9194.490553</f>
        <v>9194.4905529999996</v>
      </c>
      <c r="FL213">
        <f>8862.50473</f>
        <v>8862.5047300000006</v>
      </c>
      <c r="FM213">
        <f>9392.807559</f>
        <v>9392.8075590000008</v>
      </c>
      <c r="FN213">
        <f>9451.812319</f>
        <v>9451.8123190000006</v>
      </c>
      <c r="FO213">
        <f>9225.504896</f>
        <v>9225.5048960000004</v>
      </c>
      <c r="FP213">
        <f>9575.599491</f>
        <v>9575.5994910000009</v>
      </c>
      <c r="FQ213">
        <f>9605.027811</f>
        <v>9605.0278109999999</v>
      </c>
    </row>
    <row r="214" spans="1:173">
      <c r="A214" t="str">
        <f>"    AvalonBay社区股份有限公司"</f>
        <v xml:space="preserve">    AvalonBay社区股份有限公司</v>
      </c>
      <c r="B214" t="str">
        <f>"AVB US Equity"</f>
        <v>AVB US Equity</v>
      </c>
      <c r="C214" t="str">
        <f t="shared" si="69"/>
        <v>F0826</v>
      </c>
      <c r="D214" t="str">
        <f t="shared" si="70"/>
        <v>INDUSTRY_STANDARDIZED_EV</v>
      </c>
      <c r="E214" t="str">
        <f t="shared" si="71"/>
        <v>动态</v>
      </c>
      <c r="F214">
        <f ca="1">IF(AND(ISNUMBER($F$416),$B$252=1),$F$416,HLOOKUP(INDIRECT(ADDRESS(2,COLUMN())),OFFSET($CL$2,0,0,ROW()-1,84),ROW()-1,FALSE))</f>
        <v>29652.465270000001</v>
      </c>
      <c r="G214">
        <f ca="1">IF(AND(ISNUMBER($G$416),$B$252=1),$G$416,HLOOKUP(INDIRECT(ADDRESS(2,COLUMN())),OFFSET($CL$2,0,0,ROW()-1,84),ROW()-1,FALSE))</f>
        <v>28890.13668</v>
      </c>
      <c r="H214">
        <f ca="1">IF(AND(ISNUMBER($H$416),$B$252=1),$H$416,HLOOKUP(INDIRECT(ADDRESS(2,COLUMN())),OFFSET($CL$2,0,0,ROW()-1,84),ROW()-1,FALSE))</f>
        <v>30874.756369999999</v>
      </c>
      <c r="I214">
        <f ca="1">IF(AND(ISNUMBER($I$416),$B$252=1),$I$416,HLOOKUP(INDIRECT(ADDRESS(2,COLUMN())),OFFSET($CL$2,0,0,ROW()-1,84),ROW()-1,FALSE))</f>
        <v>31980.900249999999</v>
      </c>
      <c r="J214">
        <f ca="1">IF(AND(ISNUMBER($J$416),$B$252=1),$J$416,HLOOKUP(INDIRECT(ADDRESS(2,COLUMN())),OFFSET($CL$2,0,0,ROW()-1,84),ROW()-1,FALSE))</f>
        <v>32211.997719999999</v>
      </c>
      <c r="K214">
        <f ca="1">IF(AND(ISNUMBER($K$416),$B$252=1),$K$416,HLOOKUP(INDIRECT(ADDRESS(2,COLUMN())),OFFSET($CL$2,0,0,ROW()-1,84),ROW()-1,FALSE))</f>
        <v>32211.144199999999</v>
      </c>
      <c r="L214">
        <f ca="1">IF(AND(ISNUMBER($L$416),$B$252=1),$L$416,HLOOKUP(INDIRECT(ADDRESS(2,COLUMN())),OFFSET($CL$2,0,0,ROW()-1,84),ROW()-1,FALSE))</f>
        <v>31809.300380000001</v>
      </c>
      <c r="M214">
        <f ca="1">IF(AND(ISNUMBER($M$416),$B$252=1),$M$416,HLOOKUP(INDIRECT(ADDRESS(2,COLUMN())),OFFSET($CL$2,0,0,ROW()-1,84),ROW()-1,FALSE))</f>
        <v>32942.641409999997</v>
      </c>
      <c r="N214">
        <f ca="1">IF(AND(ISNUMBER($N$416),$B$252=1),$N$416,HLOOKUP(INDIRECT(ADDRESS(2,COLUMN())),OFFSET($CL$2,0,0,ROW()-1,84),ROW()-1,FALSE))</f>
        <v>33523.475769999997</v>
      </c>
      <c r="O214">
        <f ca="1">IF(AND(ISNUMBER($O$416),$B$252=1),$O$416,HLOOKUP(INDIRECT(ADDRESS(2,COLUMN())),OFFSET($CL$2,0,0,ROW()-1,84),ROW()-1,FALSE))</f>
        <v>33498.672919999997</v>
      </c>
      <c r="P214">
        <f ca="1">IF(AND(ISNUMBER($P$416),$B$252=1),$P$416,HLOOKUP(INDIRECT(ADDRESS(2,COLUMN())),OFFSET($CL$2,0,0,ROW()-1,84),ROW()-1,FALSE))</f>
        <v>33293.592669999998</v>
      </c>
      <c r="Q214">
        <f ca="1">IF(AND(ISNUMBER($Q$416),$B$252=1),$Q$416,HLOOKUP(INDIRECT(ADDRESS(2,COLUMN())),OFFSET($CL$2,0,0,ROW()-1,84),ROW()-1,FALSE))</f>
        <v>33042.631229999999</v>
      </c>
      <c r="R214">
        <f ca="1">IF(AND(ISNUMBER($R$416),$B$252=1),$R$416,HLOOKUP(INDIRECT(ADDRESS(2,COLUMN())),OFFSET($CL$2,0,0,ROW()-1,84),ROW()-1,FALSE))</f>
        <v>32157.297429999999</v>
      </c>
      <c r="S214">
        <f ca="1">IF(AND(ISNUMBER($S$416),$B$252=1),$S$416,HLOOKUP(INDIRECT(ADDRESS(2,COLUMN())),OFFSET($CL$2,0,0,ROW()-1,84),ROW()-1,FALSE))</f>
        <v>32109.623360000001</v>
      </c>
      <c r="T214">
        <f ca="1">IF(AND(ISNUMBER($T$416),$B$252=1),$T$416,HLOOKUP(INDIRECT(ADDRESS(2,COLUMN())),OFFSET($CL$2,0,0,ROW()-1,84),ROW()-1,FALSE))</f>
        <v>30670.80343</v>
      </c>
      <c r="U214">
        <f ca="1">IF(AND(ISNUMBER($U$416),$B$252=1),$U$416,HLOOKUP(INDIRECT(ADDRESS(2,COLUMN())),OFFSET($CL$2,0,0,ROW()-1,84),ROW()-1,FALSE))</f>
        <v>31198.16361</v>
      </c>
      <c r="V214">
        <f ca="1">IF(AND(ISNUMBER($V$416),$B$252=1),$V$416,HLOOKUP(INDIRECT(ADDRESS(2,COLUMN())),OFFSET($CL$2,0,0,ROW()-1,84),ROW()-1,FALSE))</f>
        <v>29385.422999999999</v>
      </c>
      <c r="W214">
        <f ca="1">IF(AND(ISNUMBER($W$416),$B$252=1),$W$416,HLOOKUP(INDIRECT(ADDRESS(2,COLUMN())),OFFSET($CL$2,0,0,ROW()-1,84),ROW()-1,FALSE))</f>
        <v>30302.072830000001</v>
      </c>
      <c r="X214">
        <f ca="1">IF(AND(ISNUMBER($X$416),$B$252=1),$X$416,HLOOKUP(INDIRECT(ADDRESS(2,COLUMN())),OFFSET($CL$2,0,0,ROW()-1,84),ROW()-1,FALSE))</f>
        <v>31216.63104</v>
      </c>
      <c r="Y214">
        <f ca="1">IF(AND(ISNUMBER($Y$416),$B$252=1),$Y$416,HLOOKUP(INDIRECT(ADDRESS(2,COLUMN())),OFFSET($CL$2,0,0,ROW()-1,84),ROW()-1,FALSE))</f>
        <v>30725.230459999999</v>
      </c>
      <c r="Z214">
        <f ca="1">IF(AND(ISNUMBER($Z$416),$B$252=1),$Z$416,HLOOKUP(INDIRECT(ADDRESS(2,COLUMN())),OFFSET($CL$2,0,0,ROW()-1,84),ROW()-1,FALSE))</f>
        <v>32158.287469999999</v>
      </c>
      <c r="AA214">
        <f ca="1">IF(AND(ISNUMBER($AA$416),$B$252=1),$AA$416,HLOOKUP(INDIRECT(ADDRESS(2,COLUMN())),OFFSET($CL$2,0,0,ROW()-1,84),ROW()-1,FALSE))</f>
        <v>31436.773150000001</v>
      </c>
      <c r="AB214">
        <f ca="1">IF(AND(ISNUMBER($AB$416),$B$252=1),$AB$416,HLOOKUP(INDIRECT(ADDRESS(2,COLUMN())),OFFSET($CL$2,0,0,ROW()-1,84),ROW()-1,FALSE))</f>
        <v>31115.58844</v>
      </c>
      <c r="AC214">
        <f ca="1">IF(AND(ISNUMBER($AC$416),$B$252=1),$AC$416,HLOOKUP(INDIRECT(ADDRESS(2,COLUMN())),OFFSET($CL$2,0,0,ROW()-1,84),ROW()-1,FALSE))</f>
        <v>30691.719590000001</v>
      </c>
      <c r="AD214">
        <f ca="1">IF(AND(ISNUMBER($AD$416),$B$252=1),$AD$416,HLOOKUP(INDIRECT(ADDRESS(2,COLUMN())),OFFSET($CL$2,0,0,ROW()-1,84),ROW()-1,FALSE))</f>
        <v>32500.767779999998</v>
      </c>
      <c r="AE214">
        <f ca="1">IF(AND(ISNUMBER($AE$416),$B$252=1),$AE$416,HLOOKUP(INDIRECT(ADDRESS(2,COLUMN())),OFFSET($CL$2,0,0,ROW()-1,84),ROW()-1,FALSE))</f>
        <v>29607.221150000001</v>
      </c>
      <c r="AF214">
        <f ca="1">IF(AND(ISNUMBER($AF$416),$B$252=1),$AF$416,HLOOKUP(INDIRECT(ADDRESS(2,COLUMN())),OFFSET($CL$2,0,0,ROW()-1,84),ROW()-1,FALSE))</f>
        <v>29565.16273</v>
      </c>
      <c r="AG214">
        <f ca="1">IF(AND(ISNUMBER($AG$416),$B$252=1),$AG$416,HLOOKUP(INDIRECT(ADDRESS(2,COLUMN())),OFFSET($CL$2,0,0,ROW()-1,84),ROW()-1,FALSE))</f>
        <v>31295.385310000001</v>
      </c>
      <c r="AH214">
        <f ca="1">IF(AND(ISNUMBER($AH$416),$B$252=1),$AH$416,HLOOKUP(INDIRECT(ADDRESS(2,COLUMN())),OFFSET($CL$2,0,0,ROW()-1,84),ROW()-1,FALSE))</f>
        <v>30865.23112</v>
      </c>
      <c r="AI214">
        <f ca="1">IF(AND(ISNUMBER($AI$416),$B$252=1),$AI$416,HLOOKUP(INDIRECT(ADDRESS(2,COLUMN())),OFFSET($CL$2,0,0,ROW()-1,84),ROW()-1,FALSE))</f>
        <v>29217.563310000001</v>
      </c>
      <c r="AJ214">
        <f ca="1">IF(AND(ISNUMBER($AJ$416),$B$252=1),$AJ$416,HLOOKUP(INDIRECT(ADDRESS(2,COLUMN())),OFFSET($CL$2,0,0,ROW()-1,84),ROW()-1,FALSE))</f>
        <v>29216.234209999999</v>
      </c>
      <c r="AK214">
        <f ca="1">IF(AND(ISNUMBER($AK$416),$B$252=1),$AK$416,HLOOKUP(INDIRECT(ADDRESS(2,COLUMN())),OFFSET($CL$2,0,0,ROW()-1,84),ROW()-1,FALSE))</f>
        <v>28317.449619999999</v>
      </c>
      <c r="AL214">
        <f ca="1">IF(AND(ISNUMBER($AL$416),$B$252=1),$AL$416,HLOOKUP(INDIRECT(ADDRESS(2,COLUMN())),OFFSET($CL$2,0,0,ROW()-1,84),ROW()-1,FALSE))</f>
        <v>29162.022710000001</v>
      </c>
      <c r="AM214">
        <f ca="1">IF(AND(ISNUMBER($AM$416),$B$252=1),$AM$416,HLOOKUP(INDIRECT(ADDRESS(2,COLUMN())),OFFSET($CL$2,0,0,ROW()-1,84),ROW()-1,FALSE))</f>
        <v>27513.53945</v>
      </c>
      <c r="AN214">
        <f ca="1">IF(AND(ISNUMBER($AN$416),$B$252=1),$AN$416,HLOOKUP(INDIRECT(ADDRESS(2,COLUMN())),OFFSET($CL$2,0,0,ROW()-1,84),ROW()-1,FALSE))</f>
        <v>28319.50548</v>
      </c>
      <c r="AO214">
        <f ca="1">IF(AND(ISNUMBER($AO$416),$B$252=1),$AO$416,HLOOKUP(INDIRECT(ADDRESS(2,COLUMN())),OFFSET($CL$2,0,0,ROW()-1,84),ROW()-1,FALSE))</f>
        <v>28037.33252</v>
      </c>
      <c r="AP214">
        <f ca="1">IF(AND(ISNUMBER($AP$416),$B$252=1),$AP$416,HLOOKUP(INDIRECT(ADDRESS(2,COLUMN())),OFFSET($CL$2,0,0,ROW()-1,84),ROW()-1,FALSE))</f>
        <v>29319.876319999999</v>
      </c>
      <c r="AQ214">
        <f ca="1">IF(AND(ISNUMBER($AQ$416),$B$252=1),$AQ$416,HLOOKUP(INDIRECT(ADDRESS(2,COLUMN())),OFFSET($CL$2,0,0,ROW()-1,84),ROW()-1,FALSE))</f>
        <v>28182.002380000002</v>
      </c>
      <c r="AR214">
        <f ca="1">IF(AND(ISNUMBER($AR$416),$B$252=1),$AR$416,HLOOKUP(INDIRECT(ADDRESS(2,COLUMN())),OFFSET($CL$2,0,0,ROW()-1,84),ROW()-1,FALSE))</f>
        <v>28788.833859999999</v>
      </c>
      <c r="AS214">
        <f ca="1">IF(AND(ISNUMBER($AS$416),$B$252=1),$AS$416,HLOOKUP(INDIRECT(ADDRESS(2,COLUMN())),OFFSET($CL$2,0,0,ROW()-1,84),ROW()-1,FALSE))</f>
        <v>27521.484810000002</v>
      </c>
      <c r="AT214">
        <f ca="1">IF(AND(ISNUMBER($AT$416),$B$252=1),$AT$416,HLOOKUP(INDIRECT(ADDRESS(2,COLUMN())),OFFSET($CL$2,0,0,ROW()-1,84),ROW()-1,FALSE))</f>
        <v>26952.487450000001</v>
      </c>
      <c r="AU214">
        <f ca="1">IF(AND(ISNUMBER($AU$416),$B$252=1),$AU$416,HLOOKUP(INDIRECT(ADDRESS(2,COLUMN())),OFFSET($CL$2,0,0,ROW()-1,84),ROW()-1,FALSE))</f>
        <v>26969.743709999999</v>
      </c>
      <c r="AV214">
        <f ca="1">IF(AND(ISNUMBER($AV$416),$B$252=1),$AV$416,HLOOKUP(INDIRECT(ADDRESS(2,COLUMN())),OFFSET($CL$2,0,0,ROW()-1,84),ROW()-1,FALSE))</f>
        <v>24942.672569999999</v>
      </c>
      <c r="AW214">
        <f ca="1">IF(AND(ISNUMBER($AW$416),$B$252=1),$AW$416,HLOOKUP(INDIRECT(ADDRESS(2,COLUMN())),OFFSET($CL$2,0,0,ROW()-1,84),ROW()-1,FALSE))</f>
        <v>25964.878359999999</v>
      </c>
      <c r="AX214">
        <f ca="1">IF(AND(ISNUMBER($AX$416),$B$252=1),$AX$416,HLOOKUP(INDIRECT(ADDRESS(2,COLUMN())),OFFSET($CL$2,0,0,ROW()-1,84),ROW()-1,FALSE))</f>
        <v>24941.512220000001</v>
      </c>
      <c r="AY214">
        <f ca="1">IF(AND(ISNUMBER($AY$416),$B$252=1),$AY$416,HLOOKUP(INDIRECT(ADDRESS(2,COLUMN())),OFFSET($CL$2,0,0,ROW()-1,84),ROW()-1,FALSE))</f>
        <v>24178.070080000001</v>
      </c>
      <c r="AZ214">
        <f ca="1">IF(AND(ISNUMBER($AZ$416),$B$252=1),$AZ$416,HLOOKUP(INDIRECT(ADDRESS(2,COLUMN())),OFFSET($CL$2,0,0,ROW()-1,84),ROW()-1,FALSE))</f>
        <v>24293.44425</v>
      </c>
      <c r="BA214">
        <f ca="1">IF(AND(ISNUMBER($BA$416),$B$252=1),$BA$416,HLOOKUP(INDIRECT(ADDRESS(2,COLUMN())),OFFSET($CL$2,0,0,ROW()-1,84),ROW()-1,FALSE))</f>
        <v>23602.415209999999</v>
      </c>
      <c r="BB214">
        <f ca="1">IF(AND(ISNUMBER($BB$416),$B$252=1),$BB$416,HLOOKUP(INDIRECT(ADDRESS(2,COLUMN())),OFFSET($CL$2,0,0,ROW()-1,84),ROW()-1,FALSE))</f>
        <v>22904.685399999998</v>
      </c>
      <c r="BC214">
        <f ca="1">IF(AND(ISNUMBER($BC$416),$B$252=1),$BC$416,HLOOKUP(INDIRECT(ADDRESS(2,COLUMN())),OFFSET($CL$2,0,0,ROW()-1,84),ROW()-1,FALSE))</f>
        <v>22460.95794</v>
      </c>
      <c r="BD214">
        <f ca="1">IF(AND(ISNUMBER($BD$416),$B$252=1),$BD$416,HLOOKUP(INDIRECT(ADDRESS(2,COLUMN())),OFFSET($CL$2,0,0,ROW()-1,84),ROW()-1,FALSE))</f>
        <v>21753.027249999999</v>
      </c>
      <c r="BE214">
        <f ca="1">IF(AND(ISNUMBER($BE$416),$B$252=1),$BE$416,HLOOKUP(INDIRECT(ADDRESS(2,COLUMN())),OFFSET($CL$2,0,0,ROW()-1,84),ROW()-1,FALSE))</f>
        <v>21070.980680000001</v>
      </c>
      <c r="BF214">
        <f ca="1">IF(AND(ISNUMBER($BF$416),$B$252=1),$BF$416,HLOOKUP(INDIRECT(ADDRESS(2,COLUMN())),OFFSET($CL$2,0,0,ROW()-1,84),ROW()-1,FALSE))</f>
        <v>21225.337479999998</v>
      </c>
      <c r="BG214">
        <f ca="1">IF(AND(ISNUMBER($BG$416),$B$252=1),$BG$416,HLOOKUP(INDIRECT(ADDRESS(2,COLUMN())),OFFSET($CL$2,0,0,ROW()-1,84),ROW()-1,FALSE))</f>
        <v>22064.000650000002</v>
      </c>
      <c r="BH214">
        <f ca="1">IF(AND(ISNUMBER($BH$416),$B$252=1),$BH$416,HLOOKUP(INDIRECT(ADDRESS(2,COLUMN())),OFFSET($CL$2,0,0,ROW()-1,84),ROW()-1,FALSE))</f>
        <v>22327.99785</v>
      </c>
      <c r="BI214">
        <f ca="1">IF(AND(ISNUMBER($BI$416),$B$252=1),$BI$416,HLOOKUP(INDIRECT(ADDRESS(2,COLUMN())),OFFSET($CL$2,0,0,ROW()-1,84),ROW()-1,FALSE))</f>
        <v>21663.966700000001</v>
      </c>
      <c r="BJ214">
        <f ca="1">IF(AND(ISNUMBER($BJ$416),$B$252=1),$BJ$416,HLOOKUP(INDIRECT(ADDRESS(2,COLUMN())),OFFSET($CL$2,0,0,ROW()-1,84),ROW()-1,FALSE))</f>
        <v>23141.319780000002</v>
      </c>
      <c r="BK214">
        <f ca="1">IF(AND(ISNUMBER($BK$416),$B$252=1),$BK$416,HLOOKUP(INDIRECT(ADDRESS(2,COLUMN())),OFFSET($CL$2,0,0,ROW()-1,84),ROW()-1,FALSE))</f>
        <v>23085.68317</v>
      </c>
      <c r="BL214">
        <f ca="1">IF(AND(ISNUMBER($BL$416),$B$252=1),$BL$416,HLOOKUP(INDIRECT(ADDRESS(2,COLUMN())),OFFSET($CL$2,0,0,ROW()-1,84),ROW()-1,FALSE))</f>
        <v>22525.971399999999</v>
      </c>
      <c r="BM214">
        <f ca="1">IF(AND(ISNUMBER($BM$416),$B$252=1),$BM$416,HLOOKUP(INDIRECT(ADDRESS(2,COLUMN())),OFFSET($CL$2,0,0,ROW()-1,84),ROW()-1,FALSE))</f>
        <v>22570.34778</v>
      </c>
      <c r="BN214">
        <f ca="1">IF(AND(ISNUMBER($BN$416),$B$252=1),$BN$416,HLOOKUP(INDIRECT(ADDRESS(2,COLUMN())),OFFSET($CL$2,0,0,ROW()-1,84),ROW()-1,FALSE))</f>
        <v>21740.122189999998</v>
      </c>
      <c r="BO214">
        <f ca="1">IF(AND(ISNUMBER($BO$416),$B$252=1),$BO$416,HLOOKUP(INDIRECT(ADDRESS(2,COLUMN())),OFFSET($CL$2,0,0,ROW()-1,84),ROW()-1,FALSE))</f>
        <v>15413.267459999999</v>
      </c>
      <c r="BP214">
        <f ca="1">IF(AND(ISNUMBER($BP$416),$B$252=1),$BP$416,HLOOKUP(INDIRECT(ADDRESS(2,COLUMN())),OFFSET($CL$2,0,0,ROW()-1,84),ROW()-1,FALSE))</f>
        <v>15977.80955</v>
      </c>
      <c r="BQ214">
        <f ca="1">IF(AND(ISNUMBER($BQ$416),$B$252=1),$BQ$416,HLOOKUP(INDIRECT(ADDRESS(2,COLUMN())),OFFSET($CL$2,0,0,ROW()-1,84),ROW()-1,FALSE))</f>
        <v>16641.273850000001</v>
      </c>
      <c r="BR214">
        <f ca="1">IF(AND(ISNUMBER($BR$416),$B$252=1),$BR$416,HLOOKUP(INDIRECT(ADDRESS(2,COLUMN())),OFFSET($CL$2,0,0,ROW()-1,84),ROW()-1,FALSE))</f>
        <v>18231.38134</v>
      </c>
      <c r="BS214">
        <f ca="1">IF(AND(ISNUMBER($BS$416),$B$252=1),$BS$416,HLOOKUP(INDIRECT(ADDRESS(2,COLUMN())),OFFSET($CL$2,0,0,ROW()-1,84),ROW()-1,FALSE))</f>
        <v>16293.96643</v>
      </c>
      <c r="BT214">
        <f ca="1">IF(AND(ISNUMBER($BT$416),$B$252=1),$BT$416,HLOOKUP(INDIRECT(ADDRESS(2,COLUMN())),OFFSET($CL$2,0,0,ROW()-1,84),ROW()-1,FALSE))</f>
        <v>16335.640820000001</v>
      </c>
      <c r="BU214">
        <f ca="1">IF(AND(ISNUMBER($BU$416),$B$252=1),$BU$416,HLOOKUP(INDIRECT(ADDRESS(2,COLUMN())),OFFSET($CL$2,0,0,ROW()-1,84),ROW()-1,FALSE))</f>
        <v>16999.91993</v>
      </c>
      <c r="BV214">
        <f ca="1">IF(AND(ISNUMBER($BV$416),$B$252=1),$BV$416,HLOOKUP(INDIRECT(ADDRESS(2,COLUMN())),OFFSET($CL$2,0,0,ROW()-1,84),ROW()-1,FALSE))</f>
        <v>17310.656770000001</v>
      </c>
      <c r="BW214">
        <f ca="1">IF(AND(ISNUMBER($BW$416),$B$252=1),$BW$416,HLOOKUP(INDIRECT(ADDRESS(2,COLUMN())),OFFSET($CL$2,0,0,ROW()-1,84),ROW()-1,FALSE))</f>
        <v>16775.688829999999</v>
      </c>
      <c r="BX214">
        <f ca="1">IF(AND(ISNUMBER($BX$416),$B$252=1),$BX$416,HLOOKUP(INDIRECT(ADDRESS(2,COLUMN())),OFFSET($CL$2,0,0,ROW()-1,84),ROW()-1,FALSE))</f>
        <v>16473.14055</v>
      </c>
      <c r="BY214">
        <f ca="1">IF(AND(ISNUMBER($BY$416),$B$252=1),$BY$416,HLOOKUP(INDIRECT(ADDRESS(2,COLUMN())),OFFSET($CL$2,0,0,ROW()-1,84),ROW()-1,FALSE))</f>
        <v>16991.057779999999</v>
      </c>
      <c r="BZ214">
        <f ca="1">IF(AND(ISNUMBER($BZ$416),$B$252=1),$BZ$416,HLOOKUP(INDIRECT(ADDRESS(2,COLUMN())),OFFSET($CL$2,0,0,ROW()-1,84),ROW()-1,FALSE))</f>
        <v>16605.43217</v>
      </c>
      <c r="CA214">
        <f ca="1">IF(AND(ISNUMBER($CA$416),$B$252=1),$CA$416,HLOOKUP(INDIRECT(ADDRESS(2,COLUMN())),OFFSET($CL$2,0,0,ROW()-1,84),ROW()-1,FALSE))</f>
        <v>15376.216420000001</v>
      </c>
      <c r="CB214">
        <f ca="1">IF(AND(ISNUMBER($CB$416),$B$252=1),$CB$416,HLOOKUP(INDIRECT(ADDRESS(2,COLUMN())),OFFSET($CL$2,0,0,ROW()-1,84),ROW()-1,FALSE))</f>
        <v>15962.62752</v>
      </c>
      <c r="CC214">
        <f ca="1">IF(AND(ISNUMBER($CC$416),$B$252=1),$CC$416,HLOOKUP(INDIRECT(ADDRESS(2,COLUMN())),OFFSET($CL$2,0,0,ROW()-1,84),ROW()-1,FALSE))</f>
        <v>15448.194390000001</v>
      </c>
      <c r="CD214">
        <f ca="1">IF(AND(ISNUMBER($CD$416),$B$252=1),$CD$416,HLOOKUP(INDIRECT(ADDRESS(2,COLUMN())),OFFSET($CL$2,0,0,ROW()-1,84),ROW()-1,FALSE))</f>
        <v>14980.96524</v>
      </c>
      <c r="CE214">
        <f ca="1">IF(AND(ISNUMBER($CE$416),$B$252=1),$CE$416,HLOOKUP(INDIRECT(ADDRESS(2,COLUMN())),OFFSET($CL$2,0,0,ROW()-1,84),ROW()-1,FALSE))</f>
        <v>15682.585080000001</v>
      </c>
      <c r="CF214">
        <f ca="1">IF(AND(ISNUMBER($CF$416),$B$252=1),$CF$416,HLOOKUP(INDIRECT(ADDRESS(2,COLUMN())),OFFSET($CL$2,0,0,ROW()-1,84),ROW()-1,FALSE))</f>
        <v>13835.442999999999</v>
      </c>
      <c r="CG214">
        <f ca="1">IF(AND(ISNUMBER($CG$416),$B$252=1),$CG$416,HLOOKUP(INDIRECT(ADDRESS(2,COLUMN())),OFFSET($CL$2,0,0,ROW()-1,84),ROW()-1,FALSE))</f>
        <v>16532.802</v>
      </c>
      <c r="CH214">
        <f ca="1">IF(AND(ISNUMBER($CH$416),$B$252=1),$CH$416,HLOOKUP(INDIRECT(ADDRESS(2,COLUMN())),OFFSET($CL$2,0,0,ROW()-1,84),ROW()-1,FALSE))</f>
        <v>15424.29744</v>
      </c>
      <c r="CI214">
        <f ca="1">IF(AND(ISNUMBER($CI$416),$B$252=1),$CI$416,HLOOKUP(INDIRECT(ADDRESS(2,COLUMN())),OFFSET($CL$2,0,0,ROW()-1,84),ROW()-1,FALSE))</f>
        <v>14918.6903</v>
      </c>
      <c r="CJ214">
        <f ca="1">IF(AND(ISNUMBER($CJ$416),$B$252=1),$CJ$416,HLOOKUP(INDIRECT(ADDRESS(2,COLUMN())),OFFSET($CL$2,0,0,ROW()-1,84),ROW()-1,FALSE))</f>
        <v>15604.636930000001</v>
      </c>
      <c r="CK214">
        <f ca="1">IF(AND(ISNUMBER($CK$416),$B$252=1),$CK$416,HLOOKUP(INDIRECT(ADDRESS(2,COLUMN())),OFFSET($CL$2,0,0,ROW()-1,84),ROW()-1,FALSE))</f>
        <v>14957.985350000001</v>
      </c>
      <c r="CL214">
        <f>29652.46527</f>
        <v>29652.465270000001</v>
      </c>
      <c r="CM214">
        <f>28890.13668</f>
        <v>28890.13668</v>
      </c>
      <c r="CN214">
        <f>30874.75637</f>
        <v>30874.756369999999</v>
      </c>
      <c r="CO214">
        <f>31980.90025</f>
        <v>31980.900249999999</v>
      </c>
      <c r="CP214">
        <f>32211.99772</f>
        <v>32211.997719999999</v>
      </c>
      <c r="CQ214">
        <f>32211.1442</f>
        <v>32211.144199999999</v>
      </c>
      <c r="CR214">
        <f>31809.30038</f>
        <v>31809.300380000001</v>
      </c>
      <c r="CS214">
        <f>32942.64141</f>
        <v>32942.641409999997</v>
      </c>
      <c r="CT214">
        <f>33523.47577</f>
        <v>33523.475769999997</v>
      </c>
      <c r="CU214">
        <f>33498.67292</f>
        <v>33498.672919999997</v>
      </c>
      <c r="CV214">
        <f>33293.59267</f>
        <v>33293.592669999998</v>
      </c>
      <c r="CW214">
        <f>33042.63123</f>
        <v>33042.631229999999</v>
      </c>
      <c r="CX214">
        <f>32157.29743</f>
        <v>32157.297429999999</v>
      </c>
      <c r="CY214">
        <f>32109.62336</f>
        <v>32109.623360000001</v>
      </c>
      <c r="CZ214">
        <f>30670.80343</f>
        <v>30670.80343</v>
      </c>
      <c r="DA214">
        <f>31198.16361</f>
        <v>31198.16361</v>
      </c>
      <c r="DB214">
        <f>29385.423</f>
        <v>29385.422999999999</v>
      </c>
      <c r="DC214">
        <f>30302.07283</f>
        <v>30302.072830000001</v>
      </c>
      <c r="DD214">
        <f>31216.63104</f>
        <v>31216.63104</v>
      </c>
      <c r="DE214">
        <f>30725.23046</f>
        <v>30725.230459999999</v>
      </c>
      <c r="DF214">
        <f>32158.28747</f>
        <v>32158.287469999999</v>
      </c>
      <c r="DG214">
        <f>31436.77315</f>
        <v>31436.773150000001</v>
      </c>
      <c r="DH214">
        <f>31115.58844</f>
        <v>31115.58844</v>
      </c>
      <c r="DI214">
        <f>30691.71959</f>
        <v>30691.719590000001</v>
      </c>
      <c r="DJ214">
        <f>32500.76778</f>
        <v>32500.767779999998</v>
      </c>
      <c r="DK214">
        <f>29607.22115</f>
        <v>29607.221150000001</v>
      </c>
      <c r="DL214">
        <f>29565.16273</f>
        <v>29565.16273</v>
      </c>
      <c r="DM214">
        <f>31295.38531</f>
        <v>31295.385310000001</v>
      </c>
      <c r="DN214">
        <f>30865.23112</f>
        <v>30865.23112</v>
      </c>
      <c r="DO214">
        <f>29217.56331</f>
        <v>29217.563310000001</v>
      </c>
      <c r="DP214">
        <f>29216.23421</f>
        <v>29216.234209999999</v>
      </c>
      <c r="DQ214">
        <f>28317.44962</f>
        <v>28317.449619999999</v>
      </c>
      <c r="DR214">
        <f>29162.02271</f>
        <v>29162.022710000001</v>
      </c>
      <c r="DS214">
        <f>27513.53945</f>
        <v>27513.53945</v>
      </c>
      <c r="DT214">
        <f>28319.50548</f>
        <v>28319.50548</v>
      </c>
      <c r="DU214">
        <f>28037.33252</f>
        <v>28037.33252</v>
      </c>
      <c r="DV214">
        <f>29319.87632</f>
        <v>29319.876319999999</v>
      </c>
      <c r="DW214">
        <f>28182.00238</f>
        <v>28182.002380000002</v>
      </c>
      <c r="DX214">
        <f>28788.83386</f>
        <v>28788.833859999999</v>
      </c>
      <c r="DY214">
        <f>27521.48481</f>
        <v>27521.484810000002</v>
      </c>
      <c r="DZ214">
        <f>26952.48745</f>
        <v>26952.487450000001</v>
      </c>
      <c r="EA214">
        <f>26969.74371</f>
        <v>26969.743709999999</v>
      </c>
      <c r="EB214">
        <f>24942.67257</f>
        <v>24942.672569999999</v>
      </c>
      <c r="EC214">
        <f>25964.87836</f>
        <v>25964.878359999999</v>
      </c>
      <c r="ED214">
        <f>24941.51222</f>
        <v>24941.512220000001</v>
      </c>
      <c r="EE214">
        <f>24178.07008</f>
        <v>24178.070080000001</v>
      </c>
      <c r="EF214">
        <f>24293.44425</f>
        <v>24293.44425</v>
      </c>
      <c r="EG214">
        <f>23602.41521</f>
        <v>23602.415209999999</v>
      </c>
      <c r="EH214">
        <f>22904.6854</f>
        <v>22904.685399999998</v>
      </c>
      <c r="EI214">
        <f>22460.95794</f>
        <v>22460.95794</v>
      </c>
      <c r="EJ214">
        <f>21753.02725</f>
        <v>21753.027249999999</v>
      </c>
      <c r="EK214">
        <f>21070.98068</f>
        <v>21070.980680000001</v>
      </c>
      <c r="EL214">
        <f>21225.33748</f>
        <v>21225.337479999998</v>
      </c>
      <c r="EM214">
        <f>22064.00065</f>
        <v>22064.000650000002</v>
      </c>
      <c r="EN214">
        <f>22327.99785</f>
        <v>22327.99785</v>
      </c>
      <c r="EO214">
        <f>21663.9667</f>
        <v>21663.966700000001</v>
      </c>
      <c r="EP214">
        <f>23141.31978</f>
        <v>23141.319780000002</v>
      </c>
      <c r="EQ214">
        <f>23085.68317</f>
        <v>23085.68317</v>
      </c>
      <c r="ER214">
        <f>22525.9714</f>
        <v>22525.971399999999</v>
      </c>
      <c r="ES214">
        <f>22570.34778</f>
        <v>22570.34778</v>
      </c>
      <c r="ET214">
        <f>21740.12219</f>
        <v>21740.122189999998</v>
      </c>
      <c r="EU214">
        <f>15413.26746</f>
        <v>15413.267459999999</v>
      </c>
      <c r="EV214">
        <f>15977.80955</f>
        <v>15977.80955</v>
      </c>
      <c r="EW214">
        <f>16641.27385</f>
        <v>16641.273850000001</v>
      </c>
      <c r="EX214">
        <f>18231.38134</f>
        <v>18231.38134</v>
      </c>
      <c r="EY214">
        <f>16293.96643</f>
        <v>16293.96643</v>
      </c>
      <c r="EZ214">
        <f>16335.64082</f>
        <v>16335.640820000001</v>
      </c>
      <c r="FA214">
        <f>16999.91993</f>
        <v>16999.91993</v>
      </c>
      <c r="FB214">
        <f>17310.65677</f>
        <v>17310.656770000001</v>
      </c>
      <c r="FC214">
        <f>16775.68883</f>
        <v>16775.688829999999</v>
      </c>
      <c r="FD214">
        <f>16473.14055</f>
        <v>16473.14055</v>
      </c>
      <c r="FE214">
        <f>16991.05778</f>
        <v>16991.057779999999</v>
      </c>
      <c r="FF214">
        <f>16605.43217</f>
        <v>16605.43217</v>
      </c>
      <c r="FG214">
        <f>15376.21642</f>
        <v>15376.216420000001</v>
      </c>
      <c r="FH214">
        <f>15962.62752</f>
        <v>15962.62752</v>
      </c>
      <c r="FI214">
        <f>15448.19439</f>
        <v>15448.194390000001</v>
      </c>
      <c r="FJ214">
        <f>14980.96524</f>
        <v>14980.96524</v>
      </c>
      <c r="FK214">
        <f>15682.58508</f>
        <v>15682.585080000001</v>
      </c>
      <c r="FL214">
        <f>13835.443</f>
        <v>13835.442999999999</v>
      </c>
      <c r="FM214">
        <f>16532.802</f>
        <v>16532.802</v>
      </c>
      <c r="FN214">
        <f>15424.29744</f>
        <v>15424.29744</v>
      </c>
      <c r="FO214">
        <f>14918.6903</f>
        <v>14918.6903</v>
      </c>
      <c r="FP214">
        <f>15604.63693</f>
        <v>15604.636930000001</v>
      </c>
      <c r="FQ214">
        <f>14957.98535</f>
        <v>14957.985350000001</v>
      </c>
    </row>
    <row r="215" spans="1:173">
      <c r="A215" t="str">
        <f>"    Camden 房地产信托公司"</f>
        <v xml:space="preserve">    Camden 房地产信托公司</v>
      </c>
      <c r="B215" t="str">
        <f>"CPT US Equity"</f>
        <v>CPT US Equity</v>
      </c>
      <c r="C215" t="str">
        <f t="shared" si="69"/>
        <v>F0826</v>
      </c>
      <c r="D215" t="str">
        <f t="shared" si="70"/>
        <v>INDUSTRY_STANDARDIZED_EV</v>
      </c>
      <c r="E215" t="str">
        <f t="shared" si="71"/>
        <v>动态</v>
      </c>
      <c r="F215">
        <f ca="1">IF(AND(ISNUMBER($F$417),$B$252=1),$F$417,HLOOKUP(INDIRECT(ADDRESS(2,COLUMN())),OFFSET($CL$2,0,0,ROW()-1,84),ROW()-1,FALSE))</f>
        <v>9940.0273340000003</v>
      </c>
      <c r="G215">
        <f ca="1">IF(AND(ISNUMBER($G$417),$B$252=1),$G$417,HLOOKUP(INDIRECT(ADDRESS(2,COLUMN())),OFFSET($CL$2,0,0,ROW()-1,84),ROW()-1,FALSE))</f>
        <v>9617.4249490000002</v>
      </c>
      <c r="H215">
        <f ca="1">IF(AND(ISNUMBER($H$417),$B$252=1),$H$417,HLOOKUP(INDIRECT(ADDRESS(2,COLUMN())),OFFSET($CL$2,0,0,ROW()-1,84),ROW()-1,FALSE))</f>
        <v>10261.521419999999</v>
      </c>
      <c r="I215">
        <f ca="1">IF(AND(ISNUMBER($I$417),$B$252=1),$I$417,HLOOKUP(INDIRECT(ADDRESS(2,COLUMN())),OFFSET($CL$2,0,0,ROW()-1,84),ROW()-1,FALSE))</f>
        <v>10781.5967</v>
      </c>
      <c r="J215">
        <f ca="1">IF(AND(ISNUMBER($J$417),$B$252=1),$J$417,HLOOKUP(INDIRECT(ADDRESS(2,COLUMN())),OFFSET($CL$2,0,0,ROW()-1,84),ROW()-1,FALSE))</f>
        <v>10726.29429</v>
      </c>
      <c r="K215">
        <f ca="1">IF(AND(ISNUMBER($K$417),$B$252=1),$K$417,HLOOKUP(INDIRECT(ADDRESS(2,COLUMN())),OFFSET($CL$2,0,0,ROW()-1,84),ROW()-1,FALSE))</f>
        <v>10722.51197</v>
      </c>
      <c r="L215">
        <f ca="1">IF(AND(ISNUMBER($L$417),$B$252=1),$L$417,HLOOKUP(INDIRECT(ADDRESS(2,COLUMN())),OFFSET($CL$2,0,0,ROW()-1,84),ROW()-1,FALSE))</f>
        <v>10741.46775</v>
      </c>
      <c r="M215">
        <f ca="1">IF(AND(ISNUMBER($M$417),$B$252=1),$M$417,HLOOKUP(INDIRECT(ADDRESS(2,COLUMN())),OFFSET($CL$2,0,0,ROW()-1,84),ROW()-1,FALSE))</f>
        <v>10380.58923</v>
      </c>
      <c r="N215">
        <f ca="1">IF(AND(ISNUMBER($N$417),$B$252=1),$N$417,HLOOKUP(INDIRECT(ADDRESS(2,COLUMN())),OFFSET($CL$2,0,0,ROW()-1,84),ROW()-1,FALSE))</f>
        <v>10400.290429999999</v>
      </c>
      <c r="O215">
        <f ca="1">IF(AND(ISNUMBER($O$417),$B$252=1),$O$417,HLOOKUP(INDIRECT(ADDRESS(2,COLUMN())),OFFSET($CL$2,0,0,ROW()-1,84),ROW()-1,FALSE))</f>
        <v>10022.7876</v>
      </c>
      <c r="P215">
        <f ca="1">IF(AND(ISNUMBER($P$417),$B$252=1),$P$417,HLOOKUP(INDIRECT(ADDRESS(2,COLUMN())),OFFSET($CL$2,0,0,ROW()-1,84),ROW()-1,FALSE))</f>
        <v>9905.8115049999997</v>
      </c>
      <c r="Q215">
        <f ca="1">IF(AND(ISNUMBER($Q$417),$B$252=1),$Q$417,HLOOKUP(INDIRECT(ADDRESS(2,COLUMN())),OFFSET($CL$2,0,0,ROW()-1,84),ROW()-1,FALSE))</f>
        <v>9817.1362200000003</v>
      </c>
      <c r="R215">
        <f ca="1">IF(AND(ISNUMBER($R$417),$B$252=1),$R$417,HLOOKUP(INDIRECT(ADDRESS(2,COLUMN())),OFFSET($CL$2,0,0,ROW()-1,84),ROW()-1,FALSE))</f>
        <v>9649.7473429999991</v>
      </c>
      <c r="S215">
        <f ca="1">IF(AND(ISNUMBER($S$417),$B$252=1),$S$417,HLOOKUP(INDIRECT(ADDRESS(2,COLUMN())),OFFSET($CL$2,0,0,ROW()-1,84),ROW()-1,FALSE))</f>
        <v>9894.9457849999999</v>
      </c>
      <c r="T215">
        <f ca="1">IF(AND(ISNUMBER($T$417),$B$252=1),$T$417,HLOOKUP(INDIRECT(ADDRESS(2,COLUMN())),OFFSET($CL$2,0,0,ROW()-1,84),ROW()-1,FALSE))</f>
        <v>9796.5331459999998</v>
      </c>
      <c r="U215">
        <f ca="1">IF(AND(ISNUMBER($U$417),$B$252=1),$U$417,HLOOKUP(INDIRECT(ADDRESS(2,COLUMN())),OFFSET($CL$2,0,0,ROW()-1,84),ROW()-1,FALSE))</f>
        <v>9840.2739750000001</v>
      </c>
      <c r="V215">
        <f ca="1">IF(AND(ISNUMBER($V$417),$B$252=1),$V$417,HLOOKUP(INDIRECT(ADDRESS(2,COLUMN())),OFFSET($CL$2,0,0,ROW()-1,84),ROW()-1,FALSE))</f>
        <v>9296.611132</v>
      </c>
      <c r="W215">
        <f ca="1">IF(AND(ISNUMBER($W$417),$B$252=1),$W$417,HLOOKUP(INDIRECT(ADDRESS(2,COLUMN())),OFFSET($CL$2,0,0,ROW()-1,84),ROW()-1,FALSE))</f>
        <v>9535.4360519999991</v>
      </c>
      <c r="X215">
        <f ca="1">IF(AND(ISNUMBER($X$417),$B$252=1),$X$417,HLOOKUP(INDIRECT(ADDRESS(2,COLUMN())),OFFSET($CL$2,0,0,ROW()-1,84),ROW()-1,FALSE))</f>
        <v>9730.9846130000005</v>
      </c>
      <c r="Y215">
        <f ca="1">IF(AND(ISNUMBER($Y$417),$B$252=1),$Y$417,HLOOKUP(INDIRECT(ADDRESS(2,COLUMN())),OFFSET($CL$2,0,0,ROW()-1,84),ROW()-1,FALSE))</f>
        <v>10054.98007</v>
      </c>
      <c r="Z215">
        <f ca="1">IF(AND(ISNUMBER($Z$417),$B$252=1),$Z$417,HLOOKUP(INDIRECT(ADDRESS(2,COLUMN())),OFFSET($CL$2,0,0,ROW()-1,84),ROW()-1,FALSE))</f>
        <v>10217.50822</v>
      </c>
      <c r="AA215">
        <f ca="1">IF(AND(ISNUMBER($AA$417),$B$252=1),$AA$417,HLOOKUP(INDIRECT(ADDRESS(2,COLUMN())),OFFSET($CL$2,0,0,ROW()-1,84),ROW()-1,FALSE))</f>
        <v>10076.415779999999</v>
      </c>
      <c r="AB215">
        <f ca="1">IF(AND(ISNUMBER($AB$417),$B$252=1),$AB$417,HLOOKUP(INDIRECT(ADDRESS(2,COLUMN())),OFFSET($CL$2,0,0,ROW()-1,84),ROW()-1,FALSE))</f>
        <v>10574.5317</v>
      </c>
      <c r="AC215">
        <f ca="1">IF(AND(ISNUMBER($AC$417),$B$252=1),$AC$417,HLOOKUP(INDIRECT(ADDRESS(2,COLUMN())),OFFSET($CL$2,0,0,ROW()-1,84),ROW()-1,FALSE))</f>
        <v>10176.303879999999</v>
      </c>
      <c r="AD215">
        <f ca="1">IF(AND(ISNUMBER($AD$417),$B$252=1),$AD$417,HLOOKUP(INDIRECT(ADDRESS(2,COLUMN())),OFFSET($CL$2,0,0,ROW()-1,84),ROW()-1,FALSE))</f>
        <v>10469.04227</v>
      </c>
      <c r="AE215">
        <f ca="1">IF(AND(ISNUMBER($AE$417),$B$252=1),$AE$417,HLOOKUP(INDIRECT(ADDRESS(2,COLUMN())),OFFSET($CL$2,0,0,ROW()-1,84),ROW()-1,FALSE))</f>
        <v>9429.0223330000008</v>
      </c>
      <c r="AF215">
        <f ca="1">IF(AND(ISNUMBER($AF$417),$B$252=1),$AF$417,HLOOKUP(INDIRECT(ADDRESS(2,COLUMN())),OFFSET($CL$2,0,0,ROW()-1,84),ROW()-1,FALSE))</f>
        <v>9562.5193579999996</v>
      </c>
      <c r="AG215">
        <f ca="1">IF(AND(ISNUMBER($AG$417),$B$252=1),$AG$417,HLOOKUP(INDIRECT(ADDRESS(2,COLUMN())),OFFSET($CL$2,0,0,ROW()-1,84),ROW()-1,FALSE))</f>
        <v>9603.347205</v>
      </c>
      <c r="AH215">
        <f ca="1">IF(AND(ISNUMBER($AH$417),$B$252=1),$AH$417,HLOOKUP(INDIRECT(ADDRESS(2,COLUMN())),OFFSET($CL$2,0,0,ROW()-1,84),ROW()-1,FALSE))</f>
        <v>9726.1588530000008</v>
      </c>
      <c r="AI215">
        <f ca="1">IF(AND(ISNUMBER($AI$417),$B$252=1),$AI$417,HLOOKUP(INDIRECT(ADDRESS(2,COLUMN())),OFFSET($CL$2,0,0,ROW()-1,84),ROW()-1,FALSE))</f>
        <v>9496.2803189999995</v>
      </c>
      <c r="AJ215">
        <f ca="1">IF(AND(ISNUMBER($AJ$417),$B$252=1),$AJ$417,HLOOKUP(INDIRECT(ADDRESS(2,COLUMN())),OFFSET($CL$2,0,0,ROW()-1,84),ROW()-1,FALSE))</f>
        <v>9505.4605179999999</v>
      </c>
      <c r="AK215">
        <f ca="1">IF(AND(ISNUMBER($AK$417),$B$252=1),$AK$417,HLOOKUP(INDIRECT(ADDRESS(2,COLUMN())),OFFSET($CL$2,0,0,ROW()-1,84),ROW()-1,FALSE))</f>
        <v>9293.0222529999992</v>
      </c>
      <c r="AL215">
        <f ca="1">IF(AND(ISNUMBER($AL$417),$B$252=1),$AL$417,HLOOKUP(INDIRECT(ADDRESS(2,COLUMN())),OFFSET($CL$2,0,0,ROW()-1,84),ROW()-1,FALSE))</f>
        <v>9967.5245479999994</v>
      </c>
      <c r="AM215">
        <f ca="1">IF(AND(ISNUMBER($AM$417),$B$252=1),$AM$417,HLOOKUP(INDIRECT(ADDRESS(2,COLUMN())),OFFSET($CL$2,0,0,ROW()-1,84),ROW()-1,FALSE))</f>
        <v>9491.8524319999997</v>
      </c>
      <c r="AN215">
        <f ca="1">IF(AND(ISNUMBER($AN$417),$B$252=1),$AN$417,HLOOKUP(INDIRECT(ADDRESS(2,COLUMN())),OFFSET($CL$2,0,0,ROW()-1,84),ROW()-1,FALSE))</f>
        <v>9464.3445570000003</v>
      </c>
      <c r="AO215">
        <f ca="1">IF(AND(ISNUMBER($AO$417),$B$252=1),$AO$417,HLOOKUP(INDIRECT(ADDRESS(2,COLUMN())),OFFSET($CL$2,0,0,ROW()-1,84),ROW()-1,FALSE))</f>
        <v>9703.1486409999998</v>
      </c>
      <c r="AP215">
        <f ca="1">IF(AND(ISNUMBER($AP$417),$B$252=1),$AP$417,HLOOKUP(INDIRECT(ADDRESS(2,COLUMN())),OFFSET($CL$2,0,0,ROW()-1,84),ROW()-1,FALSE))</f>
        <v>9983.1423639999994</v>
      </c>
      <c r="AQ215">
        <f ca="1">IF(AND(ISNUMBER($AQ$417),$B$252=1),$AQ$417,HLOOKUP(INDIRECT(ADDRESS(2,COLUMN())),OFFSET($CL$2,0,0,ROW()-1,84),ROW()-1,FALSE))</f>
        <v>9099.8127820000009</v>
      </c>
      <c r="AR215">
        <f ca="1">IF(AND(ISNUMBER($AR$417),$B$252=1),$AR$417,HLOOKUP(INDIRECT(ADDRESS(2,COLUMN())),OFFSET($CL$2,0,0,ROW()-1,84),ROW()-1,FALSE))</f>
        <v>9452.6536350000006</v>
      </c>
      <c r="AS215">
        <f ca="1">IF(AND(ISNUMBER($AS$417),$B$252=1),$AS$417,HLOOKUP(INDIRECT(ADDRESS(2,COLUMN())),OFFSET($CL$2,0,0,ROW()-1,84),ROW()-1,FALSE))</f>
        <v>9169.2252320000007</v>
      </c>
      <c r="AT215">
        <f ca="1">IF(AND(ISNUMBER($AT$417),$B$252=1),$AT$417,HLOOKUP(INDIRECT(ADDRESS(2,COLUMN())),OFFSET($CL$2,0,0,ROW()-1,84),ROW()-1,FALSE))</f>
        <v>9621.1533180000006</v>
      </c>
      <c r="AU215">
        <f ca="1">IF(AND(ISNUMBER($AU$417),$B$252=1),$AU$417,HLOOKUP(INDIRECT(ADDRESS(2,COLUMN())),OFFSET($CL$2,0,0,ROW()-1,84),ROW()-1,FALSE))</f>
        <v>9620.2703629999996</v>
      </c>
      <c r="AV215">
        <f ca="1">IF(AND(ISNUMBER($AV$417),$B$252=1),$AV$417,HLOOKUP(INDIRECT(ADDRESS(2,COLUMN())),OFFSET($CL$2,0,0,ROW()-1,84),ROW()-1,FALSE))</f>
        <v>8850.0480150000003</v>
      </c>
      <c r="AW215">
        <f ca="1">IF(AND(ISNUMBER($AW$417),$B$252=1),$AW$417,HLOOKUP(INDIRECT(ADDRESS(2,COLUMN())),OFFSET($CL$2,0,0,ROW()-1,84),ROW()-1,FALSE))</f>
        <v>9408.3720869999997</v>
      </c>
      <c r="AX215">
        <f ca="1">IF(AND(ISNUMBER($AX$417),$B$252=1),$AX$417,HLOOKUP(INDIRECT(ADDRESS(2,COLUMN())),OFFSET($CL$2,0,0,ROW()-1,84),ROW()-1,FALSE))</f>
        <v>9185.3062659999996</v>
      </c>
      <c r="AY215">
        <f ca="1">IF(AND(ISNUMBER($AY$417),$B$252=1),$AY$417,HLOOKUP(INDIRECT(ADDRESS(2,COLUMN())),OFFSET($CL$2,0,0,ROW()-1,84),ROW()-1,FALSE))</f>
        <v>9079.4734840000001</v>
      </c>
      <c r="AZ215">
        <f ca="1">IF(AND(ISNUMBER($AZ$417),$B$252=1),$AZ$417,HLOOKUP(INDIRECT(ADDRESS(2,COLUMN())),OFFSET($CL$2,0,0,ROW()-1,84),ROW()-1,FALSE))</f>
        <v>8888.5302350000002</v>
      </c>
      <c r="BA215">
        <f ca="1">IF(AND(ISNUMBER($BA$417),$B$252=1),$BA$417,HLOOKUP(INDIRECT(ADDRESS(2,COLUMN())),OFFSET($CL$2,0,0,ROW()-1,84),ROW()-1,FALSE))</f>
        <v>8946.1862270000001</v>
      </c>
      <c r="BB215">
        <f ca="1">IF(AND(ISNUMBER($BB$417),$B$252=1),$BB$417,HLOOKUP(INDIRECT(ADDRESS(2,COLUMN())),OFFSET($CL$2,0,0,ROW()-1,84),ROW()-1,FALSE))</f>
        <v>8842.0632010000008</v>
      </c>
      <c r="BC215">
        <f ca="1">IF(AND(ISNUMBER($BC$417),$B$252=1),$BC$417,HLOOKUP(INDIRECT(ADDRESS(2,COLUMN())),OFFSET($CL$2,0,0,ROW()-1,84),ROW()-1,FALSE))</f>
        <v>8512.0655060000008</v>
      </c>
      <c r="BD215">
        <f ca="1">IF(AND(ISNUMBER($BD$417),$B$252=1),$BD$417,HLOOKUP(INDIRECT(ADDRESS(2,COLUMN())),OFFSET($CL$2,0,0,ROW()-1,84),ROW()-1,FALSE))</f>
        <v>8085.9391859999996</v>
      </c>
      <c r="BE215">
        <f ca="1">IF(AND(ISNUMBER($BE$417),$B$252=1),$BE$417,HLOOKUP(INDIRECT(ADDRESS(2,COLUMN())),OFFSET($CL$2,0,0,ROW()-1,84),ROW()-1,FALSE))</f>
        <v>7654.573609</v>
      </c>
      <c r="BF215">
        <f ca="1">IF(AND(ISNUMBER($BF$417),$B$252=1),$BF$417,HLOOKUP(INDIRECT(ADDRESS(2,COLUMN())),OFFSET($CL$2,0,0,ROW()-1,84),ROW()-1,FALSE))</f>
        <v>7888.8112590000001</v>
      </c>
      <c r="BG215">
        <f ca="1">IF(AND(ISNUMBER($BG$417),$B$252=1),$BG$417,HLOOKUP(INDIRECT(ADDRESS(2,COLUMN())),OFFSET($CL$2,0,0,ROW()-1,84),ROW()-1,FALSE))</f>
        <v>8433.4313220000004</v>
      </c>
      <c r="BH215">
        <f ca="1">IF(AND(ISNUMBER($BH$417),$B$252=1),$BH$417,HLOOKUP(INDIRECT(ADDRESS(2,COLUMN())),OFFSET($CL$2,0,0,ROW()-1,84),ROW()-1,FALSE))</f>
        <v>8192.868031</v>
      </c>
      <c r="BI215">
        <f ca="1">IF(AND(ISNUMBER($BI$417),$B$252=1),$BI$417,HLOOKUP(INDIRECT(ADDRESS(2,COLUMN())),OFFSET($CL$2,0,0,ROW()-1,84),ROW()-1,FALSE))</f>
        <v>8078.9182460000002</v>
      </c>
      <c r="BJ215">
        <f ca="1">IF(AND(ISNUMBER($BJ$417),$B$252=1),$BJ$417,HLOOKUP(INDIRECT(ADDRESS(2,COLUMN())),OFFSET($CL$2,0,0,ROW()-1,84),ROW()-1,FALSE))</f>
        <v>8841.5736049999996</v>
      </c>
      <c r="BK215">
        <f ca="1">IF(AND(ISNUMBER($BK$417),$B$252=1),$BK$417,HLOOKUP(INDIRECT(ADDRESS(2,COLUMN())),OFFSET($CL$2,0,0,ROW()-1,84),ROW()-1,FALSE))</f>
        <v>8690.3259780000008</v>
      </c>
      <c r="BL215">
        <f ca="1">IF(AND(ISNUMBER($BL$417),$B$252=1),$BL$417,HLOOKUP(INDIRECT(ADDRESS(2,COLUMN())),OFFSET($CL$2,0,0,ROW()-1,84),ROW()-1,FALSE))</f>
        <v>8638.9155719999999</v>
      </c>
      <c r="BM215">
        <f ca="1">IF(AND(ISNUMBER($BM$417),$B$252=1),$BM$417,HLOOKUP(INDIRECT(ADDRESS(2,COLUMN())),OFFSET($CL$2,0,0,ROW()-1,84),ROW()-1,FALSE))</f>
        <v>8854.6880610000007</v>
      </c>
      <c r="BN215">
        <f ca="1">IF(AND(ISNUMBER($BN$417),$B$252=1),$BN$417,HLOOKUP(INDIRECT(ADDRESS(2,COLUMN())),OFFSET($CL$2,0,0,ROW()-1,84),ROW()-1,FALSE))</f>
        <v>8539.8669399999999</v>
      </c>
      <c r="BO215">
        <f ca="1">IF(AND(ISNUMBER($BO$417),$B$252=1),$BO$417,HLOOKUP(INDIRECT(ADDRESS(2,COLUMN())),OFFSET($CL$2,0,0,ROW()-1,84),ROW()-1,FALSE))</f>
        <v>8515.2754819999991</v>
      </c>
      <c r="BP215">
        <f ca="1">IF(AND(ISNUMBER($BP$417),$B$252=1),$BP$417,HLOOKUP(INDIRECT(ADDRESS(2,COLUMN())),OFFSET($CL$2,0,0,ROW()-1,84),ROW()-1,FALSE))</f>
        <v>8536.8544070000007</v>
      </c>
      <c r="BQ215">
        <f ca="1">IF(AND(ISNUMBER($BQ$417),$B$252=1),$BQ$417,HLOOKUP(INDIRECT(ADDRESS(2,COLUMN())),OFFSET($CL$2,0,0,ROW()-1,84),ROW()-1,FALSE))</f>
        <v>8435.0018810000001</v>
      </c>
      <c r="BR215">
        <f ca="1">IF(AND(ISNUMBER($BR$417),$B$252=1),$BR$417,HLOOKUP(INDIRECT(ADDRESS(2,COLUMN())),OFFSET($CL$2,0,0,ROW()-1,84),ROW()-1,FALSE))</f>
        <v>8130.7281750000002</v>
      </c>
      <c r="BS215">
        <f ca="1">IF(AND(ISNUMBER($BS$417),$B$252=1),$BS$417,HLOOKUP(INDIRECT(ADDRESS(2,COLUMN())),OFFSET($CL$2,0,0,ROW()-1,84),ROW()-1,FALSE))</f>
        <v>8089.8942770000003</v>
      </c>
      <c r="BT215">
        <f ca="1">IF(AND(ISNUMBER($BT$417),$B$252=1),$BT$417,HLOOKUP(INDIRECT(ADDRESS(2,COLUMN())),OFFSET($CL$2,0,0,ROW()-1,84),ROW()-1,FALSE))</f>
        <v>7992.0747510000001</v>
      </c>
      <c r="BU215">
        <f ca="1">IF(AND(ISNUMBER($BU$417),$B$252=1),$BU$417,HLOOKUP(INDIRECT(ADDRESS(2,COLUMN())),OFFSET($CL$2,0,0,ROW()-1,84),ROW()-1,FALSE))</f>
        <v>8370.2933630000007</v>
      </c>
      <c r="BV215">
        <f ca="1">IF(AND(ISNUMBER($BV$417),$B$252=1),$BV$417,HLOOKUP(INDIRECT(ADDRESS(2,COLUMN())),OFFSET($CL$2,0,0,ROW()-1,84),ROW()-1,FALSE))</f>
        <v>8296.4650060000004</v>
      </c>
      <c r="BW215">
        <f ca="1">IF(AND(ISNUMBER($BW$417),$B$252=1),$BW$417,HLOOKUP(INDIRECT(ADDRESS(2,COLUMN())),OFFSET($CL$2,0,0,ROW()-1,84),ROW()-1,FALSE))</f>
        <v>7996.1318780000001</v>
      </c>
      <c r="BX215">
        <f ca="1">IF(AND(ISNUMBER($BX$417),$B$252=1),$BX$417,HLOOKUP(INDIRECT(ADDRESS(2,COLUMN())),OFFSET($CL$2,0,0,ROW()-1,84),ROW()-1,FALSE))</f>
        <v>7826.7442789999996</v>
      </c>
      <c r="BY215">
        <f ca="1">IF(AND(ISNUMBER($BY$417),$B$252=1),$BY$417,HLOOKUP(INDIRECT(ADDRESS(2,COLUMN())),OFFSET($CL$2,0,0,ROW()-1,84),ROW()-1,FALSE))</f>
        <v>8038.1467780000003</v>
      </c>
      <c r="BZ215">
        <f ca="1">IF(AND(ISNUMBER($BZ$417),$B$252=1),$BZ$417,HLOOKUP(INDIRECT(ADDRESS(2,COLUMN())),OFFSET($CL$2,0,0,ROW()-1,84),ROW()-1,FALSE))</f>
        <v>7782.0283490000002</v>
      </c>
      <c r="CA215">
        <f ca="1">IF(AND(ISNUMBER($CA$417),$B$252=1),$CA$417,HLOOKUP(INDIRECT(ADDRESS(2,COLUMN())),OFFSET($CL$2,0,0,ROW()-1,84),ROW()-1,FALSE))</f>
        <v>7429.1973520000001</v>
      </c>
      <c r="CB215">
        <f ca="1">IF(AND(ISNUMBER($CB$417),$B$252=1),$CB$417,HLOOKUP(INDIRECT(ADDRESS(2,COLUMN())),OFFSET($CL$2,0,0,ROW()-1,84),ROW()-1,FALSE))</f>
        <v>7631.3409240000001</v>
      </c>
      <c r="CC215">
        <f ca="1">IF(AND(ISNUMBER($CC$417),$B$252=1),$CC$417,HLOOKUP(INDIRECT(ADDRESS(2,COLUMN())),OFFSET($CL$2,0,0,ROW()-1,84),ROW()-1,FALSE))</f>
        <v>6985.2318720000003</v>
      </c>
      <c r="CD215">
        <f ca="1">IF(AND(ISNUMBER($CD$417),$B$252=1),$CD$417,HLOOKUP(INDIRECT(ADDRESS(2,COLUMN())),OFFSET($CL$2,0,0,ROW()-1,84),ROW()-1,FALSE))</f>
        <v>6669.2938910000003</v>
      </c>
      <c r="CE215">
        <f ca="1">IF(AND(ISNUMBER($CE$417),$B$252=1),$CE$417,HLOOKUP(INDIRECT(ADDRESS(2,COLUMN())),OFFSET($CL$2,0,0,ROW()-1,84),ROW()-1,FALSE))</f>
        <v>6873.0885660000004</v>
      </c>
      <c r="CF215">
        <f ca="1">IF(AND(ISNUMBER($CF$417),$B$252=1),$CF$417,HLOOKUP(INDIRECT(ADDRESS(2,COLUMN())),OFFSET($CL$2,0,0,ROW()-1,84),ROW()-1,FALSE))</f>
        <v>6476.9317190000002</v>
      </c>
      <c r="CG215">
        <f ca="1">IF(AND(ISNUMBER($CG$417),$B$252=1),$CG$417,HLOOKUP(INDIRECT(ADDRESS(2,COLUMN())),OFFSET($CL$2,0,0,ROW()-1,84),ROW()-1,FALSE))</f>
        <v>7301.9942350000001</v>
      </c>
      <c r="CH215">
        <f ca="1">IF(AND(ISNUMBER($CH$417),$B$252=1),$CH$417,HLOOKUP(INDIRECT(ADDRESS(2,COLUMN())),OFFSET($CL$2,0,0,ROW()-1,84),ROW()-1,FALSE))</f>
        <v>7320.4047600000004</v>
      </c>
      <c r="CI215">
        <f ca="1">IF(AND(ISNUMBER($CI$417),$B$252=1),$CI$417,HLOOKUP(INDIRECT(ADDRESS(2,COLUMN())),OFFSET($CL$2,0,0,ROW()-1,84),ROW()-1,FALSE))</f>
        <v>7003.0374339999998</v>
      </c>
      <c r="CJ215">
        <f ca="1">IF(AND(ISNUMBER($CJ$417),$B$252=1),$CJ$417,HLOOKUP(INDIRECT(ADDRESS(2,COLUMN())),OFFSET($CL$2,0,0,ROW()-1,84),ROW()-1,FALSE))</f>
        <v>7214.4206000000004</v>
      </c>
      <c r="CK215">
        <f ca="1">IF(AND(ISNUMBER($CK$417),$B$252=1),$CK$417,HLOOKUP(INDIRECT(ADDRESS(2,COLUMN())),OFFSET($CL$2,0,0,ROW()-1,84),ROW()-1,FALSE))</f>
        <v>7103.2537080000002</v>
      </c>
      <c r="CL215">
        <f>9940.027334</f>
        <v>9940.0273340000003</v>
      </c>
      <c r="CM215">
        <f>9617.424949</f>
        <v>9617.4249490000002</v>
      </c>
      <c r="CN215">
        <f>10261.52142</f>
        <v>10261.521419999999</v>
      </c>
      <c r="CO215">
        <f>10781.5967</f>
        <v>10781.5967</v>
      </c>
      <c r="CP215">
        <f>10726.29429</f>
        <v>10726.29429</v>
      </c>
      <c r="CQ215">
        <f>10722.51197</f>
        <v>10722.51197</v>
      </c>
      <c r="CR215">
        <f>10741.46775</f>
        <v>10741.46775</v>
      </c>
      <c r="CS215">
        <f>10380.58923</f>
        <v>10380.58923</v>
      </c>
      <c r="CT215">
        <f>10400.29043</f>
        <v>10400.290429999999</v>
      </c>
      <c r="CU215">
        <f>10022.7876</f>
        <v>10022.7876</v>
      </c>
      <c r="CV215">
        <f>9905.811505</f>
        <v>9905.8115049999997</v>
      </c>
      <c r="CW215">
        <f>9817.13622</f>
        <v>9817.1362200000003</v>
      </c>
      <c r="CX215">
        <f>9649.747343</f>
        <v>9649.7473429999991</v>
      </c>
      <c r="CY215">
        <f>9894.945785</f>
        <v>9894.9457849999999</v>
      </c>
      <c r="CZ215">
        <f>9796.533146</f>
        <v>9796.5331459999998</v>
      </c>
      <c r="DA215">
        <f>9840.273975</f>
        <v>9840.2739750000001</v>
      </c>
      <c r="DB215">
        <f>9296.611132</f>
        <v>9296.611132</v>
      </c>
      <c r="DC215">
        <f>9535.436052</f>
        <v>9535.4360519999991</v>
      </c>
      <c r="DD215">
        <f>9730.984613</f>
        <v>9730.9846130000005</v>
      </c>
      <c r="DE215">
        <f>10054.98007</f>
        <v>10054.98007</v>
      </c>
      <c r="DF215">
        <f>10217.50822</f>
        <v>10217.50822</v>
      </c>
      <c r="DG215">
        <f>10076.41578</f>
        <v>10076.415779999999</v>
      </c>
      <c r="DH215">
        <f>10574.5317</f>
        <v>10574.5317</v>
      </c>
      <c r="DI215">
        <f>10176.30388</f>
        <v>10176.303879999999</v>
      </c>
      <c r="DJ215">
        <f>10469.04227</f>
        <v>10469.04227</v>
      </c>
      <c r="DK215">
        <f>9429.022333</f>
        <v>9429.0223330000008</v>
      </c>
      <c r="DL215">
        <f>9562.519358</f>
        <v>9562.5193579999996</v>
      </c>
      <c r="DM215">
        <f>9603.347205</f>
        <v>9603.347205</v>
      </c>
      <c r="DN215">
        <f>9726.158853</f>
        <v>9726.1588530000008</v>
      </c>
      <c r="DO215">
        <f>9496.280319</f>
        <v>9496.2803189999995</v>
      </c>
      <c r="DP215">
        <f>9505.460518</f>
        <v>9505.4605179999999</v>
      </c>
      <c r="DQ215">
        <f>9293.022253</f>
        <v>9293.0222529999992</v>
      </c>
      <c r="DR215">
        <f>9967.524548</f>
        <v>9967.5245479999994</v>
      </c>
      <c r="DS215">
        <f>9491.852432</f>
        <v>9491.8524319999997</v>
      </c>
      <c r="DT215">
        <f>9464.344557</f>
        <v>9464.3445570000003</v>
      </c>
      <c r="DU215">
        <f>9703.148641</f>
        <v>9703.1486409999998</v>
      </c>
      <c r="DV215">
        <f>9983.142364</f>
        <v>9983.1423639999994</v>
      </c>
      <c r="DW215">
        <f>9099.812782</f>
        <v>9099.8127820000009</v>
      </c>
      <c r="DX215">
        <f>9452.653635</f>
        <v>9452.6536350000006</v>
      </c>
      <c r="DY215">
        <f>9169.225232</f>
        <v>9169.2252320000007</v>
      </c>
      <c r="DZ215">
        <f>9621.153318</f>
        <v>9621.1533180000006</v>
      </c>
      <c r="EA215">
        <f>9620.270363</f>
        <v>9620.2703629999996</v>
      </c>
      <c r="EB215">
        <f>8850.048015</f>
        <v>8850.0480150000003</v>
      </c>
      <c r="EC215">
        <f>9408.372087</f>
        <v>9408.3720869999997</v>
      </c>
      <c r="ED215">
        <f>9185.306266</f>
        <v>9185.3062659999996</v>
      </c>
      <c r="EE215">
        <f>9079.473484</f>
        <v>9079.4734840000001</v>
      </c>
      <c r="EF215">
        <f>8888.530235</f>
        <v>8888.5302350000002</v>
      </c>
      <c r="EG215">
        <f>8946.186227</f>
        <v>8946.1862270000001</v>
      </c>
      <c r="EH215">
        <f>8842.063201</f>
        <v>8842.0632010000008</v>
      </c>
      <c r="EI215">
        <f>8512.065506</f>
        <v>8512.0655060000008</v>
      </c>
      <c r="EJ215">
        <f>8085.939186</f>
        <v>8085.9391859999996</v>
      </c>
      <c r="EK215">
        <f>7654.573609</f>
        <v>7654.573609</v>
      </c>
      <c r="EL215">
        <f>7888.811259</f>
        <v>7888.8112590000001</v>
      </c>
      <c r="EM215">
        <f>8433.431322</f>
        <v>8433.4313220000004</v>
      </c>
      <c r="EN215">
        <f>8192.868031</f>
        <v>8192.868031</v>
      </c>
      <c r="EO215">
        <f>8078.918246</f>
        <v>8078.9182460000002</v>
      </c>
      <c r="EP215">
        <f>8841.573605</f>
        <v>8841.5736049999996</v>
      </c>
      <c r="EQ215">
        <f>8690.325978</f>
        <v>8690.3259780000008</v>
      </c>
      <c r="ER215">
        <f>8638.915572</f>
        <v>8638.9155719999999</v>
      </c>
      <c r="ES215">
        <f>8854.688061</f>
        <v>8854.6880610000007</v>
      </c>
      <c r="ET215">
        <f>8539.86694</f>
        <v>8539.8669399999999</v>
      </c>
      <c r="EU215">
        <f>8515.275482</f>
        <v>8515.2754819999991</v>
      </c>
      <c r="EV215">
        <f>8536.854407</f>
        <v>8536.8544070000007</v>
      </c>
      <c r="EW215">
        <f>8435.001881</f>
        <v>8435.0018810000001</v>
      </c>
      <c r="EX215">
        <f>8130.728175</f>
        <v>8130.7281750000002</v>
      </c>
      <c r="EY215">
        <f>8089.894277</f>
        <v>8089.8942770000003</v>
      </c>
      <c r="EZ215">
        <f>7992.074751</f>
        <v>7992.0747510000001</v>
      </c>
      <c r="FA215">
        <f>8370.293363</f>
        <v>8370.2933630000007</v>
      </c>
      <c r="FB215">
        <f>8296.465006</f>
        <v>8296.4650060000004</v>
      </c>
      <c r="FC215">
        <f>7996.131878</f>
        <v>7996.1318780000001</v>
      </c>
      <c r="FD215">
        <f>7826.744279</f>
        <v>7826.7442789999996</v>
      </c>
      <c r="FE215">
        <f>8038.146778</f>
        <v>8038.1467780000003</v>
      </c>
      <c r="FF215">
        <f>7782.028349</f>
        <v>7782.0283490000002</v>
      </c>
      <c r="FG215">
        <f>7429.197352</f>
        <v>7429.1973520000001</v>
      </c>
      <c r="FH215">
        <f>7631.340924</f>
        <v>7631.3409240000001</v>
      </c>
      <c r="FI215">
        <f>6985.231872</f>
        <v>6985.2318720000003</v>
      </c>
      <c r="FJ215">
        <f>6669.293891</f>
        <v>6669.2938910000003</v>
      </c>
      <c r="FK215">
        <f>6873.088566</f>
        <v>6873.0885660000004</v>
      </c>
      <c r="FL215">
        <f>6476.931719</f>
        <v>6476.9317190000002</v>
      </c>
      <c r="FM215">
        <f>7301.994235</f>
        <v>7301.9942350000001</v>
      </c>
      <c r="FN215">
        <f>7320.40476</f>
        <v>7320.4047600000004</v>
      </c>
      <c r="FO215">
        <f>7003.037434</f>
        <v>7003.0374339999998</v>
      </c>
      <c r="FP215">
        <f>7214.4206</f>
        <v>7214.4206000000004</v>
      </c>
      <c r="FQ215">
        <f>7103.253708</f>
        <v>7103.2537080000002</v>
      </c>
    </row>
    <row r="216" spans="1:173">
      <c r="A216" t="str">
        <f>"    公寓物业权益信托"</f>
        <v xml:space="preserve">    公寓物业权益信托</v>
      </c>
      <c r="B216" t="str">
        <f>"EQR US Equity"</f>
        <v>EQR US Equity</v>
      </c>
      <c r="C216" t="str">
        <f t="shared" si="69"/>
        <v>F0826</v>
      </c>
      <c r="D216" t="str">
        <f t="shared" si="70"/>
        <v>INDUSTRY_STANDARDIZED_EV</v>
      </c>
      <c r="E216" t="str">
        <f t="shared" si="71"/>
        <v>动态</v>
      </c>
      <c r="F216">
        <f ca="1">IF(AND(ISNUMBER($F$418),$B$252=1),$F$418,HLOOKUP(INDIRECT(ADDRESS(2,COLUMN())),OFFSET($CL$2,0,0,ROW()-1,84),ROW()-1,FALSE))</f>
        <v>32217.937190000001</v>
      </c>
      <c r="G216">
        <f ca="1">IF(AND(ISNUMBER($G$418),$B$252=1),$G$418,HLOOKUP(INDIRECT(ADDRESS(2,COLUMN())),OFFSET($CL$2,0,0,ROW()-1,84),ROW()-1,FALSE))</f>
        <v>31018.652249999999</v>
      </c>
      <c r="H216">
        <f ca="1">IF(AND(ISNUMBER($H$418),$B$252=1),$H$418,HLOOKUP(INDIRECT(ADDRESS(2,COLUMN())),OFFSET($CL$2,0,0,ROW()-1,84),ROW()-1,FALSE))</f>
        <v>33064.145499999999</v>
      </c>
      <c r="I216">
        <f ca="1">IF(AND(ISNUMBER($I$418),$B$252=1),$I$418,HLOOKUP(INDIRECT(ADDRESS(2,COLUMN())),OFFSET($CL$2,0,0,ROW()-1,84),ROW()-1,FALSE))</f>
        <v>33854.796090000003</v>
      </c>
      <c r="J216">
        <f ca="1">IF(AND(ISNUMBER($J$418),$B$252=1),$J$418,HLOOKUP(INDIRECT(ADDRESS(2,COLUMN())),OFFSET($CL$2,0,0,ROW()-1,84),ROW()-1,FALSE))</f>
        <v>35076.151729999998</v>
      </c>
      <c r="K216">
        <f ca="1">IF(AND(ISNUMBER($K$418),$B$252=1),$K$418,HLOOKUP(INDIRECT(ADDRESS(2,COLUMN())),OFFSET($CL$2,0,0,ROW()-1,84),ROW()-1,FALSE))</f>
        <v>35232.384389999999</v>
      </c>
      <c r="L216">
        <f ca="1">IF(AND(ISNUMBER($L$418),$B$252=1),$L$418,HLOOKUP(INDIRECT(ADDRESS(2,COLUMN())),OFFSET($CL$2,0,0,ROW()-1,84),ROW()-1,FALSE))</f>
        <v>34725.49048</v>
      </c>
      <c r="M216">
        <f ca="1">IF(AND(ISNUMBER($M$418),$B$252=1),$M$418,HLOOKUP(INDIRECT(ADDRESS(2,COLUMN())),OFFSET($CL$2,0,0,ROW()-1,84),ROW()-1,FALSE))</f>
        <v>35172.359539999998</v>
      </c>
      <c r="N216">
        <f ca="1">IF(AND(ISNUMBER($N$418),$B$252=1),$N$418,HLOOKUP(INDIRECT(ADDRESS(2,COLUMN())),OFFSET($CL$2,0,0,ROW()-1,84),ROW()-1,FALSE))</f>
        <v>35518.200960000002</v>
      </c>
      <c r="O216">
        <f ca="1">IF(AND(ISNUMBER($O$418),$B$252=1),$O$418,HLOOKUP(INDIRECT(ADDRESS(2,COLUMN())),OFFSET($CL$2,0,0,ROW()-1,84),ROW()-1,FALSE))</f>
        <v>34658.848319999997</v>
      </c>
      <c r="P216">
        <f ca="1">IF(AND(ISNUMBER($P$418),$B$252=1),$P$418,HLOOKUP(INDIRECT(ADDRESS(2,COLUMN())),OFFSET($CL$2,0,0,ROW()-1,84),ROW()-1,FALSE))</f>
        <v>34318.096039999997</v>
      </c>
      <c r="Q216">
        <f ca="1">IF(AND(ISNUMBER($Q$418),$B$252=1),$Q$418,HLOOKUP(INDIRECT(ADDRESS(2,COLUMN())),OFFSET($CL$2,0,0,ROW()-1,84),ROW()-1,FALSE))</f>
        <v>34122.683449999997</v>
      </c>
      <c r="R216">
        <f ca="1">IF(AND(ISNUMBER($R$418),$B$252=1),$R$418,HLOOKUP(INDIRECT(ADDRESS(2,COLUMN())),OFFSET($CL$2,0,0,ROW()-1,84),ROW()-1,FALSE))</f>
        <v>33221.110480000003</v>
      </c>
      <c r="S216">
        <f ca="1">IF(AND(ISNUMBER($S$418),$B$252=1),$S$418,HLOOKUP(INDIRECT(ADDRESS(2,COLUMN())),OFFSET($CL$2,0,0,ROW()-1,84),ROW()-1,FALSE))</f>
        <v>33696.64473</v>
      </c>
      <c r="T216">
        <f ca="1">IF(AND(ISNUMBER($T$418),$B$252=1),$T$418,HLOOKUP(INDIRECT(ADDRESS(2,COLUMN())),OFFSET($CL$2,0,0,ROW()-1,84),ROW()-1,FALSE))</f>
        <v>32731.48833</v>
      </c>
      <c r="U216">
        <f ca="1">IF(AND(ISNUMBER($U$418),$B$252=1),$U$418,HLOOKUP(INDIRECT(ADDRESS(2,COLUMN())),OFFSET($CL$2,0,0,ROW()-1,84),ROW()-1,FALSE))</f>
        <v>34096.72565</v>
      </c>
      <c r="V216">
        <f ca="1">IF(AND(ISNUMBER($V$418),$B$252=1),$V$418,HLOOKUP(INDIRECT(ADDRESS(2,COLUMN())),OFFSET($CL$2,0,0,ROW()-1,84),ROW()-1,FALSE))</f>
        <v>31504.908950000001</v>
      </c>
      <c r="W216">
        <f ca="1">IF(AND(ISNUMBER($W$418),$B$252=1),$W$418,HLOOKUP(INDIRECT(ADDRESS(2,COLUMN())),OFFSET($CL$2,0,0,ROW()-1,84),ROW()-1,FALSE))</f>
        <v>32160.02089</v>
      </c>
      <c r="X216">
        <f ca="1">IF(AND(ISNUMBER($X$418),$B$252=1),$X$418,HLOOKUP(INDIRECT(ADDRESS(2,COLUMN())),OFFSET($CL$2,0,0,ROW()-1,84),ROW()-1,FALSE))</f>
        <v>33140.895190000003</v>
      </c>
      <c r="Y216">
        <f ca="1">IF(AND(ISNUMBER($Y$418),$B$252=1),$Y$418,HLOOKUP(INDIRECT(ADDRESS(2,COLUMN())),OFFSET($CL$2,0,0,ROW()-1,84),ROW()-1,FALSE))</f>
        <v>33442.421589999998</v>
      </c>
      <c r="Z216">
        <f ca="1">IF(AND(ISNUMBER($Z$418),$B$252=1),$Z$418,HLOOKUP(INDIRECT(ADDRESS(2,COLUMN())),OFFSET($CL$2,0,0,ROW()-1,84),ROW()-1,FALSE))</f>
        <v>34625.172769999997</v>
      </c>
      <c r="AA216">
        <f ca="1">IF(AND(ISNUMBER($AA$418),$B$252=1),$AA$418,HLOOKUP(INDIRECT(ADDRESS(2,COLUMN())),OFFSET($CL$2,0,0,ROW()-1,84),ROW()-1,FALSE))</f>
        <v>34963.558539999998</v>
      </c>
      <c r="AB216">
        <f ca="1">IF(AND(ISNUMBER($AB$418),$B$252=1),$AB$418,HLOOKUP(INDIRECT(ADDRESS(2,COLUMN())),OFFSET($CL$2,0,0,ROW()-1,84),ROW()-1,FALSE))</f>
        <v>35333.112179999996</v>
      </c>
      <c r="AC216">
        <f ca="1">IF(AND(ISNUMBER($AC$418),$B$252=1),$AC$418,HLOOKUP(INDIRECT(ADDRESS(2,COLUMN())),OFFSET($CL$2,0,0,ROW()-1,84),ROW()-1,FALSE))</f>
        <v>34899.401339999997</v>
      </c>
      <c r="AD216">
        <f ca="1">IF(AND(ISNUMBER($AD$418),$B$252=1),$AD$418,HLOOKUP(INDIRECT(ADDRESS(2,COLUMN())),OFFSET($CL$2,0,0,ROW()-1,84),ROW()-1,FALSE))</f>
        <v>37518.858749999999</v>
      </c>
      <c r="AE216">
        <f ca="1">IF(AND(ISNUMBER($AE$418),$B$252=1),$AE$418,HLOOKUP(INDIRECT(ADDRESS(2,COLUMN())),OFFSET($CL$2,0,0,ROW()-1,84),ROW()-1,FALSE))</f>
        <v>39983.217349999999</v>
      </c>
      <c r="AF216">
        <f ca="1">IF(AND(ISNUMBER($AF$418),$B$252=1),$AF$418,HLOOKUP(INDIRECT(ADDRESS(2,COLUMN())),OFFSET($CL$2,0,0,ROW()-1,84),ROW()-1,FALSE))</f>
        <v>40902.275379999999</v>
      </c>
      <c r="AG216">
        <f ca="1">IF(AND(ISNUMBER($AG$418),$B$252=1),$AG$418,HLOOKUP(INDIRECT(ADDRESS(2,COLUMN())),OFFSET($CL$2,0,0,ROW()-1,84),ROW()-1,FALSE))</f>
        <v>42606.375899999999</v>
      </c>
      <c r="AH216">
        <f ca="1">IF(AND(ISNUMBER($AH$418),$B$252=1),$AH$418,HLOOKUP(INDIRECT(ADDRESS(2,COLUMN())),OFFSET($CL$2,0,0,ROW()-1,84),ROW()-1,FALSE))</f>
        <v>41784.084260000003</v>
      </c>
      <c r="AI216">
        <f ca="1">IF(AND(ISNUMBER($AI$418),$B$252=1),$AI$418,HLOOKUP(INDIRECT(ADDRESS(2,COLUMN())),OFFSET($CL$2,0,0,ROW()-1,84),ROW()-1,FALSE))</f>
        <v>40823.406340000001</v>
      </c>
      <c r="AJ216">
        <f ca="1">IF(AND(ISNUMBER($AJ$418),$B$252=1),$AJ$418,HLOOKUP(INDIRECT(ADDRESS(2,COLUMN())),OFFSET($CL$2,0,0,ROW()-1,84),ROW()-1,FALSE))</f>
        <v>39990.622739999999</v>
      </c>
      <c r="AK216">
        <f ca="1">IF(AND(ISNUMBER($AK$418),$B$252=1),$AK$418,HLOOKUP(INDIRECT(ADDRESS(2,COLUMN())),OFFSET($CL$2,0,0,ROW()-1,84),ROW()-1,FALSE))</f>
        <v>38589.518669999998</v>
      </c>
      <c r="AL216">
        <f ca="1">IF(AND(ISNUMBER($AL$418),$B$252=1),$AL$418,HLOOKUP(INDIRECT(ADDRESS(2,COLUMN())),OFFSET($CL$2,0,0,ROW()-1,84),ROW()-1,FALSE))</f>
        <v>39930.155809999997</v>
      </c>
      <c r="AM216">
        <f ca="1">IF(AND(ISNUMBER($AM$418),$B$252=1),$AM$418,HLOOKUP(INDIRECT(ADDRESS(2,COLUMN())),OFFSET($CL$2,0,0,ROW()-1,84),ROW()-1,FALSE))</f>
        <v>38174.125090000001</v>
      </c>
      <c r="AN216">
        <f ca="1">IF(AND(ISNUMBER($AN$418),$B$252=1),$AN$418,HLOOKUP(INDIRECT(ADDRESS(2,COLUMN())),OFFSET($CL$2,0,0,ROW()-1,84),ROW()-1,FALSE))</f>
        <v>39862.00922</v>
      </c>
      <c r="AO216">
        <f ca="1">IF(AND(ISNUMBER($AO$418),$B$252=1),$AO$418,HLOOKUP(INDIRECT(ADDRESS(2,COLUMN())),OFFSET($CL$2,0,0,ROW()-1,84),ROW()-1,FALSE))</f>
        <v>39673.847139999998</v>
      </c>
      <c r="AP216">
        <f ca="1">IF(AND(ISNUMBER($AP$418),$B$252=1),$AP$418,HLOOKUP(INDIRECT(ADDRESS(2,COLUMN())),OFFSET($CL$2,0,0,ROW()-1,84),ROW()-1,FALSE))</f>
        <v>41186.952160000001</v>
      </c>
      <c r="AQ216">
        <f ca="1">IF(AND(ISNUMBER($AQ$418),$B$252=1),$AQ$418,HLOOKUP(INDIRECT(ADDRESS(2,COLUMN())),OFFSET($CL$2,0,0,ROW()-1,84),ROW()-1,FALSE))</f>
        <v>40819.645940000002</v>
      </c>
      <c r="AR216">
        <f ca="1">IF(AND(ISNUMBER($AR$418),$B$252=1),$AR$418,HLOOKUP(INDIRECT(ADDRESS(2,COLUMN())),OFFSET($CL$2,0,0,ROW()-1,84),ROW()-1,FALSE))</f>
        <v>40927.562559999998</v>
      </c>
      <c r="AS216">
        <f ca="1">IF(AND(ISNUMBER($AS$418),$B$252=1),$AS$418,HLOOKUP(INDIRECT(ADDRESS(2,COLUMN())),OFFSET($CL$2,0,0,ROW()-1,84),ROW()-1,FALSE))</f>
        <v>38754.223510000003</v>
      </c>
      <c r="AT216">
        <f ca="1">IF(AND(ISNUMBER($AT$418),$B$252=1),$AT$418,HLOOKUP(INDIRECT(ADDRESS(2,COLUMN())),OFFSET($CL$2,0,0,ROW()-1,84),ROW()-1,FALSE))</f>
        <v>38429.959029999998</v>
      </c>
      <c r="AU216">
        <f ca="1">IF(AND(ISNUMBER($AU$418),$B$252=1),$AU$418,HLOOKUP(INDIRECT(ADDRESS(2,COLUMN())),OFFSET($CL$2,0,0,ROW()-1,84),ROW()-1,FALSE))</f>
        <v>37904.635119999999</v>
      </c>
      <c r="AV216">
        <f ca="1">IF(AND(ISNUMBER($AV$418),$B$252=1),$AV$418,HLOOKUP(INDIRECT(ADDRESS(2,COLUMN())),OFFSET($CL$2,0,0,ROW()-1,84),ROW()-1,FALSE))</f>
        <v>34903.614540000002</v>
      </c>
      <c r="AW216">
        <f ca="1">IF(AND(ISNUMBER($AW$418),$B$252=1),$AW$418,HLOOKUP(INDIRECT(ADDRESS(2,COLUMN())),OFFSET($CL$2,0,0,ROW()-1,84),ROW()-1,FALSE))</f>
        <v>36832.84648</v>
      </c>
      <c r="AX216">
        <f ca="1">IF(AND(ISNUMBER($AX$418),$B$252=1),$AX$418,HLOOKUP(INDIRECT(ADDRESS(2,COLUMN())),OFFSET($CL$2,0,0,ROW()-1,84),ROW()-1,FALSE))</f>
        <v>36113.495889999998</v>
      </c>
      <c r="AY216">
        <f ca="1">IF(AND(ISNUMBER($AY$418),$B$252=1),$AY$418,HLOOKUP(INDIRECT(ADDRESS(2,COLUMN())),OFFSET($CL$2,0,0,ROW()-1,84),ROW()-1,FALSE))</f>
        <v>35493.855069999998</v>
      </c>
      <c r="AZ216">
        <f ca="1">IF(AND(ISNUMBER($AZ$418),$B$252=1),$AZ$418,HLOOKUP(INDIRECT(ADDRESS(2,COLUMN())),OFFSET($CL$2,0,0,ROW()-1,84),ROW()-1,FALSE))</f>
        <v>34915.090069999998</v>
      </c>
      <c r="BA216">
        <f ca="1">IF(AND(ISNUMBER($BA$418),$B$252=1),$BA$418,HLOOKUP(INDIRECT(ADDRESS(2,COLUMN())),OFFSET($CL$2,0,0,ROW()-1,84),ROW()-1,FALSE))</f>
        <v>34879.770270000001</v>
      </c>
      <c r="BB216">
        <f ca="1">IF(AND(ISNUMBER($BB$418),$B$252=1),$BB$418,HLOOKUP(INDIRECT(ADDRESS(2,COLUMN())),OFFSET($CL$2,0,0,ROW()-1,84),ROW()-1,FALSE))</f>
        <v>33476.953159999997</v>
      </c>
      <c r="BC216">
        <f ca="1">IF(AND(ISNUMBER($BC$418),$B$252=1),$BC$418,HLOOKUP(INDIRECT(ADDRESS(2,COLUMN())),OFFSET($CL$2,0,0,ROW()-1,84),ROW()-1,FALSE))</f>
        <v>33405.286010000003</v>
      </c>
      <c r="BD216">
        <f ca="1">IF(AND(ISNUMBER($BD$418),$B$252=1),$BD$418,HLOOKUP(INDIRECT(ADDRESS(2,COLUMN())),OFFSET($CL$2,0,0,ROW()-1,84),ROW()-1,FALSE))</f>
        <v>32208.716479999999</v>
      </c>
      <c r="BE216">
        <f ca="1">IF(AND(ISNUMBER($BE$418),$B$252=1),$BE$418,HLOOKUP(INDIRECT(ADDRESS(2,COLUMN())),OFFSET($CL$2,0,0,ROW()-1,84),ROW()-1,FALSE))</f>
        <v>30893.901570000002</v>
      </c>
      <c r="BF216">
        <f ca="1">IF(AND(ISNUMBER($BF$418),$B$252=1),$BF$418,HLOOKUP(INDIRECT(ADDRESS(2,COLUMN())),OFFSET($CL$2,0,0,ROW()-1,84),ROW()-1,FALSE))</f>
        <v>30792.104289999999</v>
      </c>
      <c r="BG216">
        <f ca="1">IF(AND(ISNUMBER($BG$418),$B$252=1),$BG$418,HLOOKUP(INDIRECT(ADDRESS(2,COLUMN())),OFFSET($CL$2,0,0,ROW()-1,84),ROW()-1,FALSE))</f>
        <v>31095.295470000001</v>
      </c>
      <c r="BH216">
        <f ca="1">IF(AND(ISNUMBER($BH$418),$B$252=1),$BH$418,HLOOKUP(INDIRECT(ADDRESS(2,COLUMN())),OFFSET($CL$2,0,0,ROW()-1,84),ROW()-1,FALSE))</f>
        <v>31548.482749999999</v>
      </c>
      <c r="BI216">
        <f ca="1">IF(AND(ISNUMBER($BI$418),$B$252=1),$BI$418,HLOOKUP(INDIRECT(ADDRESS(2,COLUMN())),OFFSET($CL$2,0,0,ROW()-1,84),ROW()-1,FALSE))</f>
        <v>31780.77115</v>
      </c>
      <c r="BJ216">
        <f ca="1">IF(AND(ISNUMBER($BJ$418),$B$252=1),$BJ$418,HLOOKUP(INDIRECT(ADDRESS(2,COLUMN())),OFFSET($CL$2,0,0,ROW()-1,84),ROW()-1,FALSE))</f>
        <v>33310.219510000003</v>
      </c>
      <c r="BK216">
        <f ca="1">IF(AND(ISNUMBER($BK$418),$B$252=1),$BK$418,HLOOKUP(INDIRECT(ADDRESS(2,COLUMN())),OFFSET($CL$2,0,0,ROW()-1,84),ROW()-1,FALSE))</f>
        <v>34081.424489999998</v>
      </c>
      <c r="BL216">
        <f ca="1">IF(AND(ISNUMBER($BL$418),$B$252=1),$BL$418,HLOOKUP(INDIRECT(ADDRESS(2,COLUMN())),OFFSET($CL$2,0,0,ROW()-1,84),ROW()-1,FALSE))</f>
        <v>34018.537479999999</v>
      </c>
      <c r="BM216">
        <f ca="1">IF(AND(ISNUMBER($BM$418),$B$252=1),$BM$418,HLOOKUP(INDIRECT(ADDRESS(2,COLUMN())),OFFSET($CL$2,0,0,ROW()-1,84),ROW()-1,FALSE))</f>
        <v>34578.445509999998</v>
      </c>
      <c r="BN216">
        <f ca="1">IF(AND(ISNUMBER($BN$418),$B$252=1),$BN$418,HLOOKUP(INDIRECT(ADDRESS(2,COLUMN())),OFFSET($CL$2,0,0,ROW()-1,84),ROW()-1,FALSE))</f>
        <v>33448.256560000002</v>
      </c>
      <c r="BO216">
        <f ca="1">IF(AND(ISNUMBER($BO$418),$B$252=1),$BO$418,HLOOKUP(INDIRECT(ADDRESS(2,COLUMN())),OFFSET($CL$2,0,0,ROW()-1,84),ROW()-1,FALSE))</f>
        <v>27284.632900000001</v>
      </c>
      <c r="BP216">
        <f ca="1">IF(AND(ISNUMBER($BP$418),$B$252=1),$BP$418,HLOOKUP(INDIRECT(ADDRESS(2,COLUMN())),OFFSET($CL$2,0,0,ROW()-1,84),ROW()-1,FALSE))</f>
        <v>27351.472010000001</v>
      </c>
      <c r="BQ216">
        <f ca="1">IF(AND(ISNUMBER($BQ$418),$B$252=1),$BQ$418,HLOOKUP(INDIRECT(ADDRESS(2,COLUMN())),OFFSET($CL$2,0,0,ROW()-1,84),ROW()-1,FALSE))</f>
        <v>27784.743630000001</v>
      </c>
      <c r="BR216">
        <f ca="1">IF(AND(ISNUMBER($BR$418),$B$252=1),$BR$418,HLOOKUP(INDIRECT(ADDRESS(2,COLUMN())),OFFSET($CL$2,0,0,ROW()-1,84),ROW()-1,FALSE))</f>
        <v>28764.524809999999</v>
      </c>
      <c r="BS216">
        <f ca="1">IF(AND(ISNUMBER($BS$418),$B$252=1),$BS$418,HLOOKUP(INDIRECT(ADDRESS(2,COLUMN())),OFFSET($CL$2,0,0,ROW()-1,84),ROW()-1,FALSE))</f>
        <v>28154.074219999999</v>
      </c>
      <c r="BT216">
        <f ca="1">IF(AND(ISNUMBER($BT$418),$B$252=1),$BT$418,HLOOKUP(INDIRECT(ADDRESS(2,COLUMN())),OFFSET($CL$2,0,0,ROW()-1,84),ROW()-1,FALSE))</f>
        <v>28096.616129999999</v>
      </c>
      <c r="BU216">
        <f ca="1">IF(AND(ISNUMBER($BU$418),$B$252=1),$BU$418,HLOOKUP(INDIRECT(ADDRESS(2,COLUMN())),OFFSET($CL$2,0,0,ROW()-1,84),ROW()-1,FALSE))</f>
        <v>29278.458699999999</v>
      </c>
      <c r="BV216">
        <f ca="1">IF(AND(ISNUMBER($BV$418),$B$252=1),$BV$418,HLOOKUP(INDIRECT(ADDRESS(2,COLUMN())),OFFSET($CL$2,0,0,ROW()-1,84),ROW()-1,FALSE))</f>
        <v>30193.277549999999</v>
      </c>
      <c r="BW216">
        <f ca="1">IF(AND(ISNUMBER($BW$418),$B$252=1),$BW$418,HLOOKUP(INDIRECT(ADDRESS(2,COLUMN())),OFFSET($CL$2,0,0,ROW()-1,84),ROW()-1,FALSE))</f>
        <v>29872.534589999999</v>
      </c>
      <c r="BX216">
        <f ca="1">IF(AND(ISNUMBER($BX$418),$B$252=1),$BX$418,HLOOKUP(INDIRECT(ADDRESS(2,COLUMN())),OFFSET($CL$2,0,0,ROW()-1,84),ROW()-1,FALSE))</f>
        <v>29242.010999999999</v>
      </c>
      <c r="BY216">
        <f ca="1">IF(AND(ISNUMBER($BY$418),$B$252=1),$BY$418,HLOOKUP(INDIRECT(ADDRESS(2,COLUMN())),OFFSET($CL$2,0,0,ROW()-1,84),ROW()-1,FALSE))</f>
        <v>29342.561389999999</v>
      </c>
      <c r="BZ216">
        <f ca="1">IF(AND(ISNUMBER($BZ$418),$B$252=1),$BZ$418,HLOOKUP(INDIRECT(ADDRESS(2,COLUMN())),OFFSET($CL$2,0,0,ROW()-1,84),ROW()-1,FALSE))</f>
        <v>29695.517469999999</v>
      </c>
      <c r="CA216">
        <f ca="1">IF(AND(ISNUMBER($CA$418),$B$252=1),$CA$418,HLOOKUP(INDIRECT(ADDRESS(2,COLUMN())),OFFSET($CL$2,0,0,ROW()-1,84),ROW()-1,FALSE))</f>
        <v>27995.669750000001</v>
      </c>
      <c r="CB216">
        <f ca="1">IF(AND(ISNUMBER($CB$418),$B$252=1),$CB$418,HLOOKUP(INDIRECT(ADDRESS(2,COLUMN())),OFFSET($CL$2,0,0,ROW()-1,84),ROW()-1,FALSE))</f>
        <v>28615.100129999999</v>
      </c>
      <c r="CC216">
        <f ca="1">IF(AND(ISNUMBER($CC$418),$B$252=1),$CC$418,HLOOKUP(INDIRECT(ADDRESS(2,COLUMN())),OFFSET($CL$2,0,0,ROW()-1,84),ROW()-1,FALSE))</f>
        <v>27833.594850000001</v>
      </c>
      <c r="CD216">
        <f ca="1">IF(AND(ISNUMBER($CD$418),$B$252=1),$CD$418,HLOOKUP(INDIRECT(ADDRESS(2,COLUMN())),OFFSET($CL$2,0,0,ROW()-1,84),ROW()-1,FALSE))</f>
        <v>25844.812140000002</v>
      </c>
      <c r="CE216">
        <f ca="1">IF(AND(ISNUMBER($CE$418),$B$252=1),$CE$418,HLOOKUP(INDIRECT(ADDRESS(2,COLUMN())),OFFSET($CL$2,0,0,ROW()-1,84),ROW()-1,FALSE))</f>
        <v>26918.949349999999</v>
      </c>
      <c r="CF216">
        <f ca="1">IF(AND(ISNUMBER($CF$418),$B$252=1),$CF$418,HLOOKUP(INDIRECT(ADDRESS(2,COLUMN())),OFFSET($CL$2,0,0,ROW()-1,84),ROW()-1,FALSE))</f>
        <v>24807.86579</v>
      </c>
      <c r="CG216">
        <f ca="1">IF(AND(ISNUMBER($CG$418),$B$252=1),$CG$418,HLOOKUP(INDIRECT(ADDRESS(2,COLUMN())),OFFSET($CL$2,0,0,ROW()-1,84),ROW()-1,FALSE))</f>
        <v>28570.857230000001</v>
      </c>
      <c r="CH216">
        <f ca="1">IF(AND(ISNUMBER($CH$418),$B$252=1),$CH$418,HLOOKUP(INDIRECT(ADDRESS(2,COLUMN())),OFFSET($CL$2,0,0,ROW()-1,84),ROW()-1,FALSE))</f>
        <v>28655.599190000001</v>
      </c>
      <c r="CI216">
        <f ca="1">IF(AND(ISNUMBER($CI$418),$B$252=1),$CI$418,HLOOKUP(INDIRECT(ADDRESS(2,COLUMN())),OFFSET($CL$2,0,0,ROW()-1,84),ROW()-1,FALSE))</f>
        <v>28094.78787</v>
      </c>
      <c r="CJ216">
        <f ca="1">IF(AND(ISNUMBER($CJ$418),$B$252=1),$CJ$418,HLOOKUP(INDIRECT(ADDRESS(2,COLUMN())),OFFSET($CL$2,0,0,ROW()-1,84),ROW()-1,FALSE))</f>
        <v>28403.10255</v>
      </c>
      <c r="CK216">
        <f ca="1">IF(AND(ISNUMBER($CK$418),$B$252=1),$CK$418,HLOOKUP(INDIRECT(ADDRESS(2,COLUMN())),OFFSET($CL$2,0,0,ROW()-1,84),ROW()-1,FALSE))</f>
        <v>27718.593400000002</v>
      </c>
      <c r="CL216">
        <f>32217.93719</f>
        <v>32217.937190000001</v>
      </c>
      <c r="CM216">
        <f>31018.65225</f>
        <v>31018.652249999999</v>
      </c>
      <c r="CN216">
        <f>33064.1455</f>
        <v>33064.145499999999</v>
      </c>
      <c r="CO216">
        <f>33854.79609</f>
        <v>33854.796090000003</v>
      </c>
      <c r="CP216">
        <f>35076.15173</f>
        <v>35076.151729999998</v>
      </c>
      <c r="CQ216">
        <f>35232.38439</f>
        <v>35232.384389999999</v>
      </c>
      <c r="CR216">
        <f>34725.49048</f>
        <v>34725.49048</v>
      </c>
      <c r="CS216">
        <f>35172.35954</f>
        <v>35172.359539999998</v>
      </c>
      <c r="CT216">
        <f>35518.20096</f>
        <v>35518.200960000002</v>
      </c>
      <c r="CU216">
        <f>34658.84832</f>
        <v>34658.848319999997</v>
      </c>
      <c r="CV216">
        <f>34318.09604</f>
        <v>34318.096039999997</v>
      </c>
      <c r="CW216">
        <f>34122.68345</f>
        <v>34122.683449999997</v>
      </c>
      <c r="CX216">
        <f>33221.11048</f>
        <v>33221.110480000003</v>
      </c>
      <c r="CY216">
        <f>33696.64473</f>
        <v>33696.64473</v>
      </c>
      <c r="CZ216">
        <f>32731.48833</f>
        <v>32731.48833</v>
      </c>
      <c r="DA216">
        <f>34096.72565</f>
        <v>34096.72565</v>
      </c>
      <c r="DB216">
        <f>31504.90895</f>
        <v>31504.908950000001</v>
      </c>
      <c r="DC216">
        <f>32160.02089</f>
        <v>32160.02089</v>
      </c>
      <c r="DD216">
        <f>33140.89519</f>
        <v>33140.895190000003</v>
      </c>
      <c r="DE216">
        <f>33442.42159</f>
        <v>33442.421589999998</v>
      </c>
      <c r="DF216">
        <f>34625.17277</f>
        <v>34625.172769999997</v>
      </c>
      <c r="DG216">
        <f>34963.55854</f>
        <v>34963.558539999998</v>
      </c>
      <c r="DH216">
        <f>35333.11218</f>
        <v>35333.112179999996</v>
      </c>
      <c r="DI216">
        <f>34899.40134</f>
        <v>34899.401339999997</v>
      </c>
      <c r="DJ216">
        <f>37518.85875</f>
        <v>37518.858749999999</v>
      </c>
      <c r="DK216">
        <f>39983.21735</f>
        <v>39983.217349999999</v>
      </c>
      <c r="DL216">
        <f>40902.27538</f>
        <v>40902.275379999999</v>
      </c>
      <c r="DM216">
        <f>42606.3759</f>
        <v>42606.375899999999</v>
      </c>
      <c r="DN216">
        <f>41784.08426</f>
        <v>41784.084260000003</v>
      </c>
      <c r="DO216">
        <f>40823.40634</f>
        <v>40823.406340000001</v>
      </c>
      <c r="DP216">
        <f>39990.62274</f>
        <v>39990.622739999999</v>
      </c>
      <c r="DQ216">
        <f>38589.51867</f>
        <v>38589.518669999998</v>
      </c>
      <c r="DR216">
        <f>39930.15581</f>
        <v>39930.155809999997</v>
      </c>
      <c r="DS216">
        <f>38174.12509</f>
        <v>38174.125090000001</v>
      </c>
      <c r="DT216">
        <f>39862.00922</f>
        <v>39862.00922</v>
      </c>
      <c r="DU216">
        <f>39673.84714</f>
        <v>39673.847139999998</v>
      </c>
      <c r="DV216">
        <f>41186.95216</f>
        <v>41186.952160000001</v>
      </c>
      <c r="DW216">
        <f>40819.64594</f>
        <v>40819.645940000002</v>
      </c>
      <c r="DX216">
        <f>40927.56256</f>
        <v>40927.562559999998</v>
      </c>
      <c r="DY216">
        <f>38754.22351</f>
        <v>38754.223510000003</v>
      </c>
      <c r="DZ216">
        <f>38429.95903</f>
        <v>38429.959029999998</v>
      </c>
      <c r="EA216">
        <f>37904.63512</f>
        <v>37904.635119999999</v>
      </c>
      <c r="EB216">
        <f>34903.61454</f>
        <v>34903.614540000002</v>
      </c>
      <c r="EC216">
        <f>36832.84648</f>
        <v>36832.84648</v>
      </c>
      <c r="ED216">
        <f>36113.49589</f>
        <v>36113.495889999998</v>
      </c>
      <c r="EE216">
        <f>35493.85507</f>
        <v>35493.855069999998</v>
      </c>
      <c r="EF216">
        <f>34915.09007</f>
        <v>34915.090069999998</v>
      </c>
      <c r="EG216">
        <f>34879.77027</f>
        <v>34879.770270000001</v>
      </c>
      <c r="EH216">
        <f>33476.95316</f>
        <v>33476.953159999997</v>
      </c>
      <c r="EI216">
        <f>33405.28601</f>
        <v>33405.286010000003</v>
      </c>
      <c r="EJ216">
        <f>32208.71648</f>
        <v>32208.716479999999</v>
      </c>
      <c r="EK216">
        <f>30893.90157</f>
        <v>30893.901570000002</v>
      </c>
      <c r="EL216">
        <f>30792.10429</f>
        <v>30792.104289999999</v>
      </c>
      <c r="EM216">
        <f>31095.29547</f>
        <v>31095.295470000001</v>
      </c>
      <c r="EN216">
        <f>31548.48275</f>
        <v>31548.482749999999</v>
      </c>
      <c r="EO216">
        <f>31780.77115</f>
        <v>31780.77115</v>
      </c>
      <c r="EP216">
        <f>33310.21951</f>
        <v>33310.219510000003</v>
      </c>
      <c r="EQ216">
        <f>34081.42449</f>
        <v>34081.424489999998</v>
      </c>
      <c r="ER216">
        <f>34018.53748</f>
        <v>34018.537479999999</v>
      </c>
      <c r="ES216">
        <f>34578.44551</f>
        <v>34578.445509999998</v>
      </c>
      <c r="ET216">
        <f>33448.25656</f>
        <v>33448.256560000002</v>
      </c>
      <c r="EU216">
        <f>27284.6329</f>
        <v>27284.632900000001</v>
      </c>
      <c r="EV216">
        <f>27351.47201</f>
        <v>27351.472010000001</v>
      </c>
      <c r="EW216">
        <f>27784.74363</f>
        <v>27784.743630000001</v>
      </c>
      <c r="EX216">
        <f>28764.52481</f>
        <v>28764.524809999999</v>
      </c>
      <c r="EY216">
        <f>28154.07422</f>
        <v>28154.074219999999</v>
      </c>
      <c r="EZ216">
        <f>28096.61613</f>
        <v>28096.616129999999</v>
      </c>
      <c r="FA216">
        <f>29278.4587</f>
        <v>29278.458699999999</v>
      </c>
      <c r="FB216">
        <f>30193.2775499999</f>
        <v>30193.277549999999</v>
      </c>
      <c r="FC216">
        <f>29872.53459</f>
        <v>29872.534589999999</v>
      </c>
      <c r="FD216">
        <f>29242.011</f>
        <v>29242.010999999999</v>
      </c>
      <c r="FE216">
        <f>29342.56139</f>
        <v>29342.561389999999</v>
      </c>
      <c r="FF216">
        <f>29695.51747</f>
        <v>29695.517469999999</v>
      </c>
      <c r="FG216">
        <f>27995.66975</f>
        <v>27995.669750000001</v>
      </c>
      <c r="FH216">
        <f>28615.10013</f>
        <v>28615.100129999999</v>
      </c>
      <c r="FI216">
        <f>27833.59485</f>
        <v>27833.594850000001</v>
      </c>
      <c r="FJ216">
        <f>25844.81214</f>
        <v>25844.812140000002</v>
      </c>
      <c r="FK216">
        <f>26918.94935</f>
        <v>26918.949349999999</v>
      </c>
      <c r="FL216">
        <f>24807.86579</f>
        <v>24807.86579</v>
      </c>
      <c r="FM216">
        <f>28570.85723</f>
        <v>28570.857230000001</v>
      </c>
      <c r="FN216">
        <f>28655.59919</f>
        <v>28655.599190000001</v>
      </c>
      <c r="FO216">
        <f>28094.78787</f>
        <v>28094.78787</v>
      </c>
      <c r="FP216">
        <f>28403.10255</f>
        <v>28403.10255</v>
      </c>
      <c r="FQ216">
        <f>27718.5934</f>
        <v>27718.593400000002</v>
      </c>
    </row>
    <row r="217" spans="1:173">
      <c r="A217" t="str">
        <f>"    埃塞克斯房地产信托公司"</f>
        <v xml:space="preserve">    埃塞克斯房地产信托公司</v>
      </c>
      <c r="B217" t="str">
        <f>"ESS US Equity"</f>
        <v>ESS US Equity</v>
      </c>
      <c r="C217" t="str">
        <f t="shared" si="69"/>
        <v>F0826</v>
      </c>
      <c r="D217" t="str">
        <f t="shared" si="70"/>
        <v>INDUSTRY_STANDARDIZED_EV</v>
      </c>
      <c r="E217" t="str">
        <f t="shared" si="71"/>
        <v>动态</v>
      </c>
      <c r="F217">
        <f ca="1">IF(AND(ISNUMBER($F$419),$B$252=1),$F$419,HLOOKUP(INDIRECT(ADDRESS(2,COLUMN())),OFFSET($CL$2,0,0,ROW()-1,84),ROW()-1,FALSE))</f>
        <v>22054.876840000001</v>
      </c>
      <c r="G217">
        <f ca="1">IF(AND(ISNUMBER($G$419),$B$252=1),$G$419,HLOOKUP(INDIRECT(ADDRESS(2,COLUMN())),OFFSET($CL$2,0,0,ROW()-1,84),ROW()-1,FALSE))</f>
        <v>21084.072919999999</v>
      </c>
      <c r="H217">
        <f ca="1">IF(AND(ISNUMBER($H$419),$B$252=1),$H$419,HLOOKUP(INDIRECT(ADDRESS(2,COLUMN())),OFFSET($CL$2,0,0,ROW()-1,84),ROW()-1,FALSE))</f>
        <v>21707.98342</v>
      </c>
      <c r="I217">
        <f ca="1">IF(AND(ISNUMBER($I$419),$B$252=1),$I$419,HLOOKUP(INDIRECT(ADDRESS(2,COLUMN())),OFFSET($CL$2,0,0,ROW()-1,84),ROW()-1,FALSE))</f>
        <v>22280.74379</v>
      </c>
      <c r="J217">
        <f ca="1">IF(AND(ISNUMBER($J$419),$B$252=1),$J$419,HLOOKUP(INDIRECT(ADDRESS(2,COLUMN())),OFFSET($CL$2,0,0,ROW()-1,84),ROW()-1,FALSE))</f>
        <v>22584.219659999999</v>
      </c>
      <c r="K217">
        <f ca="1">IF(AND(ISNUMBER($K$419),$B$252=1),$K$419,HLOOKUP(INDIRECT(ADDRESS(2,COLUMN())),OFFSET($CL$2,0,0,ROW()-1,84),ROW()-1,FALSE))</f>
        <v>23625.587960000001</v>
      </c>
      <c r="L217">
        <f ca="1">IF(AND(ISNUMBER($L$419),$B$252=1),$L$419,HLOOKUP(INDIRECT(ADDRESS(2,COLUMN())),OFFSET($CL$2,0,0,ROW()-1,84),ROW()-1,FALSE))</f>
        <v>23052.685010000001</v>
      </c>
      <c r="M217">
        <f ca="1">IF(AND(ISNUMBER($M$419),$B$252=1),$M$419,HLOOKUP(INDIRECT(ADDRESS(2,COLUMN())),OFFSET($CL$2,0,0,ROW()-1,84),ROW()-1,FALSE))</f>
        <v>23815.51427</v>
      </c>
      <c r="N217">
        <f ca="1">IF(AND(ISNUMBER($N$419),$B$252=1),$N$419,HLOOKUP(INDIRECT(ADDRESS(2,COLUMN())),OFFSET($CL$2,0,0,ROW()-1,84),ROW()-1,FALSE))</f>
        <v>23523.810359999999</v>
      </c>
      <c r="O217">
        <f ca="1">IF(AND(ISNUMBER($O$419),$B$252=1),$O$419,HLOOKUP(INDIRECT(ADDRESS(2,COLUMN())),OFFSET($CL$2,0,0,ROW()-1,84),ROW()-1,FALSE))</f>
        <v>23120.624690000001</v>
      </c>
      <c r="P217">
        <f ca="1">IF(AND(ISNUMBER($P$419),$B$252=1),$P$419,HLOOKUP(INDIRECT(ADDRESS(2,COLUMN())),OFFSET($CL$2,0,0,ROW()-1,84),ROW()-1,FALSE))</f>
        <v>23140.337149999999</v>
      </c>
      <c r="Q217">
        <f ca="1">IF(AND(ISNUMBER($Q$419),$B$252=1),$Q$419,HLOOKUP(INDIRECT(ADDRESS(2,COLUMN())),OFFSET($CL$2,0,0,ROW()-1,84),ROW()-1,FALSE))</f>
        <v>22284.65942</v>
      </c>
      <c r="R217">
        <f ca="1">IF(AND(ISNUMBER($R$419),$B$252=1),$R$419,HLOOKUP(INDIRECT(ADDRESS(2,COLUMN())),OFFSET($CL$2,0,0,ROW()-1,84),ROW()-1,FALSE))</f>
        <v>21406.214100000001</v>
      </c>
      <c r="S217">
        <f ca="1">IF(AND(ISNUMBER($S$419),$B$252=1),$S$419,HLOOKUP(INDIRECT(ADDRESS(2,COLUMN())),OFFSET($CL$2,0,0,ROW()-1,84),ROW()-1,FALSE))</f>
        <v>21570.403470000001</v>
      </c>
      <c r="T217">
        <f ca="1">IF(AND(ISNUMBER($T$419),$B$252=1),$T$419,HLOOKUP(INDIRECT(ADDRESS(2,COLUMN())),OFFSET($CL$2,0,0,ROW()-1,84),ROW()-1,FALSE))</f>
        <v>20857.446449999999</v>
      </c>
      <c r="U217">
        <f ca="1">IF(AND(ISNUMBER($U$419),$B$252=1),$U$419,HLOOKUP(INDIRECT(ADDRESS(2,COLUMN())),OFFSET($CL$2,0,0,ROW()-1,84),ROW()-1,FALSE))</f>
        <v>21413.655940000001</v>
      </c>
      <c r="V217">
        <f ca="1">IF(AND(ISNUMBER($V$419),$B$252=1),$V$419,HLOOKUP(INDIRECT(ADDRESS(2,COLUMN())),OFFSET($CL$2,0,0,ROW()-1,84),ROW()-1,FALSE))</f>
        <v>20200.93592</v>
      </c>
      <c r="W217">
        <f ca="1">IF(AND(ISNUMBER($W$419),$B$252=1),$W$419,HLOOKUP(INDIRECT(ADDRESS(2,COLUMN())),OFFSET($CL$2,0,0,ROW()-1,84),ROW()-1,FALSE))</f>
        <v>20076.839179999999</v>
      </c>
      <c r="X217">
        <f ca="1">IF(AND(ISNUMBER($X$419),$B$252=1),$X$419,HLOOKUP(INDIRECT(ADDRESS(2,COLUMN())),OFFSET($CL$2,0,0,ROW()-1,84),ROW()-1,FALSE))</f>
        <v>20655.676630000002</v>
      </c>
      <c r="Y217">
        <f ca="1">IF(AND(ISNUMBER($Y$419),$B$252=1),$Y$419,HLOOKUP(INDIRECT(ADDRESS(2,COLUMN())),OFFSET($CL$2,0,0,ROW()-1,84),ROW()-1,FALSE))</f>
        <v>20968.93017</v>
      </c>
      <c r="Z217">
        <f ca="1">IF(AND(ISNUMBER($Z$419),$B$252=1),$Z$419,HLOOKUP(INDIRECT(ADDRESS(2,COLUMN())),OFFSET($CL$2,0,0,ROW()-1,84),ROW()-1,FALSE))</f>
        <v>21413.413240000002</v>
      </c>
      <c r="AA217">
        <f ca="1">IF(AND(ISNUMBER($AA$419),$B$252=1),$AA$419,HLOOKUP(INDIRECT(ADDRESS(2,COLUMN())),OFFSET($CL$2,0,0,ROW()-1,84),ROW()-1,FALSE))</f>
        <v>21021.273379999999</v>
      </c>
      <c r="AB217">
        <f ca="1">IF(AND(ISNUMBER($AB$419),$B$252=1),$AB$419,HLOOKUP(INDIRECT(ADDRESS(2,COLUMN())),OFFSET($CL$2,0,0,ROW()-1,84),ROW()-1,FALSE))</f>
        <v>20915.511149999998</v>
      </c>
      <c r="AC217">
        <f ca="1">IF(AND(ISNUMBER($AC$419),$B$252=1),$AC$419,HLOOKUP(INDIRECT(ADDRESS(2,COLUMN())),OFFSET($CL$2,0,0,ROW()-1,84),ROW()-1,FALSE))</f>
        <v>20452.931970000001</v>
      </c>
      <c r="AD217">
        <f ca="1">IF(AND(ISNUMBER($AD$419),$B$252=1),$AD$419,HLOOKUP(INDIRECT(ADDRESS(2,COLUMN())),OFFSET($CL$2,0,0,ROW()-1,84),ROW()-1,FALSE))</f>
        <v>21361.070489999998</v>
      </c>
      <c r="AE217">
        <f ca="1">IF(AND(ISNUMBER($AE$419),$B$252=1),$AE$419,HLOOKUP(INDIRECT(ADDRESS(2,COLUMN())),OFFSET($CL$2,0,0,ROW()-1,84),ROW()-1,FALSE))</f>
        <v>19677.199680000002</v>
      </c>
      <c r="AF217">
        <f ca="1">IF(AND(ISNUMBER($AF$419),$B$252=1),$AF$419,HLOOKUP(INDIRECT(ADDRESS(2,COLUMN())),OFFSET($CL$2,0,0,ROW()-1,84),ROW()-1,FALSE))</f>
        <v>20069.40235</v>
      </c>
      <c r="AG217">
        <f ca="1">IF(AND(ISNUMBER($AG$419),$B$252=1),$AG$419,HLOOKUP(INDIRECT(ADDRESS(2,COLUMN())),OFFSET($CL$2,0,0,ROW()-1,84),ROW()-1,FALSE))</f>
        <v>21866.485049999999</v>
      </c>
      <c r="AH217">
        <f ca="1">IF(AND(ISNUMBER($AH$419),$B$252=1),$AH$419,HLOOKUP(INDIRECT(ADDRESS(2,COLUMN())),OFFSET($CL$2,0,0,ROW()-1,84),ROW()-1,FALSE))</f>
        <v>21247.400420000002</v>
      </c>
      <c r="AI217">
        <f ca="1">IF(AND(ISNUMBER($AI$419),$B$252=1),$AI$419,HLOOKUP(INDIRECT(ADDRESS(2,COLUMN())),OFFSET($CL$2,0,0,ROW()-1,84),ROW()-1,FALSE))</f>
        <v>20476.675999999999</v>
      </c>
      <c r="AJ217">
        <f ca="1">IF(AND(ISNUMBER($AJ$419),$B$252=1),$AJ$419,HLOOKUP(INDIRECT(ADDRESS(2,COLUMN())),OFFSET($CL$2,0,0,ROW()-1,84),ROW()-1,FALSE))</f>
        <v>20679.26035</v>
      </c>
      <c r="AK217">
        <f ca="1">IF(AND(ISNUMBER($AK$419),$B$252=1),$AK$419,HLOOKUP(INDIRECT(ADDRESS(2,COLUMN())),OFFSET($CL$2,0,0,ROW()-1,84),ROW()-1,FALSE))</f>
        <v>20138.481800000001</v>
      </c>
      <c r="AL217">
        <f ca="1">IF(AND(ISNUMBER($AL$419),$B$252=1),$AL$419,HLOOKUP(INDIRECT(ADDRESS(2,COLUMN())),OFFSET($CL$2,0,0,ROW()-1,84),ROW()-1,FALSE))</f>
        <v>20749.85555</v>
      </c>
      <c r="AM217">
        <f ca="1">IF(AND(ISNUMBER($AM$419),$B$252=1),$AM$419,HLOOKUP(INDIRECT(ADDRESS(2,COLUMN())),OFFSET($CL$2,0,0,ROW()-1,84),ROW()-1,FALSE))</f>
        <v>19911.01225</v>
      </c>
      <c r="AN217">
        <f ca="1">IF(AND(ISNUMBER($AN$419),$B$252=1),$AN$419,HLOOKUP(INDIRECT(ADDRESS(2,COLUMN())),OFFSET($CL$2,0,0,ROW()-1,84),ROW()-1,FALSE))</f>
        <v>20477.69859</v>
      </c>
      <c r="AO217">
        <f ca="1">IF(AND(ISNUMBER($AO$419),$B$252=1),$AO$419,HLOOKUP(INDIRECT(ADDRESS(2,COLUMN())),OFFSET($CL$2,0,0,ROW()-1,84),ROW()-1,FALSE))</f>
        <v>20382.105670000001</v>
      </c>
      <c r="AP217">
        <f ca="1">IF(AND(ISNUMBER($AP$419),$B$252=1),$AP$419,HLOOKUP(INDIRECT(ADDRESS(2,COLUMN())),OFFSET($CL$2,0,0,ROW()-1,84),ROW()-1,FALSE))</f>
        <v>20917.755369999999</v>
      </c>
      <c r="AQ217">
        <f ca="1">IF(AND(ISNUMBER($AQ$419),$B$252=1),$AQ$419,HLOOKUP(INDIRECT(ADDRESS(2,COLUMN())),OFFSET($CL$2,0,0,ROW()-1,84),ROW()-1,FALSE))</f>
        <v>20034.526669999999</v>
      </c>
      <c r="AR217">
        <f ca="1">IF(AND(ISNUMBER($AR$419),$B$252=1),$AR$419,HLOOKUP(INDIRECT(ADDRESS(2,COLUMN())),OFFSET($CL$2,0,0,ROW()-1,84),ROW()-1,FALSE))</f>
        <v>20273.968369999999</v>
      </c>
      <c r="AS217">
        <f ca="1">IF(AND(ISNUMBER($AS$419),$B$252=1),$AS$419,HLOOKUP(INDIRECT(ADDRESS(2,COLUMN())),OFFSET($CL$2,0,0,ROW()-1,84),ROW()-1,FALSE))</f>
        <v>18987.465319999999</v>
      </c>
      <c r="AT217">
        <f ca="1">IF(AND(ISNUMBER($AT$419),$B$252=1),$AT$419,HLOOKUP(INDIRECT(ADDRESS(2,COLUMN())),OFFSET($CL$2,0,0,ROW()-1,84),ROW()-1,FALSE))</f>
        <v>18792.510620000001</v>
      </c>
      <c r="AU217">
        <f ca="1">IF(AND(ISNUMBER($AU$419),$B$252=1),$AU$419,HLOOKUP(INDIRECT(ADDRESS(2,COLUMN())),OFFSET($CL$2,0,0,ROW()-1,84),ROW()-1,FALSE))</f>
        <v>18657.413949999998</v>
      </c>
      <c r="AV217">
        <f ca="1">IF(AND(ISNUMBER($AV$419),$B$252=1),$AV$419,HLOOKUP(INDIRECT(ADDRESS(2,COLUMN())),OFFSET($CL$2,0,0,ROW()-1,84),ROW()-1,FALSE))</f>
        <v>17147.00373</v>
      </c>
      <c r="AW217">
        <f ca="1">IF(AND(ISNUMBER($AW$419),$B$252=1),$AW$419,HLOOKUP(INDIRECT(ADDRESS(2,COLUMN())),OFFSET($CL$2,0,0,ROW()-1,84),ROW()-1,FALSE))</f>
        <v>17960.327089999999</v>
      </c>
      <c r="AX217">
        <f ca="1">IF(AND(ISNUMBER($AX$419),$B$252=1),$AX$419,HLOOKUP(INDIRECT(ADDRESS(2,COLUMN())),OFFSET($CL$2,0,0,ROW()-1,84),ROW()-1,FALSE))</f>
        <v>17521.343229999999</v>
      </c>
      <c r="AY217">
        <f ca="1">IF(AND(ISNUMBER($AY$419),$B$252=1),$AY$419,HLOOKUP(INDIRECT(ADDRESS(2,COLUMN())),OFFSET($CL$2,0,0,ROW()-1,84),ROW()-1,FALSE))</f>
        <v>17219.912980000001</v>
      </c>
      <c r="AZ217">
        <f ca="1">IF(AND(ISNUMBER($AZ$419),$B$252=1),$AZ$419,HLOOKUP(INDIRECT(ADDRESS(2,COLUMN())),OFFSET($CL$2,0,0,ROW()-1,84),ROW()-1,FALSE))</f>
        <v>16252.1186</v>
      </c>
      <c r="BA217">
        <f ca="1">IF(AND(ISNUMBER($BA$419),$B$252=1),$BA$419,HLOOKUP(INDIRECT(ADDRESS(2,COLUMN())),OFFSET($CL$2,0,0,ROW()-1,84),ROW()-1,FALSE))</f>
        <v>15699.856309999999</v>
      </c>
      <c r="BB217">
        <f ca="1">IF(AND(ISNUMBER($BB$419),$B$252=1),$BB$419,HLOOKUP(INDIRECT(ADDRESS(2,COLUMN())),OFFSET($CL$2,0,0,ROW()-1,84),ROW()-1,FALSE))</f>
        <v>11480.986940000001</v>
      </c>
      <c r="BC217">
        <f ca="1">IF(AND(ISNUMBER($BC$419),$B$252=1),$BC$419,HLOOKUP(INDIRECT(ADDRESS(2,COLUMN())),OFFSET($CL$2,0,0,ROW()-1,84),ROW()-1,FALSE))</f>
        <v>10023.276750000001</v>
      </c>
      <c r="BD217">
        <f ca="1">IF(AND(ISNUMBER($BD$419),$B$252=1),$BD$419,HLOOKUP(INDIRECT(ADDRESS(2,COLUMN())),OFFSET($CL$2,0,0,ROW()-1,84),ROW()-1,FALSE))</f>
        <v>9473.6135759999997</v>
      </c>
      <c r="BE217">
        <f ca="1">IF(AND(ISNUMBER($BE$419),$B$252=1),$BE$419,HLOOKUP(INDIRECT(ADDRESS(2,COLUMN())),OFFSET($CL$2,0,0,ROW()-1,84),ROW()-1,FALSE))</f>
        <v>8885.588205</v>
      </c>
      <c r="BF217">
        <f ca="1">IF(AND(ISNUMBER($BF$419),$B$252=1),$BF$419,HLOOKUP(INDIRECT(ADDRESS(2,COLUMN())),OFFSET($CL$2,0,0,ROW()-1,84),ROW()-1,FALSE))</f>
        <v>9203.189445</v>
      </c>
      <c r="BG217">
        <f ca="1">IF(AND(ISNUMBER($BG$419),$B$252=1),$BG$419,HLOOKUP(INDIRECT(ADDRESS(2,COLUMN())),OFFSET($CL$2,0,0,ROW()-1,84),ROW()-1,FALSE))</f>
        <v>9571.7474779999993</v>
      </c>
      <c r="BH217">
        <f ca="1">IF(AND(ISNUMBER($BH$419),$B$252=1),$BH$419,HLOOKUP(INDIRECT(ADDRESS(2,COLUMN())),OFFSET($CL$2,0,0,ROW()-1,84),ROW()-1,FALSE))</f>
        <v>9037.3602950000004</v>
      </c>
      <c r="BI217">
        <f ca="1">IF(AND(ISNUMBER($BI$419),$B$252=1),$BI$419,HLOOKUP(INDIRECT(ADDRESS(2,COLUMN())),OFFSET($CL$2,0,0,ROW()-1,84),ROW()-1,FALSE))</f>
        <v>8849.2885310000001</v>
      </c>
      <c r="BJ217">
        <f ca="1">IF(AND(ISNUMBER($BJ$419),$B$252=1),$BJ$419,HLOOKUP(INDIRECT(ADDRESS(2,COLUMN())),OFFSET($CL$2,0,0,ROW()-1,84),ROW()-1,FALSE))</f>
        <v>9566.177291</v>
      </c>
      <c r="BK217">
        <f ca="1">IF(AND(ISNUMBER($BK$419),$B$252=1),$BK$419,HLOOKUP(INDIRECT(ADDRESS(2,COLUMN())),OFFSET($CL$2,0,0,ROW()-1,84),ROW()-1,FALSE))</f>
        <v>9471.0310950000003</v>
      </c>
      <c r="BL217">
        <f ca="1">IF(AND(ISNUMBER($BL$419),$B$252=1),$BL$419,HLOOKUP(INDIRECT(ADDRESS(2,COLUMN())),OFFSET($CL$2,0,0,ROW()-1,84),ROW()-1,FALSE))</f>
        <v>9244.1241800000007</v>
      </c>
      <c r="BM217">
        <f ca="1">IF(AND(ISNUMBER($BM$419),$B$252=1),$BM$419,HLOOKUP(INDIRECT(ADDRESS(2,COLUMN())),OFFSET($CL$2,0,0,ROW()-1,84),ROW()-1,FALSE))</f>
        <v>9226.2501100000009</v>
      </c>
      <c r="BN217">
        <f ca="1">IF(AND(ISNUMBER($BN$419),$B$252=1),$BN$419,HLOOKUP(INDIRECT(ADDRESS(2,COLUMN())),OFFSET($CL$2,0,0,ROW()-1,84),ROW()-1,FALSE))</f>
        <v>8967.0502059999999</v>
      </c>
      <c r="BO217">
        <f ca="1">IF(AND(ISNUMBER($BO$419),$B$252=1),$BO$419,HLOOKUP(INDIRECT(ADDRESS(2,COLUMN())),OFFSET($CL$2,0,0,ROW()-1,84),ROW()-1,FALSE))</f>
        <v>8957.5100289999991</v>
      </c>
      <c r="BP217">
        <f ca="1">IF(AND(ISNUMBER($BP$419),$B$252=1),$BP$419,HLOOKUP(INDIRECT(ADDRESS(2,COLUMN())),OFFSET($CL$2,0,0,ROW()-1,84),ROW()-1,FALSE))</f>
        <v>8937.1740759999993</v>
      </c>
      <c r="BQ217">
        <f ca="1">IF(AND(ISNUMBER($BQ$419),$B$252=1),$BQ$419,HLOOKUP(INDIRECT(ADDRESS(2,COLUMN())),OFFSET($CL$2,0,0,ROW()-1,84),ROW()-1,FALSE))</f>
        <v>8661.5954459999994</v>
      </c>
      <c r="BR217">
        <f ca="1">IF(AND(ISNUMBER($BR$419),$B$252=1),$BR$419,HLOOKUP(INDIRECT(ADDRESS(2,COLUMN())),OFFSET($CL$2,0,0,ROW()-1,84),ROW()-1,FALSE))</f>
        <v>8233.206725</v>
      </c>
      <c r="BS217">
        <f ca="1">IF(AND(ISNUMBER($BS$419),$B$252=1),$BS$419,HLOOKUP(INDIRECT(ADDRESS(2,COLUMN())),OFFSET($CL$2,0,0,ROW()-1,84),ROW()-1,FALSE))</f>
        <v>8584.7673020000002</v>
      </c>
      <c r="BT217">
        <f ca="1">IF(AND(ISNUMBER($BT$419),$B$252=1),$BT$419,HLOOKUP(INDIRECT(ADDRESS(2,COLUMN())),OFFSET($CL$2,0,0,ROW()-1,84),ROW()-1,FALSE))</f>
        <v>8516.7431570000008</v>
      </c>
      <c r="BU217">
        <f ca="1">IF(AND(ISNUMBER($BU$419),$B$252=1),$BU$419,HLOOKUP(INDIRECT(ADDRESS(2,COLUMN())),OFFSET($CL$2,0,0,ROW()-1,84),ROW()-1,FALSE))</f>
        <v>8553.3810470000008</v>
      </c>
      <c r="BV217">
        <f ca="1">IF(AND(ISNUMBER($BV$419),$B$252=1),$BV$419,HLOOKUP(INDIRECT(ADDRESS(2,COLUMN())),OFFSET($CL$2,0,0,ROW()-1,84),ROW()-1,FALSE))</f>
        <v>8572.5357970000005</v>
      </c>
      <c r="BW217">
        <f ca="1">IF(AND(ISNUMBER($BW$419),$B$252=1),$BW$419,HLOOKUP(INDIRECT(ADDRESS(2,COLUMN())),OFFSET($CL$2,0,0,ROW()-1,84),ROW()-1,FALSE))</f>
        <v>8443.6955589999998</v>
      </c>
      <c r="BX217">
        <f ca="1">IF(AND(ISNUMBER($BX$419),$B$252=1),$BX$419,HLOOKUP(INDIRECT(ADDRESS(2,COLUMN())),OFFSET($CL$2,0,0,ROW()-1,84),ROW()-1,FALSE))</f>
        <v>7819.8274110000002</v>
      </c>
      <c r="BY217">
        <f ca="1">IF(AND(ISNUMBER($BY$419),$B$252=1),$BY$419,HLOOKUP(INDIRECT(ADDRESS(2,COLUMN())),OFFSET($CL$2,0,0,ROW()-1,84),ROW()-1,FALSE))</f>
        <v>8037.187516</v>
      </c>
      <c r="BZ217">
        <f ca="1">IF(AND(ISNUMBER($BZ$419),$B$252=1),$BZ$419,HLOOKUP(INDIRECT(ADDRESS(2,COLUMN())),OFFSET($CL$2,0,0,ROW()-1,84),ROW()-1,FALSE))</f>
        <v>7797.8137219999999</v>
      </c>
      <c r="CA217">
        <f ca="1">IF(AND(ISNUMBER($CA$419),$B$252=1),$CA$419,HLOOKUP(INDIRECT(ADDRESS(2,COLUMN())),OFFSET($CL$2,0,0,ROW()-1,84),ROW()-1,FALSE))</f>
        <v>7727.3349280000002</v>
      </c>
      <c r="CB217">
        <f ca="1">IF(AND(ISNUMBER($CB$419),$B$252=1),$CB$419,HLOOKUP(INDIRECT(ADDRESS(2,COLUMN())),OFFSET($CL$2,0,0,ROW()-1,84),ROW()-1,FALSE))</f>
        <v>7777.1341990000001</v>
      </c>
      <c r="CC217">
        <f ca="1">IF(AND(ISNUMBER($CC$419),$B$252=1),$CC$419,HLOOKUP(INDIRECT(ADDRESS(2,COLUMN())),OFFSET($CL$2,0,0,ROW()-1,84),ROW()-1,FALSE))</f>
        <v>7650.2614240000003</v>
      </c>
      <c r="CD217">
        <f ca="1">IF(AND(ISNUMBER($CD$419),$B$252=1),$CD$419,HLOOKUP(INDIRECT(ADDRESS(2,COLUMN())),OFFSET($CL$2,0,0,ROW()-1,84),ROW()-1,FALSE))</f>
        <v>7276.6229439999997</v>
      </c>
      <c r="CE217">
        <f ca="1">IF(AND(ISNUMBER($CE$419),$B$252=1),$CE$419,HLOOKUP(INDIRECT(ADDRESS(2,COLUMN())),OFFSET($CL$2,0,0,ROW()-1,84),ROW()-1,FALSE))</f>
        <v>7593.062226</v>
      </c>
      <c r="CF217">
        <f ca="1">IF(AND(ISNUMBER($CF$419),$B$252=1),$CF$419,HLOOKUP(INDIRECT(ADDRESS(2,COLUMN())),OFFSET($CL$2,0,0,ROW()-1,84),ROW()-1,FALSE))</f>
        <v>6774.1083630000003</v>
      </c>
      <c r="CG217">
        <f ca="1">IF(AND(ISNUMBER($CG$419),$B$252=1),$CG$419,HLOOKUP(INDIRECT(ADDRESS(2,COLUMN())),OFFSET($CL$2,0,0,ROW()-1,84),ROW()-1,FALSE))</f>
        <v>7316.6349719999998</v>
      </c>
      <c r="CH217">
        <f ca="1">IF(AND(ISNUMBER($CH$419),$B$252=1),$CH$419,HLOOKUP(INDIRECT(ADDRESS(2,COLUMN())),OFFSET($CL$2,0,0,ROW()-1,84),ROW()-1,FALSE))</f>
        <v>7029.1602409999996</v>
      </c>
      <c r="CI217">
        <f ca="1">IF(AND(ISNUMBER($CI$419),$B$252=1),$CI$419,HLOOKUP(INDIRECT(ADDRESS(2,COLUMN())),OFFSET($CL$2,0,0,ROW()-1,84),ROW()-1,FALSE))</f>
        <v>6852.6384079999998</v>
      </c>
      <c r="CJ217">
        <f ca="1">IF(AND(ISNUMBER($CJ$419),$B$252=1),$CJ$419,HLOOKUP(INDIRECT(ADDRESS(2,COLUMN())),OFFSET($CL$2,0,0,ROW()-1,84),ROW()-1,FALSE))</f>
        <v>7019.83907</v>
      </c>
      <c r="CK217">
        <f ca="1">IF(AND(ISNUMBER($CK$419),$B$252=1),$CK$419,HLOOKUP(INDIRECT(ADDRESS(2,COLUMN())),OFFSET($CL$2,0,0,ROW()-1,84),ROW()-1,FALSE))</f>
        <v>6888.724518</v>
      </c>
      <c r="CL217">
        <f>22054.87684</f>
        <v>22054.876840000001</v>
      </c>
      <c r="CM217">
        <f>21084.07292</f>
        <v>21084.072919999999</v>
      </c>
      <c r="CN217">
        <f>21707.98342</f>
        <v>21707.98342</v>
      </c>
      <c r="CO217">
        <f>22280.74379</f>
        <v>22280.74379</v>
      </c>
      <c r="CP217">
        <f>22584.21966</f>
        <v>22584.219659999999</v>
      </c>
      <c r="CQ217">
        <f>23625.58796</f>
        <v>23625.587960000001</v>
      </c>
      <c r="CR217">
        <f>23052.68501</f>
        <v>23052.685010000001</v>
      </c>
      <c r="CS217">
        <f>23815.51427</f>
        <v>23815.51427</v>
      </c>
      <c r="CT217">
        <f>23523.81036</f>
        <v>23523.810359999999</v>
      </c>
      <c r="CU217">
        <f>23120.62469</f>
        <v>23120.624690000001</v>
      </c>
      <c r="CV217">
        <f>23140.33715</f>
        <v>23140.337149999999</v>
      </c>
      <c r="CW217">
        <f>22284.65942</f>
        <v>22284.65942</v>
      </c>
      <c r="CX217">
        <f>21406.2141</f>
        <v>21406.214100000001</v>
      </c>
      <c r="CY217">
        <f>21570.40347</f>
        <v>21570.403470000001</v>
      </c>
      <c r="CZ217">
        <f>20857.44645</f>
        <v>20857.446449999999</v>
      </c>
      <c r="DA217">
        <f>21413.65594</f>
        <v>21413.655940000001</v>
      </c>
      <c r="DB217">
        <f>20200.93592</f>
        <v>20200.93592</v>
      </c>
      <c r="DC217">
        <f>20076.83918</f>
        <v>20076.839179999999</v>
      </c>
      <c r="DD217">
        <f>20655.67663</f>
        <v>20655.676630000002</v>
      </c>
      <c r="DE217">
        <f>20968.93017</f>
        <v>20968.93017</v>
      </c>
      <c r="DF217">
        <f>21413.41324</f>
        <v>21413.413240000002</v>
      </c>
      <c r="DG217">
        <f>21021.27338</f>
        <v>21021.273379999999</v>
      </c>
      <c r="DH217">
        <f>20915.51115</f>
        <v>20915.511149999998</v>
      </c>
      <c r="DI217">
        <f>20452.93197</f>
        <v>20452.931970000001</v>
      </c>
      <c r="DJ217">
        <f>21361.07049</f>
        <v>21361.070489999998</v>
      </c>
      <c r="DK217">
        <f>19677.19968</f>
        <v>19677.199680000002</v>
      </c>
      <c r="DL217">
        <f>20069.40235</f>
        <v>20069.40235</v>
      </c>
      <c r="DM217">
        <f>21866.48505</f>
        <v>21866.485049999999</v>
      </c>
      <c r="DN217">
        <f>21247.40042</f>
        <v>21247.400420000002</v>
      </c>
      <c r="DO217">
        <f>20476.676</f>
        <v>20476.675999999999</v>
      </c>
      <c r="DP217">
        <f>20679.26035</f>
        <v>20679.26035</v>
      </c>
      <c r="DQ217">
        <f>20138.4818</f>
        <v>20138.481800000001</v>
      </c>
      <c r="DR217">
        <f>20749.85555</f>
        <v>20749.85555</v>
      </c>
      <c r="DS217">
        <f>19911.01225</f>
        <v>19911.01225</v>
      </c>
      <c r="DT217">
        <f>20477.69859</f>
        <v>20477.69859</v>
      </c>
      <c r="DU217">
        <f>20382.10567</f>
        <v>20382.105670000001</v>
      </c>
      <c r="DV217">
        <f>20917.75537</f>
        <v>20917.755369999999</v>
      </c>
      <c r="DW217">
        <f>20034.52667</f>
        <v>20034.526669999999</v>
      </c>
      <c r="DX217">
        <f>20273.96837</f>
        <v>20273.968369999999</v>
      </c>
      <c r="DY217">
        <f>18987.46532</f>
        <v>18987.465319999999</v>
      </c>
      <c r="DZ217">
        <f>18792.51062</f>
        <v>18792.510620000001</v>
      </c>
      <c r="EA217">
        <f>18657.41395</f>
        <v>18657.413949999998</v>
      </c>
      <c r="EB217">
        <f>17147.00373</f>
        <v>17147.00373</v>
      </c>
      <c r="EC217">
        <f>17960.32709</f>
        <v>17960.327089999999</v>
      </c>
      <c r="ED217">
        <f>17521.3432299999</f>
        <v>17521.343229999999</v>
      </c>
      <c r="EE217">
        <f>17219.91298</f>
        <v>17219.912980000001</v>
      </c>
      <c r="EF217">
        <f>16252.1186</f>
        <v>16252.1186</v>
      </c>
      <c r="EG217">
        <f>15699.85631</f>
        <v>15699.856309999999</v>
      </c>
      <c r="EH217">
        <f>11480.98694</f>
        <v>11480.986940000001</v>
      </c>
      <c r="EI217">
        <f>10023.27675</f>
        <v>10023.276750000001</v>
      </c>
      <c r="EJ217">
        <f>9473.613576</f>
        <v>9473.6135759999997</v>
      </c>
      <c r="EK217">
        <f>8885.588205</f>
        <v>8885.588205</v>
      </c>
      <c r="EL217">
        <f>9203.189445</f>
        <v>9203.189445</v>
      </c>
      <c r="EM217">
        <f>9571.747478</f>
        <v>9571.7474779999993</v>
      </c>
      <c r="EN217">
        <f>9037.360295</f>
        <v>9037.3602950000004</v>
      </c>
      <c r="EO217">
        <f>8849.288531</f>
        <v>8849.2885310000001</v>
      </c>
      <c r="EP217">
        <f>9566.177291</f>
        <v>9566.177291</v>
      </c>
      <c r="EQ217">
        <f>9471.031095</f>
        <v>9471.0310950000003</v>
      </c>
      <c r="ER217">
        <f>9244.12418</f>
        <v>9244.1241800000007</v>
      </c>
      <c r="ES217">
        <f>9226.25011</f>
        <v>9226.2501100000009</v>
      </c>
      <c r="ET217">
        <f>8967.050206</f>
        <v>8967.0502059999999</v>
      </c>
      <c r="EU217">
        <f>8957.510029</f>
        <v>8957.5100289999991</v>
      </c>
      <c r="EV217">
        <f>8937.174076</f>
        <v>8937.1740759999993</v>
      </c>
      <c r="EW217">
        <f>8661.595446</f>
        <v>8661.5954459999994</v>
      </c>
      <c r="EX217">
        <f>8233.206725</f>
        <v>8233.206725</v>
      </c>
      <c r="EY217">
        <f>8584.767302</f>
        <v>8584.7673020000002</v>
      </c>
      <c r="EZ217">
        <f>8516.743157</f>
        <v>8516.7431570000008</v>
      </c>
      <c r="FA217">
        <f>8553.381047</f>
        <v>8553.3810470000008</v>
      </c>
      <c r="FB217">
        <f>8572.535797</f>
        <v>8572.5357970000005</v>
      </c>
      <c r="FC217">
        <f>8443.695559</f>
        <v>8443.6955589999998</v>
      </c>
      <c r="FD217">
        <f>7819.827411</f>
        <v>7819.8274110000002</v>
      </c>
      <c r="FE217">
        <f>8037.187516</f>
        <v>8037.187516</v>
      </c>
      <c r="FF217">
        <f>7797.813722</f>
        <v>7797.8137219999999</v>
      </c>
      <c r="FG217">
        <f>7727.334928</f>
        <v>7727.3349280000002</v>
      </c>
      <c r="FH217">
        <f>7777.134199</f>
        <v>7777.1341990000001</v>
      </c>
      <c r="FI217">
        <f>7650.261424</f>
        <v>7650.2614240000003</v>
      </c>
      <c r="FJ217">
        <f>7276.622944</f>
        <v>7276.6229439999997</v>
      </c>
      <c r="FK217">
        <f>7593.062226</f>
        <v>7593.062226</v>
      </c>
      <c r="FL217">
        <f>6774.108363</f>
        <v>6774.1083630000003</v>
      </c>
      <c r="FM217">
        <f>7316.634972</f>
        <v>7316.6349719999998</v>
      </c>
      <c r="FN217">
        <f>7029.160241</f>
        <v>7029.1602409999996</v>
      </c>
      <c r="FO217">
        <f>6852.638408</f>
        <v>6852.6384079999998</v>
      </c>
      <c r="FP217">
        <f>7019.83907</f>
        <v>7019.83907</v>
      </c>
      <c r="FQ217">
        <f>6888.724518</f>
        <v>6888.724518</v>
      </c>
    </row>
    <row r="218" spans="1:173">
      <c r="A218" t="str">
        <f>"    Mid-America Apartment Communities股份有限公司"</f>
        <v xml:space="preserve">    Mid-America Apartment Communities股份有限公司</v>
      </c>
      <c r="B218" t="str">
        <f>"MAA US Equity"</f>
        <v>MAA US Equity</v>
      </c>
      <c r="C218" t="str">
        <f t="shared" si="69"/>
        <v>F0826</v>
      </c>
      <c r="D218" t="str">
        <f t="shared" si="70"/>
        <v>INDUSTRY_STANDARDIZED_EV</v>
      </c>
      <c r="E218" t="str">
        <f t="shared" si="71"/>
        <v>动态</v>
      </c>
      <c r="F218">
        <f ca="1">IF(AND(ISNUMBER($F$420),$B$252=1),$F$420,HLOOKUP(INDIRECT(ADDRESS(2,COLUMN())),OFFSET($CL$2,0,0,ROW()-1,84),ROW()-1,FALSE))</f>
        <v>15315.49201</v>
      </c>
      <c r="G218">
        <f ca="1">IF(AND(ISNUMBER($G$420),$B$252=1),$G$420,HLOOKUP(INDIRECT(ADDRESS(2,COLUMN())),OFFSET($CL$2,0,0,ROW()-1,84),ROW()-1,FALSE))</f>
        <v>14885.22632</v>
      </c>
      <c r="H218">
        <f ca="1">IF(AND(ISNUMBER($H$420),$B$252=1),$H$420,HLOOKUP(INDIRECT(ADDRESS(2,COLUMN())),OFFSET($CL$2,0,0,ROW()-1,84),ROW()-1,FALSE))</f>
        <v>16005.080669999999</v>
      </c>
      <c r="I218">
        <f ca="1">IF(AND(ISNUMBER($I$420),$B$252=1),$I$420,HLOOKUP(INDIRECT(ADDRESS(2,COLUMN())),OFFSET($CL$2,0,0,ROW()-1,84),ROW()-1,FALSE))</f>
        <v>16616.56135</v>
      </c>
      <c r="J218">
        <f ca="1">IF(AND(ISNUMBER($J$420),$B$252=1),$J$420,HLOOKUP(INDIRECT(ADDRESS(2,COLUMN())),OFFSET($CL$2,0,0,ROW()-1,84),ROW()-1,FALSE))</f>
        <v>16792.27361</v>
      </c>
      <c r="K218">
        <f ca="1">IF(AND(ISNUMBER($K$420),$B$252=1),$K$420,HLOOKUP(INDIRECT(ADDRESS(2,COLUMN())),OFFSET($CL$2,0,0,ROW()-1,84),ROW()-1,FALSE))</f>
        <v>16781.669180000001</v>
      </c>
      <c r="L218">
        <f ca="1">IF(AND(ISNUMBER($L$420),$B$252=1),$L$420,HLOOKUP(INDIRECT(ADDRESS(2,COLUMN())),OFFSET($CL$2,0,0,ROW()-1,84),ROW()-1,FALSE))</f>
        <v>17313.364799999999</v>
      </c>
      <c r="M218">
        <f ca="1">IF(AND(ISNUMBER($M$420),$B$252=1),$M$420,HLOOKUP(INDIRECT(ADDRESS(2,COLUMN())),OFFSET($CL$2,0,0,ROW()-1,84),ROW()-1,FALSE))</f>
        <v>17354.09446</v>
      </c>
      <c r="N218">
        <f ca="1">IF(AND(ISNUMBER($N$420),$B$252=1),$N$420,HLOOKUP(INDIRECT(ADDRESS(2,COLUMN())),OFFSET($CL$2,0,0,ROW()-1,84),ROW()-1,FALSE))</f>
        <v>17008.87385</v>
      </c>
      <c r="O218">
        <f ca="1">IF(AND(ISNUMBER($O$420),$B$252=1),$O$420,HLOOKUP(INDIRECT(ADDRESS(2,COLUMN())),OFFSET($CL$2,0,0,ROW()-1,84),ROW()-1,FALSE))</f>
        <v>17223.45277</v>
      </c>
      <c r="P218">
        <f ca="1">IF(AND(ISNUMBER($P$420),$B$252=1),$P$420,HLOOKUP(INDIRECT(ADDRESS(2,COLUMN())),OFFSET($CL$2,0,0,ROW()-1,84),ROW()-1,FALSE))</f>
        <v>16810.157910000002</v>
      </c>
      <c r="Q218">
        <f ca="1">IF(AND(ISNUMBER($Q$420),$B$252=1),$Q$420,HLOOKUP(INDIRECT(ADDRESS(2,COLUMN())),OFFSET($CL$2,0,0,ROW()-1,84),ROW()-1,FALSE))</f>
        <v>16488.584299999999</v>
      </c>
      <c r="R218">
        <f ca="1">IF(AND(ISNUMBER($R$420),$B$252=1),$R$420,HLOOKUP(INDIRECT(ADDRESS(2,COLUMN())),OFFSET($CL$2,0,0,ROW()-1,84),ROW()-1,FALSE))</f>
        <v>16783.517059999998</v>
      </c>
      <c r="S218">
        <f ca="1">IF(AND(ISNUMBER($S$420),$B$252=1),$S$420,HLOOKUP(INDIRECT(ADDRESS(2,COLUMN())),OFFSET($CL$2,0,0,ROW()-1,84),ROW()-1,FALSE))</f>
        <v>16845.872859999999</v>
      </c>
      <c r="T218">
        <f ca="1">IF(AND(ISNUMBER($T$420),$B$252=1),$T$420,HLOOKUP(INDIRECT(ADDRESS(2,COLUMN())),OFFSET($CL$2,0,0,ROW()-1,84),ROW()-1,FALSE))</f>
        <v>15928.51187</v>
      </c>
      <c r="U218">
        <f ca="1">IF(AND(ISNUMBER($U$420),$B$252=1),$U$420,HLOOKUP(INDIRECT(ADDRESS(2,COLUMN())),OFFSET($CL$2,0,0,ROW()-1,84),ROW()-1,FALSE))</f>
        <v>16278.238719999999</v>
      </c>
      <c r="V218">
        <f ca="1">IF(AND(ISNUMBER($V$420),$B$252=1),$V$420,HLOOKUP(INDIRECT(ADDRESS(2,COLUMN())),OFFSET($CL$2,0,0,ROW()-1,84),ROW()-1,FALSE))</f>
        <v>10881.500609999999</v>
      </c>
      <c r="W218">
        <f ca="1">IF(AND(ISNUMBER($W$420),$B$252=1),$W$420,HLOOKUP(INDIRECT(ADDRESS(2,COLUMN())),OFFSET($CL$2,0,0,ROW()-1,84),ROW()-1,FALSE))</f>
        <v>10970.748009999999</v>
      </c>
      <c r="X218">
        <f ca="1">IF(AND(ISNUMBER($X$420),$B$252=1),$X$420,HLOOKUP(INDIRECT(ADDRESS(2,COLUMN())),OFFSET($CL$2,0,0,ROW()-1,84),ROW()-1,FALSE))</f>
        <v>11068.79751</v>
      </c>
      <c r="Y218">
        <f ca="1">IF(AND(ISNUMBER($Y$420),$B$252=1),$Y$420,HLOOKUP(INDIRECT(ADDRESS(2,COLUMN())),OFFSET($CL$2,0,0,ROW()-1,84),ROW()-1,FALSE))</f>
        <v>11127.44335</v>
      </c>
      <c r="Z218">
        <f ca="1">IF(AND(ISNUMBER($Z$420),$B$252=1),$Z$420,HLOOKUP(INDIRECT(ADDRESS(2,COLUMN())),OFFSET($CL$2,0,0,ROW()-1,84),ROW()-1,FALSE))</f>
        <v>12086.1512</v>
      </c>
      <c r="AA218">
        <f ca="1">IF(AND(ISNUMBER($AA$420),$B$252=1),$AA$420,HLOOKUP(INDIRECT(ADDRESS(2,COLUMN())),OFFSET($CL$2,0,0,ROW()-1,84),ROW()-1,FALSE))</f>
        <v>12113.84504</v>
      </c>
      <c r="AB218">
        <f ca="1">IF(AND(ISNUMBER($AB$420),$B$252=1),$AB$420,HLOOKUP(INDIRECT(ADDRESS(2,COLUMN())),OFFSET($CL$2,0,0,ROW()-1,84),ROW()-1,FALSE))</f>
        <v>11795.08957</v>
      </c>
      <c r="AC218">
        <f ca="1">IF(AND(ISNUMBER($AC$420),$B$252=1),$AC$420,HLOOKUP(INDIRECT(ADDRESS(2,COLUMN())),OFFSET($CL$2,0,0,ROW()-1,84),ROW()-1,FALSE))</f>
        <v>11210.625679999999</v>
      </c>
      <c r="AD218">
        <f ca="1">IF(AND(ISNUMBER($AD$420),$B$252=1),$AD$420,HLOOKUP(INDIRECT(ADDRESS(2,COLUMN())),OFFSET($CL$2,0,0,ROW()-1,84),ROW()-1,FALSE))</f>
        <v>11724.97682</v>
      </c>
      <c r="AE218">
        <f ca="1">IF(AND(ISNUMBER($AE$420),$B$252=1),$AE$420,HLOOKUP(INDIRECT(ADDRESS(2,COLUMN())),OFFSET($CL$2,0,0,ROW()-1,84),ROW()-1,FALSE))</f>
        <v>10348.694219999999</v>
      </c>
      <c r="AF218">
        <f ca="1">IF(AND(ISNUMBER($AF$420),$B$252=1),$AF$420,HLOOKUP(INDIRECT(ADDRESS(2,COLUMN())),OFFSET($CL$2,0,0,ROW()-1,84),ROW()-1,FALSE))</f>
        <v>10636.468940000001</v>
      </c>
      <c r="AG218">
        <f ca="1">IF(AND(ISNUMBER($AG$420),$B$252=1),$AG$420,HLOOKUP(INDIRECT(ADDRESS(2,COLUMN())),OFFSET($CL$2,0,0,ROW()-1,84),ROW()-1,FALSE))</f>
        <v>10409.564469999999</v>
      </c>
      <c r="AH218">
        <f ca="1">IF(AND(ISNUMBER($AH$420),$B$252=1),$AH$420,HLOOKUP(INDIRECT(ADDRESS(2,COLUMN())),OFFSET($CL$2,0,0,ROW()-1,84),ROW()-1,FALSE))</f>
        <v>10601.28543</v>
      </c>
      <c r="AI218">
        <f ca="1">IF(AND(ISNUMBER($AI$420),$B$252=1),$AI$420,HLOOKUP(INDIRECT(ADDRESS(2,COLUMN())),OFFSET($CL$2,0,0,ROW()-1,84),ROW()-1,FALSE))</f>
        <v>10333.153469999999</v>
      </c>
      <c r="AJ218">
        <f ca="1">IF(AND(ISNUMBER($AJ$420),$B$252=1),$AJ$420,HLOOKUP(INDIRECT(ADDRESS(2,COLUMN())),OFFSET($CL$2,0,0,ROW()-1,84),ROW()-1,FALSE))</f>
        <v>10068.630579999999</v>
      </c>
      <c r="AK218">
        <f ca="1">IF(AND(ISNUMBER($AK$420),$B$252=1),$AK$420,HLOOKUP(INDIRECT(ADDRESS(2,COLUMN())),OFFSET($CL$2,0,0,ROW()-1,84),ROW()-1,FALSE))</f>
        <v>9836.8697969999994</v>
      </c>
      <c r="AL218">
        <f ca="1">IF(AND(ISNUMBER($AL$420),$B$252=1),$AL$420,HLOOKUP(INDIRECT(ADDRESS(2,COLUMN())),OFFSET($CL$2,0,0,ROW()-1,84),ROW()-1,FALSE))</f>
        <v>9976.1013199999998</v>
      </c>
      <c r="AM218">
        <f ca="1">IF(AND(ISNUMBER($AM$420),$B$252=1),$AM$420,HLOOKUP(INDIRECT(ADDRESS(2,COLUMN())),OFFSET($CL$2,0,0,ROW()-1,84),ROW()-1,FALSE))</f>
        <v>9374.9559640000007</v>
      </c>
      <c r="AN218">
        <f ca="1">IF(AND(ISNUMBER($AN$420),$B$252=1),$AN$420,HLOOKUP(INDIRECT(ADDRESS(2,COLUMN())),OFFSET($CL$2,0,0,ROW()-1,84),ROW()-1,FALSE))</f>
        <v>9704.4615439999998</v>
      </c>
      <c r="AO218">
        <f ca="1">IF(AND(ISNUMBER($AO$420),$B$252=1),$AO$420,HLOOKUP(INDIRECT(ADDRESS(2,COLUMN())),OFFSET($CL$2,0,0,ROW()-1,84),ROW()-1,FALSE))</f>
        <v>9562.2931040000003</v>
      </c>
      <c r="AP218">
        <f ca="1">IF(AND(ISNUMBER($AP$420),$B$252=1),$AP$420,HLOOKUP(INDIRECT(ADDRESS(2,COLUMN())),OFFSET($CL$2,0,0,ROW()-1,84),ROW()-1,FALSE))</f>
        <v>9770.6419709999991</v>
      </c>
      <c r="AQ218">
        <f ca="1">IF(AND(ISNUMBER($AQ$420),$B$252=1),$AQ$420,HLOOKUP(INDIRECT(ADDRESS(2,COLUMN())),OFFSET($CL$2,0,0,ROW()-1,84),ROW()-1,FALSE))</f>
        <v>9425.581134</v>
      </c>
      <c r="AR218">
        <f ca="1">IF(AND(ISNUMBER($AR$420),$B$252=1),$AR$420,HLOOKUP(INDIRECT(ADDRESS(2,COLUMN())),OFFSET($CL$2,0,0,ROW()-1,84),ROW()-1,FALSE))</f>
        <v>9966.6571960000001</v>
      </c>
      <c r="AS218">
        <f ca="1">IF(AND(ISNUMBER($AS$420),$B$252=1),$AS$420,HLOOKUP(INDIRECT(ADDRESS(2,COLUMN())),OFFSET($CL$2,0,0,ROW()-1,84),ROW()-1,FALSE))</f>
        <v>9598.0312379999996</v>
      </c>
      <c r="AT218">
        <f ca="1">IF(AND(ISNUMBER($AT$420),$B$252=1),$AT$420,HLOOKUP(INDIRECT(ADDRESS(2,COLUMN())),OFFSET($CL$2,0,0,ROW()-1,84),ROW()-1,FALSE))</f>
        <v>9362.982344</v>
      </c>
      <c r="AU218">
        <f ca="1">IF(AND(ISNUMBER($AU$420),$B$252=1),$AU$420,HLOOKUP(INDIRECT(ADDRESS(2,COLUMN())),OFFSET($CL$2,0,0,ROW()-1,84),ROW()-1,FALSE))</f>
        <v>9124.6135950000007</v>
      </c>
      <c r="AV218">
        <f ca="1">IF(AND(ISNUMBER($AV$420),$B$252=1),$AV$420,HLOOKUP(INDIRECT(ADDRESS(2,COLUMN())),OFFSET($CL$2,0,0,ROW()-1,84),ROW()-1,FALSE))</f>
        <v>8722.6365100000003</v>
      </c>
      <c r="AW218">
        <f ca="1">IF(AND(ISNUMBER($AW$420),$B$252=1),$AW$420,HLOOKUP(INDIRECT(ADDRESS(2,COLUMN())),OFFSET($CL$2,0,0,ROW()-1,84),ROW()-1,FALSE))</f>
        <v>9359.1089279999997</v>
      </c>
      <c r="AX218">
        <f ca="1">IF(AND(ISNUMBER($AX$420),$B$252=1),$AX$420,HLOOKUP(INDIRECT(ADDRESS(2,COLUMN())),OFFSET($CL$2,0,0,ROW()-1,84),ROW()-1,FALSE))</f>
        <v>9155.5567090000004</v>
      </c>
      <c r="AY218">
        <f ca="1">IF(AND(ISNUMBER($AY$420),$B$252=1),$AY$420,HLOOKUP(INDIRECT(ADDRESS(2,COLUMN())),OFFSET($CL$2,0,0,ROW()-1,84),ROW()-1,FALSE))</f>
        <v>9403.5030119999992</v>
      </c>
      <c r="AZ218">
        <f ca="1">IF(AND(ISNUMBER($AZ$420),$B$252=1),$AZ$420,HLOOKUP(INDIRECT(ADDRESS(2,COLUMN())),OFFSET($CL$2,0,0,ROW()-1,84),ROW()-1,FALSE))</f>
        <v>9241.152462</v>
      </c>
      <c r="BA218">
        <f ca="1">IF(AND(ISNUMBER($BA$420),$B$252=1),$BA$420,HLOOKUP(INDIRECT(ADDRESS(2,COLUMN())),OFFSET($CL$2,0,0,ROW()-1,84),ROW()-1,FALSE))</f>
        <v>9025.2316439999995</v>
      </c>
      <c r="BB218">
        <f ca="1">IF(AND(ISNUMBER($BB$420),$B$252=1),$BB$420,HLOOKUP(INDIRECT(ADDRESS(2,COLUMN())),OFFSET($CL$2,0,0,ROW()-1,84),ROW()-1,FALSE))</f>
        <v>8915.2608290000007</v>
      </c>
      <c r="BC218">
        <f ca="1">IF(AND(ISNUMBER($BC$420),$B$252=1),$BC$420,HLOOKUP(INDIRECT(ADDRESS(2,COLUMN())),OFFSET($CL$2,0,0,ROW()-1,84),ROW()-1,FALSE))</f>
        <v>8912.0317130000003</v>
      </c>
      <c r="BD218">
        <f ca="1">IF(AND(ISNUMBER($BD$420),$B$252=1),$BD$420,HLOOKUP(INDIRECT(ADDRESS(2,COLUMN())),OFFSET($CL$2,0,0,ROW()-1,84),ROW()-1,FALSE))</f>
        <v>8654.0294549999999</v>
      </c>
      <c r="BE218">
        <f ca="1">IF(AND(ISNUMBER($BE$420),$B$252=1),$BE$420,HLOOKUP(INDIRECT(ADDRESS(2,COLUMN())),OFFSET($CL$2,0,0,ROW()-1,84),ROW()-1,FALSE))</f>
        <v>8353.8171820000007</v>
      </c>
      <c r="BF218">
        <f ca="1">IF(AND(ISNUMBER($BF$420),$B$252=1),$BF$420,HLOOKUP(INDIRECT(ADDRESS(2,COLUMN())),OFFSET($CL$2,0,0,ROW()-1,84),ROW()-1,FALSE))</f>
        <v>6330.8285669999996</v>
      </c>
      <c r="BG218">
        <f ca="1">IF(AND(ISNUMBER($BG$420),$B$252=1),$BG$420,HLOOKUP(INDIRECT(ADDRESS(2,COLUMN())),OFFSET($CL$2,0,0,ROW()-1,84),ROW()-1,FALSE))</f>
        <v>6797.7925679999998</v>
      </c>
      <c r="BH218">
        <f ca="1">IF(AND(ISNUMBER($BH$420),$B$252=1),$BH$420,HLOOKUP(INDIRECT(ADDRESS(2,COLUMN())),OFFSET($CL$2,0,0,ROW()-1,84),ROW()-1,FALSE))</f>
        <v>4501.1375989999997</v>
      </c>
      <c r="BI218">
        <f ca="1">IF(AND(ISNUMBER($BI$420),$B$252=1),$BI$420,HLOOKUP(INDIRECT(ADDRESS(2,COLUMN())),OFFSET($CL$2,0,0,ROW()-1,84),ROW()-1,FALSE))</f>
        <v>4460.1698729999998</v>
      </c>
      <c r="BJ218">
        <f ca="1">IF(AND(ISNUMBER($BJ$420),$B$252=1),$BJ$420,HLOOKUP(INDIRECT(ADDRESS(2,COLUMN())),OFFSET($CL$2,0,0,ROW()-1,84),ROW()-1,FALSE))</f>
        <v>4696.0153499999997</v>
      </c>
      <c r="BK218">
        <f ca="1">IF(AND(ISNUMBER($BK$420),$B$252=1),$BK$420,HLOOKUP(INDIRECT(ADDRESS(2,COLUMN())),OFFSET($CL$2,0,0,ROW()-1,84),ROW()-1,FALSE))</f>
        <v>4705.708525</v>
      </c>
      <c r="BL218">
        <f ca="1">IF(AND(ISNUMBER($BL$420),$B$252=1),$BL$420,HLOOKUP(INDIRECT(ADDRESS(2,COLUMN())),OFFSET($CL$2,0,0,ROW()-1,84),ROW()-1,FALSE))</f>
        <v>4713.1002799999997</v>
      </c>
      <c r="BM218">
        <f ca="1">IF(AND(ISNUMBER($BM$420),$B$252=1),$BM$420,HLOOKUP(INDIRECT(ADDRESS(2,COLUMN())),OFFSET($CL$2,0,0,ROW()-1,84),ROW()-1,FALSE))</f>
        <v>4746.5858029999999</v>
      </c>
      <c r="BN218">
        <f ca="1">IF(AND(ISNUMBER($BN$420),$B$252=1),$BN$420,HLOOKUP(INDIRECT(ADDRESS(2,COLUMN())),OFFSET($CL$2,0,0,ROW()-1,84),ROW()-1,FALSE))</f>
        <v>4761.1255689999998</v>
      </c>
      <c r="BO218">
        <f ca="1">IF(AND(ISNUMBER($BO$420),$B$252=1),$BO$420,HLOOKUP(INDIRECT(ADDRESS(2,COLUMN())),OFFSET($CL$2,0,0,ROW()-1,84),ROW()-1,FALSE))</f>
        <v>4761.729891</v>
      </c>
      <c r="BP218">
        <f ca="1">IF(AND(ISNUMBER($BP$420),$B$252=1),$BP$420,HLOOKUP(INDIRECT(ADDRESS(2,COLUMN())),OFFSET($CL$2,0,0,ROW()-1,84),ROW()-1,FALSE))</f>
        <v>4576.7914350000001</v>
      </c>
      <c r="BQ218">
        <f ca="1">IF(AND(ISNUMBER($BQ$420),$B$252=1),$BQ$420,HLOOKUP(INDIRECT(ADDRESS(2,COLUMN())),OFFSET($CL$2,0,0,ROW()-1,84),ROW()-1,FALSE))</f>
        <v>4549.5117440000004</v>
      </c>
      <c r="BR218">
        <f ca="1">IF(AND(ISNUMBER($BR$420),$B$252=1),$BR$420,HLOOKUP(INDIRECT(ADDRESS(2,COLUMN())),OFFSET($CL$2,0,0,ROW()-1,84),ROW()-1,FALSE))</f>
        <v>4473.394714</v>
      </c>
      <c r="BS218">
        <f ca="1">IF(AND(ISNUMBER($BS$420),$B$252=1),$BS$420,HLOOKUP(INDIRECT(ADDRESS(2,COLUMN())),OFFSET($CL$2,0,0,ROW()-1,84),ROW()-1,FALSE))</f>
        <v>4503.3337590000001</v>
      </c>
      <c r="BT218">
        <f ca="1">IF(AND(ISNUMBER($BT$420),$B$252=1),$BT$420,HLOOKUP(INDIRECT(ADDRESS(2,COLUMN())),OFFSET($CL$2,0,0,ROW()-1,84),ROW()-1,FALSE))</f>
        <v>4529.0608590000002</v>
      </c>
      <c r="BU218">
        <f ca="1">IF(AND(ISNUMBER($BU$420),$B$252=1),$BU$420,HLOOKUP(INDIRECT(ADDRESS(2,COLUMN())),OFFSET($CL$2,0,0,ROW()-1,84),ROW()-1,FALSE))</f>
        <v>4514.7030249999998</v>
      </c>
      <c r="BV218">
        <f ca="1">IF(AND(ISNUMBER($BV$420),$B$252=1),$BV$420,HLOOKUP(INDIRECT(ADDRESS(2,COLUMN())),OFFSET($CL$2,0,0,ROW()-1,84),ROW()-1,FALSE))</f>
        <v>4555.9347150000003</v>
      </c>
      <c r="BW218">
        <f ca="1">IF(AND(ISNUMBER($BW$420),$B$252=1),$BW$420,HLOOKUP(INDIRECT(ADDRESS(2,COLUMN())),OFFSET($CL$2,0,0,ROW()-1,84),ROW()-1,FALSE))</f>
        <v>4513.6408270000002</v>
      </c>
      <c r="BX218">
        <f ca="1">IF(AND(ISNUMBER($BX$420),$B$252=1),$BX$420,HLOOKUP(INDIRECT(ADDRESS(2,COLUMN())),OFFSET($CL$2,0,0,ROW()-1,84),ROW()-1,FALSE))</f>
        <v>4421.0861720000003</v>
      </c>
      <c r="BY218">
        <f ca="1">IF(AND(ISNUMBER($BY$420),$B$252=1),$BY$420,HLOOKUP(INDIRECT(ADDRESS(2,COLUMN())),OFFSET($CL$2,0,0,ROW()-1,84),ROW()-1,FALSE))</f>
        <v>4449.3006660000001</v>
      </c>
      <c r="BZ218">
        <f ca="1">IF(AND(ISNUMBER($BZ$420),$B$252=1),$BZ$420,HLOOKUP(INDIRECT(ADDRESS(2,COLUMN())),OFFSET($CL$2,0,0,ROW()-1,84),ROW()-1,FALSE))</f>
        <v>4404.7269930000002</v>
      </c>
      <c r="CA218">
        <f ca="1">IF(AND(ISNUMBER($CA$420),$B$252=1),$CA$420,HLOOKUP(INDIRECT(ADDRESS(2,COLUMN())),OFFSET($CL$2,0,0,ROW()-1,84),ROW()-1,FALSE))</f>
        <v>4278.9609700000001</v>
      </c>
      <c r="CB218">
        <f ca="1">IF(AND(ISNUMBER($CB$420),$B$252=1),$CB$420,HLOOKUP(INDIRECT(ADDRESS(2,COLUMN())),OFFSET($CL$2,0,0,ROW()-1,84),ROW()-1,FALSE))</f>
        <v>4163.1931240000004</v>
      </c>
      <c r="CC218">
        <f ca="1">IF(AND(ISNUMBER($CC$420),$B$252=1),$CC$420,HLOOKUP(INDIRECT(ADDRESS(2,COLUMN())),OFFSET($CL$2,0,0,ROW()-1,84),ROW()-1,FALSE))</f>
        <v>4108.7191819999998</v>
      </c>
      <c r="CD218">
        <f ca="1">IF(AND(ISNUMBER($CD$420),$B$252=1),$CD$420,HLOOKUP(INDIRECT(ADDRESS(2,COLUMN())),OFFSET($CL$2,0,0,ROW()-1,84),ROW()-1,FALSE))</f>
        <v>3870.6081949999998</v>
      </c>
      <c r="CE218">
        <f ca="1">IF(AND(ISNUMBER($CE$420),$B$252=1),$CE$420,HLOOKUP(INDIRECT(ADDRESS(2,COLUMN())),OFFSET($CL$2,0,0,ROW()-1,84),ROW()-1,FALSE))</f>
        <v>4030.050115</v>
      </c>
      <c r="CF218">
        <f ca="1">IF(AND(ISNUMBER($CF$420),$B$252=1),$CF$420,HLOOKUP(INDIRECT(ADDRESS(2,COLUMN())),OFFSET($CL$2,0,0,ROW()-1,84),ROW()-1,FALSE))</f>
        <v>3944.847432</v>
      </c>
      <c r="CG218">
        <f ca="1">IF(AND(ISNUMBER($CG$420),$B$252=1),$CG$420,HLOOKUP(INDIRECT(ADDRESS(2,COLUMN())),OFFSET($CL$2,0,0,ROW()-1,84),ROW()-1,FALSE))</f>
        <v>4344.322819</v>
      </c>
      <c r="CH218">
        <f ca="1">IF(AND(ISNUMBER($CH$420),$B$252=1),$CH$420,HLOOKUP(INDIRECT(ADDRESS(2,COLUMN())),OFFSET($CL$2,0,0,ROW()-1,84),ROW()-1,FALSE))</f>
        <v>4285.9102979999998</v>
      </c>
      <c r="CI218">
        <f ca="1">IF(AND(ISNUMBER($CI$420),$B$252=1),$CI$420,HLOOKUP(INDIRECT(ADDRESS(2,COLUMN())),OFFSET($CL$2,0,0,ROW()-1,84),ROW()-1,FALSE))</f>
        <v>4157.5932929999999</v>
      </c>
      <c r="CJ218">
        <f ca="1">IF(AND(ISNUMBER($CJ$420),$B$252=1),$CJ$420,HLOOKUP(INDIRECT(ADDRESS(2,COLUMN())),OFFSET($CL$2,0,0,ROW()-1,84),ROW()-1,FALSE))</f>
        <v>4085.1955189999999</v>
      </c>
      <c r="CK218">
        <f ca="1">IF(AND(ISNUMBER($CK$420),$B$252=1),$CK$420,HLOOKUP(INDIRECT(ADDRESS(2,COLUMN())),OFFSET($CL$2,0,0,ROW()-1,84),ROW()-1,FALSE))</f>
        <v>3953.606851</v>
      </c>
      <c r="CL218">
        <f>15315.49201</f>
        <v>15315.49201</v>
      </c>
      <c r="CM218">
        <f>14885.22632</f>
        <v>14885.22632</v>
      </c>
      <c r="CN218">
        <f>16005.08067</f>
        <v>16005.080669999999</v>
      </c>
      <c r="CO218">
        <f>16616.56135</f>
        <v>16616.56135</v>
      </c>
      <c r="CP218">
        <f>16792.27361</f>
        <v>16792.27361</v>
      </c>
      <c r="CQ218">
        <f>16781.66918</f>
        <v>16781.669180000001</v>
      </c>
      <c r="CR218">
        <f>17313.3648</f>
        <v>17313.364799999999</v>
      </c>
      <c r="CS218">
        <f>17354.09446</f>
        <v>17354.09446</v>
      </c>
      <c r="CT218">
        <f>17008.87385</f>
        <v>17008.87385</v>
      </c>
      <c r="CU218">
        <f>17223.45277</f>
        <v>17223.45277</v>
      </c>
      <c r="CV218">
        <f>16810.15791</f>
        <v>16810.157910000002</v>
      </c>
      <c r="CW218">
        <f>16488.5843</f>
        <v>16488.584299999999</v>
      </c>
      <c r="CX218">
        <f>16783.51706</f>
        <v>16783.517059999998</v>
      </c>
      <c r="CY218">
        <f>16845.87286</f>
        <v>16845.872859999999</v>
      </c>
      <c r="CZ218">
        <f>15928.51187</f>
        <v>15928.51187</v>
      </c>
      <c r="DA218">
        <f>16278.23872</f>
        <v>16278.238719999999</v>
      </c>
      <c r="DB218">
        <f>10881.50061</f>
        <v>10881.500609999999</v>
      </c>
      <c r="DC218">
        <f>10970.74801</f>
        <v>10970.748009999999</v>
      </c>
      <c r="DD218">
        <f>11068.79751</f>
        <v>11068.79751</v>
      </c>
      <c r="DE218">
        <f>11127.44335</f>
        <v>11127.44335</v>
      </c>
      <c r="DF218">
        <f>12086.1512</f>
        <v>12086.1512</v>
      </c>
      <c r="DG218">
        <f>12113.84504</f>
        <v>12113.84504</v>
      </c>
      <c r="DH218">
        <f>11795.08957</f>
        <v>11795.08957</v>
      </c>
      <c r="DI218">
        <f>11210.62568</f>
        <v>11210.625679999999</v>
      </c>
      <c r="DJ218">
        <f>11724.97682</f>
        <v>11724.97682</v>
      </c>
      <c r="DK218">
        <f>10348.69422</f>
        <v>10348.694219999999</v>
      </c>
      <c r="DL218">
        <f>10636.46894</f>
        <v>10636.468940000001</v>
      </c>
      <c r="DM218">
        <f>10409.56447</f>
        <v>10409.564469999999</v>
      </c>
      <c r="DN218">
        <f>10601.28543</f>
        <v>10601.28543</v>
      </c>
      <c r="DO218">
        <f>10333.15347</f>
        <v>10333.153469999999</v>
      </c>
      <c r="DP218">
        <f>10068.63058</f>
        <v>10068.630579999999</v>
      </c>
      <c r="DQ218">
        <f>9836.869797</f>
        <v>9836.8697969999994</v>
      </c>
      <c r="DR218">
        <f>9976.10132</f>
        <v>9976.1013199999998</v>
      </c>
      <c r="DS218">
        <f>9374.955964</f>
        <v>9374.9559640000007</v>
      </c>
      <c r="DT218">
        <f>9704.461544</f>
        <v>9704.4615439999998</v>
      </c>
      <c r="DU218">
        <f>9562.293104</f>
        <v>9562.2931040000003</v>
      </c>
      <c r="DV218">
        <f>9770.641971</f>
        <v>9770.6419709999991</v>
      </c>
      <c r="DW218">
        <f>9425.581134</f>
        <v>9425.581134</v>
      </c>
      <c r="DX218">
        <f>9966.657196</f>
        <v>9966.6571960000001</v>
      </c>
      <c r="DY218">
        <f>9598.031238</f>
        <v>9598.0312379999996</v>
      </c>
      <c r="DZ218">
        <f>9362.982344</f>
        <v>9362.982344</v>
      </c>
      <c r="EA218">
        <f>9124.613595</f>
        <v>9124.6135950000007</v>
      </c>
      <c r="EB218">
        <f>8722.63651</f>
        <v>8722.6365100000003</v>
      </c>
      <c r="EC218">
        <f>9359.108928</f>
        <v>9359.1089279999997</v>
      </c>
      <c r="ED218">
        <f>9155.556709</f>
        <v>9155.5567090000004</v>
      </c>
      <c r="EE218">
        <f>9403.503012</f>
        <v>9403.5030119999992</v>
      </c>
      <c r="EF218">
        <f>9241.152462</f>
        <v>9241.152462</v>
      </c>
      <c r="EG218">
        <f>9025.231644</f>
        <v>9025.2316439999995</v>
      </c>
      <c r="EH218">
        <f>8915.260829</f>
        <v>8915.2608290000007</v>
      </c>
      <c r="EI218">
        <f>8912.031713</f>
        <v>8912.0317130000003</v>
      </c>
      <c r="EJ218">
        <f>8654.029455</f>
        <v>8654.0294549999999</v>
      </c>
      <c r="EK218">
        <f>8353.817182</f>
        <v>8353.8171820000007</v>
      </c>
      <c r="EL218">
        <f>6330.828567</f>
        <v>6330.8285669999996</v>
      </c>
      <c r="EM218">
        <f>6797.792568</f>
        <v>6797.7925679999998</v>
      </c>
      <c r="EN218">
        <f>4501.137599</f>
        <v>4501.1375989999997</v>
      </c>
      <c r="EO218">
        <f>4460.169873</f>
        <v>4460.1698729999998</v>
      </c>
      <c r="EP218">
        <f>4696.01535</f>
        <v>4696.0153499999997</v>
      </c>
      <c r="EQ218">
        <f>4705.708525</f>
        <v>4705.708525</v>
      </c>
      <c r="ER218">
        <f>4713.10028</f>
        <v>4713.1002799999997</v>
      </c>
      <c r="ES218">
        <f>4746.585803</f>
        <v>4746.5858029999999</v>
      </c>
      <c r="ET218">
        <f>4761.125569</f>
        <v>4761.1255689999998</v>
      </c>
      <c r="EU218">
        <f>4761.729891</f>
        <v>4761.729891</v>
      </c>
      <c r="EV218">
        <f>4576.791435</f>
        <v>4576.7914350000001</v>
      </c>
      <c r="EW218">
        <f>4549.511744</f>
        <v>4549.5117440000004</v>
      </c>
      <c r="EX218">
        <f>4473.394714</f>
        <v>4473.394714</v>
      </c>
      <c r="EY218">
        <f>4503.333759</f>
        <v>4503.3337590000001</v>
      </c>
      <c r="EZ218">
        <f>4529.060859</f>
        <v>4529.0608590000002</v>
      </c>
      <c r="FA218">
        <f>4514.703025</f>
        <v>4514.7030249999998</v>
      </c>
      <c r="FB218">
        <f>4555.934715</f>
        <v>4555.9347150000003</v>
      </c>
      <c r="FC218">
        <f>4513.640827</f>
        <v>4513.6408270000002</v>
      </c>
      <c r="FD218">
        <f>4421.086172</f>
        <v>4421.0861720000003</v>
      </c>
      <c r="FE218">
        <f>4449.300666</f>
        <v>4449.3006660000001</v>
      </c>
      <c r="FF218">
        <f>4404.726993</f>
        <v>4404.7269930000002</v>
      </c>
      <c r="FG218">
        <f>4278.96097</f>
        <v>4278.9609700000001</v>
      </c>
      <c r="FH218">
        <f>4163.193124</f>
        <v>4163.1931240000004</v>
      </c>
      <c r="FI218">
        <f>4108.719182</f>
        <v>4108.7191819999998</v>
      </c>
      <c r="FJ218">
        <f>3870.608195</f>
        <v>3870.6081949999998</v>
      </c>
      <c r="FK218">
        <f>4030.050115</f>
        <v>4030.050115</v>
      </c>
      <c r="FL218">
        <f>3944.847432</f>
        <v>3944.847432</v>
      </c>
      <c r="FM218">
        <f>4344.322819</f>
        <v>4344.322819</v>
      </c>
      <c r="FN218">
        <f>4285.910298</f>
        <v>4285.9102979999998</v>
      </c>
      <c r="FO218">
        <f>4157.593293</f>
        <v>4157.5932929999999</v>
      </c>
      <c r="FP218">
        <f>4085.195519</f>
        <v>4085.1955189999999</v>
      </c>
      <c r="FQ218">
        <f>3953.606851</f>
        <v>3953.606851</v>
      </c>
    </row>
    <row r="219" spans="1:173">
      <c r="A219" t="str">
        <f>"    UDR 公司"</f>
        <v xml:space="preserve">    UDR 公司</v>
      </c>
      <c r="B219" t="str">
        <f>"UDR US Equity"</f>
        <v>UDR US Equity</v>
      </c>
      <c r="C219" t="str">
        <f t="shared" si="69"/>
        <v>F0826</v>
      </c>
      <c r="D219" t="str">
        <f t="shared" si="70"/>
        <v>INDUSTRY_STANDARDIZED_EV</v>
      </c>
      <c r="E219" t="str">
        <f t="shared" si="71"/>
        <v>动态</v>
      </c>
      <c r="F219">
        <f ca="1">IF(AND(ISNUMBER($F$421),$B$252=1),$F$421,HLOOKUP(INDIRECT(ADDRESS(2,COLUMN())),OFFSET($CL$2,0,0,ROW()-1,84),ROW()-1,FALSE))</f>
        <v>14030.49778</v>
      </c>
      <c r="G219">
        <f ca="1">IF(AND(ISNUMBER($G$421),$B$252=1),$G$421,HLOOKUP(INDIRECT(ADDRESS(2,COLUMN())),OFFSET($CL$2,0,0,ROW()-1,84),ROW()-1,FALSE))</f>
        <v>13509.567489999999</v>
      </c>
      <c r="H219">
        <f ca="1">IF(AND(ISNUMBER($H$421),$B$252=1),$H$421,HLOOKUP(INDIRECT(ADDRESS(2,COLUMN())),OFFSET($CL$2,0,0,ROW()-1,84),ROW()-1,FALSE))</f>
        <v>14341.68563</v>
      </c>
      <c r="I219">
        <f ca="1">IF(AND(ISNUMBER($I$421),$B$252=1),$I$421,HLOOKUP(INDIRECT(ADDRESS(2,COLUMN())),OFFSET($CL$2,0,0,ROW()-1,84),ROW()-1,FALSE))</f>
        <v>14920.01655</v>
      </c>
      <c r="J219">
        <f ca="1">IF(AND(ISNUMBER($J$421),$B$252=1),$J$421,HLOOKUP(INDIRECT(ADDRESS(2,COLUMN())),OFFSET($CL$2,0,0,ROW()-1,84),ROW()-1,FALSE))</f>
        <v>15168.677009999999</v>
      </c>
      <c r="K219">
        <f ca="1">IF(AND(ISNUMBER($K$421),$B$252=1),$K$421,HLOOKUP(INDIRECT(ADDRESS(2,COLUMN())),OFFSET($CL$2,0,0,ROW()-1,84),ROW()-1,FALSE))</f>
        <v>15011.642110000001</v>
      </c>
      <c r="L219">
        <f ca="1">IF(AND(ISNUMBER($L$421),$B$252=1),$L$421,HLOOKUP(INDIRECT(ADDRESS(2,COLUMN())),OFFSET($CL$2,0,0,ROW()-1,84),ROW()-1,FALSE))</f>
        <v>14783.67685</v>
      </c>
      <c r="M219">
        <f ca="1">IF(AND(ISNUMBER($M$421),$B$252=1),$M$421,HLOOKUP(INDIRECT(ADDRESS(2,COLUMN())),OFFSET($CL$2,0,0,ROW()-1,84),ROW()-1,FALSE))</f>
        <v>14968.81178</v>
      </c>
      <c r="N219">
        <f ca="1">IF(AND(ISNUMBER($N$421),$B$252=1),$N$421,HLOOKUP(INDIRECT(ADDRESS(2,COLUMN())),OFFSET($CL$2,0,0,ROW()-1,84),ROW()-1,FALSE))</f>
        <v>15047.28889</v>
      </c>
      <c r="O219">
        <f ca="1">IF(AND(ISNUMBER($O$421),$B$252=1),$O$421,HLOOKUP(INDIRECT(ADDRESS(2,COLUMN())),OFFSET($CL$2,0,0,ROW()-1,84),ROW()-1,FALSE))</f>
        <v>15005.337159999999</v>
      </c>
      <c r="P219">
        <f ca="1">IF(AND(ISNUMBER($P$421),$B$252=1),$P$421,HLOOKUP(INDIRECT(ADDRESS(2,COLUMN())),OFFSET($CL$2,0,0,ROW()-1,84),ROW()-1,FALSE))</f>
        <v>14804.81511</v>
      </c>
      <c r="Q219">
        <f ca="1">IF(AND(ISNUMBER($Q$421),$B$252=1),$Q$421,HLOOKUP(INDIRECT(ADDRESS(2,COLUMN())),OFFSET($CL$2,0,0,ROW()-1,84),ROW()-1,FALSE))</f>
        <v>14435.762549999999</v>
      </c>
      <c r="R219">
        <f ca="1">IF(AND(ISNUMBER($R$421),$B$252=1),$R$421,HLOOKUP(INDIRECT(ADDRESS(2,COLUMN())),OFFSET($CL$2,0,0,ROW()-1,84),ROW()-1,FALSE))</f>
        <v>14122.10737</v>
      </c>
      <c r="S219">
        <f ca="1">IF(AND(ISNUMBER($S$421),$B$252=1),$S$421,HLOOKUP(INDIRECT(ADDRESS(2,COLUMN())),OFFSET($CL$2,0,0,ROW()-1,84),ROW()-1,FALSE))</f>
        <v>14118.19644</v>
      </c>
      <c r="T219">
        <f ca="1">IF(AND(ISNUMBER($T$421),$B$252=1),$T$421,HLOOKUP(INDIRECT(ADDRESS(2,COLUMN())),OFFSET($CL$2,0,0,ROW()-1,84),ROW()-1,FALSE))</f>
        <v>13699.49804</v>
      </c>
      <c r="U219">
        <f ca="1">IF(AND(ISNUMBER($U$421),$B$252=1),$U$421,HLOOKUP(INDIRECT(ADDRESS(2,COLUMN())),OFFSET($CL$2,0,0,ROW()-1,84),ROW()-1,FALSE))</f>
        <v>14108.38811</v>
      </c>
      <c r="V219">
        <f ca="1">IF(AND(ISNUMBER($V$421),$B$252=1),$V$421,HLOOKUP(INDIRECT(ADDRESS(2,COLUMN())),OFFSET($CL$2,0,0,ROW()-1,84),ROW()-1,FALSE))</f>
        <v>13588.53098</v>
      </c>
      <c r="W219">
        <f ca="1">IF(AND(ISNUMBER($W$421),$B$252=1),$W$421,HLOOKUP(INDIRECT(ADDRESS(2,COLUMN())),OFFSET($CL$2,0,0,ROW()-1,84),ROW()-1,FALSE))</f>
        <v>13837.07201</v>
      </c>
      <c r="X219">
        <f ca="1">IF(AND(ISNUMBER($X$421),$B$252=1),$X$421,HLOOKUP(INDIRECT(ADDRESS(2,COLUMN())),OFFSET($CL$2,0,0,ROW()-1,84),ROW()-1,FALSE))</f>
        <v>14091.4</v>
      </c>
      <c r="Y219">
        <f ca="1">IF(AND(ISNUMBER($Y$421),$B$252=1),$Y$421,HLOOKUP(INDIRECT(ADDRESS(2,COLUMN())),OFFSET($CL$2,0,0,ROW()-1,84),ROW()-1,FALSE))</f>
        <v>14018.7762</v>
      </c>
      <c r="Z219">
        <f ca="1">IF(AND(ISNUMBER($Z$421),$B$252=1),$Z$421,HLOOKUP(INDIRECT(ADDRESS(2,COLUMN())),OFFSET($CL$2,0,0,ROW()-1,84),ROW()-1,FALSE))</f>
        <v>14323.796130000001</v>
      </c>
      <c r="AA219">
        <f ca="1">IF(AND(ISNUMBER($AA$421),$B$252=1),$AA$421,HLOOKUP(INDIRECT(ADDRESS(2,COLUMN())),OFFSET($CL$2,0,0,ROW()-1,84),ROW()-1,FALSE))</f>
        <v>14236.68334</v>
      </c>
      <c r="AB219">
        <f ca="1">IF(AND(ISNUMBER($AB$421),$B$252=1),$AB$421,HLOOKUP(INDIRECT(ADDRESS(2,COLUMN())),OFFSET($CL$2,0,0,ROW()-1,84),ROW()-1,FALSE))</f>
        <v>13924.98669</v>
      </c>
      <c r="AC219">
        <f ca="1">IF(AND(ISNUMBER($AC$421),$B$252=1),$AC$421,HLOOKUP(INDIRECT(ADDRESS(2,COLUMN())),OFFSET($CL$2,0,0,ROW()-1,84),ROW()-1,FALSE))</f>
        <v>13602.446330000001</v>
      </c>
      <c r="AD219">
        <f ca="1">IF(AND(ISNUMBER($AD$421),$B$252=1),$AD$421,HLOOKUP(INDIRECT(ADDRESS(2,COLUMN())),OFFSET($CL$2,0,0,ROW()-1,84),ROW()-1,FALSE))</f>
        <v>14651.497139999999</v>
      </c>
      <c r="AE219">
        <f ca="1">IF(AND(ISNUMBER($AE$421),$B$252=1),$AE$421,HLOOKUP(INDIRECT(ADDRESS(2,COLUMN())),OFFSET($CL$2,0,0,ROW()-1,84),ROW()-1,FALSE))</f>
        <v>13556.82141</v>
      </c>
      <c r="AF219">
        <f ca="1">IF(AND(ISNUMBER($AF$421),$B$252=1),$AF$421,HLOOKUP(INDIRECT(ADDRESS(2,COLUMN())),OFFSET($CL$2,0,0,ROW()-1,84),ROW()-1,FALSE))</f>
        <v>13882.92497</v>
      </c>
      <c r="AG219">
        <f ca="1">IF(AND(ISNUMBER($AG$421),$B$252=1),$AG$421,HLOOKUP(INDIRECT(ADDRESS(2,COLUMN())),OFFSET($CL$2,0,0,ROW()-1,84),ROW()-1,FALSE))</f>
        <v>14401.71513</v>
      </c>
      <c r="AH219">
        <f ca="1">IF(AND(ISNUMBER($AH$421),$B$252=1),$AH$421,HLOOKUP(INDIRECT(ADDRESS(2,COLUMN())),OFFSET($CL$2,0,0,ROW()-1,84),ROW()-1,FALSE))</f>
        <v>13542.36908</v>
      </c>
      <c r="AI219">
        <f ca="1">IF(AND(ISNUMBER($AI$421),$B$252=1),$AI$421,HLOOKUP(INDIRECT(ADDRESS(2,COLUMN())),OFFSET($CL$2,0,0,ROW()-1,84),ROW()-1,FALSE))</f>
        <v>12900.431769999999</v>
      </c>
      <c r="AJ219">
        <f ca="1">IF(AND(ISNUMBER($AJ$421),$B$252=1),$AJ$421,HLOOKUP(INDIRECT(ADDRESS(2,COLUMN())),OFFSET($CL$2,0,0,ROW()-1,84),ROW()-1,FALSE))</f>
        <v>12819.46451</v>
      </c>
      <c r="AK219">
        <f ca="1">IF(AND(ISNUMBER($AK$421),$B$252=1),$AK$421,HLOOKUP(INDIRECT(ADDRESS(2,COLUMN())),OFFSET($CL$2,0,0,ROW()-1,84),ROW()-1,FALSE))</f>
        <v>12307.763370000001</v>
      </c>
      <c r="AL219">
        <f ca="1">IF(AND(ISNUMBER($AL$421),$B$252=1),$AL$421,HLOOKUP(INDIRECT(ADDRESS(2,COLUMN())),OFFSET($CL$2,0,0,ROW()-1,84),ROW()-1,FALSE))</f>
        <v>12616.265729999999</v>
      </c>
      <c r="AM219">
        <f ca="1">IF(AND(ISNUMBER($AM$421),$B$252=1),$AM$421,HLOOKUP(INDIRECT(ADDRESS(2,COLUMN())),OFFSET($CL$2,0,0,ROW()-1,84),ROW()-1,FALSE))</f>
        <v>12138.335290000001</v>
      </c>
      <c r="AN219">
        <f ca="1">IF(AND(ISNUMBER($AN$421),$B$252=1),$AN$421,HLOOKUP(INDIRECT(ADDRESS(2,COLUMN())),OFFSET($CL$2,0,0,ROW()-1,84),ROW()-1,FALSE))</f>
        <v>12231.78393</v>
      </c>
      <c r="AO219">
        <f ca="1">IF(AND(ISNUMBER($AO$421),$B$252=1),$AO$421,HLOOKUP(INDIRECT(ADDRESS(2,COLUMN())),OFFSET($CL$2,0,0,ROW()-1,84),ROW()-1,FALSE))</f>
        <v>12287.72776</v>
      </c>
      <c r="AP219">
        <f ca="1">IF(AND(ISNUMBER($AP$421),$B$252=1),$AP$421,HLOOKUP(INDIRECT(ADDRESS(2,COLUMN())),OFFSET($CL$2,0,0,ROW()-1,84),ROW()-1,FALSE))</f>
        <v>12615.896839999999</v>
      </c>
      <c r="AQ219">
        <f ca="1">IF(AND(ISNUMBER($AQ$421),$B$252=1),$AQ$421,HLOOKUP(INDIRECT(ADDRESS(2,COLUMN())),OFFSET($CL$2,0,0,ROW()-1,84),ROW()-1,FALSE))</f>
        <v>12144.95599</v>
      </c>
      <c r="AR219">
        <f ca="1">IF(AND(ISNUMBER($AR$421),$B$252=1),$AR$421,HLOOKUP(INDIRECT(ADDRESS(2,COLUMN())),OFFSET($CL$2,0,0,ROW()-1,84),ROW()-1,FALSE))</f>
        <v>12368.5262</v>
      </c>
      <c r="AS219">
        <f ca="1">IF(AND(ISNUMBER($AS$421),$B$252=1),$AS$421,HLOOKUP(INDIRECT(ADDRESS(2,COLUMN())),OFFSET($CL$2,0,0,ROW()-1,84),ROW()-1,FALSE))</f>
        <v>11937.31322</v>
      </c>
      <c r="AT219">
        <f ca="1">IF(AND(ISNUMBER($AT$421),$B$252=1),$AT$421,HLOOKUP(INDIRECT(ADDRESS(2,COLUMN())),OFFSET($CL$2,0,0,ROW()-1,84),ROW()-1,FALSE))</f>
        <v>11745.574189999999</v>
      </c>
      <c r="AU219">
        <f ca="1">IF(AND(ISNUMBER($AU$421),$B$252=1),$AU$421,HLOOKUP(INDIRECT(ADDRESS(2,COLUMN())),OFFSET($CL$2,0,0,ROW()-1,84),ROW()-1,FALSE))</f>
        <v>11601.11327</v>
      </c>
      <c r="AV219">
        <f ca="1">IF(AND(ISNUMBER($AV$421),$B$252=1),$AV$421,HLOOKUP(INDIRECT(ADDRESS(2,COLUMN())),OFFSET($CL$2,0,0,ROW()-1,84),ROW()-1,FALSE))</f>
        <v>10722.54709</v>
      </c>
      <c r="AW219">
        <f ca="1">IF(AND(ISNUMBER($AW$421),$B$252=1),$AW$421,HLOOKUP(INDIRECT(ADDRESS(2,COLUMN())),OFFSET($CL$2,0,0,ROW()-1,84),ROW()-1,FALSE))</f>
        <v>11525.604170000001</v>
      </c>
      <c r="AX219">
        <f ca="1">IF(AND(ISNUMBER($AX$421),$B$252=1),$AX$421,HLOOKUP(INDIRECT(ADDRESS(2,COLUMN())),OFFSET($CL$2,0,0,ROW()-1,84),ROW()-1,FALSE))</f>
        <v>11307.822</v>
      </c>
      <c r="AY219">
        <f ca="1">IF(AND(ISNUMBER($AY$421),$B$252=1),$AY$421,HLOOKUP(INDIRECT(ADDRESS(2,COLUMN())),OFFSET($CL$2,0,0,ROW()-1,84),ROW()-1,FALSE))</f>
        <v>11183.430630000001</v>
      </c>
      <c r="AZ219">
        <f ca="1">IF(AND(ISNUMBER($AZ$421),$B$252=1),$AZ$421,HLOOKUP(INDIRECT(ADDRESS(2,COLUMN())),OFFSET($CL$2,0,0,ROW()-1,84),ROW()-1,FALSE))</f>
        <v>10787.40991</v>
      </c>
      <c r="BA219">
        <f ca="1">IF(AND(ISNUMBER($BA$421),$B$252=1),$BA$421,HLOOKUP(INDIRECT(ADDRESS(2,COLUMN())),OFFSET($CL$2,0,0,ROW()-1,84),ROW()-1,FALSE))</f>
        <v>10357.47329</v>
      </c>
      <c r="BB219">
        <f ca="1">IF(AND(ISNUMBER($BB$421),$B$252=1),$BB$421,HLOOKUP(INDIRECT(ADDRESS(2,COLUMN())),OFFSET($CL$2,0,0,ROW()-1,84),ROW()-1,FALSE))</f>
        <v>10349.801890000001</v>
      </c>
      <c r="BC219">
        <f ca="1">IF(AND(ISNUMBER($BC$421),$B$252=1),$BC$421,HLOOKUP(INDIRECT(ADDRESS(2,COLUMN())),OFFSET($CL$2,0,0,ROW()-1,84),ROW()-1,FALSE))</f>
        <v>10225.807989999999</v>
      </c>
      <c r="BD219">
        <f ca="1">IF(AND(ISNUMBER($BD$421),$B$252=1),$BD$421,HLOOKUP(INDIRECT(ADDRESS(2,COLUMN())),OFFSET($CL$2,0,0,ROW()-1,84),ROW()-1,FALSE))</f>
        <v>9828.1451649999999</v>
      </c>
      <c r="BE219">
        <f ca="1">IF(AND(ISNUMBER($BE$421),$B$252=1),$BE$421,HLOOKUP(INDIRECT(ADDRESS(2,COLUMN())),OFFSET($CL$2,0,0,ROW()-1,84),ROW()-1,FALSE))</f>
        <v>9572.4183150000008</v>
      </c>
      <c r="BF219">
        <f ca="1">IF(AND(ISNUMBER($BF$421),$B$252=1),$BF$421,HLOOKUP(INDIRECT(ADDRESS(2,COLUMN())),OFFSET($CL$2,0,0,ROW()-1,84),ROW()-1,FALSE))</f>
        <v>9510.373904</v>
      </c>
      <c r="BG219">
        <f ca="1">IF(AND(ISNUMBER($BG$421),$B$252=1),$BG$421,HLOOKUP(INDIRECT(ADDRESS(2,COLUMN())),OFFSET($CL$2,0,0,ROW()-1,84),ROW()-1,FALSE))</f>
        <v>9908.1726419999995</v>
      </c>
      <c r="BH219">
        <f ca="1">IF(AND(ISNUMBER($BH$421),$B$252=1),$BH$421,HLOOKUP(INDIRECT(ADDRESS(2,COLUMN())),OFFSET($CL$2,0,0,ROW()-1,84),ROW()-1,FALSE))</f>
        <v>9621.5115870000009</v>
      </c>
      <c r="BI219">
        <f ca="1">IF(AND(ISNUMBER($BI$421),$B$252=1),$BI$421,HLOOKUP(INDIRECT(ADDRESS(2,COLUMN())),OFFSET($CL$2,0,0,ROW()-1,84),ROW()-1,FALSE))</f>
        <v>9268.4952159999993</v>
      </c>
      <c r="BJ219">
        <f ca="1">IF(AND(ISNUMBER($BJ$421),$B$252=1),$BJ$421,HLOOKUP(INDIRECT(ADDRESS(2,COLUMN())),OFFSET($CL$2,0,0,ROW()-1,84),ROW()-1,FALSE))</f>
        <v>9901.3645120000001</v>
      </c>
      <c r="BK219">
        <f ca="1">IF(AND(ISNUMBER($BK$421),$B$252=1),$BK$421,HLOOKUP(INDIRECT(ADDRESS(2,COLUMN())),OFFSET($CL$2,0,0,ROW()-1,84),ROW()-1,FALSE))</f>
        <v>10017.66649</v>
      </c>
      <c r="BL219">
        <f ca="1">IF(AND(ISNUMBER($BL$421),$B$252=1),$BL$421,HLOOKUP(INDIRECT(ADDRESS(2,COLUMN())),OFFSET($CL$2,0,0,ROW()-1,84),ROW()-1,FALSE))</f>
        <v>9836.0405510000001</v>
      </c>
      <c r="BM219">
        <f ca="1">IF(AND(ISNUMBER($BM$421),$B$252=1),$BM$421,HLOOKUP(INDIRECT(ADDRESS(2,COLUMN())),OFFSET($CL$2,0,0,ROW()-1,84),ROW()-1,FALSE))</f>
        <v>9876.4236149999997</v>
      </c>
      <c r="BN219">
        <f ca="1">IF(AND(ISNUMBER($BN$421),$B$252=1),$BN$421,HLOOKUP(INDIRECT(ADDRESS(2,COLUMN())),OFFSET($CL$2,0,0,ROW()-1,84),ROW()-1,FALSE))</f>
        <v>9775.8780829999996</v>
      </c>
      <c r="BO219">
        <f ca="1">IF(AND(ISNUMBER($BO$421),$B$252=1),$BO$421,HLOOKUP(INDIRECT(ADDRESS(2,COLUMN())),OFFSET($CL$2,0,0,ROW()-1,84),ROW()-1,FALSE))</f>
        <v>9596.5247139999992</v>
      </c>
      <c r="BP219">
        <f ca="1">IF(AND(ISNUMBER($BP$421),$B$252=1),$BP$421,HLOOKUP(INDIRECT(ADDRESS(2,COLUMN())),OFFSET($CL$2,0,0,ROW()-1,84),ROW()-1,FALSE))</f>
        <v>9603.2298050000009</v>
      </c>
      <c r="BQ219">
        <f ca="1">IF(AND(ISNUMBER($BQ$421),$B$252=1),$BQ$421,HLOOKUP(INDIRECT(ADDRESS(2,COLUMN())),OFFSET($CL$2,0,0,ROW()-1,84),ROW()-1,FALSE))</f>
        <v>9574.8732650000002</v>
      </c>
      <c r="BR219">
        <f ca="1">IF(AND(ISNUMBER($BR$421),$B$252=1),$BR$421,HLOOKUP(INDIRECT(ADDRESS(2,COLUMN())),OFFSET($CL$2,0,0,ROW()-1,84),ROW()-1,FALSE))</f>
        <v>9242.6666229999992</v>
      </c>
      <c r="BS219">
        <f ca="1">IF(AND(ISNUMBER($BS$421),$B$252=1),$BS$421,HLOOKUP(INDIRECT(ADDRESS(2,COLUMN())),OFFSET($CL$2,0,0,ROW()-1,84),ROW()-1,FALSE))</f>
        <v>9567.4830480000001</v>
      </c>
      <c r="BT219">
        <f ca="1">IF(AND(ISNUMBER($BT$421),$B$252=1),$BT$421,HLOOKUP(INDIRECT(ADDRESS(2,COLUMN())),OFFSET($CL$2,0,0,ROW()-1,84),ROW()-1,FALSE))</f>
        <v>9710.9756579999994</v>
      </c>
      <c r="BU219">
        <f ca="1">IF(AND(ISNUMBER($BU$421),$B$252=1),$BU$421,HLOOKUP(INDIRECT(ADDRESS(2,COLUMN())),OFFSET($CL$2,0,0,ROW()-1,84),ROW()-1,FALSE))</f>
        <v>9723.5620249999993</v>
      </c>
      <c r="BV219">
        <f ca="1">IF(AND(ISNUMBER($BV$421),$B$252=1),$BV$421,HLOOKUP(INDIRECT(ADDRESS(2,COLUMN())),OFFSET($CL$2,0,0,ROW()-1,84),ROW()-1,FALSE))</f>
        <v>9998.6204359999992</v>
      </c>
      <c r="BW219">
        <f ca="1">IF(AND(ISNUMBER($BW$421),$B$252=1),$BW$421,HLOOKUP(INDIRECT(ADDRESS(2,COLUMN())),OFFSET($CL$2,0,0,ROW()-1,84),ROW()-1,FALSE))</f>
        <v>9802.2497629999998</v>
      </c>
      <c r="BX219">
        <f ca="1">IF(AND(ISNUMBER($BX$421),$B$252=1),$BX$421,HLOOKUP(INDIRECT(ADDRESS(2,COLUMN())),OFFSET($CL$2,0,0,ROW()-1,84),ROW()-1,FALSE))</f>
        <v>11033.58251</v>
      </c>
      <c r="BY219">
        <f ca="1">IF(AND(ISNUMBER($BY$421),$B$252=1),$BY$421,HLOOKUP(INDIRECT(ADDRESS(2,COLUMN())),OFFSET($CL$2,0,0,ROW()-1,84),ROW()-1,FALSE))</f>
        <v>10125.303389999999</v>
      </c>
      <c r="BZ219">
        <f ca="1">IF(AND(ISNUMBER($BZ$421),$B$252=1),$BZ$421,HLOOKUP(INDIRECT(ADDRESS(2,COLUMN())),OFFSET($CL$2,0,0,ROW()-1,84),ROW()-1,FALSE))</f>
        <v>10213.087159999999</v>
      </c>
      <c r="CA219">
        <f ca="1">IF(AND(ISNUMBER($CA$421),$B$252=1),$CA$421,HLOOKUP(INDIRECT(ADDRESS(2,COLUMN())),OFFSET($CL$2,0,0,ROW()-1,84),ROW()-1,FALSE))</f>
        <v>9818.6493859999991</v>
      </c>
      <c r="CB219">
        <f ca="1">IF(AND(ISNUMBER($CB$421),$B$252=1),$CB$421,HLOOKUP(INDIRECT(ADDRESS(2,COLUMN())),OFFSET($CL$2,0,0,ROW()-1,84),ROW()-1,FALSE))</f>
        <v>9937.8383479999993</v>
      </c>
      <c r="CC219">
        <f ca="1">IF(AND(ISNUMBER($CC$421),$B$252=1),$CC$421,HLOOKUP(INDIRECT(ADDRESS(2,COLUMN())),OFFSET($CL$2,0,0,ROW()-1,84),ROW()-1,FALSE))</f>
        <v>9729.2629149999993</v>
      </c>
      <c r="CD219">
        <f ca="1">IF(AND(ISNUMBER($CD$421),$B$252=1),$CD$421,HLOOKUP(INDIRECT(ADDRESS(2,COLUMN())),OFFSET($CL$2,0,0,ROW()-1,84),ROW()-1,FALSE))</f>
        <v>9436.6754189999992</v>
      </c>
      <c r="CE219">
        <f ca="1">IF(AND(ISNUMBER($CE$421),$B$252=1),$CE$421,HLOOKUP(INDIRECT(ADDRESS(2,COLUMN())),OFFSET($CL$2,0,0,ROW()-1,84),ROW()-1,FALSE))</f>
        <v>9761.803242</v>
      </c>
      <c r="CF219">
        <f ca="1">IF(AND(ISNUMBER($CF$421),$B$252=1),$CF$421,HLOOKUP(INDIRECT(ADDRESS(2,COLUMN())),OFFSET($CL$2,0,0,ROW()-1,84),ROW()-1,FALSE))</f>
        <v>9129.1504029999996</v>
      </c>
      <c r="CG219">
        <f ca="1">IF(AND(ISNUMBER($CG$421),$B$252=1),$CG$421,HLOOKUP(INDIRECT(ADDRESS(2,COLUMN())),OFFSET($CL$2,0,0,ROW()-1,84),ROW()-1,FALSE))</f>
        <v>9865.3118979999999</v>
      </c>
      <c r="CH219">
        <f ca="1">IF(AND(ISNUMBER($CH$421),$B$252=1),$CH$421,HLOOKUP(INDIRECT(ADDRESS(2,COLUMN())),OFFSET($CL$2,0,0,ROW()-1,84),ROW()-1,FALSE))</f>
        <v>9655.3439550000003</v>
      </c>
      <c r="CI219">
        <f ca="1">IF(AND(ISNUMBER($CI$421),$B$252=1),$CI$421,HLOOKUP(INDIRECT(ADDRESS(2,COLUMN())),OFFSET($CL$2,0,0,ROW()-1,84),ROW()-1,FALSE))</f>
        <v>8656.2826750000004</v>
      </c>
      <c r="CJ219">
        <f ca="1">IF(AND(ISNUMBER($CJ$421),$B$252=1),$CJ$421,HLOOKUP(INDIRECT(ADDRESS(2,COLUMN())),OFFSET($CL$2,0,0,ROW()-1,84),ROW()-1,FALSE))</f>
        <v>8674.4412040000007</v>
      </c>
      <c r="CK219">
        <f ca="1">IF(AND(ISNUMBER($CK$421),$B$252=1),$CK$421,HLOOKUP(INDIRECT(ADDRESS(2,COLUMN())),OFFSET($CL$2,0,0,ROW()-1,84),ROW()-1,FALSE))</f>
        <v>8453.0748839999997</v>
      </c>
      <c r="CL219">
        <f>14030.49778</f>
        <v>14030.49778</v>
      </c>
      <c r="CM219">
        <f>13509.56749</f>
        <v>13509.567489999999</v>
      </c>
      <c r="CN219">
        <f>14341.68563</f>
        <v>14341.68563</v>
      </c>
      <c r="CO219">
        <f>14920.01655</f>
        <v>14920.01655</v>
      </c>
      <c r="CP219">
        <f>15168.67701</f>
        <v>15168.677009999999</v>
      </c>
      <c r="CQ219">
        <f>15011.64211</f>
        <v>15011.642110000001</v>
      </c>
      <c r="CR219">
        <f>14783.67685</f>
        <v>14783.67685</v>
      </c>
      <c r="CS219">
        <f>14968.81178</f>
        <v>14968.81178</v>
      </c>
      <c r="CT219">
        <f>15047.28889</f>
        <v>15047.28889</v>
      </c>
      <c r="CU219">
        <f>15005.33716</f>
        <v>15005.337159999999</v>
      </c>
      <c r="CV219">
        <f>14804.81511</f>
        <v>14804.81511</v>
      </c>
      <c r="CW219">
        <f>14435.76255</f>
        <v>14435.762549999999</v>
      </c>
      <c r="CX219">
        <f>14122.10737</f>
        <v>14122.10737</v>
      </c>
      <c r="CY219">
        <f>14118.19644</f>
        <v>14118.19644</v>
      </c>
      <c r="CZ219">
        <f>13699.49804</f>
        <v>13699.49804</v>
      </c>
      <c r="DA219">
        <f>14108.38811</f>
        <v>14108.38811</v>
      </c>
      <c r="DB219">
        <f>13588.53098</f>
        <v>13588.53098</v>
      </c>
      <c r="DC219">
        <f>13837.07201</f>
        <v>13837.07201</v>
      </c>
      <c r="DD219">
        <f>14091.4</f>
        <v>14091.4</v>
      </c>
      <c r="DE219">
        <f>14018.7762</f>
        <v>14018.7762</v>
      </c>
      <c r="DF219">
        <f>14323.79613</f>
        <v>14323.796130000001</v>
      </c>
      <c r="DG219">
        <f>14236.68334</f>
        <v>14236.68334</v>
      </c>
      <c r="DH219">
        <f>13924.98669</f>
        <v>13924.98669</v>
      </c>
      <c r="DI219">
        <f>13602.44633</f>
        <v>13602.446330000001</v>
      </c>
      <c r="DJ219">
        <f>14651.49714</f>
        <v>14651.497139999999</v>
      </c>
      <c r="DK219">
        <f>13556.82141</f>
        <v>13556.82141</v>
      </c>
      <c r="DL219">
        <f>13882.92497</f>
        <v>13882.92497</v>
      </c>
      <c r="DM219">
        <f>14401.71513</f>
        <v>14401.71513</v>
      </c>
      <c r="DN219">
        <f>13542.36908</f>
        <v>13542.36908</v>
      </c>
      <c r="DO219">
        <f>12900.43177</f>
        <v>12900.431769999999</v>
      </c>
      <c r="DP219">
        <f>12819.46451</f>
        <v>12819.46451</v>
      </c>
      <c r="DQ219">
        <f>12307.76337</f>
        <v>12307.763370000001</v>
      </c>
      <c r="DR219">
        <f>12616.26573</f>
        <v>12616.265729999999</v>
      </c>
      <c r="DS219">
        <f>12138.33529</f>
        <v>12138.335290000001</v>
      </c>
      <c r="DT219">
        <f>12231.78393</f>
        <v>12231.78393</v>
      </c>
      <c r="DU219">
        <f>12287.72776</f>
        <v>12287.72776</v>
      </c>
      <c r="DV219">
        <f>12615.89684</f>
        <v>12615.896839999999</v>
      </c>
      <c r="DW219">
        <f>12144.95599</f>
        <v>12144.95599</v>
      </c>
      <c r="DX219">
        <f>12368.5262</f>
        <v>12368.5262</v>
      </c>
      <c r="DY219">
        <f>11937.31322</f>
        <v>11937.31322</v>
      </c>
      <c r="DZ219">
        <f>11745.57419</f>
        <v>11745.574189999999</v>
      </c>
      <c r="EA219">
        <f>11601.11327</f>
        <v>11601.11327</v>
      </c>
      <c r="EB219">
        <f>10722.54709</f>
        <v>10722.54709</v>
      </c>
      <c r="EC219">
        <f>11525.60417</f>
        <v>11525.604170000001</v>
      </c>
      <c r="ED219">
        <f>11307.822</f>
        <v>11307.822</v>
      </c>
      <c r="EE219">
        <f>11183.43063</f>
        <v>11183.430630000001</v>
      </c>
      <c r="EF219">
        <f>10787.40991</f>
        <v>10787.40991</v>
      </c>
      <c r="EG219">
        <f>10357.47329</f>
        <v>10357.47329</v>
      </c>
      <c r="EH219">
        <f>10349.80189</f>
        <v>10349.801890000001</v>
      </c>
      <c r="EI219">
        <f>10225.80799</f>
        <v>10225.807989999999</v>
      </c>
      <c r="EJ219">
        <f>9828.145165</f>
        <v>9828.1451649999999</v>
      </c>
      <c r="EK219">
        <f>9572.418315</f>
        <v>9572.4183150000008</v>
      </c>
      <c r="EL219">
        <f>9510.373904</f>
        <v>9510.373904</v>
      </c>
      <c r="EM219">
        <f>9908.172642</f>
        <v>9908.1726419999995</v>
      </c>
      <c r="EN219">
        <f>9621.511587</f>
        <v>9621.5115870000009</v>
      </c>
      <c r="EO219">
        <f>9268.495216</f>
        <v>9268.4952159999993</v>
      </c>
      <c r="EP219">
        <f>9901.364512</f>
        <v>9901.3645120000001</v>
      </c>
      <c r="EQ219">
        <f>10017.66649</f>
        <v>10017.66649</v>
      </c>
      <c r="ER219">
        <f>9836.040551</f>
        <v>9836.0405510000001</v>
      </c>
      <c r="ES219">
        <f>9876.423615</f>
        <v>9876.4236149999997</v>
      </c>
      <c r="ET219">
        <f>9775.878083</f>
        <v>9775.8780829999996</v>
      </c>
      <c r="EU219">
        <f>9596.524714</f>
        <v>9596.5247139999992</v>
      </c>
      <c r="EV219">
        <f>9603.229805</f>
        <v>9603.2298050000009</v>
      </c>
      <c r="EW219">
        <f>9574.873265</f>
        <v>9574.8732650000002</v>
      </c>
      <c r="EX219">
        <f>9242.666623</f>
        <v>9242.6666229999992</v>
      </c>
      <c r="EY219">
        <f>9567.483048</f>
        <v>9567.4830480000001</v>
      </c>
      <c r="EZ219">
        <f>9710.975658</f>
        <v>9710.9756579999994</v>
      </c>
      <c r="FA219">
        <f>9723.562025</f>
        <v>9723.5620249999993</v>
      </c>
      <c r="FB219">
        <f>9998.620436</f>
        <v>9998.6204359999992</v>
      </c>
      <c r="FC219">
        <f>9802.249763</f>
        <v>9802.2497629999998</v>
      </c>
      <c r="FD219">
        <f>11033.58251</f>
        <v>11033.58251</v>
      </c>
      <c r="FE219">
        <f>10125.30339</f>
        <v>10125.303389999999</v>
      </c>
      <c r="FF219">
        <f>10213.08716</f>
        <v>10213.087159999999</v>
      </c>
      <c r="FG219">
        <f>9818.649386</f>
        <v>9818.6493859999991</v>
      </c>
      <c r="FH219">
        <f>9937.838348</f>
        <v>9937.8383479999993</v>
      </c>
      <c r="FI219">
        <f>9729.262915</f>
        <v>9729.2629149999993</v>
      </c>
      <c r="FJ219">
        <f>9436.675419</f>
        <v>9436.6754189999992</v>
      </c>
      <c r="FK219">
        <f>9761.803242</f>
        <v>9761.803242</v>
      </c>
      <c r="FL219">
        <f>9129.150403</f>
        <v>9129.1504029999996</v>
      </c>
      <c r="FM219">
        <f>9865.311898</f>
        <v>9865.3118979999999</v>
      </c>
      <c r="FN219">
        <f>9655.343955</f>
        <v>9655.3439550000003</v>
      </c>
      <c r="FO219">
        <f>8656.282675</f>
        <v>8656.2826750000004</v>
      </c>
      <c r="FP219">
        <f>8674.441204</f>
        <v>8674.4412040000007</v>
      </c>
      <c r="FQ219">
        <f>8453.074884</f>
        <v>8453.0748839999997</v>
      </c>
    </row>
    <row r="220" spans="1:173">
      <c r="A220" t="str">
        <f>"最新价格"</f>
        <v>最新价格</v>
      </c>
      <c r="B220" t="str">
        <f>""</f>
        <v/>
      </c>
      <c r="E220" t="str">
        <f>"Average"</f>
        <v>Average</v>
      </c>
      <c r="F220">
        <f ca="1">IF(ISERROR(IF(AVERAGE($F$221:$F$228) = 0, "", AVERAGE($F$221:$F$228))), "", (IF(AVERAGE($F$221:$F$228) = 0, "", AVERAGE($F$221:$F$228))))</f>
        <v>101.03</v>
      </c>
      <c r="G220">
        <f ca="1">IF(ISERROR(IF(AVERAGE($G$221:$G$228) = 0, "", AVERAGE($G$221:$G$228))), "", (IF(AVERAGE($G$221:$G$228) = 0, "", AVERAGE($G$221:$G$228))))</f>
        <v>96.27</v>
      </c>
      <c r="H220">
        <f ca="1">IF(ISERROR(IF(AVERAGE($H$221:$H$228) = 0, "", AVERAGE($H$221:$H$228))), "", (IF(AVERAGE($H$221:$H$228) = 0, "", AVERAGE($H$221:$H$228))))</f>
        <v>103.61285714285714</v>
      </c>
      <c r="I220">
        <f ca="1">IF(ISERROR(IF(AVERAGE($I$221:$I$228) = 0, "", AVERAGE($I$221:$I$228))), "", (IF(AVERAGE($I$221:$I$228) = 0, "", AVERAGE($I$221:$I$228))))</f>
        <v>108.34285714285713</v>
      </c>
      <c r="J220">
        <f ca="1">IF(ISERROR(IF(AVERAGE($J$221:$J$228) = 0, "", AVERAGE($J$221:$J$228))), "", (IF(AVERAGE($J$221:$J$228) = 0, "", AVERAGE($J$221:$J$228))))</f>
        <v>110.3257142857143</v>
      </c>
      <c r="K220">
        <f ca="1">IF(ISERROR(IF(AVERAGE($K$221:$K$228) = 0, "", AVERAGE($K$221:$K$228))), "", (IF(AVERAGE($K$221:$K$228) = 0, "", AVERAGE($K$221:$K$228))))</f>
        <v>112.48285714285714</v>
      </c>
      <c r="L220">
        <f ca="1">IF(ISERROR(IF(AVERAGE($L$221:$L$228) = 0, "", AVERAGE($L$221:$L$228))), "", (IF(AVERAGE($L$221:$L$228) = 0, "", AVERAGE($L$221:$L$228))))</f>
        <v>98.82374999999999</v>
      </c>
      <c r="M220">
        <f ca="1">IF(ISERROR(IF(AVERAGE($M$221:$M$228) = 0, "", AVERAGE($M$221:$M$228))), "", (IF(AVERAGE($M$221:$M$228) = 0, "", AVERAGE($M$221:$M$228))))</f>
        <v>101.61750000000002</v>
      </c>
      <c r="N220">
        <f ca="1">IF(ISERROR(IF(AVERAGE($N$221:$N$228) = 0, "", AVERAGE($N$221:$N$228))), "", (IF(AVERAGE($N$221:$N$228) = 0, "", AVERAGE($N$221:$N$228))))</f>
        <v>101.49249999999999</v>
      </c>
      <c r="O220">
        <f ca="1">IF(ISERROR(IF(AVERAGE($O$221:$O$228) = 0, "", AVERAGE($O$221:$O$228))), "", (IF(AVERAGE($O$221:$O$228) = 0, "", AVERAGE($O$221:$O$228))))</f>
        <v>99.726250000000007</v>
      </c>
      <c r="P220">
        <f ca="1">IF(ISERROR(IF(AVERAGE($P$221:$P$228) = 0, "", AVERAGE($P$221:$P$228))), "", (IF(AVERAGE($P$221:$P$228) = 0, "", AVERAGE($P$221:$P$228))))</f>
        <v>98.70750000000001</v>
      </c>
      <c r="Q220">
        <f ca="1">IF(ISERROR(IF(AVERAGE($Q$221:$Q$228) = 0, "", AVERAGE($Q$221:$Q$228))), "", (IF(AVERAGE($Q$221:$Q$228) = 0, "", AVERAGE($Q$221:$Q$228))))</f>
        <v>96.461250000000007</v>
      </c>
      <c r="R220">
        <f ca="1">IF(ISERROR(IF(AVERAGE($R$221:$R$228) = 0, "", AVERAGE($R$221:$R$228))), "", (IF(AVERAGE($R$221:$R$228) = 0, "", AVERAGE($R$221:$R$228))))</f>
        <v>93.766249999999999</v>
      </c>
      <c r="S220">
        <f ca="1">IF(ISERROR(IF(AVERAGE($S$221:$S$228) = 0, "", AVERAGE($S$221:$S$228))), "", (IF(AVERAGE($S$221:$S$228) = 0, "", AVERAGE($S$221:$S$228))))</f>
        <v>95.28125</v>
      </c>
      <c r="T220">
        <f ca="1">IF(ISERROR(IF(AVERAGE($T$221:$T$228) = 0, "", AVERAGE($T$221:$T$228))), "", (IF(AVERAGE($T$221:$T$228) = 0, "", AVERAGE($T$221:$T$228))))</f>
        <v>90.761250000000004</v>
      </c>
      <c r="U220">
        <f ca="1">IF(ISERROR(IF(AVERAGE($U$221:$U$228) = 0, "", AVERAGE($U$221:$U$228))), "", (IF(AVERAGE($U$221:$U$228) = 0, "", AVERAGE($U$221:$U$228))))</f>
        <v>93.59375</v>
      </c>
      <c r="V220">
        <f ca="1">IF(ISERROR(IF(AVERAGE($V$221:$V$228) = 0, "", AVERAGE($V$221:$V$228))), "", (IF(AVERAGE($V$221:$V$228) = 0, "", AVERAGE($V$221:$V$228))))</f>
        <v>87.178749999999994</v>
      </c>
      <c r="W220">
        <f ca="1">IF(ISERROR(IF(AVERAGE($W$221:$W$228) = 0, "", AVERAGE($W$221:$W$228))), "", (IF(AVERAGE($W$221:$W$228) = 0, "", AVERAGE($W$221:$W$228))))</f>
        <v>88.848749999999995</v>
      </c>
      <c r="X220">
        <f ca="1">IF(ISERROR(IF(AVERAGE($X$221:$X$228) = 0, "", AVERAGE($X$221:$X$228))), "", (IF(AVERAGE($X$221:$X$228) = 0, "", AVERAGE($X$221:$X$228))))</f>
        <v>91.892499999999998</v>
      </c>
      <c r="Y220">
        <f ca="1">IF(ISERROR(IF(AVERAGE($Y$221:$Y$228) = 0, "", AVERAGE($Y$221:$Y$228))), "", (IF(AVERAGE($Y$221:$Y$228) = 0, "", AVERAGE($Y$221:$Y$228))))</f>
        <v>92.577499999999986</v>
      </c>
      <c r="Z220">
        <f ca="1">IF(ISERROR(IF(AVERAGE($Z$221:$Z$228) = 0, "", AVERAGE($Z$221:$Z$228))), "", (IF(AVERAGE($Z$221:$Z$228) = 0, "", AVERAGE($Z$221:$Z$228))))</f>
        <v>97.13000000000001</v>
      </c>
      <c r="AA220">
        <f ca="1">IF(ISERROR(IF(AVERAGE($AA$221:$AA$228) = 0, "", AVERAGE($AA$221:$AA$228))), "", (IF(AVERAGE($AA$221:$AA$228) = 0, "", AVERAGE($AA$221:$AA$228))))</f>
        <v>95.433749999999989</v>
      </c>
      <c r="AB220">
        <f ca="1">IF(ISERROR(IF(AVERAGE($AB$221:$AB$228) = 0, "", AVERAGE($AB$221:$AB$228))), "", (IF(AVERAGE($AB$221:$AB$228) = 0, "", AVERAGE($AB$221:$AB$228))))</f>
        <v>94.16749999999999</v>
      </c>
      <c r="AC220">
        <f ca="1">IF(ISERROR(IF(AVERAGE($AC$221:$AC$228) = 0, "", AVERAGE($AC$221:$AC$228))), "", (IF(AVERAGE($AC$221:$AC$228) = 0, "", AVERAGE($AC$221:$AC$228))))</f>
        <v>90.857499999999987</v>
      </c>
      <c r="AD220">
        <f ca="1">IF(ISERROR(IF(AVERAGE($AD$221:$AD$228) = 0, "", AVERAGE($AD$221:$AD$228))), "", (IF(AVERAGE($AD$221:$AD$228) = 0, "", AVERAGE($AD$221:$AD$228))))</f>
        <v>96.95</v>
      </c>
      <c r="AE220">
        <f ca="1">IF(ISERROR(IF(AVERAGE($AE$221:$AE$228) = 0, "", AVERAGE($AE$221:$AE$228))), "", (IF(AVERAGE($AE$221:$AE$228) = 0, "", AVERAGE($AE$221:$AE$228))))</f>
        <v>87.513750000000016</v>
      </c>
      <c r="AF220">
        <f ca="1">IF(ISERROR(IF(AVERAGE($AF$221:$AF$228) = 0, "", AVERAGE($AF$221:$AF$228))), "", (IF(AVERAGE($AF$221:$AF$228) = 0, "", AVERAGE($AF$221:$AF$228))))</f>
        <v>89.408750000000012</v>
      </c>
      <c r="AG220">
        <f ca="1">IF(ISERROR(IF(AVERAGE($AG$221:$AG$228) = 0, "", AVERAGE($AG$221:$AG$228))), "", (IF(AVERAGE($AG$221:$AG$228) = 0, "", AVERAGE($AG$221:$AG$228))))</f>
        <v>95.007500000000007</v>
      </c>
      <c r="AH220">
        <f ca="1">IF(ISERROR(IF(AVERAGE($AH$221:$AH$228) = 0, "", AVERAGE($AH$221:$AH$228))), "", (IF(AVERAGE($AH$221:$AH$228) = 0, "", AVERAGE($AH$221:$AH$228))))</f>
        <v>92.792500000000004</v>
      </c>
      <c r="AI220">
        <f ca="1">IF(ISERROR(IF(AVERAGE($AI$221:$AI$228) = 0, "", AVERAGE($AI$221:$AI$228))), "", (IF(AVERAGE($AI$221:$AI$228) = 0, "", AVERAGE($AI$221:$AI$228))))</f>
        <v>89.385000000000005</v>
      </c>
      <c r="AJ220">
        <f ca="1">IF(ISERROR(IF(AVERAGE($AJ$221:$AJ$228) = 0, "", AVERAGE($AJ$221:$AJ$228))), "", (IF(AVERAGE($AJ$221:$AJ$228) = 0, "", AVERAGE($AJ$221:$AJ$228))))</f>
        <v>88.742499999999993</v>
      </c>
      <c r="AK220">
        <f ca="1">IF(ISERROR(IF(AVERAGE($AK$221:$AK$228) = 0, "", AVERAGE($AK$221:$AK$228))), "", (IF(AVERAGE($AK$221:$AK$228) = 0, "", AVERAGE($AK$221:$AK$228))))</f>
        <v>84.892499999999998</v>
      </c>
      <c r="AL220">
        <f ca="1">IF(ISERROR(IF(AVERAGE($AL$221:$AL$228) = 0, "", AVERAGE($AL$221:$AL$228))), "", (IF(AVERAGE($AL$221:$AL$228) = 0, "", AVERAGE($AL$221:$AL$228))))</f>
        <v>89.282499999999999</v>
      </c>
      <c r="AM220">
        <f ca="1">IF(ISERROR(IF(AVERAGE($AM$221:$AM$228) = 0, "", AVERAGE($AM$221:$AM$228))), "", (IF(AVERAGE($AM$221:$AM$228) = 0, "", AVERAGE($AM$221:$AM$228))))</f>
        <v>83.451249999999987</v>
      </c>
      <c r="AN220">
        <f ca="1">IF(ISERROR(IF(AVERAGE($AN$221:$AN$228) = 0, "", AVERAGE($AN$221:$AN$228))), "", (IF(AVERAGE($AN$221:$AN$228) = 0, "", AVERAGE($AN$221:$AN$228))))</f>
        <v>86.858750000000015</v>
      </c>
      <c r="AO220">
        <f ca="1">IF(ISERROR(IF(AVERAGE($AO$221:$AO$228) = 0, "", AVERAGE($AO$221:$AO$228))), "", (IF(AVERAGE($AO$221:$AO$228) = 0, "", AVERAGE($AO$221:$AO$228))))</f>
        <v>86.222500000000011</v>
      </c>
      <c r="AP220">
        <f ca="1">IF(ISERROR(IF(AVERAGE($AP$221:$AP$228) = 0, "", AVERAGE($AP$221:$AP$228))), "", (IF(AVERAGE($AP$221:$AP$228) = 0, "", AVERAGE($AP$221:$AP$228))))</f>
        <v>90.015000000000001</v>
      </c>
      <c r="AQ220">
        <f ca="1">IF(ISERROR(IF(AVERAGE($AQ$221:$AQ$228) = 0, "", AVERAGE($AQ$221:$AQ$228))), "", (IF(AVERAGE($AQ$221:$AQ$228) = 0, "", AVERAGE($AQ$221:$AQ$228))))</f>
        <v>86.486250000000013</v>
      </c>
      <c r="AR220">
        <f ca="1">IF(ISERROR(IF(AVERAGE($AR$221:$AR$228) = 0, "", AVERAGE($AR$221:$AR$228))), "", (IF(AVERAGE($AR$221:$AR$228) = 0, "", AVERAGE($AR$221:$AR$228))))</f>
        <v>89.41125000000001</v>
      </c>
      <c r="AS220">
        <f ca="1">IF(ISERROR(IF(AVERAGE($AS$221:$AS$228) = 0, "", AVERAGE($AS$221:$AS$228))), "", (IF(AVERAGE($AS$221:$AS$228) = 0, "", AVERAGE($AS$221:$AS$228))))</f>
        <v>83.447500000000005</v>
      </c>
      <c r="AT220">
        <f ca="1">IF(ISERROR(IF(AVERAGE($AT$221:$AT$228) = 0, "", AVERAGE($AT$221:$AT$228))), "", (IF(AVERAGE($AT$221:$AT$228) = 0, "", AVERAGE($AT$221:$AT$228))))</f>
        <v>82.739374999999995</v>
      </c>
      <c r="AU220">
        <f ca="1">IF(ISERROR(IF(AVERAGE($AU$221:$AU$228) = 0, "", AVERAGE($AU$221:$AU$228))), "", (IF(AVERAGE($AU$221:$AU$228) = 0, "", AVERAGE($AU$221:$AU$228))))</f>
        <v>91.501428571428576</v>
      </c>
      <c r="AV220">
        <f ca="1">IF(ISERROR(IF(AVERAGE($AV$221:$AV$228) = 0, "", AVERAGE($AV$221:$AV$228))), "", (IF(AVERAGE($AV$221:$AV$228) = 0, "", AVERAGE($AV$221:$AV$228))))</f>
        <v>82.078571428571422</v>
      </c>
      <c r="AW220">
        <f ca="1">IF(ISERROR(IF(AVERAGE($AW$221:$AW$228) = 0, "", AVERAGE($AW$221:$AW$228))), "", (IF(AVERAGE($AW$221:$AW$228) = 0, "", AVERAGE($AW$221:$AW$228))))</f>
        <v>89.338571428571427</v>
      </c>
      <c r="AX220">
        <f ca="1">IF(ISERROR(IF(AVERAGE($AX$221:$AX$228) = 0, "", AVERAGE($AX$221:$AX$228))), "", (IF(AVERAGE($AX$221:$AX$228) = 0, "", AVERAGE($AX$221:$AX$228))))</f>
        <v>86.834285714285713</v>
      </c>
      <c r="AY220">
        <f ca="1">IF(ISERROR(IF(AVERAGE($AY$221:$AY$228) = 0, "", AVERAGE($AY$221:$AY$228))), "", (IF(AVERAGE($AY$221:$AY$228) = 0, "", AVERAGE($AY$221:$AY$228))))</f>
        <v>85.028571428571425</v>
      </c>
      <c r="AZ220">
        <f ca="1">IF(ISERROR(IF(AVERAGE($AZ$221:$AZ$228) = 0, "", AVERAGE($AZ$221:$AZ$228))), "", (IF(AVERAGE($AZ$221:$AZ$228) = 0, "", AVERAGE($AZ$221:$AZ$228))))</f>
        <v>83.741428571428585</v>
      </c>
      <c r="BA220">
        <f ca="1">IF(ISERROR(IF(AVERAGE($BA$221:$BA$228) = 0, "", AVERAGE($BA$221:$BA$228))), "", (IF(AVERAGE($BA$221:$BA$228) = 0, "", AVERAGE($BA$221:$BA$228))))</f>
        <v>80.582857142857151</v>
      </c>
      <c r="BB220">
        <f ca="1">IF(ISERROR(IF(AVERAGE($BB$221:$BB$228) = 0, "", AVERAGE($BB$221:$BB$228))), "", (IF(AVERAGE($BB$221:$BB$228) = 0, "", AVERAGE($BB$221:$BB$228))))</f>
        <v>78.717142857142875</v>
      </c>
      <c r="BC220">
        <f ca="1">IF(ISERROR(IF(AVERAGE($BC$221:$BC$228) = 0, "", AVERAGE($BC$221:$BC$228))), "", (IF(AVERAGE($BC$221:$BC$228) = 0, "", AVERAGE($BC$221:$BC$228))))</f>
        <v>77.818571428571417</v>
      </c>
      <c r="BD220">
        <f ca="1">IF(ISERROR(IF(AVERAGE($BD$221:$BD$228) = 0, "", AVERAGE($BD$221:$BD$228))), "", (IF(AVERAGE($BD$221:$BD$228) = 0, "", AVERAGE($BD$221:$BD$228))))</f>
        <v>73.702857142857155</v>
      </c>
      <c r="BE220">
        <f ca="1">IF(ISERROR(IF(AVERAGE($BE$221:$BE$228) = 0, "", AVERAGE($BE$221:$BE$228))), "", (IF(AVERAGE($BE$221:$BE$228) = 0, "", AVERAGE($BE$221:$BE$228))))</f>
        <v>68.641428571428577</v>
      </c>
      <c r="BF220">
        <f ca="1">IF(ISERROR(IF(AVERAGE($BF$221:$BF$228) = 0, "", AVERAGE($BF$221:$BF$228))), "", (IF(AVERAGE($BF$221:$BF$228) = 0, "", AVERAGE($BF$221:$BF$228))))</f>
        <v>69.778571428571439</v>
      </c>
      <c r="BG220">
        <f ca="1">IF(ISERROR(IF(AVERAGE($BG$221:$BG$228) = 0, "", AVERAGE($BG$221:$BG$228))), "", (IF(AVERAGE($BG$221:$BG$228) = 0, "", AVERAGE($BG$221:$BG$228))))</f>
        <v>74.54285714285713</v>
      </c>
      <c r="BH220">
        <f ca="1">IF(ISERROR(IF(AVERAGE($BH$221:$BH$228) = 0, "", AVERAGE($BH$221:$BH$228))), "", (IF(AVERAGE($BH$221:$BH$228) = 0, "", AVERAGE($BH$221:$BH$228))))</f>
        <v>71.991428571428571</v>
      </c>
      <c r="BI220">
        <f ca="1">IF(ISERROR(IF(AVERAGE($BI$221:$BI$228) = 0, "", AVERAGE($BI$221:$BI$228))), "", (IF(AVERAGE($BI$221:$BI$228) = 0, "", AVERAGE($BI$221:$BI$228))))</f>
        <v>70.381428571428572</v>
      </c>
      <c r="BJ220">
        <f ca="1">IF(ISERROR(IF(AVERAGE($BJ$221:$BJ$228) = 0, "", AVERAGE($BJ$221:$BJ$228))), "", (IF(AVERAGE($BJ$221:$BJ$228) = 0, "", AVERAGE($BJ$221:$BJ$228))))</f>
        <v>77.877142857142843</v>
      </c>
      <c r="BK220">
        <f ca="1">IF(ISERROR(IF(AVERAGE($BK$221:$BK$228) = 0, "", AVERAGE($BK$221:$BK$228))), "", (IF(AVERAGE($BK$221:$BK$228) = 0, "", AVERAGE($BK$221:$BK$228))))</f>
        <v>77.761428571428567</v>
      </c>
      <c r="BL220">
        <f ca="1">IF(ISERROR(IF(AVERAGE($BL$221:$BL$228) = 0, "", AVERAGE($BL$221:$BL$228))), "", (IF(AVERAGE($BL$221:$BL$228) = 0, "", AVERAGE($BL$221:$BL$228))))</f>
        <v>76.885714285714272</v>
      </c>
      <c r="BM220">
        <f ca="1">IF(ISERROR(IF(AVERAGE($BM$221:$BM$228) = 0, "", AVERAGE($BM$221:$BM$228))), "", (IF(AVERAGE($BM$221:$BM$228) = 0, "", AVERAGE($BM$221:$BM$228))))</f>
        <v>77.844285714285704</v>
      </c>
      <c r="BN220">
        <f ca="1">IF(ISERROR(IF(AVERAGE($BN$221:$BN$228) = 0, "", AVERAGE($BN$221:$BN$228))), "", (IF(AVERAGE($BN$221:$BN$228) = 0, "", AVERAGE($BN$221:$BN$228))))</f>
        <v>74.985714285714295</v>
      </c>
      <c r="BO220">
        <f ca="1">IF(ISERROR(IF(AVERAGE($BO$221:$BO$228) = 0, "", AVERAGE($BO$221:$BO$228))), "", (IF(AVERAGE($BO$221:$BO$228) = 0, "", AVERAGE($BO$221:$BO$228))))</f>
        <v>74.417142857142849</v>
      </c>
      <c r="BP220">
        <f ca="1">IF(ISERROR(IF(AVERAGE($BP$221:$BP$228) = 0, "", AVERAGE($BP$221:$BP$228))), "", (IF(AVERAGE($BP$221:$BP$228) = 0, "", AVERAGE($BP$221:$BP$228))))</f>
        <v>74.984285714285718</v>
      </c>
      <c r="BQ220">
        <f ca="1">IF(ISERROR(IF(AVERAGE($BQ$221:$BQ$228) = 0, "", AVERAGE($BQ$221:$BQ$228))), "", (IF(AVERAGE($BQ$221:$BQ$228) = 0, "", AVERAGE($BQ$221:$BQ$228))))</f>
        <v>74.672857142857154</v>
      </c>
      <c r="BR220">
        <f ca="1">IF(ISERROR(IF(AVERAGE($BR$221:$BR$228) = 0, "", AVERAGE($BR$221:$BR$228))), "", (IF(AVERAGE($BR$221:$BR$228) = 0, "", AVERAGE($BR$221:$BR$228))))</f>
        <v>71.984285714285718</v>
      </c>
      <c r="BS220">
        <f ca="1">IF(ISERROR(IF(AVERAGE($BS$221:$BS$228) = 0, "", AVERAGE($BS$221:$BS$228))), "", (IF(AVERAGE($BS$221:$BS$228) = 0, "", AVERAGE($BS$221:$BS$228))))</f>
        <v>74.895714285714277</v>
      </c>
      <c r="BT220">
        <f ca="1">IF(ISERROR(IF(AVERAGE($BT$221:$BT$228) = 0, "", AVERAGE($BT$221:$BT$228))), "", (IF(AVERAGE($BT$221:$BT$228) = 0, "", AVERAGE($BT$221:$BT$228))))</f>
        <v>74.624285714285719</v>
      </c>
      <c r="BU220">
        <f ca="1">IF(ISERROR(IF(AVERAGE($BU$221:$BU$228) = 0, "", AVERAGE($BU$221:$BU$228))), "", (IF(AVERAGE($BU$221:$BU$228) = 0, "", AVERAGE($BU$221:$BU$228))))</f>
        <v>77.58</v>
      </c>
      <c r="BV220">
        <f ca="1">IF(ISERROR(IF(AVERAGE($BV$221:$BV$228) = 0, "", AVERAGE($BV$221:$BV$228))), "", (IF(AVERAGE($BV$221:$BV$228) = 0, "", AVERAGE($BV$221:$BV$228))))</f>
        <v>80.334285714285713</v>
      </c>
      <c r="BW220">
        <f ca="1">IF(ISERROR(IF(AVERAGE($BW$221:$BW$228) = 0, "", AVERAGE($BW$221:$BW$228))), "", (IF(AVERAGE($BW$221:$BW$228) = 0, "", AVERAGE($BW$221:$BW$228))))</f>
        <v>78.077142857142874</v>
      </c>
      <c r="BX220">
        <f ca="1">IF(ISERROR(IF(AVERAGE($BX$221:$BX$228) = 0, "", AVERAGE($BX$221:$BX$228))), "", (IF(AVERAGE($BX$221:$BX$228) = 0, "", AVERAGE($BX$221:$BX$228))))</f>
        <v>76.682857142857145</v>
      </c>
      <c r="BY220">
        <f ca="1">IF(ISERROR(IF(AVERAGE($BY$221:$BY$228) = 0, "", AVERAGE($BY$221:$BY$228))), "", (IF(AVERAGE($BY$221:$BY$228) = 0, "", AVERAGE($BY$221:$BY$228))))</f>
        <v>79.147142857142867</v>
      </c>
      <c r="BZ220">
        <f ca="1">IF(ISERROR(IF(AVERAGE($BZ$221:$BZ$228) = 0, "", AVERAGE($BZ$221:$BZ$228))), "", (IF(AVERAGE($BZ$221:$BZ$228) = 0, "", AVERAGE($BZ$221:$BZ$228))))</f>
        <v>77.34</v>
      </c>
      <c r="CA220">
        <f ca="1">IF(ISERROR(IF(AVERAGE($CA$221:$CA$228) = 0, "", AVERAGE($CA$221:$CA$228))), "", (IF(AVERAGE($CA$221:$CA$228) = 0, "", AVERAGE($CA$221:$CA$228))))</f>
        <v>71.539999999999992</v>
      </c>
      <c r="CB220">
        <f ca="1">IF(ISERROR(IF(AVERAGE($CB$221:$CB$228) = 0, "", AVERAGE($CB$221:$CB$228))), "", (IF(AVERAGE($CB$221:$CB$228) = 0, "", AVERAGE($CB$221:$CB$228))))</f>
        <v>74.080000000000013</v>
      </c>
      <c r="CC220">
        <f ca="1">IF(ISERROR(IF(AVERAGE($CC$221:$CC$228) = 0, "", AVERAGE($CC$221:$CC$228))), "", (IF(AVERAGE($CC$221:$CC$228) = 0, "", AVERAGE($CC$221:$CC$228))))</f>
        <v>71.562857142857141</v>
      </c>
      <c r="CD220">
        <f ca="1">IF(ISERROR(IF(AVERAGE($CD$221:$CD$228) = 0, "", AVERAGE($CD$221:$CD$228))), "", (IF(AVERAGE($CD$221:$CD$228) = 0, "", AVERAGE($CD$221:$CD$228))))</f>
        <v>67.602857142857133</v>
      </c>
      <c r="CE220">
        <f ca="1">IF(ISERROR(IF(AVERAGE($CE$221:$CE$228) = 0, "", AVERAGE($CE$221:$CE$228))), "", (IF(AVERAGE($CE$221:$CE$228) = 0, "", AVERAGE($CE$221:$CE$228))))</f>
        <v>72.53857142857143</v>
      </c>
      <c r="CF220">
        <f ca="1">IF(ISERROR(IF(AVERAGE($CF$221:$CF$228) = 0, "", AVERAGE($CF$221:$CF$228))), "", (IF(AVERAGE($CF$221:$CF$228) = 0, "", AVERAGE($CF$221:$CF$228))))</f>
        <v>63.671428571428564</v>
      </c>
      <c r="CG220">
        <f ca="1">IF(ISERROR(IF(AVERAGE($CG$221:$CG$228) = 0, "", AVERAGE($CG$221:$CG$228))), "", (IF(AVERAGE($CG$221:$CG$228) = 0, "", AVERAGE($CG$221:$CG$228))))</f>
        <v>76.098571428571432</v>
      </c>
      <c r="CH220">
        <f ca="1">IF(ISERROR(IF(AVERAGE($CH$221:$CH$228) = 0, "", AVERAGE($CH$221:$CH$228))), "", (IF(AVERAGE($CH$221:$CH$228) = 0, "", AVERAGE($CH$221:$CH$228))))</f>
        <v>75.405714285714296</v>
      </c>
      <c r="CI220">
        <f ca="1">IF(ISERROR(IF(AVERAGE($CI$221:$CI$228) = 0, "", AVERAGE($CI$221:$CI$228))), "", (IF(AVERAGE($CI$221:$CI$228) = 0, "", AVERAGE($CI$221:$CI$228))))</f>
        <v>72.122857142857157</v>
      </c>
      <c r="CJ220">
        <f ca="1">IF(ISERROR(IF(AVERAGE($CJ$221:$CJ$228) = 0, "", AVERAGE($CJ$221:$CJ$228))), "", (IF(AVERAGE($CJ$221:$CJ$228) = 0, "", AVERAGE($CJ$221:$CJ$228))))</f>
        <v>74.018571428571434</v>
      </c>
      <c r="CK220">
        <f ca="1">IF(ISERROR(IF(AVERAGE($CK$221:$CK$228) = 0, "", AVERAGE($CK$221:$CK$228))), "", (IF(AVERAGE($CK$221:$CK$228) = 0, "", AVERAGE($CK$221:$CK$228))))</f>
        <v>72.039999999999992</v>
      </c>
      <c r="CL220">
        <f>101.03</f>
        <v>101.03</v>
      </c>
      <c r="CM220">
        <f>96.27</f>
        <v>96.27</v>
      </c>
      <c r="CN220">
        <f>103.6128571</f>
        <v>103.6128571</v>
      </c>
      <c r="CO220">
        <f>108.3428571</f>
        <v>108.3428571</v>
      </c>
      <c r="CP220">
        <f>110.3257143</f>
        <v>110.3257143</v>
      </c>
      <c r="CQ220">
        <f>112.4828571</f>
        <v>112.4828571</v>
      </c>
      <c r="CR220">
        <f>98.82375</f>
        <v>98.823750000000004</v>
      </c>
      <c r="CS220">
        <f>101.6175</f>
        <v>101.61750000000001</v>
      </c>
      <c r="CT220">
        <f>101.4925</f>
        <v>101.49250000000001</v>
      </c>
      <c r="CU220">
        <f>99.72625</f>
        <v>99.726249999999993</v>
      </c>
      <c r="CV220">
        <f>98.7075</f>
        <v>98.707499999999996</v>
      </c>
      <c r="CW220">
        <f>96.46125</f>
        <v>96.461250000000007</v>
      </c>
      <c r="CX220">
        <f>93.76625</f>
        <v>93.766249999999999</v>
      </c>
      <c r="CY220">
        <f>95.28125</f>
        <v>95.28125</v>
      </c>
      <c r="CZ220">
        <f>90.76125</f>
        <v>90.761250000000004</v>
      </c>
      <c r="DA220">
        <f>93.59375</f>
        <v>93.59375</v>
      </c>
      <c r="DB220">
        <f>87.17875</f>
        <v>87.178749999999994</v>
      </c>
      <c r="DC220">
        <f>88.84875</f>
        <v>88.848749999999995</v>
      </c>
      <c r="DD220">
        <f>91.8925</f>
        <v>91.892499999999998</v>
      </c>
      <c r="DE220">
        <f>92.5775</f>
        <v>92.577500000000001</v>
      </c>
      <c r="DF220">
        <f>97.13</f>
        <v>97.13</v>
      </c>
      <c r="DG220">
        <f>95.43375</f>
        <v>95.433750000000003</v>
      </c>
      <c r="DH220">
        <f>94.1675</f>
        <v>94.167500000000004</v>
      </c>
      <c r="DI220">
        <f>90.8575</f>
        <v>90.857500000000002</v>
      </c>
      <c r="DJ220">
        <f>96.95</f>
        <v>96.95</v>
      </c>
      <c r="DK220">
        <f>87.51375</f>
        <v>87.513750000000002</v>
      </c>
      <c r="DL220">
        <f>89.40875</f>
        <v>89.408749999999998</v>
      </c>
      <c r="DM220">
        <f>95.0075</f>
        <v>95.007499999999993</v>
      </c>
      <c r="DN220">
        <f>92.7925</f>
        <v>92.792500000000004</v>
      </c>
      <c r="DO220">
        <f>89.385</f>
        <v>89.385000000000005</v>
      </c>
      <c r="DP220">
        <f>88.7425</f>
        <v>88.742500000000007</v>
      </c>
      <c r="DQ220">
        <f>84.8925</f>
        <v>84.892499999999998</v>
      </c>
      <c r="DR220">
        <f>89.2825</f>
        <v>89.282499999999999</v>
      </c>
      <c r="DS220">
        <f>83.45125</f>
        <v>83.451250000000002</v>
      </c>
      <c r="DT220">
        <f>86.85875</f>
        <v>86.858750000000001</v>
      </c>
      <c r="DU220">
        <f>86.2225</f>
        <v>86.222499999999997</v>
      </c>
      <c r="DV220">
        <f>90.015</f>
        <v>90.015000000000001</v>
      </c>
      <c r="DW220">
        <f>86.48625</f>
        <v>86.486249999999998</v>
      </c>
      <c r="DX220">
        <f>89.41125</f>
        <v>89.411249999999995</v>
      </c>
      <c r="DY220">
        <f>83.4475</f>
        <v>83.447500000000005</v>
      </c>
      <c r="DZ220">
        <f>82.739375</f>
        <v>82.739374999999995</v>
      </c>
      <c r="EA220">
        <f>91.50142857</f>
        <v>91.501428570000002</v>
      </c>
      <c r="EB220">
        <f>82.07857143</f>
        <v>82.078571429999997</v>
      </c>
      <c r="EC220">
        <f>89.33857143</f>
        <v>89.338571430000002</v>
      </c>
      <c r="ED220">
        <f>86.83428571</f>
        <v>86.834285710000003</v>
      </c>
      <c r="EE220">
        <f>85.02857143</f>
        <v>85.02857143</v>
      </c>
      <c r="EF220">
        <f>83.74142857</f>
        <v>83.741428569999997</v>
      </c>
      <c r="EG220">
        <f>80.58285714</f>
        <v>80.582857140000002</v>
      </c>
      <c r="EH220">
        <f>78.71714286</f>
        <v>78.717142859999996</v>
      </c>
      <c r="EI220">
        <f>77.81857143</f>
        <v>77.818571430000006</v>
      </c>
      <c r="EJ220">
        <f>73.70285714</f>
        <v>73.702857140000006</v>
      </c>
      <c r="EK220">
        <f>68.64142857</f>
        <v>68.641428570000002</v>
      </c>
      <c r="EL220">
        <f>69.77857143</f>
        <v>69.77857143</v>
      </c>
      <c r="EM220">
        <f>74.54285714</f>
        <v>74.542857139999995</v>
      </c>
      <c r="EN220">
        <f>71.99142857</f>
        <v>71.991428569999997</v>
      </c>
      <c r="EO220">
        <f>70.38142857</f>
        <v>70.381428569999997</v>
      </c>
      <c r="EP220">
        <f>77.87714286</f>
        <v>77.877142860000006</v>
      </c>
      <c r="EQ220">
        <f>77.76142857</f>
        <v>77.761428570000007</v>
      </c>
      <c r="ER220">
        <f>76.88571429</f>
        <v>76.885714289999996</v>
      </c>
      <c r="ES220">
        <f>77.84428571</f>
        <v>77.844285709999994</v>
      </c>
      <c r="ET220">
        <f>74.98571429</f>
        <v>74.985714290000004</v>
      </c>
      <c r="EU220">
        <f>74.41714286</f>
        <v>74.417142859999998</v>
      </c>
      <c r="EV220">
        <f>74.98428571</f>
        <v>74.984285709999995</v>
      </c>
      <c r="EW220">
        <f>74.67285714</f>
        <v>74.672857140000005</v>
      </c>
      <c r="EX220">
        <f>71.98428571</f>
        <v>71.984285709999995</v>
      </c>
      <c r="EY220">
        <f>74.89571429</f>
        <v>74.895714290000001</v>
      </c>
      <c r="EZ220">
        <f>74.62428571</f>
        <v>74.624285709999995</v>
      </c>
      <c r="FA220">
        <f>77.58</f>
        <v>77.58</v>
      </c>
      <c r="FB220">
        <f>80.33428571</f>
        <v>80.334285710000003</v>
      </c>
      <c r="FC220">
        <f>78.07714286</f>
        <v>78.077142859999995</v>
      </c>
      <c r="FD220">
        <f>76.68285714</f>
        <v>76.682857139999996</v>
      </c>
      <c r="FE220">
        <f>79.14714286</f>
        <v>79.147142860000002</v>
      </c>
      <c r="FF220">
        <f>77.34</f>
        <v>77.34</v>
      </c>
      <c r="FG220">
        <f>71.54</f>
        <v>71.540000000000006</v>
      </c>
      <c r="FH220">
        <f>74.08</f>
        <v>74.08</v>
      </c>
      <c r="FI220">
        <f>71.56285714</f>
        <v>71.562857140000006</v>
      </c>
      <c r="FJ220">
        <f>67.60285714</f>
        <v>67.602857139999998</v>
      </c>
      <c r="FK220">
        <f>72.53857143</f>
        <v>72.538571430000005</v>
      </c>
      <c r="FL220">
        <f>63.67142857</f>
        <v>63.671428570000003</v>
      </c>
      <c r="FM220">
        <f>76.09857143</f>
        <v>76.098571430000007</v>
      </c>
      <c r="FN220">
        <f>75.40571429</f>
        <v>75.405714290000006</v>
      </c>
      <c r="FO220">
        <f>72.12285714</f>
        <v>72.122857139999994</v>
      </c>
      <c r="FP220">
        <f>74.01857143</f>
        <v>74.018571429999994</v>
      </c>
      <c r="FQ220">
        <f>72.04</f>
        <v>72.040000000000006</v>
      </c>
    </row>
    <row r="221" spans="1:173">
      <c r="A221" t="str">
        <f>"    Apartment Investment &amp; Managem"</f>
        <v xml:space="preserve">    Apartment Investment &amp; Managem</v>
      </c>
      <c r="B221" t="str">
        <f>"AIV US Equity"</f>
        <v>AIV US Equity</v>
      </c>
      <c r="C221" t="str">
        <f t="shared" ref="C221:C228" si="72">"PR005"</f>
        <v>PR005</v>
      </c>
      <c r="D221" t="str">
        <f t="shared" ref="D221:D228" si="73">"PX_LAST"</f>
        <v>PX_LAST</v>
      </c>
      <c r="E221" t="str">
        <f t="shared" ref="E221:E228" si="74">"动态"</f>
        <v>动态</v>
      </c>
      <c r="F221">
        <f ca="1">IF(AND(ISNUMBER($F$422),$B$252=1),$F$422,HLOOKUP(INDIRECT(ADDRESS(2,COLUMN())),OFFSET($CL$2,0,0,ROW()-1,84),ROW()-1,FALSE))</f>
        <v>40.04</v>
      </c>
      <c r="G221">
        <f ca="1">IF(AND(ISNUMBER($G$422),$B$252=1),$G$422,HLOOKUP(INDIRECT(ADDRESS(2,COLUMN())),OFFSET($CL$2,0,0,ROW()-1,84),ROW()-1,FALSE))</f>
        <v>38.659999999999997</v>
      </c>
      <c r="H221">
        <f ca="1">IF(AND(ISNUMBER($H$422),$B$252=1),$H$422,HLOOKUP(INDIRECT(ADDRESS(2,COLUMN())),OFFSET($CL$2,0,0,ROW()-1,84),ROW()-1,FALSE))</f>
        <v>41.84</v>
      </c>
      <c r="I221">
        <f ca="1">IF(AND(ISNUMBER($I$422),$B$252=1),$I$422,HLOOKUP(INDIRECT(ADDRESS(2,COLUMN())),OFFSET($CL$2,0,0,ROW()-1,84),ROW()-1,FALSE))</f>
        <v>43.71</v>
      </c>
      <c r="J221">
        <f ca="1">IF(AND(ISNUMBER($J$422),$B$252=1),$J$422,HLOOKUP(INDIRECT(ADDRESS(2,COLUMN())),OFFSET($CL$2,0,0,ROW()-1,84),ROW()-1,FALSE))</f>
        <v>44.09</v>
      </c>
      <c r="K221">
        <f ca="1">IF(AND(ISNUMBER($K$422),$B$252=1),$K$422,HLOOKUP(INDIRECT(ADDRESS(2,COLUMN())),OFFSET($CL$2,0,0,ROW()-1,84),ROW()-1,FALSE))</f>
        <v>43.98</v>
      </c>
      <c r="L221">
        <f ca="1">IF(AND(ISNUMBER($L$422),$B$252=1),$L$422,HLOOKUP(INDIRECT(ADDRESS(2,COLUMN())),OFFSET($CL$2,0,0,ROW()-1,84),ROW()-1,FALSE))</f>
        <v>43.86</v>
      </c>
      <c r="M221">
        <f ca="1">IF(AND(ISNUMBER($M$422),$B$252=1),$M$422,HLOOKUP(INDIRECT(ADDRESS(2,COLUMN())),OFFSET($CL$2,0,0,ROW()-1,84),ROW()-1,FALSE))</f>
        <v>45.33</v>
      </c>
      <c r="N221">
        <f ca="1">IF(AND(ISNUMBER($N$422),$B$252=1),$N$422,HLOOKUP(INDIRECT(ADDRESS(2,COLUMN())),OFFSET($CL$2,0,0,ROW()-1,84),ROW()-1,FALSE))</f>
        <v>45.55</v>
      </c>
      <c r="O221">
        <f ca="1">IF(AND(ISNUMBER($O$422),$B$252=1),$O$422,HLOOKUP(INDIRECT(ADDRESS(2,COLUMN())),OFFSET($CL$2,0,0,ROW()-1,84),ROW()-1,FALSE))</f>
        <v>42.97</v>
      </c>
      <c r="P221">
        <f ca="1">IF(AND(ISNUMBER($P$422),$B$252=1),$P$422,HLOOKUP(INDIRECT(ADDRESS(2,COLUMN())),OFFSET($CL$2,0,0,ROW()-1,84),ROW()-1,FALSE))</f>
        <v>42.92</v>
      </c>
      <c r="Q221">
        <f ca="1">IF(AND(ISNUMBER($Q$422),$B$252=1),$Q$422,HLOOKUP(INDIRECT(ADDRESS(2,COLUMN())),OFFSET($CL$2,0,0,ROW()-1,84),ROW()-1,FALSE))</f>
        <v>43.74</v>
      </c>
      <c r="R221">
        <f ca="1">IF(AND(ISNUMBER($R$422),$B$252=1),$R$422,HLOOKUP(INDIRECT(ADDRESS(2,COLUMN())),OFFSET($CL$2,0,0,ROW()-1,84),ROW()-1,FALSE))</f>
        <v>44.35</v>
      </c>
      <c r="S221">
        <f ca="1">IF(AND(ISNUMBER($S$422),$B$252=1),$S$422,HLOOKUP(INDIRECT(ADDRESS(2,COLUMN())),OFFSET($CL$2,0,0,ROW()-1,84),ROW()-1,FALSE))</f>
        <v>46.53</v>
      </c>
      <c r="T221">
        <f ca="1">IF(AND(ISNUMBER($T$422),$B$252=1),$T$422,HLOOKUP(INDIRECT(ADDRESS(2,COLUMN())),OFFSET($CL$2,0,0,ROW()-1,84),ROW()-1,FALSE))</f>
        <v>44.07</v>
      </c>
      <c r="U221">
        <f ca="1">IF(AND(ISNUMBER($U$422),$B$252=1),$U$422,HLOOKUP(INDIRECT(ADDRESS(2,COLUMN())),OFFSET($CL$2,0,0,ROW()-1,84),ROW()-1,FALSE))</f>
        <v>45.45</v>
      </c>
      <c r="V221">
        <f ca="1">IF(AND(ISNUMBER($V$422),$B$252=1),$V$422,HLOOKUP(INDIRECT(ADDRESS(2,COLUMN())),OFFSET($CL$2,0,0,ROW()-1,84),ROW()-1,FALSE))</f>
        <v>42.1</v>
      </c>
      <c r="W221">
        <f ca="1">IF(AND(ISNUMBER($W$422),$B$252=1),$W$422,HLOOKUP(INDIRECT(ADDRESS(2,COLUMN())),OFFSET($CL$2,0,0,ROW()-1,84),ROW()-1,FALSE))</f>
        <v>44.07</v>
      </c>
      <c r="X221">
        <f ca="1">IF(AND(ISNUMBER($X$422),$B$252=1),$X$422,HLOOKUP(INDIRECT(ADDRESS(2,COLUMN())),OFFSET($CL$2,0,0,ROW()-1,84),ROW()-1,FALSE))</f>
        <v>45.91</v>
      </c>
      <c r="Y221">
        <f ca="1">IF(AND(ISNUMBER($Y$422),$B$252=1),$Y$422,HLOOKUP(INDIRECT(ADDRESS(2,COLUMN())),OFFSET($CL$2,0,0,ROW()-1,84),ROW()-1,FALSE))</f>
        <v>45.18</v>
      </c>
      <c r="Z221">
        <f ca="1">IF(AND(ISNUMBER($Z$422),$B$252=1),$Z$422,HLOOKUP(INDIRECT(ADDRESS(2,COLUMN())),OFFSET($CL$2,0,0,ROW()-1,84),ROW()-1,FALSE))</f>
        <v>45.97</v>
      </c>
      <c r="AA221">
        <f ca="1">IF(AND(ISNUMBER($AA$422),$B$252=1),$AA$422,HLOOKUP(INDIRECT(ADDRESS(2,COLUMN())),OFFSET($CL$2,0,0,ROW()-1,84),ROW()-1,FALSE))</f>
        <v>44.16</v>
      </c>
      <c r="AB221">
        <f ca="1">IF(AND(ISNUMBER($AB$422),$B$252=1),$AB$422,HLOOKUP(INDIRECT(ADDRESS(2,COLUMN())),OFFSET($CL$2,0,0,ROW()-1,84),ROW()-1,FALSE))</f>
        <v>42.65</v>
      </c>
      <c r="AC221">
        <f ca="1">IF(AND(ISNUMBER($AC$422),$B$252=1),$AC$422,HLOOKUP(INDIRECT(ADDRESS(2,COLUMN())),OFFSET($CL$2,0,0,ROW()-1,84),ROW()-1,FALSE))</f>
        <v>40.06</v>
      </c>
      <c r="AD221">
        <f ca="1">IF(AND(ISNUMBER($AD$422),$B$252=1),$AD$422,HLOOKUP(INDIRECT(ADDRESS(2,COLUMN())),OFFSET($CL$2,0,0,ROW()-1,84),ROW()-1,FALSE))</f>
        <v>41.82</v>
      </c>
      <c r="AE221">
        <f ca="1">IF(AND(ISNUMBER($AE$422),$B$252=1),$AE$422,HLOOKUP(INDIRECT(ADDRESS(2,COLUMN())),OFFSET($CL$2,0,0,ROW()-1,84),ROW()-1,FALSE))</f>
        <v>36.61</v>
      </c>
      <c r="AF221">
        <f ca="1">IF(AND(ISNUMBER($AF$422),$B$252=1),$AF$422,HLOOKUP(INDIRECT(ADDRESS(2,COLUMN())),OFFSET($CL$2,0,0,ROW()-1,84),ROW()-1,FALSE))</f>
        <v>39.15</v>
      </c>
      <c r="AG221">
        <f ca="1">IF(AND(ISNUMBER($AG$422),$B$252=1),$AG$422,HLOOKUP(INDIRECT(ADDRESS(2,COLUMN())),OFFSET($CL$2,0,0,ROW()-1,84),ROW()-1,FALSE))</f>
        <v>40.03</v>
      </c>
      <c r="AH221">
        <f ca="1">IF(AND(ISNUMBER($AH$422),$B$252=1),$AH$422,HLOOKUP(INDIRECT(ADDRESS(2,COLUMN())),OFFSET($CL$2,0,0,ROW()-1,84),ROW()-1,FALSE))</f>
        <v>38.11</v>
      </c>
      <c r="AI221">
        <f ca="1">IF(AND(ISNUMBER($AI$422),$B$252=1),$AI$422,HLOOKUP(INDIRECT(ADDRESS(2,COLUMN())),OFFSET($CL$2,0,0,ROW()-1,84),ROW()-1,FALSE))</f>
        <v>39.19</v>
      </c>
      <c r="AJ221">
        <f ca="1">IF(AND(ISNUMBER($AJ$422),$B$252=1),$AJ$422,HLOOKUP(INDIRECT(ADDRESS(2,COLUMN())),OFFSET($CL$2,0,0,ROW()-1,84),ROW()-1,FALSE))</f>
        <v>37.020000000000003</v>
      </c>
      <c r="AK221">
        <f ca="1">IF(AND(ISNUMBER($AK$422),$B$252=1),$AK$422,HLOOKUP(INDIRECT(ADDRESS(2,COLUMN())),OFFSET($CL$2,0,0,ROW()-1,84),ROW()-1,FALSE))</f>
        <v>36.03</v>
      </c>
      <c r="AL221">
        <f ca="1">IF(AND(ISNUMBER($AL$422),$B$252=1),$AL$422,HLOOKUP(INDIRECT(ADDRESS(2,COLUMN())),OFFSET($CL$2,0,0,ROW()-1,84),ROW()-1,FALSE))</f>
        <v>39.08</v>
      </c>
      <c r="AM221">
        <f ca="1">IF(AND(ISNUMBER($AM$422),$B$252=1),$AM$422,HLOOKUP(INDIRECT(ADDRESS(2,COLUMN())),OFFSET($CL$2,0,0,ROW()-1,84),ROW()-1,FALSE))</f>
        <v>36.93</v>
      </c>
      <c r="AN221">
        <f ca="1">IF(AND(ISNUMBER($AN$422),$B$252=1),$AN$422,HLOOKUP(INDIRECT(ADDRESS(2,COLUMN())),OFFSET($CL$2,0,0,ROW()-1,84),ROW()-1,FALSE))</f>
        <v>37.93</v>
      </c>
      <c r="AO221">
        <f ca="1">IF(AND(ISNUMBER($AO$422),$B$252=1),$AO$422,HLOOKUP(INDIRECT(ADDRESS(2,COLUMN())),OFFSET($CL$2,0,0,ROW()-1,84),ROW()-1,FALSE))</f>
        <v>37.729999999999997</v>
      </c>
      <c r="AP221">
        <f ca="1">IF(AND(ISNUMBER($AP$422),$B$252=1),$AP$422,HLOOKUP(INDIRECT(ADDRESS(2,COLUMN())),OFFSET($CL$2,0,0,ROW()-1,84),ROW()-1,FALSE))</f>
        <v>39.36</v>
      </c>
      <c r="AQ221">
        <f ca="1">IF(AND(ISNUMBER($AQ$422),$B$252=1),$AQ$422,HLOOKUP(INDIRECT(ADDRESS(2,COLUMN())),OFFSET($CL$2,0,0,ROW()-1,84),ROW()-1,FALSE))</f>
        <v>37.68</v>
      </c>
      <c r="AR221">
        <f ca="1">IF(AND(ISNUMBER($AR$422),$B$252=1),$AR$422,HLOOKUP(INDIRECT(ADDRESS(2,COLUMN())),OFFSET($CL$2,0,0,ROW()-1,84),ROW()-1,FALSE))</f>
        <v>39.86</v>
      </c>
      <c r="AS221">
        <f ca="1">IF(AND(ISNUMBER($AS$422),$B$252=1),$AS$422,HLOOKUP(INDIRECT(ADDRESS(2,COLUMN())),OFFSET($CL$2,0,0,ROW()-1,84),ROW()-1,FALSE))</f>
        <v>37.15</v>
      </c>
      <c r="AT221">
        <f ca="1">IF(AND(ISNUMBER($AT$422),$B$252=1),$AT$422,HLOOKUP(INDIRECT(ADDRESS(2,COLUMN())),OFFSET($CL$2,0,0,ROW()-1,84),ROW()-1,FALSE))</f>
        <v>37.25</v>
      </c>
      <c r="AU221">
        <f ca="1">IF(AND(ISNUMBER($AU$422),$B$252=1),$AU$422,HLOOKUP(INDIRECT(ADDRESS(2,COLUMN())),OFFSET($CL$2,0,0,ROW()-1,84),ROW()-1,FALSE))</f>
        <v>35.79</v>
      </c>
      <c r="AV221">
        <f ca="1">IF(AND(ISNUMBER($AV$422),$B$252=1),$AV$422,HLOOKUP(INDIRECT(ADDRESS(2,COLUMN())),OFFSET($CL$2,0,0,ROW()-1,84),ROW()-1,FALSE))</f>
        <v>31.82</v>
      </c>
      <c r="AW221">
        <f ca="1">IF(AND(ISNUMBER($AW$422),$B$252=1),$AW$422,HLOOKUP(INDIRECT(ADDRESS(2,COLUMN())),OFFSET($CL$2,0,0,ROW()-1,84),ROW()-1,FALSE))</f>
        <v>34.270000000000003</v>
      </c>
      <c r="AX221">
        <f ca="1">IF(AND(ISNUMBER($AX$422),$B$252=1),$AX$422,HLOOKUP(INDIRECT(ADDRESS(2,COLUMN())),OFFSET($CL$2,0,0,ROW()-1,84),ROW()-1,FALSE))</f>
        <v>34.18</v>
      </c>
      <c r="AY221">
        <f ca="1">IF(AND(ISNUMBER($AY$422),$B$252=1),$AY$422,HLOOKUP(INDIRECT(ADDRESS(2,COLUMN())),OFFSET($CL$2,0,0,ROW()-1,84),ROW()-1,FALSE))</f>
        <v>32.270000000000003</v>
      </c>
      <c r="AZ221">
        <f ca="1">IF(AND(ISNUMBER($AZ$422),$B$252=1),$AZ$422,HLOOKUP(INDIRECT(ADDRESS(2,COLUMN())),OFFSET($CL$2,0,0,ROW()-1,84),ROW()-1,FALSE))</f>
        <v>31.48</v>
      </c>
      <c r="BA221">
        <f ca="1">IF(AND(ISNUMBER($BA$422),$B$252=1),$BA$422,HLOOKUP(INDIRECT(ADDRESS(2,COLUMN())),OFFSET($CL$2,0,0,ROW()-1,84),ROW()-1,FALSE))</f>
        <v>30.83</v>
      </c>
      <c r="BB221">
        <f ca="1">IF(AND(ISNUMBER($BB$422),$B$252=1),$BB$422,HLOOKUP(INDIRECT(ADDRESS(2,COLUMN())),OFFSET($CL$2,0,0,ROW()-1,84),ROW()-1,FALSE))</f>
        <v>30.22</v>
      </c>
      <c r="BC221">
        <f ca="1">IF(AND(ISNUMBER($BC$422),$B$252=1),$BC$422,HLOOKUP(INDIRECT(ADDRESS(2,COLUMN())),OFFSET($CL$2,0,0,ROW()-1,84),ROW()-1,FALSE))</f>
        <v>29.89</v>
      </c>
      <c r="BD221">
        <f ca="1">IF(AND(ISNUMBER($BD$422),$B$252=1),$BD$422,HLOOKUP(INDIRECT(ADDRESS(2,COLUMN())),OFFSET($CL$2,0,0,ROW()-1,84),ROW()-1,FALSE))</f>
        <v>27.97</v>
      </c>
      <c r="BE221">
        <f ca="1">IF(AND(ISNUMBER($BE$422),$B$252=1),$BE$422,HLOOKUP(INDIRECT(ADDRESS(2,COLUMN())),OFFSET($CL$2,0,0,ROW()-1,84),ROW()-1,FALSE))</f>
        <v>25.91</v>
      </c>
      <c r="BF221">
        <f ca="1">IF(AND(ISNUMBER($BF$422),$B$252=1),$BF$422,HLOOKUP(INDIRECT(ADDRESS(2,COLUMN())),OFFSET($CL$2,0,0,ROW()-1,84),ROW()-1,FALSE))</f>
        <v>25.11</v>
      </c>
      <c r="BG221">
        <f ca="1">IF(AND(ISNUMBER($BG$422),$B$252=1),$BG$422,HLOOKUP(INDIRECT(ADDRESS(2,COLUMN())),OFFSET($CL$2,0,0,ROW()-1,84),ROW()-1,FALSE))</f>
        <v>27.98</v>
      </c>
      <c r="BH221">
        <f ca="1">IF(AND(ISNUMBER($BH$422),$B$252=1),$BH$422,HLOOKUP(INDIRECT(ADDRESS(2,COLUMN())),OFFSET($CL$2,0,0,ROW()-1,84),ROW()-1,FALSE))</f>
        <v>27.94</v>
      </c>
      <c r="BI221">
        <f ca="1">IF(AND(ISNUMBER($BI$422),$B$252=1),$BI$422,HLOOKUP(INDIRECT(ADDRESS(2,COLUMN())),OFFSET($CL$2,0,0,ROW()-1,84),ROW()-1,FALSE))</f>
        <v>27.53</v>
      </c>
      <c r="BJ221">
        <f ca="1">IF(AND(ISNUMBER($BJ$422),$B$252=1),$BJ$422,HLOOKUP(INDIRECT(ADDRESS(2,COLUMN())),OFFSET($CL$2,0,0,ROW()-1,84),ROW()-1,FALSE))</f>
        <v>29.38</v>
      </c>
      <c r="BK221">
        <f ca="1">IF(AND(ISNUMBER($BK$422),$B$252=1),$BK$422,HLOOKUP(INDIRECT(ADDRESS(2,COLUMN())),OFFSET($CL$2,0,0,ROW()-1,84),ROW()-1,FALSE))</f>
        <v>30.04</v>
      </c>
      <c r="BL221">
        <f ca="1">IF(AND(ISNUMBER($BL$422),$B$252=1),$BL$422,HLOOKUP(INDIRECT(ADDRESS(2,COLUMN())),OFFSET($CL$2,0,0,ROW()-1,84),ROW()-1,FALSE))</f>
        <v>30.26</v>
      </c>
      <c r="BM221">
        <f ca="1">IF(AND(ISNUMBER($BM$422),$B$252=1),$BM$422,HLOOKUP(INDIRECT(ADDRESS(2,COLUMN())),OFFSET($CL$2,0,0,ROW()-1,84),ROW()-1,FALSE))</f>
        <v>31.11</v>
      </c>
      <c r="BN221">
        <f ca="1">IF(AND(ISNUMBER($BN$422),$B$252=1),$BN$422,HLOOKUP(INDIRECT(ADDRESS(2,COLUMN())),OFFSET($CL$2,0,0,ROW()-1,84),ROW()-1,FALSE))</f>
        <v>30.66</v>
      </c>
      <c r="BO221">
        <f ca="1">IF(AND(ISNUMBER($BO$422),$B$252=1),$BO$422,HLOOKUP(INDIRECT(ADDRESS(2,COLUMN())),OFFSET($CL$2,0,0,ROW()-1,84),ROW()-1,FALSE))</f>
        <v>29.62</v>
      </c>
      <c r="BP221">
        <f ca="1">IF(AND(ISNUMBER($BP$422),$B$252=1),$BP$422,HLOOKUP(INDIRECT(ADDRESS(2,COLUMN())),OFFSET($CL$2,0,0,ROW()-1,84),ROW()-1,FALSE))</f>
        <v>27.28</v>
      </c>
      <c r="BQ221">
        <f ca="1">IF(AND(ISNUMBER($BQ$422),$B$252=1),$BQ$422,HLOOKUP(INDIRECT(ADDRESS(2,COLUMN())),OFFSET($CL$2,0,0,ROW()-1,84),ROW()-1,FALSE))</f>
        <v>27.06</v>
      </c>
      <c r="BR221">
        <f ca="1">IF(AND(ISNUMBER($BR$422),$B$252=1),$BR$422,HLOOKUP(INDIRECT(ADDRESS(2,COLUMN())),OFFSET($CL$2,0,0,ROW()-1,84),ROW()-1,FALSE))</f>
        <v>25.07</v>
      </c>
      <c r="BS221">
        <f ca="1">IF(AND(ISNUMBER($BS$422),$B$252=1),$BS$422,HLOOKUP(INDIRECT(ADDRESS(2,COLUMN())),OFFSET($CL$2,0,0,ROW()-1,84),ROW()-1,FALSE))</f>
        <v>26.69</v>
      </c>
      <c r="BT221">
        <f ca="1">IF(AND(ISNUMBER($BT$422),$B$252=1),$BT$422,HLOOKUP(INDIRECT(ADDRESS(2,COLUMN())),OFFSET($CL$2,0,0,ROW()-1,84),ROW()-1,FALSE))</f>
        <v>25.99</v>
      </c>
      <c r="BU221">
        <f ca="1">IF(AND(ISNUMBER($BU$422),$B$252=1),$BU$422,HLOOKUP(INDIRECT(ADDRESS(2,COLUMN())),OFFSET($CL$2,0,0,ROW()-1,84),ROW()-1,FALSE))</f>
        <v>26.48</v>
      </c>
      <c r="BV221">
        <f ca="1">IF(AND(ISNUMBER($BV$422),$B$252=1),$BV$422,HLOOKUP(INDIRECT(ADDRESS(2,COLUMN())),OFFSET($CL$2,0,0,ROW()-1,84),ROW()-1,FALSE))</f>
        <v>27.43</v>
      </c>
      <c r="BW221">
        <f ca="1">IF(AND(ISNUMBER($BW$422),$B$252=1),$BW$422,HLOOKUP(INDIRECT(ADDRESS(2,COLUMN())),OFFSET($CL$2,0,0,ROW()-1,84),ROW()-1,FALSE))</f>
        <v>27.03</v>
      </c>
      <c r="BX221">
        <f ca="1">IF(AND(ISNUMBER($BX$422),$B$252=1),$BX$422,HLOOKUP(INDIRECT(ADDRESS(2,COLUMN())),OFFSET($CL$2,0,0,ROW()-1,84),ROW()-1,FALSE))</f>
        <v>27.07</v>
      </c>
      <c r="BY221">
        <f ca="1">IF(AND(ISNUMBER($BY$422),$B$252=1),$BY$422,HLOOKUP(INDIRECT(ADDRESS(2,COLUMN())),OFFSET($CL$2,0,0,ROW()-1,84),ROW()-1,FALSE))</f>
        <v>27.15</v>
      </c>
      <c r="BZ221">
        <f ca="1">IF(AND(ISNUMBER($BZ$422),$B$252=1),$BZ$422,HLOOKUP(INDIRECT(ADDRESS(2,COLUMN())),OFFSET($CL$2,0,0,ROW()-1,84),ROW()-1,FALSE))</f>
        <v>26.41</v>
      </c>
      <c r="CA221">
        <f ca="1">IF(AND(ISNUMBER($CA$422),$B$252=1),$CA$422,HLOOKUP(INDIRECT(ADDRESS(2,COLUMN())),OFFSET($CL$2,0,0,ROW()-1,84),ROW()-1,FALSE))</f>
        <v>24.84</v>
      </c>
      <c r="CB221">
        <f ca="1">IF(AND(ISNUMBER($CB$422),$B$252=1),$CB$422,HLOOKUP(INDIRECT(ADDRESS(2,COLUMN())),OFFSET($CL$2,0,0,ROW()-1,84),ROW()-1,FALSE))</f>
        <v>24.56</v>
      </c>
      <c r="CC221">
        <f ca="1">IF(AND(ISNUMBER($CC$422),$B$252=1),$CC$422,HLOOKUP(INDIRECT(ADDRESS(2,COLUMN())),OFFSET($CL$2,0,0,ROW()-1,84),ROW()-1,FALSE))</f>
        <v>22.91</v>
      </c>
      <c r="CD221">
        <f ca="1">IF(AND(ISNUMBER($CD$422),$B$252=1),$CD$422,HLOOKUP(INDIRECT(ADDRESS(2,COLUMN())),OFFSET($CL$2,0,0,ROW()-1,84),ROW()-1,FALSE))</f>
        <v>21.78</v>
      </c>
      <c r="CE221">
        <f ca="1">IF(AND(ISNUMBER($CE$422),$B$252=1),$CE$422,HLOOKUP(INDIRECT(ADDRESS(2,COLUMN())),OFFSET($CL$2,0,0,ROW()-1,84),ROW()-1,FALSE))</f>
        <v>24.67</v>
      </c>
      <c r="CF221">
        <f ca="1">IF(AND(ISNUMBER($CF$422),$B$252=1),$CF$422,HLOOKUP(INDIRECT(ADDRESS(2,COLUMN())),OFFSET($CL$2,0,0,ROW()-1,84),ROW()-1,FALSE))</f>
        <v>22.12</v>
      </c>
      <c r="CG221">
        <f ca="1">IF(AND(ISNUMBER($CG$422),$B$252=1),$CG$422,HLOOKUP(INDIRECT(ADDRESS(2,COLUMN())),OFFSET($CL$2,0,0,ROW()-1,84),ROW()-1,FALSE))</f>
        <v>26.57</v>
      </c>
      <c r="CH221">
        <f ca="1">IF(AND(ISNUMBER($CH$422),$B$252=1),$CH$422,HLOOKUP(INDIRECT(ADDRESS(2,COLUMN())),OFFSET($CL$2,0,0,ROW()-1,84),ROW()-1,FALSE))</f>
        <v>27.3</v>
      </c>
      <c r="CI221">
        <f ca="1">IF(AND(ISNUMBER($CI$422),$B$252=1),$CI$422,HLOOKUP(INDIRECT(ADDRESS(2,COLUMN())),OFFSET($CL$2,0,0,ROW()-1,84),ROW()-1,FALSE))</f>
        <v>25.53</v>
      </c>
      <c r="CJ221">
        <f ca="1">IF(AND(ISNUMBER($CJ$422),$B$252=1),$CJ$422,HLOOKUP(INDIRECT(ADDRESS(2,COLUMN())),OFFSET($CL$2,0,0,ROW()-1,84),ROW()-1,FALSE))</f>
        <v>26.73</v>
      </c>
      <c r="CK221">
        <f ca="1">IF(AND(ISNUMBER($CK$422),$B$252=1),$CK$422,HLOOKUP(INDIRECT(ADDRESS(2,COLUMN())),OFFSET($CL$2,0,0,ROW()-1,84),ROW()-1,FALSE))</f>
        <v>26.96</v>
      </c>
      <c r="CL221">
        <f>40.04</f>
        <v>40.04</v>
      </c>
      <c r="CM221">
        <f>38.66</f>
        <v>38.659999999999997</v>
      </c>
      <c r="CN221">
        <f>41.84</f>
        <v>41.84</v>
      </c>
      <c r="CO221">
        <f>43.71</f>
        <v>43.71</v>
      </c>
      <c r="CP221">
        <f>44.09</f>
        <v>44.09</v>
      </c>
      <c r="CQ221">
        <f>43.98</f>
        <v>43.98</v>
      </c>
      <c r="CR221">
        <f>43.86</f>
        <v>43.86</v>
      </c>
      <c r="CS221">
        <f>45.33</f>
        <v>45.33</v>
      </c>
      <c r="CT221">
        <f>45.55</f>
        <v>45.55</v>
      </c>
      <c r="CU221">
        <f>42.97</f>
        <v>42.97</v>
      </c>
      <c r="CV221">
        <f>42.92</f>
        <v>42.92</v>
      </c>
      <c r="CW221">
        <f>43.74</f>
        <v>43.74</v>
      </c>
      <c r="CX221">
        <f>44.35</f>
        <v>44.35</v>
      </c>
      <c r="CY221">
        <f>46.53</f>
        <v>46.53</v>
      </c>
      <c r="CZ221">
        <f>44.07</f>
        <v>44.07</v>
      </c>
      <c r="DA221">
        <f>45.45</f>
        <v>45.45</v>
      </c>
      <c r="DB221">
        <f>42.1</f>
        <v>42.1</v>
      </c>
      <c r="DC221">
        <f>44.07</f>
        <v>44.07</v>
      </c>
      <c r="DD221">
        <f>45.91</f>
        <v>45.91</v>
      </c>
      <c r="DE221">
        <f>45.18</f>
        <v>45.18</v>
      </c>
      <c r="DF221">
        <f>45.97</f>
        <v>45.97</v>
      </c>
      <c r="DG221">
        <f>44.16</f>
        <v>44.16</v>
      </c>
      <c r="DH221">
        <f>42.65</f>
        <v>42.65</v>
      </c>
      <c r="DI221">
        <f>40.06</f>
        <v>40.06</v>
      </c>
      <c r="DJ221">
        <f>41.82</f>
        <v>41.82</v>
      </c>
      <c r="DK221">
        <f>36.61</f>
        <v>36.61</v>
      </c>
      <c r="DL221">
        <f>39.15</f>
        <v>39.15</v>
      </c>
      <c r="DM221">
        <f>40.03</f>
        <v>40.03</v>
      </c>
      <c r="DN221">
        <f>38.11</f>
        <v>38.11</v>
      </c>
      <c r="DO221">
        <f>39.19</f>
        <v>39.19</v>
      </c>
      <c r="DP221">
        <f>37.02</f>
        <v>37.020000000000003</v>
      </c>
      <c r="DQ221">
        <f>36.03</f>
        <v>36.03</v>
      </c>
      <c r="DR221">
        <f>39.08</f>
        <v>39.08</v>
      </c>
      <c r="DS221">
        <f>36.93</f>
        <v>36.93</v>
      </c>
      <c r="DT221">
        <f>37.93</f>
        <v>37.93</v>
      </c>
      <c r="DU221">
        <f>37.73</f>
        <v>37.729999999999997</v>
      </c>
      <c r="DV221">
        <f>39.36</f>
        <v>39.36</v>
      </c>
      <c r="DW221">
        <f>37.68</f>
        <v>37.68</v>
      </c>
      <c r="DX221">
        <f>39.86</f>
        <v>39.86</v>
      </c>
      <c r="DY221">
        <f>37.15</f>
        <v>37.15</v>
      </c>
      <c r="DZ221">
        <f>37.25</f>
        <v>37.25</v>
      </c>
      <c r="EA221">
        <f>35.79</f>
        <v>35.79</v>
      </c>
      <c r="EB221">
        <f>31.82</f>
        <v>31.82</v>
      </c>
      <c r="EC221">
        <f>34.27</f>
        <v>34.270000000000003</v>
      </c>
      <c r="ED221">
        <f>34.18</f>
        <v>34.18</v>
      </c>
      <c r="EE221">
        <f>32.27</f>
        <v>32.270000000000003</v>
      </c>
      <c r="EF221">
        <f>31.48</f>
        <v>31.48</v>
      </c>
      <c r="EG221">
        <f>30.83</f>
        <v>30.83</v>
      </c>
      <c r="EH221">
        <f>30.22</f>
        <v>30.22</v>
      </c>
      <c r="EI221">
        <f>29.89</f>
        <v>29.89</v>
      </c>
      <c r="EJ221">
        <f>27.97</f>
        <v>27.97</v>
      </c>
      <c r="EK221">
        <f>25.91</f>
        <v>25.91</v>
      </c>
      <c r="EL221">
        <f>25.11</f>
        <v>25.11</v>
      </c>
      <c r="EM221">
        <f>27.98</f>
        <v>27.98</v>
      </c>
      <c r="EN221">
        <f>27.94</f>
        <v>27.94</v>
      </c>
      <c r="EO221">
        <f>27.53</f>
        <v>27.53</v>
      </c>
      <c r="EP221">
        <f>29.38</f>
        <v>29.38</v>
      </c>
      <c r="EQ221">
        <f>30.04</f>
        <v>30.04</v>
      </c>
      <c r="ER221">
        <f>30.26</f>
        <v>30.26</v>
      </c>
      <c r="ES221">
        <f>31.11</f>
        <v>31.11</v>
      </c>
      <c r="ET221">
        <f>30.66</f>
        <v>30.66</v>
      </c>
      <c r="EU221">
        <f>29.62</f>
        <v>29.62</v>
      </c>
      <c r="EV221">
        <f>27.28</f>
        <v>27.28</v>
      </c>
      <c r="EW221">
        <f>27.06</f>
        <v>27.06</v>
      </c>
      <c r="EX221">
        <f>25.07</f>
        <v>25.07</v>
      </c>
      <c r="EY221">
        <f>26.69</f>
        <v>26.69</v>
      </c>
      <c r="EZ221">
        <f>25.99</f>
        <v>25.99</v>
      </c>
      <c r="FA221">
        <f>26.48</f>
        <v>26.48</v>
      </c>
      <c r="FB221">
        <f>27.43</f>
        <v>27.43</v>
      </c>
      <c r="FC221">
        <f>27.03</f>
        <v>27.03</v>
      </c>
      <c r="FD221">
        <f>27.07</f>
        <v>27.07</v>
      </c>
      <c r="FE221">
        <f>27.15</f>
        <v>27.15</v>
      </c>
      <c r="FF221">
        <f>26.41</f>
        <v>26.41</v>
      </c>
      <c r="FG221">
        <f>24.84</f>
        <v>24.84</v>
      </c>
      <c r="FH221">
        <f>24.56</f>
        <v>24.56</v>
      </c>
      <c r="FI221">
        <f>22.91</f>
        <v>22.91</v>
      </c>
      <c r="FJ221">
        <f>21.78</f>
        <v>21.78</v>
      </c>
      <c r="FK221">
        <f>24.67</f>
        <v>24.67</v>
      </c>
      <c r="FL221">
        <f>22.12</f>
        <v>22.12</v>
      </c>
      <c r="FM221">
        <f>26.57</f>
        <v>26.57</v>
      </c>
      <c r="FN221">
        <f>27.3</f>
        <v>27.3</v>
      </c>
      <c r="FO221">
        <f>25.53</f>
        <v>25.53</v>
      </c>
      <c r="FP221">
        <f>26.73</f>
        <v>26.73</v>
      </c>
      <c r="FQ221">
        <f>26.96</f>
        <v>26.96</v>
      </c>
    </row>
    <row r="222" spans="1:173">
      <c r="A222" t="str">
        <f>"    AvalonBay Communities Inc"</f>
        <v xml:space="preserve">    AvalonBay Communities Inc</v>
      </c>
      <c r="B222" t="str">
        <f>"AVB US Equity"</f>
        <v>AVB US Equity</v>
      </c>
      <c r="C222" t="str">
        <f t="shared" si="72"/>
        <v>PR005</v>
      </c>
      <c r="D222" t="str">
        <f t="shared" si="73"/>
        <v>PX_LAST</v>
      </c>
      <c r="E222" t="str">
        <f t="shared" si="74"/>
        <v>动态</v>
      </c>
      <c r="F222">
        <f ca="1">IF(AND(ISNUMBER($F$423),$B$252=1),$F$423,HLOOKUP(INDIRECT(ADDRESS(2,COLUMN())),OFFSET($CL$2,0,0,ROW()-1,84),ROW()-1,FALSE))</f>
        <v>161.54</v>
      </c>
      <c r="G222">
        <f ca="1">IF(AND(ISNUMBER($G$423),$B$252=1),$G$423,HLOOKUP(INDIRECT(ADDRESS(2,COLUMN())),OFFSET($CL$2,0,0,ROW()-1,84),ROW()-1,FALSE))</f>
        <v>156.02000000000001</v>
      </c>
      <c r="H222">
        <f ca="1">IF(AND(ISNUMBER($H$423),$B$252=1),$H$423,HLOOKUP(INDIRECT(ADDRESS(2,COLUMN())),OFFSET($CL$2,0,0,ROW()-1,84),ROW()-1,FALSE))</f>
        <v>170.4</v>
      </c>
      <c r="I222">
        <f ca="1">IF(AND(ISNUMBER($I$423),$B$252=1),$I$423,HLOOKUP(INDIRECT(ADDRESS(2,COLUMN())),OFFSET($CL$2,0,0,ROW()-1,84),ROW()-1,FALSE))</f>
        <v>178.41</v>
      </c>
      <c r="J222">
        <f ca="1">IF(AND(ISNUMBER($J$423),$B$252=1),$J$423,HLOOKUP(INDIRECT(ADDRESS(2,COLUMN())),OFFSET($CL$2,0,0,ROW()-1,84),ROW()-1,FALSE))</f>
        <v>181.33</v>
      </c>
      <c r="K222">
        <f ca="1">IF(AND(ISNUMBER($K$423),$B$252=1),$K$423,HLOOKUP(INDIRECT(ADDRESS(2,COLUMN())),OFFSET($CL$2,0,0,ROW()-1,84),ROW()-1,FALSE))</f>
        <v>181.33</v>
      </c>
      <c r="L222">
        <f ca="1">IF(AND(ISNUMBER($L$423),$B$252=1),$L$423,HLOOKUP(INDIRECT(ADDRESS(2,COLUMN())),OFFSET($CL$2,0,0,ROW()-1,84),ROW()-1,FALSE))</f>
        <v>178.42</v>
      </c>
      <c r="M222">
        <f ca="1">IF(AND(ISNUMBER($M$423),$B$252=1),$M$423,HLOOKUP(INDIRECT(ADDRESS(2,COLUMN())),OFFSET($CL$2,0,0,ROW()-1,84),ROW()-1,FALSE))</f>
        <v>187.73</v>
      </c>
      <c r="N222">
        <f ca="1">IF(AND(ISNUMBER($N$423),$B$252=1),$N$423,HLOOKUP(INDIRECT(ADDRESS(2,COLUMN())),OFFSET($CL$2,0,0,ROW()-1,84),ROW()-1,FALSE))</f>
        <v>192.35</v>
      </c>
      <c r="O222">
        <f ca="1">IF(AND(ISNUMBER($O$423),$B$252=1),$O$423,HLOOKUP(INDIRECT(ADDRESS(2,COLUMN())),OFFSET($CL$2,0,0,ROW()-1,84),ROW()-1,FALSE))</f>
        <v>192.17</v>
      </c>
      <c r="P222">
        <f ca="1">IF(AND(ISNUMBER($P$423),$B$252=1),$P$423,HLOOKUP(INDIRECT(ADDRESS(2,COLUMN())),OFFSET($CL$2,0,0,ROW()-1,84),ROW()-1,FALSE))</f>
        <v>191.24</v>
      </c>
      <c r="Q222">
        <f ca="1">IF(AND(ISNUMBER($Q$423),$B$252=1),$Q$423,HLOOKUP(INDIRECT(ADDRESS(2,COLUMN())),OFFSET($CL$2,0,0,ROW()-1,84),ROW()-1,FALSE))</f>
        <v>189.84</v>
      </c>
      <c r="R222">
        <f ca="1">IF(AND(ISNUMBER($R$423),$B$252=1),$R$423,HLOOKUP(INDIRECT(ADDRESS(2,COLUMN())),OFFSET($CL$2,0,0,ROW()-1,84),ROW()-1,FALSE))</f>
        <v>183.6</v>
      </c>
      <c r="S222">
        <f ca="1">IF(AND(ISNUMBER($S$423),$B$252=1),$S$423,HLOOKUP(INDIRECT(ADDRESS(2,COLUMN())),OFFSET($CL$2,0,0,ROW()-1,84),ROW()-1,FALSE))</f>
        <v>183.78</v>
      </c>
      <c r="T222">
        <f ca="1">IF(AND(ISNUMBER($T$423),$B$252=1),$T$423,HLOOKUP(INDIRECT(ADDRESS(2,COLUMN())),OFFSET($CL$2,0,0,ROW()-1,84),ROW()-1,FALSE))</f>
        <v>173.31</v>
      </c>
      <c r="U222">
        <f ca="1">IF(AND(ISNUMBER($U$423),$B$252=1),$U$423,HLOOKUP(INDIRECT(ADDRESS(2,COLUMN())),OFFSET($CL$2,0,0,ROW()-1,84),ROW()-1,FALSE))</f>
        <v>177.15</v>
      </c>
      <c r="V222">
        <f ca="1">IF(AND(ISNUMBER($V$423),$B$252=1),$V$423,HLOOKUP(INDIRECT(ADDRESS(2,COLUMN())),OFFSET($CL$2,0,0,ROW()-1,84),ROW()-1,FALSE))</f>
        <v>164.49</v>
      </c>
      <c r="W222">
        <f ca="1">IF(AND(ISNUMBER($W$423),$B$252=1),$W$423,HLOOKUP(INDIRECT(ADDRESS(2,COLUMN())),OFFSET($CL$2,0,0,ROW()-1,84),ROW()-1,FALSE))</f>
        <v>171.18</v>
      </c>
      <c r="X222">
        <f ca="1">IF(AND(ISNUMBER($X$423),$B$252=1),$X$423,HLOOKUP(INDIRECT(ADDRESS(2,COLUMN())),OFFSET($CL$2,0,0,ROW()-1,84),ROW()-1,FALSE))</f>
        <v>177.84</v>
      </c>
      <c r="Y222">
        <f ca="1">IF(AND(ISNUMBER($Y$423),$B$252=1),$Y$423,HLOOKUP(INDIRECT(ADDRESS(2,COLUMN())),OFFSET($CL$2,0,0,ROW()-1,84),ROW()-1,FALSE))</f>
        <v>175.01</v>
      </c>
      <c r="Z222">
        <f ca="1">IF(AND(ISNUMBER($Z$423),$B$252=1),$Z$423,HLOOKUP(INDIRECT(ADDRESS(2,COLUMN())),OFFSET($CL$2,0,0,ROW()-1,84),ROW()-1,FALSE))</f>
        <v>185.65</v>
      </c>
      <c r="AA222">
        <f ca="1">IF(AND(ISNUMBER($AA$423),$B$252=1),$AA$423,HLOOKUP(INDIRECT(ADDRESS(2,COLUMN())),OFFSET($CL$2,0,0,ROW()-1,84),ROW()-1,FALSE))</f>
        <v>180.39</v>
      </c>
      <c r="AB222">
        <f ca="1">IF(AND(ISNUMBER($AB$423),$B$252=1),$AB$423,HLOOKUP(INDIRECT(ADDRESS(2,COLUMN())),OFFSET($CL$2,0,0,ROW()-1,84),ROW()-1,FALSE))</f>
        <v>179.88</v>
      </c>
      <c r="AC222">
        <f ca="1">IF(AND(ISNUMBER($AC$423),$B$252=1),$AC$423,HLOOKUP(INDIRECT(ADDRESS(2,COLUMN())),OFFSET($CL$2,0,0,ROW()-1,84),ROW()-1,FALSE))</f>
        <v>176.79</v>
      </c>
      <c r="AD222">
        <f ca="1">IF(AND(ISNUMBER($AD$423),$B$252=1),$AD$423,HLOOKUP(INDIRECT(ADDRESS(2,COLUMN())),OFFSET($CL$2,0,0,ROW()-1,84),ROW()-1,FALSE))</f>
        <v>190.2</v>
      </c>
      <c r="AE222">
        <f ca="1">IF(AND(ISNUMBER($AE$423),$B$252=1),$AE$423,HLOOKUP(INDIRECT(ADDRESS(2,COLUMN())),OFFSET($CL$2,0,0,ROW()-1,84),ROW()-1,FALSE))</f>
        <v>171.64</v>
      </c>
      <c r="AF222">
        <f ca="1">IF(AND(ISNUMBER($AF$423),$B$252=1),$AF$423,HLOOKUP(INDIRECT(ADDRESS(2,COLUMN())),OFFSET($CL$2,0,0,ROW()-1,84),ROW()-1,FALSE))</f>
        <v>171.49</v>
      </c>
      <c r="AG222">
        <f ca="1">IF(AND(ISNUMBER($AG$423),$B$252=1),$AG$423,HLOOKUP(INDIRECT(ADDRESS(2,COLUMN())),OFFSET($CL$2,0,0,ROW()-1,84),ROW()-1,FALSE))</f>
        <v>184.13</v>
      </c>
      <c r="AH222">
        <f ca="1">IF(AND(ISNUMBER($AH$423),$B$252=1),$AH$423,HLOOKUP(INDIRECT(ADDRESS(2,COLUMN())),OFFSET($CL$2,0,0,ROW()-1,84),ROW()-1,FALSE))</f>
        <v>181.79</v>
      </c>
      <c r="AI222">
        <f ca="1">IF(AND(ISNUMBER($AI$423),$B$252=1),$AI$423,HLOOKUP(INDIRECT(ADDRESS(2,COLUMN())),OFFSET($CL$2,0,0,ROW()-1,84),ROW()-1,FALSE))</f>
        <v>174.83</v>
      </c>
      <c r="AJ222">
        <f ca="1">IF(AND(ISNUMBER($AJ$423),$B$252=1),$AJ$423,HLOOKUP(INDIRECT(ADDRESS(2,COLUMN())),OFFSET($CL$2,0,0,ROW()-1,84),ROW()-1,FALSE))</f>
        <v>174.82</v>
      </c>
      <c r="AK222">
        <f ca="1">IF(AND(ISNUMBER($AK$423),$B$252=1),$AK$423,HLOOKUP(INDIRECT(ADDRESS(2,COLUMN())),OFFSET($CL$2,0,0,ROW()-1,84),ROW()-1,FALSE))</f>
        <v>165.06</v>
      </c>
      <c r="AL222">
        <f ca="1">IF(AND(ISNUMBER($AL$423),$B$252=1),$AL$423,HLOOKUP(INDIRECT(ADDRESS(2,COLUMN())),OFFSET($CL$2,0,0,ROW()-1,84),ROW()-1,FALSE))</f>
        <v>172.34</v>
      </c>
      <c r="AM222">
        <f ca="1">IF(AND(ISNUMBER($AM$423),$B$252=1),$AM$423,HLOOKUP(INDIRECT(ADDRESS(2,COLUMN())),OFFSET($CL$2,0,0,ROW()-1,84),ROW()-1,FALSE))</f>
        <v>159.87</v>
      </c>
      <c r="AN222">
        <f ca="1">IF(AND(ISNUMBER($AN$423),$B$252=1),$AN$423,HLOOKUP(INDIRECT(ADDRESS(2,COLUMN())),OFFSET($CL$2,0,0,ROW()-1,84),ROW()-1,FALSE))</f>
        <v>166.5</v>
      </c>
      <c r="AO222">
        <f ca="1">IF(AND(ISNUMBER($AO$423),$B$252=1),$AO$423,HLOOKUP(INDIRECT(ADDRESS(2,COLUMN())),OFFSET($CL$2,0,0,ROW()-1,84),ROW()-1,FALSE))</f>
        <v>164.34</v>
      </c>
      <c r="AP222">
        <f ca="1">IF(AND(ISNUMBER($AP$423),$B$252=1),$AP$423,HLOOKUP(INDIRECT(ADDRESS(2,COLUMN())),OFFSET($CL$2,0,0,ROW()-1,84),ROW()-1,FALSE))</f>
        <v>174.25</v>
      </c>
      <c r="AQ222">
        <f ca="1">IF(AND(ISNUMBER($AQ$423),$B$252=1),$AQ$423,HLOOKUP(INDIRECT(ADDRESS(2,COLUMN())),OFFSET($CL$2,0,0,ROW()-1,84),ROW()-1,FALSE))</f>
        <v>168.34</v>
      </c>
      <c r="AR222">
        <f ca="1">IF(AND(ISNUMBER($AR$423),$B$252=1),$AR$423,HLOOKUP(INDIRECT(ADDRESS(2,COLUMN())),OFFSET($CL$2,0,0,ROW()-1,84),ROW()-1,FALSE))</f>
        <v>172.99</v>
      </c>
      <c r="AS222">
        <f ca="1">IF(AND(ISNUMBER($AS$423),$B$252=1),$AS$423,HLOOKUP(INDIRECT(ADDRESS(2,COLUMN())),OFFSET($CL$2,0,0,ROW()-1,84),ROW()-1,FALSE))</f>
        <v>163.38999999999999</v>
      </c>
      <c r="AT222">
        <f ca="1">IF(AND(ISNUMBER($AT$423),$B$252=1),$AT$423,HLOOKUP(INDIRECT(ADDRESS(2,COLUMN())),OFFSET($CL$2,0,0,ROW()-1,84),ROW()-1,FALSE))</f>
        <v>160.79</v>
      </c>
      <c r="AU222">
        <f ca="1">IF(AND(ISNUMBER($AU$423),$B$252=1),$AU$423,HLOOKUP(INDIRECT(ADDRESS(2,COLUMN())),OFFSET($CL$2,0,0,ROW()-1,84),ROW()-1,FALSE))</f>
        <v>155.84</v>
      </c>
      <c r="AV222">
        <f ca="1">IF(AND(ISNUMBER($AV$423),$B$252=1),$AV$423,HLOOKUP(INDIRECT(ADDRESS(2,COLUMN())),OFFSET($CL$2,0,0,ROW()-1,84),ROW()-1,FALSE))</f>
        <v>140.97</v>
      </c>
      <c r="AW222">
        <f ca="1">IF(AND(ISNUMBER($AW$423),$B$252=1),$AW$423,HLOOKUP(INDIRECT(ADDRESS(2,COLUMN())),OFFSET($CL$2,0,0,ROW()-1,84),ROW()-1,FALSE))</f>
        <v>154.1</v>
      </c>
      <c r="AX222">
        <f ca="1">IF(AND(ISNUMBER($AX$423),$B$252=1),$AX$423,HLOOKUP(INDIRECT(ADDRESS(2,COLUMN())),OFFSET($CL$2,0,0,ROW()-1,84),ROW()-1,FALSE))</f>
        <v>148.08000000000001</v>
      </c>
      <c r="AY222">
        <f ca="1">IF(AND(ISNUMBER($AY$423),$B$252=1),$AY$423,HLOOKUP(INDIRECT(ADDRESS(2,COLUMN())),OFFSET($CL$2,0,0,ROW()-1,84),ROW()-1,FALSE))</f>
        <v>142.19</v>
      </c>
      <c r="AZ222">
        <f ca="1">IF(AND(ISNUMBER($AZ$423),$B$252=1),$AZ$423,HLOOKUP(INDIRECT(ADDRESS(2,COLUMN())),OFFSET($CL$2,0,0,ROW()-1,84),ROW()-1,FALSE))</f>
        <v>141.84</v>
      </c>
      <c r="BA222">
        <f ca="1">IF(AND(ISNUMBER($BA$423),$B$252=1),$BA$423,HLOOKUP(INDIRECT(ADDRESS(2,COLUMN())),OFFSET($CL$2,0,0,ROW()-1,84),ROW()-1,FALSE))</f>
        <v>136.55000000000001</v>
      </c>
      <c r="BB222">
        <f ca="1">IF(AND(ISNUMBER($BB$423),$B$252=1),$BB$423,HLOOKUP(INDIRECT(ADDRESS(2,COLUMN())),OFFSET($CL$2,0,0,ROW()-1,84),ROW()-1,FALSE))</f>
        <v>131.32</v>
      </c>
      <c r="BC222">
        <f ca="1">IF(AND(ISNUMBER($BC$423),$B$252=1),$BC$423,HLOOKUP(INDIRECT(ADDRESS(2,COLUMN())),OFFSET($CL$2,0,0,ROW()-1,84),ROW()-1,FALSE))</f>
        <v>128.97</v>
      </c>
      <c r="BD222">
        <f ca="1">IF(AND(ISNUMBER($BD$423),$B$252=1),$BD$423,HLOOKUP(INDIRECT(ADDRESS(2,COLUMN())),OFFSET($CL$2,0,0,ROW()-1,84),ROW()-1,FALSE))</f>
        <v>123.5</v>
      </c>
      <c r="BE222">
        <f ca="1">IF(AND(ISNUMBER($BE$423),$B$252=1),$BE$423,HLOOKUP(INDIRECT(ADDRESS(2,COLUMN())),OFFSET($CL$2,0,0,ROW()-1,84),ROW()-1,FALSE))</f>
        <v>118.23</v>
      </c>
      <c r="BF222">
        <f ca="1">IF(AND(ISNUMBER($BF$423),$B$252=1),$BF$423,HLOOKUP(INDIRECT(ADDRESS(2,COLUMN())),OFFSET($CL$2,0,0,ROW()-1,84),ROW()-1,FALSE))</f>
        <v>118.56</v>
      </c>
      <c r="BG222">
        <f ca="1">IF(AND(ISNUMBER($BG$423),$B$252=1),$BG$423,HLOOKUP(INDIRECT(ADDRESS(2,COLUMN())),OFFSET($CL$2,0,0,ROW()-1,84),ROW()-1,FALSE))</f>
        <v>125.05</v>
      </c>
      <c r="BH222">
        <f ca="1">IF(AND(ISNUMBER($BH$423),$B$252=1),$BH$423,HLOOKUP(INDIRECT(ADDRESS(2,COLUMN())),OFFSET($CL$2,0,0,ROW()-1,84),ROW()-1,FALSE))</f>
        <v>127.09</v>
      </c>
      <c r="BI222">
        <f ca="1">IF(AND(ISNUMBER($BI$423),$B$252=1),$BI$423,HLOOKUP(INDIRECT(ADDRESS(2,COLUMN())),OFFSET($CL$2,0,0,ROW()-1,84),ROW()-1,FALSE))</f>
        <v>123.9</v>
      </c>
      <c r="BJ222">
        <f ca="1">IF(AND(ISNUMBER($BJ$423),$B$252=1),$BJ$423,HLOOKUP(INDIRECT(ADDRESS(2,COLUMN())),OFFSET($CL$2,0,0,ROW()-1,84),ROW()-1,FALSE))</f>
        <v>135.34</v>
      </c>
      <c r="BK222">
        <f ca="1">IF(AND(ISNUMBER($BK$423),$B$252=1),$BK$423,HLOOKUP(INDIRECT(ADDRESS(2,COLUMN())),OFFSET($CL$2,0,0,ROW()-1,84),ROW()-1,FALSE))</f>
        <v>134.91</v>
      </c>
      <c r="BL222">
        <f ca="1">IF(AND(ISNUMBER($BL$423),$B$252=1),$BL$423,HLOOKUP(INDIRECT(ADDRESS(2,COLUMN())),OFFSET($CL$2,0,0,ROW()-1,84),ROW()-1,FALSE))</f>
        <v>132.66</v>
      </c>
      <c r="BM222">
        <f ca="1">IF(AND(ISNUMBER($BM$423),$B$252=1),$BM$423,HLOOKUP(INDIRECT(ADDRESS(2,COLUMN())),OFFSET($CL$2,0,0,ROW()-1,84),ROW()-1,FALSE))</f>
        <v>133.04</v>
      </c>
      <c r="BN222">
        <f ca="1">IF(AND(ISNUMBER($BN$423),$B$252=1),$BN$423,HLOOKUP(INDIRECT(ADDRESS(2,COLUMN())),OFFSET($CL$2,0,0,ROW()-1,84),ROW()-1,FALSE))</f>
        <v>126.67</v>
      </c>
      <c r="BO222">
        <f ca="1">IF(AND(ISNUMBER($BO$423),$B$252=1),$BO$423,HLOOKUP(INDIRECT(ADDRESS(2,COLUMN())),OFFSET($CL$2,0,0,ROW()-1,84),ROW()-1,FALSE))</f>
        <v>124.83</v>
      </c>
      <c r="BP222">
        <f ca="1">IF(AND(ISNUMBER($BP$423),$B$252=1),$BP$423,HLOOKUP(INDIRECT(ADDRESS(2,COLUMN())),OFFSET($CL$2,0,0,ROW()-1,84),ROW()-1,FALSE))</f>
        <v>129.79</v>
      </c>
      <c r="BQ222">
        <f ca="1">IF(AND(ISNUMBER($BQ$423),$B$252=1),$BQ$423,HLOOKUP(INDIRECT(ADDRESS(2,COLUMN())),OFFSET($CL$2,0,0,ROW()-1,84),ROW()-1,FALSE))</f>
        <v>135.59</v>
      </c>
      <c r="BR222">
        <f ca="1">IF(AND(ISNUMBER($BR$423),$B$252=1),$BR$423,HLOOKUP(INDIRECT(ADDRESS(2,COLUMN())),OFFSET($CL$2,0,0,ROW()-1,84),ROW()-1,FALSE))</f>
        <v>131.79</v>
      </c>
      <c r="BS222">
        <f ca="1">IF(AND(ISNUMBER($BS$423),$B$252=1),$BS$423,HLOOKUP(INDIRECT(ADDRESS(2,COLUMN())),OFFSET($CL$2,0,0,ROW()-1,84),ROW()-1,FALSE))</f>
        <v>135.56</v>
      </c>
      <c r="BT222">
        <f ca="1">IF(AND(ISNUMBER($BT$423),$B$252=1),$BT$423,HLOOKUP(INDIRECT(ADDRESS(2,COLUMN())),OFFSET($CL$2,0,0,ROW()-1,84),ROW()-1,FALSE))</f>
        <v>135.99</v>
      </c>
      <c r="BU222">
        <f ca="1">IF(AND(ISNUMBER($BU$423),$B$252=1),$BU$423,HLOOKUP(INDIRECT(ADDRESS(2,COLUMN())),OFFSET($CL$2,0,0,ROW()-1,84),ROW()-1,FALSE))</f>
        <v>141.52000000000001</v>
      </c>
      <c r="BV222">
        <f ca="1">IF(AND(ISNUMBER($BV$423),$B$252=1),$BV$423,HLOOKUP(INDIRECT(ADDRESS(2,COLUMN())),OFFSET($CL$2,0,0,ROW()-1,84),ROW()-1,FALSE))</f>
        <v>147.09</v>
      </c>
      <c r="BW222">
        <f ca="1">IF(AND(ISNUMBER($BW$423),$B$252=1),$BW$423,HLOOKUP(INDIRECT(ADDRESS(2,COLUMN())),OFFSET($CL$2,0,0,ROW()-1,84),ROW()-1,FALSE))</f>
        <v>141.47999999999999</v>
      </c>
      <c r="BX222">
        <f ca="1">IF(AND(ISNUMBER($BX$423),$B$252=1),$BX$423,HLOOKUP(INDIRECT(ADDRESS(2,COLUMN())),OFFSET($CL$2,0,0,ROW()-1,84),ROW()-1,FALSE))</f>
        <v>139.75</v>
      </c>
      <c r="BY222">
        <f ca="1">IF(AND(ISNUMBER($BY$423),$B$252=1),$BY$423,HLOOKUP(INDIRECT(ADDRESS(2,COLUMN())),OFFSET($CL$2,0,0,ROW()-1,84),ROW()-1,FALSE))</f>
        <v>145.4</v>
      </c>
      <c r="BZ222">
        <f ca="1">IF(AND(ISNUMBER($BZ$423),$B$252=1),$BZ$423,HLOOKUP(INDIRECT(ADDRESS(2,COLUMN())),OFFSET($CL$2,0,0,ROW()-1,84),ROW()-1,FALSE))</f>
        <v>141.35</v>
      </c>
      <c r="CA222">
        <f ca="1">IF(AND(ISNUMBER($CA$423),$B$252=1),$CA$423,HLOOKUP(INDIRECT(ADDRESS(2,COLUMN())),OFFSET($CL$2,0,0,ROW()-1,84),ROW()-1,FALSE))</f>
        <v>129.66999999999999</v>
      </c>
      <c r="CB222">
        <f ca="1">IF(AND(ISNUMBER($CB$423),$B$252=1),$CB$423,HLOOKUP(INDIRECT(ADDRESS(2,COLUMN())),OFFSET($CL$2,0,0,ROW()-1,84),ROW()-1,FALSE))</f>
        <v>136.01</v>
      </c>
      <c r="CC222">
        <f ca="1">IF(AND(ISNUMBER($CC$423),$B$252=1),$CC$423,HLOOKUP(INDIRECT(ADDRESS(2,COLUMN())),OFFSET($CL$2,0,0,ROW()-1,84),ROW()-1,FALSE))</f>
        <v>130.6</v>
      </c>
      <c r="CD222">
        <f ca="1">IF(AND(ISNUMBER($CD$423),$B$252=1),$CD$423,HLOOKUP(INDIRECT(ADDRESS(2,COLUMN())),OFFSET($CL$2,0,0,ROW()-1,84),ROW()-1,FALSE))</f>
        <v>124.85</v>
      </c>
      <c r="CE222">
        <f ca="1">IF(AND(ISNUMBER($CE$423),$B$252=1),$CE$423,HLOOKUP(INDIRECT(ADDRESS(2,COLUMN())),OFFSET($CL$2,0,0,ROW()-1,84),ROW()-1,FALSE))</f>
        <v>133.69</v>
      </c>
      <c r="CF222">
        <f ca="1">IF(AND(ISNUMBER($CF$423),$B$252=1),$CF$423,HLOOKUP(INDIRECT(ADDRESS(2,COLUMN())),OFFSET($CL$2,0,0,ROW()-1,84),ROW()-1,FALSE))</f>
        <v>114.05</v>
      </c>
      <c r="CG222">
        <f ca="1">IF(AND(ISNUMBER($CG$423),$B$252=1),$CG$423,HLOOKUP(INDIRECT(ADDRESS(2,COLUMN())),OFFSET($CL$2,0,0,ROW()-1,84),ROW()-1,FALSE))</f>
        <v>136.38</v>
      </c>
      <c r="CH222">
        <f ca="1">IF(AND(ISNUMBER($CH$423),$B$252=1),$CH$423,HLOOKUP(INDIRECT(ADDRESS(2,COLUMN())),OFFSET($CL$2,0,0,ROW()-1,84),ROW()-1,FALSE))</f>
        <v>134.19</v>
      </c>
      <c r="CI222">
        <f ca="1">IF(AND(ISNUMBER($CI$423),$B$252=1),$CI$423,HLOOKUP(INDIRECT(ADDRESS(2,COLUMN())),OFFSET($CL$2,0,0,ROW()-1,84),ROW()-1,FALSE))</f>
        <v>128.4</v>
      </c>
      <c r="CJ222">
        <f ca="1">IF(AND(ISNUMBER($CJ$423),$B$252=1),$CJ$423,HLOOKUP(INDIRECT(ADDRESS(2,COLUMN())),OFFSET($CL$2,0,0,ROW()-1,84),ROW()-1,FALSE))</f>
        <v>133.07</v>
      </c>
      <c r="CK222">
        <f ca="1">IF(AND(ISNUMBER($CK$423),$B$252=1),$CK$423,HLOOKUP(INDIRECT(ADDRESS(2,COLUMN())),OFFSET($CL$2,0,0,ROW()-1,84),ROW()-1,FALSE))</f>
        <v>126.61</v>
      </c>
      <c r="CL222">
        <f>161.54</f>
        <v>161.54</v>
      </c>
      <c r="CM222">
        <f>156.02</f>
        <v>156.02000000000001</v>
      </c>
      <c r="CN222">
        <f>170.4</f>
        <v>170.4</v>
      </c>
      <c r="CO222">
        <f>178.41</f>
        <v>178.41</v>
      </c>
      <c r="CP222">
        <f>181.33</f>
        <v>181.33</v>
      </c>
      <c r="CQ222">
        <f>181.33</f>
        <v>181.33</v>
      </c>
      <c r="CR222">
        <f>178.42</f>
        <v>178.42</v>
      </c>
      <c r="CS222">
        <f>187.73</f>
        <v>187.73</v>
      </c>
      <c r="CT222">
        <f>192.35</f>
        <v>192.35</v>
      </c>
      <c r="CU222">
        <f>192.17</f>
        <v>192.17</v>
      </c>
      <c r="CV222">
        <f>191.24</f>
        <v>191.24</v>
      </c>
      <c r="CW222">
        <f>189.84</f>
        <v>189.84</v>
      </c>
      <c r="CX222">
        <f>183.6</f>
        <v>183.6</v>
      </c>
      <c r="CY222">
        <f>183.78</f>
        <v>183.78</v>
      </c>
      <c r="CZ222">
        <f>173.31</f>
        <v>173.31</v>
      </c>
      <c r="DA222">
        <f>177.15</f>
        <v>177.15</v>
      </c>
      <c r="DB222">
        <f>164.49</f>
        <v>164.49</v>
      </c>
      <c r="DC222">
        <f>171.18</f>
        <v>171.18</v>
      </c>
      <c r="DD222">
        <f>177.84</f>
        <v>177.84</v>
      </c>
      <c r="DE222">
        <f>175.01</f>
        <v>175.01</v>
      </c>
      <c r="DF222">
        <f>185.65</f>
        <v>185.65</v>
      </c>
      <c r="DG222">
        <f>180.39</f>
        <v>180.39</v>
      </c>
      <c r="DH222">
        <f>179.88</f>
        <v>179.88</v>
      </c>
      <c r="DI222">
        <f>176.79</f>
        <v>176.79</v>
      </c>
      <c r="DJ222">
        <f>190.2</f>
        <v>190.2</v>
      </c>
      <c r="DK222">
        <f>171.64</f>
        <v>171.64</v>
      </c>
      <c r="DL222">
        <f>171.49</f>
        <v>171.49</v>
      </c>
      <c r="DM222">
        <f>184.13</f>
        <v>184.13</v>
      </c>
      <c r="DN222">
        <f>181.79</f>
        <v>181.79</v>
      </c>
      <c r="DO222">
        <f>174.83</f>
        <v>174.83</v>
      </c>
      <c r="DP222">
        <f>174.82</f>
        <v>174.82</v>
      </c>
      <c r="DQ222">
        <f>165.06</f>
        <v>165.06</v>
      </c>
      <c r="DR222">
        <f>172.34</f>
        <v>172.34</v>
      </c>
      <c r="DS222">
        <f>159.87</f>
        <v>159.87</v>
      </c>
      <c r="DT222">
        <f>166.5</f>
        <v>166.5</v>
      </c>
      <c r="DU222">
        <f>164.34</f>
        <v>164.34</v>
      </c>
      <c r="DV222">
        <f>174.25</f>
        <v>174.25</v>
      </c>
      <c r="DW222">
        <f>168.34</f>
        <v>168.34</v>
      </c>
      <c r="DX222">
        <f>172.99</f>
        <v>172.99</v>
      </c>
      <c r="DY222">
        <f>163.39</f>
        <v>163.38999999999999</v>
      </c>
      <c r="DZ222">
        <f>160.79</f>
        <v>160.79</v>
      </c>
      <c r="EA222">
        <f>155.84</f>
        <v>155.84</v>
      </c>
      <c r="EB222">
        <f>140.97</f>
        <v>140.97</v>
      </c>
      <c r="EC222">
        <f>154.1</f>
        <v>154.1</v>
      </c>
      <c r="ED222">
        <f>148.08</f>
        <v>148.08000000000001</v>
      </c>
      <c r="EE222">
        <f>142.19</f>
        <v>142.19</v>
      </c>
      <c r="EF222">
        <f>141.84</f>
        <v>141.84</v>
      </c>
      <c r="EG222">
        <f>136.55</f>
        <v>136.55000000000001</v>
      </c>
      <c r="EH222">
        <f>131.32</f>
        <v>131.32</v>
      </c>
      <c r="EI222">
        <f>128.97</f>
        <v>128.97</v>
      </c>
      <c r="EJ222">
        <f>123.5</f>
        <v>123.5</v>
      </c>
      <c r="EK222">
        <f>118.23</f>
        <v>118.23</v>
      </c>
      <c r="EL222">
        <f>118.56</f>
        <v>118.56</v>
      </c>
      <c r="EM222">
        <f>125.05</f>
        <v>125.05</v>
      </c>
      <c r="EN222">
        <f>127.09</f>
        <v>127.09</v>
      </c>
      <c r="EO222">
        <f>123.9</f>
        <v>123.9</v>
      </c>
      <c r="EP222">
        <f>135.34</f>
        <v>135.34</v>
      </c>
      <c r="EQ222">
        <f>134.91</f>
        <v>134.91</v>
      </c>
      <c r="ER222">
        <f>132.66</f>
        <v>132.66</v>
      </c>
      <c r="ES222">
        <f>133.04</f>
        <v>133.04</v>
      </c>
      <c r="ET222">
        <f>126.67</f>
        <v>126.67</v>
      </c>
      <c r="EU222">
        <f>124.83</f>
        <v>124.83</v>
      </c>
      <c r="EV222">
        <f>129.79</f>
        <v>129.79</v>
      </c>
      <c r="EW222">
        <f>135.59</f>
        <v>135.59</v>
      </c>
      <c r="EX222">
        <f>131.79</f>
        <v>131.79</v>
      </c>
      <c r="EY222">
        <f>135.56</f>
        <v>135.56</v>
      </c>
      <c r="EZ222">
        <f>135.99</f>
        <v>135.99</v>
      </c>
      <c r="FA222">
        <f>141.52</f>
        <v>141.52000000000001</v>
      </c>
      <c r="FB222">
        <f>147.09</f>
        <v>147.09</v>
      </c>
      <c r="FC222">
        <f>141.48</f>
        <v>141.47999999999999</v>
      </c>
      <c r="FD222">
        <f>139.75</f>
        <v>139.75</v>
      </c>
      <c r="FE222">
        <f>145.4</f>
        <v>145.4</v>
      </c>
      <c r="FF222">
        <f>141.35</f>
        <v>141.35</v>
      </c>
      <c r="FG222">
        <f>129.67</f>
        <v>129.66999999999999</v>
      </c>
      <c r="FH222">
        <f>136.01</f>
        <v>136.01</v>
      </c>
      <c r="FI222">
        <f>130.6</f>
        <v>130.6</v>
      </c>
      <c r="FJ222">
        <f>124.85</f>
        <v>124.85</v>
      </c>
      <c r="FK222">
        <f>133.69</f>
        <v>133.69</v>
      </c>
      <c r="FL222">
        <f>114.05</f>
        <v>114.05</v>
      </c>
      <c r="FM222">
        <f>136.38</f>
        <v>136.38</v>
      </c>
      <c r="FN222">
        <f>134.19</f>
        <v>134.19</v>
      </c>
      <c r="FO222">
        <f>128.4</f>
        <v>128.4</v>
      </c>
      <c r="FP222">
        <f>133.07</f>
        <v>133.07</v>
      </c>
      <c r="FQ222">
        <f>126.61</f>
        <v>126.61</v>
      </c>
    </row>
    <row r="223" spans="1:173">
      <c r="A223" t="str">
        <f>"    Camden Property Trust"</f>
        <v xml:space="preserve">    Camden Property Trust</v>
      </c>
      <c r="B223" t="str">
        <f>"CPT US Equity"</f>
        <v>CPT US Equity</v>
      </c>
      <c r="C223" t="str">
        <f t="shared" si="72"/>
        <v>PR005</v>
      </c>
      <c r="D223" t="str">
        <f t="shared" si="73"/>
        <v>PX_LAST</v>
      </c>
      <c r="E223" t="str">
        <f t="shared" si="74"/>
        <v>动态</v>
      </c>
      <c r="F223">
        <f ca="1">IF(AND(ISNUMBER($F$424),$B$252=1),$F$424,HLOOKUP(INDIRECT(ADDRESS(2,COLUMN())),OFFSET($CL$2,0,0,ROW()-1,84),ROW()-1,FALSE))</f>
        <v>82.73</v>
      </c>
      <c r="G223">
        <f ca="1">IF(AND(ISNUMBER($G$424),$B$252=1),$G$424,HLOOKUP(INDIRECT(ADDRESS(2,COLUMN())),OFFSET($CL$2,0,0,ROW()-1,84),ROW()-1,FALSE))</f>
        <v>79.709999999999994</v>
      </c>
      <c r="H223">
        <f ca="1">IF(AND(ISNUMBER($H$424),$B$252=1),$H$424,HLOOKUP(INDIRECT(ADDRESS(2,COLUMN())),OFFSET($CL$2,0,0,ROW()-1,84),ROW()-1,FALSE))</f>
        <v>86.56</v>
      </c>
      <c r="I223">
        <f ca="1">IF(AND(ISNUMBER($I$424),$B$252=1),$I$424,HLOOKUP(INDIRECT(ADDRESS(2,COLUMN())),OFFSET($CL$2,0,0,ROW()-1,84),ROW()-1,FALSE))</f>
        <v>92.06</v>
      </c>
      <c r="J223">
        <f ca="1">IF(AND(ISNUMBER($J$424),$B$252=1),$J$424,HLOOKUP(INDIRECT(ADDRESS(2,COLUMN())),OFFSET($CL$2,0,0,ROW()-1,84),ROW()-1,FALSE))</f>
        <v>91.28</v>
      </c>
      <c r="K223">
        <f ca="1">IF(AND(ISNUMBER($K$424),$B$252=1),$K$424,HLOOKUP(INDIRECT(ADDRESS(2,COLUMN())),OFFSET($CL$2,0,0,ROW()-1,84),ROW()-1,FALSE))</f>
        <v>91.24</v>
      </c>
      <c r="L223">
        <f ca="1">IF(AND(ISNUMBER($L$424),$B$252=1),$L$424,HLOOKUP(INDIRECT(ADDRESS(2,COLUMN())),OFFSET($CL$2,0,0,ROW()-1,84),ROW()-1,FALSE))</f>
        <v>91.45</v>
      </c>
      <c r="M223">
        <f ca="1">IF(AND(ISNUMBER($M$424),$B$252=1),$M$424,HLOOKUP(INDIRECT(ADDRESS(2,COLUMN())),OFFSET($CL$2,0,0,ROW()-1,84),ROW()-1,FALSE))</f>
        <v>89.48</v>
      </c>
      <c r="N223">
        <f ca="1">IF(AND(ISNUMBER($N$424),$B$252=1),$N$424,HLOOKUP(INDIRECT(ADDRESS(2,COLUMN())),OFFSET($CL$2,0,0,ROW()-1,84),ROW()-1,FALSE))</f>
        <v>89.7</v>
      </c>
      <c r="O223">
        <f ca="1">IF(AND(ISNUMBER($O$424),$B$252=1),$O$424,HLOOKUP(INDIRECT(ADDRESS(2,COLUMN())),OFFSET($CL$2,0,0,ROW()-1,84),ROW()-1,FALSE))</f>
        <v>85.51</v>
      </c>
      <c r="P223">
        <f ca="1">IF(AND(ISNUMBER($P$424),$B$252=1),$P$424,HLOOKUP(INDIRECT(ADDRESS(2,COLUMN())),OFFSET($CL$2,0,0,ROW()-1,84),ROW()-1,FALSE))</f>
        <v>83.31</v>
      </c>
      <c r="Q223">
        <f ca="1">IF(AND(ISNUMBER($Q$424),$B$252=1),$Q$424,HLOOKUP(INDIRECT(ADDRESS(2,COLUMN())),OFFSET($CL$2,0,0,ROW()-1,84),ROW()-1,FALSE))</f>
        <v>82.33</v>
      </c>
      <c r="R223">
        <f ca="1">IF(AND(ISNUMBER($R$424),$B$252=1),$R$424,HLOOKUP(INDIRECT(ADDRESS(2,COLUMN())),OFFSET($CL$2,0,0,ROW()-1,84),ROW()-1,FALSE))</f>
        <v>80.459999999999994</v>
      </c>
      <c r="S223">
        <f ca="1">IF(AND(ISNUMBER($S$424),$B$252=1),$S$424,HLOOKUP(INDIRECT(ADDRESS(2,COLUMN())),OFFSET($CL$2,0,0,ROW()-1,84),ROW()-1,FALSE))</f>
        <v>84.65</v>
      </c>
      <c r="T223">
        <f ca="1">IF(AND(ISNUMBER($T$424),$B$252=1),$T$424,HLOOKUP(INDIRECT(ADDRESS(2,COLUMN())),OFFSET($CL$2,0,0,ROW()-1,84),ROW()-1,FALSE))</f>
        <v>83.57</v>
      </c>
      <c r="U223">
        <f ca="1">IF(AND(ISNUMBER($U$424),$B$252=1),$U$424,HLOOKUP(INDIRECT(ADDRESS(2,COLUMN())),OFFSET($CL$2,0,0,ROW()-1,84),ROW()-1,FALSE))</f>
        <v>84.07</v>
      </c>
      <c r="V223">
        <f ca="1">IF(AND(ISNUMBER($V$424),$B$252=1),$V$424,HLOOKUP(INDIRECT(ADDRESS(2,COLUMN())),OFFSET($CL$2,0,0,ROW()-1,84),ROW()-1,FALSE))</f>
        <v>78.709999999999994</v>
      </c>
      <c r="W223">
        <f ca="1">IF(AND(ISNUMBER($W$424),$B$252=1),$W$424,HLOOKUP(INDIRECT(ADDRESS(2,COLUMN())),OFFSET($CL$2,0,0,ROW()-1,84),ROW()-1,FALSE))</f>
        <v>81.44</v>
      </c>
      <c r="X223">
        <f ca="1">IF(AND(ISNUMBER($X$424),$B$252=1),$X$424,HLOOKUP(INDIRECT(ADDRESS(2,COLUMN())),OFFSET($CL$2,0,0,ROW()-1,84),ROW()-1,FALSE))</f>
        <v>83.74</v>
      </c>
      <c r="Y223">
        <f ca="1">IF(AND(ISNUMBER($Y$424),$B$252=1),$Y$424,HLOOKUP(INDIRECT(ADDRESS(2,COLUMN())),OFFSET($CL$2,0,0,ROW()-1,84),ROW()-1,FALSE))</f>
        <v>87.77</v>
      </c>
      <c r="Z223">
        <f ca="1">IF(AND(ISNUMBER($Z$424),$B$252=1),$Z$424,HLOOKUP(INDIRECT(ADDRESS(2,COLUMN())),OFFSET($CL$2,0,0,ROW()-1,84),ROW()-1,FALSE))</f>
        <v>89.59</v>
      </c>
      <c r="AA223">
        <f ca="1">IF(AND(ISNUMBER($AA$424),$B$252=1),$AA$424,HLOOKUP(INDIRECT(ADDRESS(2,COLUMN())),OFFSET($CL$2,0,0,ROW()-1,84),ROW()-1,FALSE))</f>
        <v>88.42</v>
      </c>
      <c r="AB223">
        <f ca="1">IF(AND(ISNUMBER($AB$424),$B$252=1),$AB$424,HLOOKUP(INDIRECT(ADDRESS(2,COLUMN())),OFFSET($CL$2,0,0,ROW()-1,84),ROW()-1,FALSE))</f>
        <v>85.21</v>
      </c>
      <c r="AC223">
        <f ca="1">IF(AND(ISNUMBER($AC$424),$B$252=1),$AC$424,HLOOKUP(INDIRECT(ADDRESS(2,COLUMN())),OFFSET($CL$2,0,0,ROW()-1,84),ROW()-1,FALSE))</f>
        <v>80.73</v>
      </c>
      <c r="AD223">
        <f ca="1">IF(AND(ISNUMBER($AD$424),$B$252=1),$AD$424,HLOOKUP(INDIRECT(ADDRESS(2,COLUMN())),OFFSET($CL$2,0,0,ROW()-1,84),ROW()-1,FALSE))</f>
        <v>84.09</v>
      </c>
      <c r="AE223">
        <f ca="1">IF(AND(ISNUMBER($AE$424),$B$252=1),$AE$424,HLOOKUP(INDIRECT(ADDRESS(2,COLUMN())),OFFSET($CL$2,0,0,ROW()-1,84),ROW()-1,FALSE))</f>
        <v>74.739999999999995</v>
      </c>
      <c r="AF223">
        <f ca="1">IF(AND(ISNUMBER($AF$424),$B$252=1),$AF$424,HLOOKUP(INDIRECT(ADDRESS(2,COLUMN())),OFFSET($CL$2,0,0,ROW()-1,84),ROW()-1,FALSE))</f>
        <v>76.3</v>
      </c>
      <c r="AG223">
        <f ca="1">IF(AND(ISNUMBER($AG$424),$B$252=1),$AG$424,HLOOKUP(INDIRECT(ADDRESS(2,COLUMN())),OFFSET($CL$2,0,0,ROW()-1,84),ROW()-1,FALSE))</f>
        <v>76.760000000000005</v>
      </c>
      <c r="AH223">
        <f ca="1">IF(AND(ISNUMBER($AH$424),$B$252=1),$AH$424,HLOOKUP(INDIRECT(ADDRESS(2,COLUMN())),OFFSET($CL$2,0,0,ROW()-1,84),ROW()-1,FALSE))</f>
        <v>76.38</v>
      </c>
      <c r="AI223">
        <f ca="1">IF(AND(ISNUMBER($AI$424),$B$252=1),$AI$424,HLOOKUP(INDIRECT(ADDRESS(2,COLUMN())),OFFSET($CL$2,0,0,ROW()-1,84),ROW()-1,FALSE))</f>
        <v>73.790000000000006</v>
      </c>
      <c r="AJ223">
        <f ca="1">IF(AND(ISNUMBER($AJ$424),$B$252=1),$AJ$424,HLOOKUP(INDIRECT(ADDRESS(2,COLUMN())),OFFSET($CL$2,0,0,ROW()-1,84),ROW()-1,FALSE))</f>
        <v>73.900000000000006</v>
      </c>
      <c r="AK223">
        <f ca="1">IF(AND(ISNUMBER($AK$424),$B$252=1),$AK$424,HLOOKUP(INDIRECT(ADDRESS(2,COLUMN())),OFFSET($CL$2,0,0,ROW()-1,84),ROW()-1,FALSE))</f>
        <v>72.03</v>
      </c>
      <c r="AL223">
        <f ca="1">IF(AND(ISNUMBER($AL$424),$B$252=1),$AL$424,HLOOKUP(INDIRECT(ADDRESS(2,COLUMN())),OFFSET($CL$2,0,0,ROW()-1,84),ROW()-1,FALSE))</f>
        <v>79.63</v>
      </c>
      <c r="AM223">
        <f ca="1">IF(AND(ISNUMBER($AM$424),$B$252=1),$AM$424,HLOOKUP(INDIRECT(ADDRESS(2,COLUMN())),OFFSET($CL$2,0,0,ROW()-1,84),ROW()-1,FALSE))</f>
        <v>74.28</v>
      </c>
      <c r="AN223">
        <f ca="1">IF(AND(ISNUMBER($AN$424),$B$252=1),$AN$424,HLOOKUP(INDIRECT(ADDRESS(2,COLUMN())),OFFSET($CL$2,0,0,ROW()-1,84),ROW()-1,FALSE))</f>
        <v>74.98</v>
      </c>
      <c r="AO223">
        <f ca="1">IF(AND(ISNUMBER($AO$424),$B$252=1),$AO$424,HLOOKUP(INDIRECT(ADDRESS(2,COLUMN())),OFFSET($CL$2,0,0,ROW()-1,84),ROW()-1,FALSE))</f>
        <v>75.08</v>
      </c>
      <c r="AP223">
        <f ca="1">IF(AND(ISNUMBER($AP$424),$B$252=1),$AP$424,HLOOKUP(INDIRECT(ADDRESS(2,COLUMN())),OFFSET($CL$2,0,0,ROW()-1,84),ROW()-1,FALSE))</f>
        <v>78.13</v>
      </c>
      <c r="AQ223">
        <f ca="1">IF(AND(ISNUMBER($AQ$424),$B$252=1),$AQ$424,HLOOKUP(INDIRECT(ADDRESS(2,COLUMN())),OFFSET($CL$2,0,0,ROW()-1,84),ROW()-1,FALSE))</f>
        <v>72.790000000000006</v>
      </c>
      <c r="AR223">
        <f ca="1">IF(AND(ISNUMBER($AR$424),$B$252=1),$AR$424,HLOOKUP(INDIRECT(ADDRESS(2,COLUMN())),OFFSET($CL$2,0,0,ROW()-1,84),ROW()-1,FALSE))</f>
        <v>77.05</v>
      </c>
      <c r="AS223">
        <f ca="1">IF(AND(ISNUMBER($AS$424),$B$252=1),$AS$424,HLOOKUP(INDIRECT(ADDRESS(2,COLUMN())),OFFSET($CL$2,0,0,ROW()-1,84),ROW()-1,FALSE))</f>
        <v>73.84</v>
      </c>
      <c r="AT223">
        <f ca="1">IF(AND(ISNUMBER($AT$424),$B$252=1),$AT$424,HLOOKUP(INDIRECT(ADDRESS(2,COLUMN())),OFFSET($CL$2,0,0,ROW()-1,84),ROW()-1,FALSE))</f>
        <v>76.680000000000007</v>
      </c>
      <c r="AU223">
        <f ca="1">IF(AND(ISNUMBER($AU$424),$B$252=1),$AU$424,HLOOKUP(INDIRECT(ADDRESS(2,COLUMN())),OFFSET($CL$2,0,0,ROW()-1,84),ROW()-1,FALSE))</f>
        <v>76.67</v>
      </c>
      <c r="AV223">
        <f ca="1">IF(AND(ISNUMBER($AV$424),$B$252=1),$AV$424,HLOOKUP(INDIRECT(ADDRESS(2,COLUMN())),OFFSET($CL$2,0,0,ROW()-1,84),ROW()-1,FALSE))</f>
        <v>68.53</v>
      </c>
      <c r="AW223">
        <f ca="1">IF(AND(ISNUMBER($AW$424),$B$252=1),$AW$424,HLOOKUP(INDIRECT(ADDRESS(2,COLUMN())),OFFSET($CL$2,0,0,ROW()-1,84),ROW()-1,FALSE))</f>
        <v>74.84</v>
      </c>
      <c r="AX223">
        <f ca="1">IF(AND(ISNUMBER($AX$424),$B$252=1),$AX$424,HLOOKUP(INDIRECT(ADDRESS(2,COLUMN())),OFFSET($CL$2,0,0,ROW()-1,84),ROW()-1,FALSE))</f>
        <v>72.36</v>
      </c>
      <c r="AY223">
        <f ca="1">IF(AND(ISNUMBER($AY$424),$B$252=1),$AY$424,HLOOKUP(INDIRECT(ADDRESS(2,COLUMN())),OFFSET($CL$2,0,0,ROW()-1,84),ROW()-1,FALSE))</f>
        <v>71.150000000000006</v>
      </c>
      <c r="AZ223">
        <f ca="1">IF(AND(ISNUMBER($AZ$424),$B$252=1),$AZ$424,HLOOKUP(INDIRECT(ADDRESS(2,COLUMN())),OFFSET($CL$2,0,0,ROW()-1,84),ROW()-1,FALSE))</f>
        <v>70.239999999999995</v>
      </c>
      <c r="BA223">
        <f ca="1">IF(AND(ISNUMBER($BA$424),$B$252=1),$BA$424,HLOOKUP(INDIRECT(ADDRESS(2,COLUMN())),OFFSET($CL$2,0,0,ROW()-1,84),ROW()-1,FALSE))</f>
        <v>68.489999999999995</v>
      </c>
      <c r="BB223">
        <f ca="1">IF(AND(ISNUMBER($BB$424),$B$252=1),$BB$424,HLOOKUP(INDIRECT(ADDRESS(2,COLUMN())),OFFSET($CL$2,0,0,ROW()-1,84),ROW()-1,FALSE))</f>
        <v>67.34</v>
      </c>
      <c r="BC223">
        <f ca="1">IF(AND(ISNUMBER($BC$424),$B$252=1),$BC$424,HLOOKUP(INDIRECT(ADDRESS(2,COLUMN())),OFFSET($CL$2,0,0,ROW()-1,84),ROW()-1,FALSE))</f>
        <v>66.7</v>
      </c>
      <c r="BD223">
        <f ca="1">IF(AND(ISNUMBER($BD$424),$B$252=1),$BD$424,HLOOKUP(INDIRECT(ADDRESS(2,COLUMN())),OFFSET($CL$2,0,0,ROW()-1,84),ROW()-1,FALSE))</f>
        <v>61.82</v>
      </c>
      <c r="BE223">
        <f ca="1">IF(AND(ISNUMBER($BE$424),$B$252=1),$BE$424,HLOOKUP(INDIRECT(ADDRESS(2,COLUMN())),OFFSET($CL$2,0,0,ROW()-1,84),ROW()-1,FALSE))</f>
        <v>56.88</v>
      </c>
      <c r="BF223">
        <f ca="1">IF(AND(ISNUMBER($BF$424),$B$252=1),$BF$424,HLOOKUP(INDIRECT(ADDRESS(2,COLUMN())),OFFSET($CL$2,0,0,ROW()-1,84),ROW()-1,FALSE))</f>
        <v>57.92</v>
      </c>
      <c r="BG223">
        <f ca="1">IF(AND(ISNUMBER($BG$424),$B$252=1),$BG$424,HLOOKUP(INDIRECT(ADDRESS(2,COLUMN())),OFFSET($CL$2,0,0,ROW()-1,84),ROW()-1,FALSE))</f>
        <v>64.2</v>
      </c>
      <c r="BH223">
        <f ca="1">IF(AND(ISNUMBER($BH$424),$B$252=1),$BH$424,HLOOKUP(INDIRECT(ADDRESS(2,COLUMN())),OFFSET($CL$2,0,0,ROW()-1,84),ROW()-1,FALSE))</f>
        <v>61.44</v>
      </c>
      <c r="BI223">
        <f ca="1">IF(AND(ISNUMBER($BI$424),$B$252=1),$BI$424,HLOOKUP(INDIRECT(ADDRESS(2,COLUMN())),OFFSET($CL$2,0,0,ROW()-1,84),ROW()-1,FALSE))</f>
        <v>61.79</v>
      </c>
      <c r="BJ223">
        <f ca="1">IF(AND(ISNUMBER($BJ$424),$B$252=1),$BJ$424,HLOOKUP(INDIRECT(ADDRESS(2,COLUMN())),OFFSET($CL$2,0,0,ROW()-1,84),ROW()-1,FALSE))</f>
        <v>70.540000000000006</v>
      </c>
      <c r="BK223">
        <f ca="1">IF(AND(ISNUMBER($BK$424),$B$252=1),$BK$424,HLOOKUP(INDIRECT(ADDRESS(2,COLUMN())),OFFSET($CL$2,0,0,ROW()-1,84),ROW()-1,FALSE))</f>
        <v>69.14</v>
      </c>
      <c r="BL223">
        <f ca="1">IF(AND(ISNUMBER($BL$424),$B$252=1),$BL$424,HLOOKUP(INDIRECT(ADDRESS(2,COLUMN())),OFFSET($CL$2,0,0,ROW()-1,84),ROW()-1,FALSE))</f>
        <v>69.25</v>
      </c>
      <c r="BM223">
        <f ca="1">IF(AND(ISNUMBER($BM$424),$B$252=1),$BM$424,HLOOKUP(INDIRECT(ADDRESS(2,COLUMN())),OFFSET($CL$2,0,0,ROW()-1,84),ROW()-1,FALSE))</f>
        <v>72.34</v>
      </c>
      <c r="BN223">
        <f ca="1">IF(AND(ISNUMBER($BN$424),$B$252=1),$BN$424,HLOOKUP(INDIRECT(ADDRESS(2,COLUMN())),OFFSET($CL$2,0,0,ROW()-1,84),ROW()-1,FALSE))</f>
        <v>68.680000000000007</v>
      </c>
      <c r="BO223">
        <f ca="1">IF(AND(ISNUMBER($BO$424),$B$252=1),$BO$424,HLOOKUP(INDIRECT(ADDRESS(2,COLUMN())),OFFSET($CL$2,0,0,ROW()-1,84),ROW()-1,FALSE))</f>
        <v>69.14</v>
      </c>
      <c r="BP223">
        <f ca="1">IF(AND(ISNUMBER($BP$424),$B$252=1),$BP$424,HLOOKUP(INDIRECT(ADDRESS(2,COLUMN())),OFFSET($CL$2,0,0,ROW()-1,84),ROW()-1,FALSE))</f>
        <v>69.39</v>
      </c>
      <c r="BQ223">
        <f ca="1">IF(AND(ISNUMBER($BQ$424),$B$252=1),$BQ$424,HLOOKUP(INDIRECT(ADDRESS(2,COLUMN())),OFFSET($CL$2,0,0,ROW()-1,84),ROW()-1,FALSE))</f>
        <v>68.209999999999994</v>
      </c>
      <c r="BR223">
        <f ca="1">IF(AND(ISNUMBER($BR$424),$B$252=1),$BR$424,HLOOKUP(INDIRECT(ADDRESS(2,COLUMN())),OFFSET($CL$2,0,0,ROW()-1,84),ROW()-1,FALSE))</f>
        <v>65.7</v>
      </c>
      <c r="BS223">
        <f ca="1">IF(AND(ISNUMBER($BS$424),$B$252=1),$BS$424,HLOOKUP(INDIRECT(ADDRESS(2,COLUMN())),OFFSET($CL$2,0,0,ROW()-1,84),ROW()-1,FALSE))</f>
        <v>65.63</v>
      </c>
      <c r="BT223">
        <f ca="1">IF(AND(ISNUMBER($BT$424),$B$252=1),$BT$424,HLOOKUP(INDIRECT(ADDRESS(2,COLUMN())),OFFSET($CL$2,0,0,ROW()-1,84),ROW()-1,FALSE))</f>
        <v>64.489999999999995</v>
      </c>
      <c r="BU223">
        <f ca="1">IF(AND(ISNUMBER($BU$424),$B$252=1),$BU$424,HLOOKUP(INDIRECT(ADDRESS(2,COLUMN())),OFFSET($CL$2,0,0,ROW()-1,84),ROW()-1,FALSE))</f>
        <v>69.430000000000007</v>
      </c>
      <c r="BV223">
        <f ca="1">IF(AND(ISNUMBER($BV$424),$B$252=1),$BV$424,HLOOKUP(INDIRECT(ADDRESS(2,COLUMN())),OFFSET($CL$2,0,0,ROW()-1,84),ROW()-1,FALSE))</f>
        <v>71.31</v>
      </c>
      <c r="BW223">
        <f ca="1">IF(AND(ISNUMBER($BW$424),$B$252=1),$BW$424,HLOOKUP(INDIRECT(ADDRESS(2,COLUMN())),OFFSET($CL$2,0,0,ROW()-1,84),ROW()-1,FALSE))</f>
        <v>67.67</v>
      </c>
      <c r="BX223">
        <f ca="1">IF(AND(ISNUMBER($BX$424),$B$252=1),$BX$424,HLOOKUP(INDIRECT(ADDRESS(2,COLUMN())),OFFSET($CL$2,0,0,ROW()-1,84),ROW()-1,FALSE))</f>
        <v>65.11</v>
      </c>
      <c r="BY223">
        <f ca="1">IF(AND(ISNUMBER($BY$424),$B$252=1),$BY$424,HLOOKUP(INDIRECT(ADDRESS(2,COLUMN())),OFFSET($CL$2,0,0,ROW()-1,84),ROW()-1,FALSE))</f>
        <v>67.67</v>
      </c>
      <c r="BZ223">
        <f ca="1">IF(AND(ISNUMBER($BZ$424),$B$252=1),$BZ$424,HLOOKUP(INDIRECT(ADDRESS(2,COLUMN())),OFFSET($CL$2,0,0,ROW()-1,84),ROW()-1,FALSE))</f>
        <v>65.75</v>
      </c>
      <c r="CA223">
        <f ca="1">IF(AND(ISNUMBER($CA$424),$B$252=1),$CA$424,HLOOKUP(INDIRECT(ADDRESS(2,COLUMN())),OFFSET($CL$2,0,0,ROW()-1,84),ROW()-1,FALSE))</f>
        <v>62</v>
      </c>
      <c r="CB223">
        <f ca="1">IF(AND(ISNUMBER($CB$424),$B$252=1),$CB$424,HLOOKUP(INDIRECT(ADDRESS(2,COLUMN())),OFFSET($CL$2,0,0,ROW()-1,84),ROW()-1,FALSE))</f>
        <v>64.5</v>
      </c>
      <c r="CC223">
        <f ca="1">IF(AND(ISNUMBER($CC$424),$B$252=1),$CC$424,HLOOKUP(INDIRECT(ADDRESS(2,COLUMN())),OFFSET($CL$2,0,0,ROW()-1,84),ROW()-1,FALSE))</f>
        <v>62.24</v>
      </c>
      <c r="CD223">
        <f ca="1">IF(AND(ISNUMBER($CD$424),$B$252=1),$CD$424,HLOOKUP(INDIRECT(ADDRESS(2,COLUMN())),OFFSET($CL$2,0,0,ROW()-1,84),ROW()-1,FALSE))</f>
        <v>57.73</v>
      </c>
      <c r="CE223">
        <f ca="1">IF(AND(ISNUMBER($CE$424),$B$252=1),$CE$424,HLOOKUP(INDIRECT(ADDRESS(2,COLUMN())),OFFSET($CL$2,0,0,ROW()-1,84),ROW()-1,FALSE))</f>
        <v>60.64</v>
      </c>
      <c r="CF223">
        <f ca="1">IF(AND(ISNUMBER($CF$424),$B$252=1),$CF$424,HLOOKUP(INDIRECT(ADDRESS(2,COLUMN())),OFFSET($CL$2,0,0,ROW()-1,84),ROW()-1,FALSE))</f>
        <v>55.26</v>
      </c>
      <c r="CG223">
        <f ca="1">IF(AND(ISNUMBER($CG$424),$B$252=1),$CG$424,HLOOKUP(INDIRECT(ADDRESS(2,COLUMN())),OFFSET($CL$2,0,0,ROW()-1,84),ROW()-1,FALSE))</f>
        <v>66.819999999999993</v>
      </c>
      <c r="CH223">
        <f ca="1">IF(AND(ISNUMBER($CH$424),$B$252=1),$CH$424,HLOOKUP(INDIRECT(ADDRESS(2,COLUMN())),OFFSET($CL$2,0,0,ROW()-1,84),ROW()-1,FALSE))</f>
        <v>67.069999999999993</v>
      </c>
      <c r="CI223">
        <f ca="1">IF(AND(ISNUMBER($CI$424),$B$252=1),$CI$424,HLOOKUP(INDIRECT(ADDRESS(2,COLUMN())),OFFSET($CL$2,0,0,ROW()-1,84),ROW()-1,FALSE))</f>
        <v>63.62</v>
      </c>
      <c r="CJ223">
        <f ca="1">IF(AND(ISNUMBER($CJ$424),$B$252=1),$CJ$424,HLOOKUP(INDIRECT(ADDRESS(2,COLUMN())),OFFSET($CL$2,0,0,ROW()-1,84),ROW()-1,FALSE))</f>
        <v>64.28</v>
      </c>
      <c r="CK223">
        <f ca="1">IF(AND(ISNUMBER($CK$424),$B$252=1),$CK$424,HLOOKUP(INDIRECT(ADDRESS(2,COLUMN())),OFFSET($CL$2,0,0,ROW()-1,84),ROW()-1,FALSE))</f>
        <v>62.75</v>
      </c>
      <c r="CL223">
        <f>82.73</f>
        <v>82.73</v>
      </c>
      <c r="CM223">
        <f>79.71</f>
        <v>79.709999999999994</v>
      </c>
      <c r="CN223">
        <f>86.56</f>
        <v>86.56</v>
      </c>
      <c r="CO223">
        <f>92.06</f>
        <v>92.06</v>
      </c>
      <c r="CP223">
        <f>91.28</f>
        <v>91.28</v>
      </c>
      <c r="CQ223">
        <f>91.24</f>
        <v>91.24</v>
      </c>
      <c r="CR223">
        <f>91.45</f>
        <v>91.45</v>
      </c>
      <c r="CS223">
        <f>89.48</f>
        <v>89.48</v>
      </c>
      <c r="CT223">
        <f>89.7</f>
        <v>89.7</v>
      </c>
      <c r="CU223">
        <f>85.51</f>
        <v>85.51</v>
      </c>
      <c r="CV223">
        <f>83.31</f>
        <v>83.31</v>
      </c>
      <c r="CW223">
        <f>82.33</f>
        <v>82.33</v>
      </c>
      <c r="CX223">
        <f>80.46</f>
        <v>80.459999999999994</v>
      </c>
      <c r="CY223">
        <f>84.65</f>
        <v>84.65</v>
      </c>
      <c r="CZ223">
        <f>83.57</f>
        <v>83.57</v>
      </c>
      <c r="DA223">
        <f>84.07</f>
        <v>84.07</v>
      </c>
      <c r="DB223">
        <f>78.71</f>
        <v>78.709999999999994</v>
      </c>
      <c r="DC223">
        <f>81.44</f>
        <v>81.44</v>
      </c>
      <c r="DD223">
        <f>83.74</f>
        <v>83.74</v>
      </c>
      <c r="DE223">
        <f>87.77</f>
        <v>87.77</v>
      </c>
      <c r="DF223">
        <f>89.59</f>
        <v>89.59</v>
      </c>
      <c r="DG223">
        <f>88.42</f>
        <v>88.42</v>
      </c>
      <c r="DH223">
        <f>85.21</f>
        <v>85.21</v>
      </c>
      <c r="DI223">
        <f>80.73</f>
        <v>80.73</v>
      </c>
      <c r="DJ223">
        <f>84.09</f>
        <v>84.09</v>
      </c>
      <c r="DK223">
        <f>74.74</f>
        <v>74.739999999999995</v>
      </c>
      <c r="DL223">
        <f>76.3</f>
        <v>76.3</v>
      </c>
      <c r="DM223">
        <f>76.76</f>
        <v>76.760000000000005</v>
      </c>
      <c r="DN223">
        <f>76.38</f>
        <v>76.38</v>
      </c>
      <c r="DO223">
        <f>73.79</f>
        <v>73.790000000000006</v>
      </c>
      <c r="DP223">
        <f>73.9</f>
        <v>73.900000000000006</v>
      </c>
      <c r="DQ223">
        <f>72.03</f>
        <v>72.03</v>
      </c>
      <c r="DR223">
        <f>79.63</f>
        <v>79.63</v>
      </c>
      <c r="DS223">
        <f>74.28</f>
        <v>74.28</v>
      </c>
      <c r="DT223">
        <f>74.98</f>
        <v>74.98</v>
      </c>
      <c r="DU223">
        <f>75.08</f>
        <v>75.08</v>
      </c>
      <c r="DV223">
        <f>78.13</f>
        <v>78.13</v>
      </c>
      <c r="DW223">
        <f>72.79</f>
        <v>72.790000000000006</v>
      </c>
      <c r="DX223">
        <f>77.05</f>
        <v>77.05</v>
      </c>
      <c r="DY223">
        <f>73.84</f>
        <v>73.84</v>
      </c>
      <c r="DZ223">
        <f>76.68</f>
        <v>76.680000000000007</v>
      </c>
      <c r="EA223">
        <f>76.67</f>
        <v>76.67</v>
      </c>
      <c r="EB223">
        <f>68.53</f>
        <v>68.53</v>
      </c>
      <c r="EC223">
        <f>74.84</f>
        <v>74.84</v>
      </c>
      <c r="ED223">
        <f>72.36</f>
        <v>72.36</v>
      </c>
      <c r="EE223">
        <f>71.15</f>
        <v>71.150000000000006</v>
      </c>
      <c r="EF223">
        <f>70.24</f>
        <v>70.239999999999995</v>
      </c>
      <c r="EG223">
        <f>68.49</f>
        <v>68.489999999999995</v>
      </c>
      <c r="EH223">
        <f>67.34</f>
        <v>67.34</v>
      </c>
      <c r="EI223">
        <f>66.7</f>
        <v>66.7</v>
      </c>
      <c r="EJ223">
        <f>61.82</f>
        <v>61.82</v>
      </c>
      <c r="EK223">
        <f>56.88</f>
        <v>56.88</v>
      </c>
      <c r="EL223">
        <f>57.92</f>
        <v>57.92</v>
      </c>
      <c r="EM223">
        <f>64.2</f>
        <v>64.2</v>
      </c>
      <c r="EN223">
        <f>61.44</f>
        <v>61.44</v>
      </c>
      <c r="EO223">
        <f>61.79</f>
        <v>61.79</v>
      </c>
      <c r="EP223">
        <f>70.54</f>
        <v>70.540000000000006</v>
      </c>
      <c r="EQ223">
        <f>69.14</f>
        <v>69.14</v>
      </c>
      <c r="ER223">
        <f>69.25</f>
        <v>69.25</v>
      </c>
      <c r="ES223">
        <f>72.34</f>
        <v>72.34</v>
      </c>
      <c r="ET223">
        <f>68.68</f>
        <v>68.680000000000007</v>
      </c>
      <c r="EU223">
        <f>69.14</f>
        <v>69.14</v>
      </c>
      <c r="EV223">
        <f>69.39</f>
        <v>69.39</v>
      </c>
      <c r="EW223">
        <f>68.21</f>
        <v>68.209999999999994</v>
      </c>
      <c r="EX223">
        <f>65.7</f>
        <v>65.7</v>
      </c>
      <c r="EY223">
        <f>65.63</f>
        <v>65.63</v>
      </c>
      <c r="EZ223">
        <f>64.49</f>
        <v>64.489999999999995</v>
      </c>
      <c r="FA223">
        <f>69.43</f>
        <v>69.430000000000007</v>
      </c>
      <c r="FB223">
        <f>71.31</f>
        <v>71.31</v>
      </c>
      <c r="FC223">
        <f>67.67</f>
        <v>67.67</v>
      </c>
      <c r="FD223">
        <f>65.11</f>
        <v>65.11</v>
      </c>
      <c r="FE223">
        <f>67.67</f>
        <v>67.67</v>
      </c>
      <c r="FF223">
        <f>65.75</f>
        <v>65.75</v>
      </c>
      <c r="FG223">
        <f>62</f>
        <v>62</v>
      </c>
      <c r="FH223">
        <f>64.5</f>
        <v>64.5</v>
      </c>
      <c r="FI223">
        <f>62.24</f>
        <v>62.24</v>
      </c>
      <c r="FJ223">
        <f>57.73</f>
        <v>57.73</v>
      </c>
      <c r="FK223">
        <f>60.64</f>
        <v>60.64</v>
      </c>
      <c r="FL223">
        <f>55.26</f>
        <v>55.26</v>
      </c>
      <c r="FM223">
        <f>66.82</f>
        <v>66.819999999999993</v>
      </c>
      <c r="FN223">
        <f>67.07</f>
        <v>67.069999999999993</v>
      </c>
      <c r="FO223">
        <f>63.62</f>
        <v>63.62</v>
      </c>
      <c r="FP223">
        <f>64.28</f>
        <v>64.28</v>
      </c>
      <c r="FQ223">
        <f>62.75</f>
        <v>62.75</v>
      </c>
    </row>
    <row r="224" spans="1:173">
      <c r="A224" t="str">
        <f>"    Equity Residential"</f>
        <v xml:space="preserve">    Equity Residential</v>
      </c>
      <c r="B224" t="str">
        <f>"EQR US Equity"</f>
        <v>EQR US Equity</v>
      </c>
      <c r="C224" t="str">
        <f t="shared" si="72"/>
        <v>PR005</v>
      </c>
      <c r="D224" t="str">
        <f t="shared" si="73"/>
        <v>PX_LAST</v>
      </c>
      <c r="E224" t="str">
        <f t="shared" si="74"/>
        <v>动态</v>
      </c>
      <c r="F224">
        <f ca="1">IF(AND(ISNUMBER($F$425),$B$252=1),$F$425,HLOOKUP(INDIRECT(ADDRESS(2,COLUMN())),OFFSET($CL$2,0,0,ROW()-1,84),ROW()-1,FALSE))</f>
        <v>59.5</v>
      </c>
      <c r="G224">
        <f ca="1">IF(AND(ISNUMBER($G$425),$B$252=1),$G$425,HLOOKUP(INDIRECT(ADDRESS(2,COLUMN())),OFFSET($CL$2,0,0,ROW()-1,84),ROW()-1,FALSE))</f>
        <v>56.23</v>
      </c>
      <c r="H224">
        <f ca="1">IF(AND(ISNUMBER($H$425),$B$252=1),$H$425,HLOOKUP(INDIRECT(ADDRESS(2,COLUMN())),OFFSET($CL$2,0,0,ROW()-1,84),ROW()-1,FALSE))</f>
        <v>61.61</v>
      </c>
      <c r="I224">
        <f ca="1">IF(AND(ISNUMBER($I$425),$B$252=1),$I$425,HLOOKUP(INDIRECT(ADDRESS(2,COLUMN())),OFFSET($CL$2,0,0,ROW()-1,84),ROW()-1,FALSE))</f>
        <v>63.77</v>
      </c>
      <c r="J224">
        <f ca="1">IF(AND(ISNUMBER($J$425),$B$252=1),$J$425,HLOOKUP(INDIRECT(ADDRESS(2,COLUMN())),OFFSET($CL$2,0,0,ROW()-1,84),ROW()-1,FALSE))</f>
        <v>66.819999999999993</v>
      </c>
      <c r="K224">
        <f ca="1">IF(AND(ISNUMBER($K$425),$B$252=1),$K$425,HLOOKUP(INDIRECT(ADDRESS(2,COLUMN())),OFFSET($CL$2,0,0,ROW()-1,84),ROW()-1,FALSE))</f>
        <v>67.260000000000005</v>
      </c>
      <c r="L224">
        <f ca="1">IF(AND(ISNUMBER($L$425),$B$252=1),$L$425,HLOOKUP(INDIRECT(ADDRESS(2,COLUMN())),OFFSET($CL$2,0,0,ROW()-1,84),ROW()-1,FALSE))</f>
        <v>65.930000000000007</v>
      </c>
      <c r="M224">
        <f ca="1">IF(AND(ISNUMBER($M$425),$B$252=1),$M$425,HLOOKUP(INDIRECT(ADDRESS(2,COLUMN())),OFFSET($CL$2,0,0,ROW()-1,84),ROW()-1,FALSE))</f>
        <v>67.150000000000006</v>
      </c>
      <c r="N224">
        <f ca="1">IF(AND(ISNUMBER($N$425),$B$252=1),$N$425,HLOOKUP(INDIRECT(ADDRESS(2,COLUMN())),OFFSET($CL$2,0,0,ROW()-1,84),ROW()-1,FALSE))</f>
        <v>68.06</v>
      </c>
      <c r="O224">
        <f ca="1">IF(AND(ISNUMBER($O$425),$B$252=1),$O$425,HLOOKUP(INDIRECT(ADDRESS(2,COLUMN())),OFFSET($CL$2,0,0,ROW()-1,84),ROW()-1,FALSE))</f>
        <v>65.83</v>
      </c>
      <c r="P224">
        <f ca="1">IF(AND(ISNUMBER($P$425),$B$252=1),$P$425,HLOOKUP(INDIRECT(ADDRESS(2,COLUMN())),OFFSET($CL$2,0,0,ROW()-1,84),ROW()-1,FALSE))</f>
        <v>65.09</v>
      </c>
      <c r="Q224">
        <f ca="1">IF(AND(ISNUMBER($Q$425),$B$252=1),$Q$425,HLOOKUP(INDIRECT(ADDRESS(2,COLUMN())),OFFSET($CL$2,0,0,ROW()-1,84),ROW()-1,FALSE))</f>
        <v>64.58</v>
      </c>
      <c r="R224">
        <f ca="1">IF(AND(ISNUMBER($R$425),$B$252=1),$R$425,HLOOKUP(INDIRECT(ADDRESS(2,COLUMN())),OFFSET($CL$2,0,0,ROW()-1,84),ROW()-1,FALSE))</f>
        <v>62.22</v>
      </c>
      <c r="S224">
        <f ca="1">IF(AND(ISNUMBER($S$425),$B$252=1),$S$425,HLOOKUP(INDIRECT(ADDRESS(2,COLUMN())),OFFSET($CL$2,0,0,ROW()-1,84),ROW()-1,FALSE))</f>
        <v>63.07</v>
      </c>
      <c r="T224">
        <f ca="1">IF(AND(ISNUMBER($T$425),$B$252=1),$T$425,HLOOKUP(INDIRECT(ADDRESS(2,COLUMN())),OFFSET($CL$2,0,0,ROW()-1,84),ROW()-1,FALSE))</f>
        <v>60.77</v>
      </c>
      <c r="U224">
        <f ca="1">IF(AND(ISNUMBER($U$425),$B$252=1),$U$425,HLOOKUP(INDIRECT(ADDRESS(2,COLUMN())),OFFSET($CL$2,0,0,ROW()-1,84),ROW()-1,FALSE))</f>
        <v>64.36</v>
      </c>
      <c r="V224">
        <f ca="1">IF(AND(ISNUMBER($V$425),$B$252=1),$V$425,HLOOKUP(INDIRECT(ADDRESS(2,COLUMN())),OFFSET($CL$2,0,0,ROW()-1,84),ROW()-1,FALSE))</f>
        <v>60.01</v>
      </c>
      <c r="W224">
        <f ca="1">IF(AND(ISNUMBER($W$425),$B$252=1),$W$425,HLOOKUP(INDIRECT(ADDRESS(2,COLUMN())),OFFSET($CL$2,0,0,ROW()-1,84),ROW()-1,FALSE))</f>
        <v>61.75</v>
      </c>
      <c r="X224">
        <f ca="1">IF(AND(ISNUMBER($X$425),$B$252=1),$X$425,HLOOKUP(INDIRECT(ADDRESS(2,COLUMN())),OFFSET($CL$2,0,0,ROW()-1,84),ROW()-1,FALSE))</f>
        <v>64.33</v>
      </c>
      <c r="Y224">
        <f ca="1">IF(AND(ISNUMBER($Y$425),$B$252=1),$Y$425,HLOOKUP(INDIRECT(ADDRESS(2,COLUMN())),OFFSET($CL$2,0,0,ROW()-1,84),ROW()-1,FALSE))</f>
        <v>64.87</v>
      </c>
      <c r="Z224">
        <f ca="1">IF(AND(ISNUMBER($Z$425),$B$252=1),$Z$425,HLOOKUP(INDIRECT(ADDRESS(2,COLUMN())),OFFSET($CL$2,0,0,ROW()-1,84),ROW()-1,FALSE))</f>
        <v>67.989999999999995</v>
      </c>
      <c r="AA224">
        <f ca="1">IF(AND(ISNUMBER($AA$425),$B$252=1),$AA$425,HLOOKUP(INDIRECT(ADDRESS(2,COLUMN())),OFFSET($CL$2,0,0,ROW()-1,84),ROW()-1,FALSE))</f>
        <v>68.88</v>
      </c>
      <c r="AB224">
        <f ca="1">IF(AND(ISNUMBER($AB$425),$B$252=1),$AB$425,HLOOKUP(INDIRECT(ADDRESS(2,COLUMN())),OFFSET($CL$2,0,0,ROW()-1,84),ROW()-1,FALSE))</f>
        <v>69.209999999999994</v>
      </c>
      <c r="AC224">
        <f ca="1">IF(AND(ISNUMBER($AC$425),$B$252=1),$AC$425,HLOOKUP(INDIRECT(ADDRESS(2,COLUMN())),OFFSET($CL$2,0,0,ROW()-1,84),ROW()-1,FALSE))</f>
        <v>68.069999999999993</v>
      </c>
      <c r="AD224">
        <f ca="1">IF(AND(ISNUMBER($AD$425),$B$252=1),$AD$425,HLOOKUP(INDIRECT(ADDRESS(2,COLUMN())),OFFSET($CL$2,0,0,ROW()-1,84),ROW()-1,FALSE))</f>
        <v>75.03</v>
      </c>
      <c r="AE224">
        <f ca="1">IF(AND(ISNUMBER($AE$425),$B$252=1),$AE$425,HLOOKUP(INDIRECT(ADDRESS(2,COLUMN())),OFFSET($CL$2,0,0,ROW()-1,84),ROW()-1,FALSE))</f>
        <v>74.489999999999995</v>
      </c>
      <c r="AF224">
        <f ca="1">IF(AND(ISNUMBER($AF$425),$B$252=1),$AF$425,HLOOKUP(INDIRECT(ADDRESS(2,COLUMN())),OFFSET($CL$2,0,0,ROW()-1,84),ROW()-1,FALSE))</f>
        <v>77.09</v>
      </c>
      <c r="AG224">
        <f ca="1">IF(AND(ISNUMBER($AG$425),$B$252=1),$AG$425,HLOOKUP(INDIRECT(ADDRESS(2,COLUMN())),OFFSET($CL$2,0,0,ROW()-1,84),ROW()-1,FALSE))</f>
        <v>81.59</v>
      </c>
      <c r="AH224">
        <f ca="1">IF(AND(ISNUMBER($AH$425),$B$252=1),$AH$425,HLOOKUP(INDIRECT(ADDRESS(2,COLUMN())),OFFSET($CL$2,0,0,ROW()-1,84),ROW()-1,FALSE))</f>
        <v>79.819999999999993</v>
      </c>
      <c r="AI224">
        <f ca="1">IF(AND(ISNUMBER($AI$425),$B$252=1),$AI$425,HLOOKUP(INDIRECT(ADDRESS(2,COLUMN())),OFFSET($CL$2,0,0,ROW()-1,84),ROW()-1,FALSE))</f>
        <v>77.319999999999993</v>
      </c>
      <c r="AJ224">
        <f ca="1">IF(AND(ISNUMBER($AJ$425),$B$252=1),$AJ$425,HLOOKUP(INDIRECT(ADDRESS(2,COLUMN())),OFFSET($CL$2,0,0,ROW()-1,84),ROW()-1,FALSE))</f>
        <v>75.12</v>
      </c>
      <c r="AK224">
        <f ca="1">IF(AND(ISNUMBER($AK$425),$B$252=1),$AK$425,HLOOKUP(INDIRECT(ADDRESS(2,COLUMN())),OFFSET($CL$2,0,0,ROW()-1,84),ROW()-1,FALSE))</f>
        <v>71.25</v>
      </c>
      <c r="AL224">
        <f ca="1">IF(AND(ISNUMBER($AL$425),$B$252=1),$AL$425,HLOOKUP(INDIRECT(ADDRESS(2,COLUMN())),OFFSET($CL$2,0,0,ROW()-1,84),ROW()-1,FALSE))</f>
        <v>74.81</v>
      </c>
      <c r="AM224">
        <f ca="1">IF(AND(ISNUMBER($AM$425),$B$252=1),$AM$425,HLOOKUP(INDIRECT(ADDRESS(2,COLUMN())),OFFSET($CL$2,0,0,ROW()-1,84),ROW()-1,FALSE))</f>
        <v>70.17</v>
      </c>
      <c r="AN224">
        <f ca="1">IF(AND(ISNUMBER($AN$425),$B$252=1),$AN$425,HLOOKUP(INDIRECT(ADDRESS(2,COLUMN())),OFFSET($CL$2,0,0,ROW()-1,84),ROW()-1,FALSE))</f>
        <v>74.319999999999993</v>
      </c>
      <c r="AO224">
        <f ca="1">IF(AND(ISNUMBER($AO$425),$B$252=1),$AO$425,HLOOKUP(INDIRECT(ADDRESS(2,COLUMN())),OFFSET($CL$2,0,0,ROW()-1,84),ROW()-1,FALSE))</f>
        <v>73.86</v>
      </c>
      <c r="AP224">
        <f ca="1">IF(AND(ISNUMBER($AP$425),$B$252=1),$AP$425,HLOOKUP(INDIRECT(ADDRESS(2,COLUMN())),OFFSET($CL$2,0,0,ROW()-1,84),ROW()-1,FALSE))</f>
        <v>77.86</v>
      </c>
      <c r="AQ224">
        <f ca="1">IF(AND(ISNUMBER($AQ$425),$B$252=1),$AQ$425,HLOOKUP(INDIRECT(ADDRESS(2,COLUMN())),OFFSET($CL$2,0,0,ROW()-1,84),ROW()-1,FALSE))</f>
        <v>77.03</v>
      </c>
      <c r="AR224">
        <f ca="1">IF(AND(ISNUMBER($AR$425),$B$252=1),$AR$425,HLOOKUP(INDIRECT(ADDRESS(2,COLUMN())),OFFSET($CL$2,0,0,ROW()-1,84),ROW()-1,FALSE))</f>
        <v>77.61</v>
      </c>
      <c r="AS224">
        <f ca="1">IF(AND(ISNUMBER($AS$425),$B$252=1),$AS$425,HLOOKUP(INDIRECT(ADDRESS(2,COLUMN())),OFFSET($CL$2,0,0,ROW()-1,84),ROW()-1,FALSE))</f>
        <v>71.84</v>
      </c>
      <c r="AT224">
        <f ca="1">IF(AND(ISNUMBER($AT$425),$B$252=1),$AT$425,HLOOKUP(INDIRECT(ADDRESS(2,COLUMN())),OFFSET($CL$2,0,0,ROW()-1,84),ROW()-1,FALSE))</f>
        <v>70.84</v>
      </c>
      <c r="AU224">
        <f ca="1">IF(AND(ISNUMBER($AU$425),$B$252=1),$AU$425,HLOOKUP(INDIRECT(ADDRESS(2,COLUMN())),OFFSET($CL$2,0,0,ROW()-1,84),ROW()-1,FALSE))</f>
        <v>69.56</v>
      </c>
      <c r="AV224">
        <f ca="1">IF(AND(ISNUMBER($AV$425),$B$252=1),$AV$425,HLOOKUP(INDIRECT(ADDRESS(2,COLUMN())),OFFSET($CL$2,0,0,ROW()-1,84),ROW()-1,FALSE))</f>
        <v>61.58</v>
      </c>
      <c r="AW224">
        <f ca="1">IF(AND(ISNUMBER($AW$425),$B$252=1),$AW$425,HLOOKUP(INDIRECT(ADDRESS(2,COLUMN())),OFFSET($CL$2,0,0,ROW()-1,84),ROW()-1,FALSE))</f>
        <v>66.47</v>
      </c>
      <c r="AX224">
        <f ca="1">IF(AND(ISNUMBER($AX$425),$B$252=1),$AX$425,HLOOKUP(INDIRECT(ADDRESS(2,COLUMN())),OFFSET($CL$2,0,0,ROW()-1,84),ROW()-1,FALSE))</f>
        <v>64.650000000000006</v>
      </c>
      <c r="AY224">
        <f ca="1">IF(AND(ISNUMBER($AY$425),$B$252=1),$AY$425,HLOOKUP(INDIRECT(ADDRESS(2,COLUMN())),OFFSET($CL$2,0,0,ROW()-1,84),ROW()-1,FALSE))</f>
        <v>63</v>
      </c>
      <c r="AZ224">
        <f ca="1">IF(AND(ISNUMBER($AZ$425),$B$252=1),$AZ$425,HLOOKUP(INDIRECT(ADDRESS(2,COLUMN())),OFFSET($CL$2,0,0,ROW()-1,84),ROW()-1,FALSE))</f>
        <v>61.8</v>
      </c>
      <c r="BA224">
        <f ca="1">IF(AND(ISNUMBER($BA$425),$B$252=1),$BA$425,HLOOKUP(INDIRECT(ADDRESS(2,COLUMN())),OFFSET($CL$2,0,0,ROW()-1,84),ROW()-1,FALSE))</f>
        <v>59.44</v>
      </c>
      <c r="BB224">
        <f ca="1">IF(AND(ISNUMBER($BB$425),$B$252=1),$BB$425,HLOOKUP(INDIRECT(ADDRESS(2,COLUMN())),OFFSET($CL$2,0,0,ROW()-1,84),ROW()-1,FALSE))</f>
        <v>57.99</v>
      </c>
      <c r="BC224">
        <f ca="1">IF(AND(ISNUMBER($BC$425),$B$252=1),$BC$425,HLOOKUP(INDIRECT(ADDRESS(2,COLUMN())),OFFSET($CL$2,0,0,ROW()-1,84),ROW()-1,FALSE))</f>
        <v>58.47</v>
      </c>
      <c r="BD224">
        <f ca="1">IF(AND(ISNUMBER($BD$425),$B$252=1),$BD$425,HLOOKUP(INDIRECT(ADDRESS(2,COLUMN())),OFFSET($CL$2,0,0,ROW()-1,84),ROW()-1,FALSE))</f>
        <v>55.38</v>
      </c>
      <c r="BE224">
        <f ca="1">IF(AND(ISNUMBER($BE$425),$B$252=1),$BE$425,HLOOKUP(INDIRECT(ADDRESS(2,COLUMN())),OFFSET($CL$2,0,0,ROW()-1,84),ROW()-1,FALSE))</f>
        <v>51.87</v>
      </c>
      <c r="BF224">
        <f ca="1">IF(AND(ISNUMBER($BF$425),$B$252=1),$BF$425,HLOOKUP(INDIRECT(ADDRESS(2,COLUMN())),OFFSET($CL$2,0,0,ROW()-1,84),ROW()-1,FALSE))</f>
        <v>51.54</v>
      </c>
      <c r="BG224">
        <f ca="1">IF(AND(ISNUMBER($BG$425),$B$252=1),$BG$425,HLOOKUP(INDIRECT(ADDRESS(2,COLUMN())),OFFSET($CL$2,0,0,ROW()-1,84),ROW()-1,FALSE))</f>
        <v>52.36</v>
      </c>
      <c r="BH224">
        <f ca="1">IF(AND(ISNUMBER($BH$425),$B$252=1),$BH$425,HLOOKUP(INDIRECT(ADDRESS(2,COLUMN())),OFFSET($CL$2,0,0,ROW()-1,84),ROW()-1,FALSE))</f>
        <v>53.57</v>
      </c>
      <c r="BI224">
        <f ca="1">IF(AND(ISNUMBER($BI$425),$B$252=1),$BI$425,HLOOKUP(INDIRECT(ADDRESS(2,COLUMN())),OFFSET($CL$2,0,0,ROW()-1,84),ROW()-1,FALSE))</f>
        <v>51.89</v>
      </c>
      <c r="BJ224">
        <f ca="1">IF(AND(ISNUMBER($BJ$425),$B$252=1),$BJ$425,HLOOKUP(INDIRECT(ADDRESS(2,COLUMN())),OFFSET($CL$2,0,0,ROW()-1,84),ROW()-1,FALSE))</f>
        <v>56</v>
      </c>
      <c r="BK224">
        <f ca="1">IF(AND(ISNUMBER($BK$425),$B$252=1),$BK$425,HLOOKUP(INDIRECT(ADDRESS(2,COLUMN())),OFFSET($CL$2,0,0,ROW()-1,84),ROW()-1,FALSE))</f>
        <v>58.06</v>
      </c>
      <c r="BL224">
        <f ca="1">IF(AND(ISNUMBER($BL$425),$B$252=1),$BL$425,HLOOKUP(INDIRECT(ADDRESS(2,COLUMN())),OFFSET($CL$2,0,0,ROW()-1,84),ROW()-1,FALSE))</f>
        <v>56.55</v>
      </c>
      <c r="BM224">
        <f ca="1">IF(AND(ISNUMBER($BM$425),$B$252=1),$BM$425,HLOOKUP(INDIRECT(ADDRESS(2,COLUMN())),OFFSET($CL$2,0,0,ROW()-1,84),ROW()-1,FALSE))</f>
        <v>58.06</v>
      </c>
      <c r="BN224">
        <f ca="1">IF(AND(ISNUMBER($BN$425),$B$252=1),$BN$425,HLOOKUP(INDIRECT(ADDRESS(2,COLUMN())),OFFSET($CL$2,0,0,ROW()-1,84),ROW()-1,FALSE))</f>
        <v>55.06</v>
      </c>
      <c r="BO224">
        <f ca="1">IF(AND(ISNUMBER($BO$425),$B$252=1),$BO$425,HLOOKUP(INDIRECT(ADDRESS(2,COLUMN())),OFFSET($CL$2,0,0,ROW()-1,84),ROW()-1,FALSE))</f>
        <v>55.04</v>
      </c>
      <c r="BP224">
        <f ca="1">IF(AND(ISNUMBER($BP$425),$B$252=1),$BP$425,HLOOKUP(INDIRECT(ADDRESS(2,COLUMN())),OFFSET($CL$2,0,0,ROW()-1,84),ROW()-1,FALSE))</f>
        <v>55.39</v>
      </c>
      <c r="BQ224">
        <f ca="1">IF(AND(ISNUMBER($BQ$425),$B$252=1),$BQ$425,HLOOKUP(INDIRECT(ADDRESS(2,COLUMN())),OFFSET($CL$2,0,0,ROW()-1,84),ROW()-1,FALSE))</f>
        <v>56.67</v>
      </c>
      <c r="BR224">
        <f ca="1">IF(AND(ISNUMBER($BR$425),$B$252=1),$BR$425,HLOOKUP(INDIRECT(ADDRESS(2,COLUMN())),OFFSET($CL$2,0,0,ROW()-1,84),ROW()-1,FALSE))</f>
        <v>55.51</v>
      </c>
      <c r="BS224">
        <f ca="1">IF(AND(ISNUMBER($BS$425),$B$252=1),$BS$425,HLOOKUP(INDIRECT(ADDRESS(2,COLUMN())),OFFSET($CL$2,0,0,ROW()-1,84),ROW()-1,FALSE))</f>
        <v>57.41</v>
      </c>
      <c r="BT224">
        <f ca="1">IF(AND(ISNUMBER($BT$425),$B$252=1),$BT$425,HLOOKUP(INDIRECT(ADDRESS(2,COLUMN())),OFFSET($CL$2,0,0,ROW()-1,84),ROW()-1,FALSE))</f>
        <v>57.53</v>
      </c>
      <c r="BU224">
        <f ca="1">IF(AND(ISNUMBER($BU$425),$B$252=1),$BU$425,HLOOKUP(INDIRECT(ADDRESS(2,COLUMN())),OFFSET($CL$2,0,0,ROW()-1,84),ROW()-1,FALSE))</f>
        <v>60.4</v>
      </c>
      <c r="BV224">
        <f ca="1">IF(AND(ISNUMBER($BV$425),$B$252=1),$BV$425,HLOOKUP(INDIRECT(ADDRESS(2,COLUMN())),OFFSET($CL$2,0,0,ROW()-1,84),ROW()-1,FALSE))</f>
        <v>63.31</v>
      </c>
      <c r="BW224">
        <f ca="1">IF(AND(ISNUMBER($BW$425),$B$252=1),$BW$425,HLOOKUP(INDIRECT(ADDRESS(2,COLUMN())),OFFSET($CL$2,0,0,ROW()-1,84),ROW()-1,FALSE))</f>
        <v>62.36</v>
      </c>
      <c r="BX224">
        <f ca="1">IF(AND(ISNUMBER($BX$425),$B$252=1),$BX$425,HLOOKUP(INDIRECT(ADDRESS(2,COLUMN())),OFFSET($CL$2,0,0,ROW()-1,84),ROW()-1,FALSE))</f>
        <v>61.1</v>
      </c>
      <c r="BY224">
        <f ca="1">IF(AND(ISNUMBER($BY$425),$B$252=1),$BY$425,HLOOKUP(INDIRECT(ADDRESS(2,COLUMN())),OFFSET($CL$2,0,0,ROW()-1,84),ROW()-1,FALSE))</f>
        <v>61.44</v>
      </c>
      <c r="BZ224">
        <f ca="1">IF(AND(ISNUMBER($BZ$425),$B$252=1),$BZ$425,HLOOKUP(INDIRECT(ADDRESS(2,COLUMN())),OFFSET($CL$2,0,0,ROW()-1,84),ROW()-1,FALSE))</f>
        <v>62.62</v>
      </c>
      <c r="CA224">
        <f ca="1">IF(AND(ISNUMBER($CA$425),$B$252=1),$CA$425,HLOOKUP(INDIRECT(ADDRESS(2,COLUMN())),OFFSET($CL$2,0,0,ROW()-1,84),ROW()-1,FALSE))</f>
        <v>56.89</v>
      </c>
      <c r="CB224">
        <f ca="1">IF(AND(ISNUMBER($CB$425),$B$252=1),$CB$425,HLOOKUP(INDIRECT(ADDRESS(2,COLUMN())),OFFSET($CL$2,0,0,ROW()-1,84),ROW()-1,FALSE))</f>
        <v>59.55</v>
      </c>
      <c r="CC224">
        <f ca="1">IF(AND(ISNUMBER($CC$425),$B$252=1),$CC$425,HLOOKUP(INDIRECT(ADDRESS(2,COLUMN())),OFFSET($CL$2,0,0,ROW()-1,84),ROW()-1,FALSE))</f>
        <v>57.03</v>
      </c>
      <c r="CD224">
        <f ca="1">IF(AND(ISNUMBER($CD$425),$B$252=1),$CD$425,HLOOKUP(INDIRECT(ADDRESS(2,COLUMN())),OFFSET($CL$2,0,0,ROW()-1,84),ROW()-1,FALSE))</f>
        <v>55.19</v>
      </c>
      <c r="CE224">
        <f ca="1">IF(AND(ISNUMBER($CE$425),$B$252=1),$CE$425,HLOOKUP(INDIRECT(ADDRESS(2,COLUMN())),OFFSET($CL$2,0,0,ROW()-1,84),ROW()-1,FALSE))</f>
        <v>58.68</v>
      </c>
      <c r="CF224">
        <f ca="1">IF(AND(ISNUMBER($CF$425),$B$252=1),$CF$425,HLOOKUP(INDIRECT(ADDRESS(2,COLUMN())),OFFSET($CL$2,0,0,ROW()-1,84),ROW()-1,FALSE))</f>
        <v>51.87</v>
      </c>
      <c r="CG224">
        <f ca="1">IF(AND(ISNUMBER($CG$425),$B$252=1),$CG$425,HLOOKUP(INDIRECT(ADDRESS(2,COLUMN())),OFFSET($CL$2,0,0,ROW()-1,84),ROW()-1,FALSE))</f>
        <v>61.18</v>
      </c>
      <c r="CH224">
        <f ca="1">IF(AND(ISNUMBER($CH$425),$B$252=1),$CH$425,HLOOKUP(INDIRECT(ADDRESS(2,COLUMN())),OFFSET($CL$2,0,0,ROW()-1,84),ROW()-1,FALSE))</f>
        <v>61.82</v>
      </c>
      <c r="CI224">
        <f ca="1">IF(AND(ISNUMBER($CI$425),$B$252=1),$CI$425,HLOOKUP(INDIRECT(ADDRESS(2,COLUMN())),OFFSET($CL$2,0,0,ROW()-1,84),ROW()-1,FALSE))</f>
        <v>60</v>
      </c>
      <c r="CJ224">
        <f ca="1">IF(AND(ISNUMBER($CJ$425),$B$252=1),$CJ$425,HLOOKUP(INDIRECT(ADDRESS(2,COLUMN())),OFFSET($CL$2,0,0,ROW()-1,84),ROW()-1,FALSE))</f>
        <v>61.83</v>
      </c>
      <c r="CK224">
        <f ca="1">IF(AND(ISNUMBER($CK$425),$B$252=1),$CK$425,HLOOKUP(INDIRECT(ADDRESS(2,COLUMN())),OFFSET($CL$2,0,0,ROW()-1,84),ROW()-1,FALSE))</f>
        <v>59.74</v>
      </c>
      <c r="CL224">
        <f>59.5</f>
        <v>59.5</v>
      </c>
      <c r="CM224">
        <f>56.23</f>
        <v>56.23</v>
      </c>
      <c r="CN224">
        <f>61.61</f>
        <v>61.61</v>
      </c>
      <c r="CO224">
        <f>63.77</f>
        <v>63.77</v>
      </c>
      <c r="CP224">
        <f>66.82</f>
        <v>66.819999999999993</v>
      </c>
      <c r="CQ224">
        <f>67.26</f>
        <v>67.260000000000005</v>
      </c>
      <c r="CR224">
        <f>65.93</f>
        <v>65.930000000000007</v>
      </c>
      <c r="CS224">
        <f>67.15</f>
        <v>67.150000000000006</v>
      </c>
      <c r="CT224">
        <f>68.06</f>
        <v>68.06</v>
      </c>
      <c r="CU224">
        <f>65.83</f>
        <v>65.83</v>
      </c>
      <c r="CV224">
        <f>65.09</f>
        <v>65.09</v>
      </c>
      <c r="CW224">
        <f>64.58</f>
        <v>64.58</v>
      </c>
      <c r="CX224">
        <f>62.22</f>
        <v>62.22</v>
      </c>
      <c r="CY224">
        <f>63.07</f>
        <v>63.07</v>
      </c>
      <c r="CZ224">
        <f>60.77</f>
        <v>60.77</v>
      </c>
      <c r="DA224">
        <f>64.36</f>
        <v>64.36</v>
      </c>
      <c r="DB224">
        <f>60.01</f>
        <v>60.01</v>
      </c>
      <c r="DC224">
        <f>61.75</f>
        <v>61.75</v>
      </c>
      <c r="DD224">
        <f>64.33</f>
        <v>64.33</v>
      </c>
      <c r="DE224">
        <f>64.87</f>
        <v>64.87</v>
      </c>
      <c r="DF224">
        <f>67.99</f>
        <v>67.989999999999995</v>
      </c>
      <c r="DG224">
        <f>68.88</f>
        <v>68.88</v>
      </c>
      <c r="DH224">
        <f>69.21</f>
        <v>69.209999999999994</v>
      </c>
      <c r="DI224">
        <f>68.07</f>
        <v>68.069999999999993</v>
      </c>
      <c r="DJ224">
        <f>75.03</f>
        <v>75.03</v>
      </c>
      <c r="DK224">
        <f>74.49</f>
        <v>74.489999999999995</v>
      </c>
      <c r="DL224">
        <f>77.09</f>
        <v>77.09</v>
      </c>
      <c r="DM224">
        <f>81.59</f>
        <v>81.59</v>
      </c>
      <c r="DN224">
        <f>79.82</f>
        <v>79.819999999999993</v>
      </c>
      <c r="DO224">
        <f>77.32</f>
        <v>77.319999999999993</v>
      </c>
      <c r="DP224">
        <f>75.12</f>
        <v>75.12</v>
      </c>
      <c r="DQ224">
        <f>71.25</f>
        <v>71.25</v>
      </c>
      <c r="DR224">
        <f>74.81</f>
        <v>74.81</v>
      </c>
      <c r="DS224">
        <f>70.17</f>
        <v>70.17</v>
      </c>
      <c r="DT224">
        <f>74.32</f>
        <v>74.319999999999993</v>
      </c>
      <c r="DU224">
        <f>73.86</f>
        <v>73.86</v>
      </c>
      <c r="DV224">
        <f>77.86</f>
        <v>77.86</v>
      </c>
      <c r="DW224">
        <f>77.03</f>
        <v>77.03</v>
      </c>
      <c r="DX224">
        <f>77.61</f>
        <v>77.61</v>
      </c>
      <c r="DY224">
        <f>71.84</f>
        <v>71.84</v>
      </c>
      <c r="DZ224">
        <f>70.84</f>
        <v>70.84</v>
      </c>
      <c r="EA224">
        <f>69.56</f>
        <v>69.56</v>
      </c>
      <c r="EB224">
        <f>61.58</f>
        <v>61.58</v>
      </c>
      <c r="EC224">
        <f>66.47</f>
        <v>66.47</v>
      </c>
      <c r="ED224">
        <f>64.65</f>
        <v>64.650000000000006</v>
      </c>
      <c r="EE224">
        <f>63</f>
        <v>63</v>
      </c>
      <c r="EF224">
        <f>61.8</f>
        <v>61.8</v>
      </c>
      <c r="EG224">
        <f>59.44</f>
        <v>59.44</v>
      </c>
      <c r="EH224">
        <f>57.99</f>
        <v>57.99</v>
      </c>
      <c r="EI224">
        <f>58.47</f>
        <v>58.47</v>
      </c>
      <c r="EJ224">
        <f>55.38</f>
        <v>55.38</v>
      </c>
      <c r="EK224">
        <f>51.87</f>
        <v>51.87</v>
      </c>
      <c r="EL224">
        <f>51.54</f>
        <v>51.54</v>
      </c>
      <c r="EM224">
        <f>52.36</f>
        <v>52.36</v>
      </c>
      <c r="EN224">
        <f>53.57</f>
        <v>53.57</v>
      </c>
      <c r="EO224">
        <f>51.89</f>
        <v>51.89</v>
      </c>
      <c r="EP224">
        <f>56</f>
        <v>56</v>
      </c>
      <c r="EQ224">
        <f>58.06</f>
        <v>58.06</v>
      </c>
      <c r="ER224">
        <f>56.55</f>
        <v>56.55</v>
      </c>
      <c r="ES224">
        <f>58.06</f>
        <v>58.06</v>
      </c>
      <c r="ET224">
        <f>55.06</f>
        <v>55.06</v>
      </c>
      <c r="EU224">
        <f>55.04</f>
        <v>55.04</v>
      </c>
      <c r="EV224">
        <f>55.39</f>
        <v>55.39</v>
      </c>
      <c r="EW224">
        <f>56.67</f>
        <v>56.67</v>
      </c>
      <c r="EX224">
        <f>55.51</f>
        <v>55.51</v>
      </c>
      <c r="EY224">
        <f>57.41</f>
        <v>57.41</v>
      </c>
      <c r="EZ224">
        <f>57.53</f>
        <v>57.53</v>
      </c>
      <c r="FA224">
        <f>60.4</f>
        <v>60.4</v>
      </c>
      <c r="FB224">
        <f>63.31</f>
        <v>63.31</v>
      </c>
      <c r="FC224">
        <f>62.36</f>
        <v>62.36</v>
      </c>
      <c r="FD224">
        <f>61.1</f>
        <v>61.1</v>
      </c>
      <c r="FE224">
        <f>61.44</f>
        <v>61.44</v>
      </c>
      <c r="FF224">
        <f>62.62</f>
        <v>62.62</v>
      </c>
      <c r="FG224">
        <f>56.89</f>
        <v>56.89</v>
      </c>
      <c r="FH224">
        <f>59.55</f>
        <v>59.55</v>
      </c>
      <c r="FI224">
        <f>57.03</f>
        <v>57.03</v>
      </c>
      <c r="FJ224">
        <f>55.19</f>
        <v>55.19</v>
      </c>
      <c r="FK224">
        <f>58.68</f>
        <v>58.68</v>
      </c>
      <c r="FL224">
        <f>51.87</f>
        <v>51.87</v>
      </c>
      <c r="FM224">
        <f>61.18</f>
        <v>61.18</v>
      </c>
      <c r="FN224">
        <f>61.82</f>
        <v>61.82</v>
      </c>
      <c r="FO224">
        <f>60</f>
        <v>60</v>
      </c>
      <c r="FP224">
        <f>61.83</f>
        <v>61.83</v>
      </c>
      <c r="FQ224">
        <f>59.74</f>
        <v>59.74</v>
      </c>
    </row>
    <row r="225" spans="1:173">
      <c r="A225" t="str">
        <f>"    Essex Property Trust Inc"</f>
        <v xml:space="preserve">    Essex Property Trust Inc</v>
      </c>
      <c r="B225" t="str">
        <f>"ESS US Equity"</f>
        <v>ESS US Equity</v>
      </c>
      <c r="C225" t="str">
        <f t="shared" si="72"/>
        <v>PR005</v>
      </c>
      <c r="D225" t="str">
        <f t="shared" si="73"/>
        <v>PX_LAST</v>
      </c>
      <c r="E225" t="str">
        <f t="shared" si="74"/>
        <v>动态</v>
      </c>
      <c r="F225">
        <f ca="1">IF(AND(ISNUMBER($F$426),$B$252=1),$F$426,HLOOKUP(INDIRECT(ADDRESS(2,COLUMN())),OFFSET($CL$2,0,0,ROW()-1,84),ROW()-1,FALSE))</f>
        <v>238.74</v>
      </c>
      <c r="G225">
        <f ca="1">IF(AND(ISNUMBER($G$426),$B$252=1),$G$426,HLOOKUP(INDIRECT(ADDRESS(2,COLUMN())),OFFSET($CL$2,0,0,ROW()-1,84),ROW()-1,FALSE))</f>
        <v>223.83</v>
      </c>
      <c r="H225">
        <f ca="1">IF(AND(ISNUMBER($H$426),$B$252=1),$H$426,HLOOKUP(INDIRECT(ADDRESS(2,COLUMN())),OFFSET($CL$2,0,0,ROW()-1,84),ROW()-1,FALSE))</f>
        <v>232.98</v>
      </c>
      <c r="I225">
        <f ca="1">IF(AND(ISNUMBER($I$426),$B$252=1),$I$426,HLOOKUP(INDIRECT(ADDRESS(2,COLUMN())),OFFSET($CL$2,0,0,ROW()-1,84),ROW()-1,FALSE))</f>
        <v>241.37</v>
      </c>
      <c r="J225">
        <f ca="1">IF(AND(ISNUMBER($J$426),$B$252=1),$J$426,HLOOKUP(INDIRECT(ADDRESS(2,COLUMN())),OFFSET($CL$2,0,0,ROW()-1,84),ROW()-1,FALSE))</f>
        <v>246.99</v>
      </c>
      <c r="K225">
        <f ca="1">IF(AND(ISNUMBER($K$426),$B$252=1),$K$426,HLOOKUP(INDIRECT(ADDRESS(2,COLUMN())),OFFSET($CL$2,0,0,ROW()-1,84),ROW()-1,FALSE))</f>
        <v>262.43</v>
      </c>
      <c r="L225">
        <f ca="1">IF(AND(ISNUMBER($L$426),$B$252=1),$L$426,HLOOKUP(INDIRECT(ADDRESS(2,COLUMN())),OFFSET($CL$2,0,0,ROW()-1,84),ROW()-1,FALSE))</f>
        <v>254.03</v>
      </c>
      <c r="M225">
        <f ca="1">IF(AND(ISNUMBER($M$426),$B$252=1),$M$426,HLOOKUP(INDIRECT(ADDRESS(2,COLUMN())),OFFSET($CL$2,0,0,ROW()-1,84),ROW()-1,FALSE))</f>
        <v>265.97000000000003</v>
      </c>
      <c r="N225">
        <f ca="1">IF(AND(ISNUMBER($N$426),$B$252=1),$N$426,HLOOKUP(INDIRECT(ADDRESS(2,COLUMN())),OFFSET($CL$2,0,0,ROW()-1,84),ROW()-1,FALSE))</f>
        <v>261.7</v>
      </c>
      <c r="O225">
        <f ca="1">IF(AND(ISNUMBER($O$426),$B$252=1),$O$426,HLOOKUP(INDIRECT(ADDRESS(2,COLUMN())),OFFSET($CL$2,0,0,ROW()-1,84),ROW()-1,FALSE))</f>
        <v>257.27</v>
      </c>
      <c r="P225">
        <f ca="1">IF(AND(ISNUMBER($P$426),$B$252=1),$P$426,HLOOKUP(INDIRECT(ADDRESS(2,COLUMN())),OFFSET($CL$2,0,0,ROW()-1,84),ROW()-1,FALSE))</f>
        <v>256.92</v>
      </c>
      <c r="Q225">
        <f ca="1">IF(AND(ISNUMBER($Q$426),$B$252=1),$Q$426,HLOOKUP(INDIRECT(ADDRESS(2,COLUMN())),OFFSET($CL$2,0,0,ROW()-1,84),ROW()-1,FALSE))</f>
        <v>244.47</v>
      </c>
      <c r="R225">
        <f ca="1">IF(AND(ISNUMBER($R$426),$B$252=1),$R$426,HLOOKUP(INDIRECT(ADDRESS(2,COLUMN())),OFFSET($CL$2,0,0,ROW()-1,84),ROW()-1,FALSE))</f>
        <v>231.53</v>
      </c>
      <c r="S225">
        <f ca="1">IF(AND(ISNUMBER($S$426),$B$252=1),$S$426,HLOOKUP(INDIRECT(ADDRESS(2,COLUMN())),OFFSET($CL$2,0,0,ROW()-1,84),ROW()-1,FALSE))</f>
        <v>234.7</v>
      </c>
      <c r="T225">
        <f ca="1">IF(AND(ISNUMBER($T$426),$B$252=1),$T$426,HLOOKUP(INDIRECT(ADDRESS(2,COLUMN())),OFFSET($CL$2,0,0,ROW()-1,84),ROW()-1,FALSE))</f>
        <v>224.3</v>
      </c>
      <c r="U225">
        <f ca="1">IF(AND(ISNUMBER($U$426),$B$252=1),$U$426,HLOOKUP(INDIRECT(ADDRESS(2,COLUMN())),OFFSET($CL$2,0,0,ROW()-1,84),ROW()-1,FALSE))</f>
        <v>232.5</v>
      </c>
      <c r="V225">
        <f ca="1">IF(AND(ISNUMBER($V$426),$B$252=1),$V$426,HLOOKUP(INDIRECT(ADDRESS(2,COLUMN())),OFFSET($CL$2,0,0,ROW()-1,84),ROW()-1,FALSE))</f>
        <v>215.92</v>
      </c>
      <c r="W225">
        <f ca="1">IF(AND(ISNUMBER($W$426),$B$252=1),$W$426,HLOOKUP(INDIRECT(ADDRESS(2,COLUMN())),OFFSET($CL$2,0,0,ROW()-1,84),ROW()-1,FALSE))</f>
        <v>214.09</v>
      </c>
      <c r="X225">
        <f ca="1">IF(AND(ISNUMBER($X$426),$B$252=1),$X$426,HLOOKUP(INDIRECT(ADDRESS(2,COLUMN())),OFFSET($CL$2,0,0,ROW()-1,84),ROW()-1,FALSE))</f>
        <v>222.7</v>
      </c>
      <c r="Y225">
        <f ca="1">IF(AND(ISNUMBER($Y$426),$B$252=1),$Y$426,HLOOKUP(INDIRECT(ADDRESS(2,COLUMN())),OFFSET($CL$2,0,0,ROW()-1,84),ROW()-1,FALSE))</f>
        <v>227.1</v>
      </c>
      <c r="Z225">
        <f ca="1">IF(AND(ISNUMBER($Z$426),$B$252=1),$Z$426,HLOOKUP(INDIRECT(ADDRESS(2,COLUMN())),OFFSET($CL$2,0,0,ROW()-1,84),ROW()-1,FALSE))</f>
        <v>233.88</v>
      </c>
      <c r="AA225">
        <f ca="1">IF(AND(ISNUMBER($AA$426),$B$252=1),$AA$426,HLOOKUP(INDIRECT(ADDRESS(2,COLUMN())),OFFSET($CL$2,0,0,ROW()-1,84),ROW()-1,FALSE))</f>
        <v>228.09</v>
      </c>
      <c r="AB225">
        <f ca="1">IF(AND(ISNUMBER($AB$426),$B$252=1),$AB$426,HLOOKUP(INDIRECT(ADDRESS(2,COLUMN())),OFFSET($CL$2,0,0,ROW()-1,84),ROW()-1,FALSE))</f>
        <v>227.23</v>
      </c>
      <c r="AC225">
        <f ca="1">IF(AND(ISNUMBER($AC$426),$B$252=1),$AC$426,HLOOKUP(INDIRECT(ADDRESS(2,COLUMN())),OFFSET($CL$2,0,0,ROW()-1,84),ROW()-1,FALSE))</f>
        <v>220.45</v>
      </c>
      <c r="AD225">
        <f ca="1">IF(AND(ISNUMBER($AD$426),$B$252=1),$AD$426,HLOOKUP(INDIRECT(ADDRESS(2,COLUMN())),OFFSET($CL$2,0,0,ROW()-1,84),ROW()-1,FALSE))</f>
        <v>233.86</v>
      </c>
      <c r="AE225">
        <f ca="1">IF(AND(ISNUMBER($AE$426),$B$252=1),$AE$426,HLOOKUP(INDIRECT(ADDRESS(2,COLUMN())),OFFSET($CL$2,0,0,ROW()-1,84),ROW()-1,FALSE))</f>
        <v>209.28</v>
      </c>
      <c r="AF225">
        <f ca="1">IF(AND(ISNUMBER($AF$426),$B$252=1),$AF$426,HLOOKUP(INDIRECT(ADDRESS(2,COLUMN())),OFFSET($CL$2,0,0,ROW()-1,84),ROW()-1,FALSE))</f>
        <v>213.11</v>
      </c>
      <c r="AG225">
        <f ca="1">IF(AND(ISNUMBER($AG$426),$B$252=1),$AG$426,HLOOKUP(INDIRECT(ADDRESS(2,COLUMN())),OFFSET($CL$2,0,0,ROW()-1,84),ROW()-1,FALSE))</f>
        <v>239.41</v>
      </c>
      <c r="AH225">
        <f ca="1">IF(AND(ISNUMBER($AH$426),$B$252=1),$AH$426,HLOOKUP(INDIRECT(ADDRESS(2,COLUMN())),OFFSET($CL$2,0,0,ROW()-1,84),ROW()-1,FALSE))</f>
        <v>230.79</v>
      </c>
      <c r="AI225">
        <f ca="1">IF(AND(ISNUMBER($AI$426),$B$252=1),$AI$426,HLOOKUP(INDIRECT(ADDRESS(2,COLUMN())),OFFSET($CL$2,0,0,ROW()-1,84),ROW()-1,FALSE))</f>
        <v>220.44</v>
      </c>
      <c r="AJ225">
        <f ca="1">IF(AND(ISNUMBER($AJ$426),$B$252=1),$AJ$426,HLOOKUP(INDIRECT(ADDRESS(2,COLUMN())),OFFSET($CL$2,0,0,ROW()-1,84),ROW()-1,FALSE))</f>
        <v>223.42</v>
      </c>
      <c r="AK225">
        <f ca="1">IF(AND(ISNUMBER($AK$426),$B$252=1),$AK$426,HLOOKUP(INDIRECT(ADDRESS(2,COLUMN())),OFFSET($CL$2,0,0,ROW()-1,84),ROW()-1,FALSE))</f>
        <v>214.62</v>
      </c>
      <c r="AL225">
        <f ca="1">IF(AND(ISNUMBER($AL$426),$B$252=1),$AL$426,HLOOKUP(INDIRECT(ADDRESS(2,COLUMN())),OFFSET($CL$2,0,0,ROW()-1,84),ROW()-1,FALSE))</f>
        <v>224.91</v>
      </c>
      <c r="AM225">
        <f ca="1">IF(AND(ISNUMBER($AM$426),$B$252=1),$AM$426,HLOOKUP(INDIRECT(ADDRESS(2,COLUMN())),OFFSET($CL$2,0,0,ROW()-1,84),ROW()-1,FALSE))</f>
        <v>212.5</v>
      </c>
      <c r="AN225">
        <f ca="1">IF(AND(ISNUMBER($AN$426),$B$252=1),$AN$426,HLOOKUP(INDIRECT(ADDRESS(2,COLUMN())),OFFSET($CL$2,0,0,ROW()-1,84),ROW()-1,FALSE))</f>
        <v>222.62</v>
      </c>
      <c r="AO225">
        <f ca="1">IF(AND(ISNUMBER($AO$426),$B$252=1),$AO$426,HLOOKUP(INDIRECT(ADDRESS(2,COLUMN())),OFFSET($CL$2,0,0,ROW()-1,84),ROW()-1,FALSE))</f>
        <v>221.95</v>
      </c>
      <c r="AP225">
        <f ca="1">IF(AND(ISNUMBER($AP$426),$B$252=1),$AP$426,HLOOKUP(INDIRECT(ADDRESS(2,COLUMN())),OFFSET($CL$2,0,0,ROW()-1,84),ROW()-1,FALSE))</f>
        <v>229.9</v>
      </c>
      <c r="AQ225">
        <f ca="1">IF(AND(ISNUMBER($AQ$426),$B$252=1),$AQ$426,HLOOKUP(INDIRECT(ADDRESS(2,COLUMN())),OFFSET($CL$2,0,0,ROW()-1,84),ROW()-1,FALSE))</f>
        <v>222.43</v>
      </c>
      <c r="AR225">
        <f ca="1">IF(AND(ISNUMBER($AR$426),$B$252=1),$AR$426,HLOOKUP(INDIRECT(ADDRESS(2,COLUMN())),OFFSET($CL$2,0,0,ROW()-1,84),ROW()-1,FALSE))</f>
        <v>226.05</v>
      </c>
      <c r="AS225">
        <f ca="1">IF(AND(ISNUMBER($AS$426),$B$252=1),$AS$426,HLOOKUP(INDIRECT(ADDRESS(2,COLUMN())),OFFSET($CL$2,0,0,ROW()-1,84),ROW()-1,FALSE))</f>
        <v>206.6</v>
      </c>
      <c r="AT225">
        <f ca="1">IF(AND(ISNUMBER($AT$426),$B$252=1),$AT$426,HLOOKUP(INDIRECT(ADDRESS(2,COLUMN())),OFFSET($CL$2,0,0,ROW()-1,84),ROW()-1,FALSE))</f>
        <v>202.41</v>
      </c>
      <c r="AU225">
        <f ca="1">IF(AND(ISNUMBER($AU$426),$B$252=1),$AU$426,HLOOKUP(INDIRECT(ADDRESS(2,COLUMN())),OFFSET($CL$2,0,0,ROW()-1,84),ROW()-1,FALSE))</f>
        <v>201.76</v>
      </c>
      <c r="AV225">
        <f ca="1">IF(AND(ISNUMBER($AV$426),$B$252=1),$AV$426,HLOOKUP(INDIRECT(ADDRESS(2,COLUMN())),OFFSET($CL$2,0,0,ROW()-1,84),ROW()-1,FALSE))</f>
        <v>178.75</v>
      </c>
      <c r="AW225">
        <f ca="1">IF(AND(ISNUMBER($AW$426),$B$252=1),$AW$426,HLOOKUP(INDIRECT(ADDRESS(2,COLUMN())),OFFSET($CL$2,0,0,ROW()-1,84),ROW()-1,FALSE))</f>
        <v>193.45</v>
      </c>
      <c r="AX225">
        <f ca="1">IF(AND(ISNUMBER($AX$426),$B$252=1),$AX$426,HLOOKUP(INDIRECT(ADDRESS(2,COLUMN())),OFFSET($CL$2,0,0,ROW()-1,84),ROW()-1,FALSE))</f>
        <v>189.57</v>
      </c>
      <c r="AY225">
        <f ca="1">IF(AND(ISNUMBER($AY$426),$B$252=1),$AY$426,HLOOKUP(INDIRECT(ADDRESS(2,COLUMN())),OFFSET($CL$2,0,0,ROW()-1,84),ROW()-1,FALSE))</f>
        <v>184.91</v>
      </c>
      <c r="AZ225">
        <f ca="1">IF(AND(ISNUMBER($AZ$426),$B$252=1),$AZ$426,HLOOKUP(INDIRECT(ADDRESS(2,COLUMN())),OFFSET($CL$2,0,0,ROW()-1,84),ROW()-1,FALSE))</f>
        <v>180.96</v>
      </c>
      <c r="BA225">
        <f ca="1">IF(AND(ISNUMBER($BA$426),$B$252=1),$BA$426,HLOOKUP(INDIRECT(ADDRESS(2,COLUMN())),OFFSET($CL$2,0,0,ROW()-1,84),ROW()-1,FALSE))</f>
        <v>173.26</v>
      </c>
      <c r="BB225">
        <f ca="1">IF(AND(ISNUMBER($BB$426),$B$252=1),$BB$426,HLOOKUP(INDIRECT(ADDRESS(2,COLUMN())),OFFSET($CL$2,0,0,ROW()-1,84),ROW()-1,FALSE))</f>
        <v>170.05</v>
      </c>
      <c r="BC225">
        <f ca="1">IF(AND(ISNUMBER($BC$426),$B$252=1),$BC$426,HLOOKUP(INDIRECT(ADDRESS(2,COLUMN())),OFFSET($CL$2,0,0,ROW()-1,84),ROW()-1,FALSE))</f>
        <v>167.25</v>
      </c>
      <c r="BD225">
        <f ca="1">IF(AND(ISNUMBER($BD$426),$B$252=1),$BD$426,HLOOKUP(INDIRECT(ADDRESS(2,COLUMN())),OFFSET($CL$2,0,0,ROW()-1,84),ROW()-1,FALSE))</f>
        <v>158.37</v>
      </c>
      <c r="BE225">
        <f ca="1">IF(AND(ISNUMBER($BE$426),$B$252=1),$BE$426,HLOOKUP(INDIRECT(ADDRESS(2,COLUMN())),OFFSET($CL$2,0,0,ROW()-1,84),ROW()-1,FALSE))</f>
        <v>143.51</v>
      </c>
      <c r="BF225">
        <f ca="1">IF(AND(ISNUMBER($BF$426),$B$252=1),$BF$426,HLOOKUP(INDIRECT(ADDRESS(2,COLUMN())),OFFSET($CL$2,0,0,ROW()-1,84),ROW()-1,FALSE))</f>
        <v>151.81</v>
      </c>
      <c r="BG225">
        <f ca="1">IF(AND(ISNUMBER($BG$426),$B$252=1),$BG$426,HLOOKUP(INDIRECT(ADDRESS(2,COLUMN())),OFFSET($CL$2,0,0,ROW()-1,84),ROW()-1,FALSE))</f>
        <v>161</v>
      </c>
      <c r="BH225">
        <f ca="1">IF(AND(ISNUMBER($BH$426),$B$252=1),$BH$426,HLOOKUP(INDIRECT(ADDRESS(2,COLUMN())),OFFSET($CL$2,0,0,ROW()-1,84),ROW()-1,FALSE))</f>
        <v>147.69999999999999</v>
      </c>
      <c r="BI225">
        <f ca="1">IF(AND(ISNUMBER($BI$426),$B$252=1),$BI$426,HLOOKUP(INDIRECT(ADDRESS(2,COLUMN())),OFFSET($CL$2,0,0,ROW()-1,84),ROW()-1,FALSE))</f>
        <v>143.31</v>
      </c>
      <c r="BJ225">
        <f ca="1">IF(AND(ISNUMBER($BJ$426),$B$252=1),$BJ$426,HLOOKUP(INDIRECT(ADDRESS(2,COLUMN())),OFFSET($CL$2,0,0,ROW()-1,84),ROW()-1,FALSE))</f>
        <v>161.29</v>
      </c>
      <c r="BK225">
        <f ca="1">IF(AND(ISNUMBER($BK$426),$B$252=1),$BK$426,HLOOKUP(INDIRECT(ADDRESS(2,COLUMN())),OFFSET($CL$2,0,0,ROW()-1,84),ROW()-1,FALSE))</f>
        <v>158.91999999999999</v>
      </c>
      <c r="BL225">
        <f ca="1">IF(AND(ISNUMBER($BL$426),$B$252=1),$BL$426,HLOOKUP(INDIRECT(ADDRESS(2,COLUMN())),OFFSET($CL$2,0,0,ROW()-1,84),ROW()-1,FALSE))</f>
        <v>157.13999999999999</v>
      </c>
      <c r="BM225">
        <f ca="1">IF(AND(ISNUMBER($BM$426),$B$252=1),$BM$426,HLOOKUP(INDIRECT(ADDRESS(2,COLUMN())),OFFSET($CL$2,0,0,ROW()-1,84),ROW()-1,FALSE))</f>
        <v>157.05000000000001</v>
      </c>
      <c r="BN225">
        <f ca="1">IF(AND(ISNUMBER($BN$426),$B$252=1),$BN$426,HLOOKUP(INDIRECT(ADDRESS(2,COLUMN())),OFFSET($CL$2,0,0,ROW()-1,84),ROW()-1,FALSE))</f>
        <v>150.58000000000001</v>
      </c>
      <c r="BO225">
        <f ca="1">IF(AND(ISNUMBER($BO$426),$B$252=1),$BO$426,HLOOKUP(INDIRECT(ADDRESS(2,COLUMN())),OFFSET($CL$2,0,0,ROW()-1,84),ROW()-1,FALSE))</f>
        <v>148.99</v>
      </c>
      <c r="BP225">
        <f ca="1">IF(AND(ISNUMBER($BP$426),$B$252=1),$BP$426,HLOOKUP(INDIRECT(ADDRESS(2,COLUMN())),OFFSET($CL$2,0,0,ROW()-1,84),ROW()-1,FALSE))</f>
        <v>153.78</v>
      </c>
      <c r="BQ225">
        <f ca="1">IF(AND(ISNUMBER($BQ$426),$B$252=1),$BQ$426,HLOOKUP(INDIRECT(ADDRESS(2,COLUMN())),OFFSET($CL$2,0,0,ROW()-1,84),ROW()-1,FALSE))</f>
        <v>146.65</v>
      </c>
      <c r="BR225">
        <f ca="1">IF(AND(ISNUMBER($BR$426),$B$252=1),$BR$426,HLOOKUP(INDIRECT(ADDRESS(2,COLUMN())),OFFSET($CL$2,0,0,ROW()-1,84),ROW()-1,FALSE))</f>
        <v>140.49</v>
      </c>
      <c r="BS225">
        <f ca="1">IF(AND(ISNUMBER($BS$426),$B$252=1),$BS$426,HLOOKUP(INDIRECT(ADDRESS(2,COLUMN())),OFFSET($CL$2,0,0,ROW()-1,84),ROW()-1,FALSE))</f>
        <v>150</v>
      </c>
      <c r="BT225">
        <f ca="1">IF(AND(ISNUMBER($BT$426),$B$252=1),$BT$426,HLOOKUP(INDIRECT(ADDRESS(2,COLUMN())),OFFSET($CL$2,0,0,ROW()-1,84),ROW()-1,FALSE))</f>
        <v>148.24</v>
      </c>
      <c r="BU225">
        <f ca="1">IF(AND(ISNUMBER($BU$426),$B$252=1),$BU$426,HLOOKUP(INDIRECT(ADDRESS(2,COLUMN())),OFFSET($CL$2,0,0,ROW()-1,84),ROW()-1,FALSE))</f>
        <v>151.97999999999999</v>
      </c>
      <c r="BV225">
        <f ca="1">IF(AND(ISNUMBER($BV$426),$B$252=1),$BV$426,HLOOKUP(INDIRECT(ADDRESS(2,COLUMN())),OFFSET($CL$2,0,0,ROW()-1,84),ROW()-1,FALSE))</f>
        <v>157.36000000000001</v>
      </c>
      <c r="BW225">
        <f ca="1">IF(AND(ISNUMBER($BW$426),$B$252=1),$BW$426,HLOOKUP(INDIRECT(ADDRESS(2,COLUMN())),OFFSET($CL$2,0,0,ROW()-1,84),ROW()-1,FALSE))</f>
        <v>153.91999999999999</v>
      </c>
      <c r="BX225">
        <f ca="1">IF(AND(ISNUMBER($BX$426),$B$252=1),$BX$426,HLOOKUP(INDIRECT(ADDRESS(2,COLUMN())),OFFSET($CL$2,0,0,ROW()-1,84),ROW()-1,FALSE))</f>
        <v>150.46</v>
      </c>
      <c r="BY225">
        <f ca="1">IF(AND(ISNUMBER($BY$426),$B$252=1),$BY$426,HLOOKUP(INDIRECT(ADDRESS(2,COLUMN())),OFFSET($CL$2,0,0,ROW()-1,84),ROW()-1,FALSE))</f>
        <v>157.97</v>
      </c>
      <c r="BZ225">
        <f ca="1">IF(AND(ISNUMBER($BZ$426),$B$252=1),$BZ$426,HLOOKUP(INDIRECT(ADDRESS(2,COLUMN())),OFFSET($CL$2,0,0,ROW()-1,84),ROW()-1,FALSE))</f>
        <v>151.51</v>
      </c>
      <c r="CA225">
        <f ca="1">IF(AND(ISNUMBER($CA$426),$B$252=1),$CA$426,HLOOKUP(INDIRECT(ADDRESS(2,COLUMN())),OFFSET($CL$2,0,0,ROW()-1,84),ROW()-1,FALSE))</f>
        <v>139.99</v>
      </c>
      <c r="CB225">
        <f ca="1">IF(AND(ISNUMBER($CB$426),$B$252=1),$CB$426,HLOOKUP(INDIRECT(ADDRESS(2,COLUMN())),OFFSET($CL$2,0,0,ROW()-1,84),ROW()-1,FALSE))</f>
        <v>144</v>
      </c>
      <c r="CC225">
        <f ca="1">IF(AND(ISNUMBER($CC$426),$B$252=1),$CC$426,HLOOKUP(INDIRECT(ADDRESS(2,COLUMN())),OFFSET($CL$2,0,0,ROW()-1,84),ROW()-1,FALSE))</f>
        <v>140.51</v>
      </c>
      <c r="CD225">
        <f ca="1">IF(AND(ISNUMBER($CD$426),$B$252=1),$CD$426,HLOOKUP(INDIRECT(ADDRESS(2,COLUMN())),OFFSET($CL$2,0,0,ROW()-1,84),ROW()-1,FALSE))</f>
        <v>132.85</v>
      </c>
      <c r="CE225">
        <f ca="1">IF(AND(ISNUMBER($CE$426),$B$252=1),$CE$426,HLOOKUP(INDIRECT(ADDRESS(2,COLUMN())),OFFSET($CL$2,0,0,ROW()-1,84),ROW()-1,FALSE))</f>
        <v>142.76</v>
      </c>
      <c r="CF225">
        <f ca="1">IF(AND(ISNUMBER($CF$426),$B$252=1),$CF$426,HLOOKUP(INDIRECT(ADDRESS(2,COLUMN())),OFFSET($CL$2,0,0,ROW()-1,84),ROW()-1,FALSE))</f>
        <v>120.04</v>
      </c>
      <c r="CG225">
        <f ca="1">IF(AND(ISNUMBER($CG$426),$B$252=1),$CG$426,HLOOKUP(INDIRECT(ADDRESS(2,COLUMN())),OFFSET($CL$2,0,0,ROW()-1,84),ROW()-1,FALSE))</f>
        <v>143.55000000000001</v>
      </c>
      <c r="CH225">
        <f ca="1">IF(AND(ISNUMBER($CH$426),$B$252=1),$CH$426,HLOOKUP(INDIRECT(ADDRESS(2,COLUMN())),OFFSET($CL$2,0,0,ROW()-1,84),ROW()-1,FALSE))</f>
        <v>140.36000000000001</v>
      </c>
      <c r="CI225">
        <f ca="1">IF(AND(ISNUMBER($CI$426),$B$252=1),$CI$426,HLOOKUP(INDIRECT(ADDRESS(2,COLUMN())),OFFSET($CL$2,0,0,ROW()-1,84),ROW()-1,FALSE))</f>
        <v>135.29</v>
      </c>
      <c r="CJ225">
        <f ca="1">IF(AND(ISNUMBER($CJ$426),$B$252=1),$CJ$426,HLOOKUP(INDIRECT(ADDRESS(2,COLUMN())),OFFSET($CL$2,0,0,ROW()-1,84),ROW()-1,FALSE))</f>
        <v>137.61000000000001</v>
      </c>
      <c r="CK225">
        <f ca="1">IF(AND(ISNUMBER($CK$426),$B$252=1),$CK$426,HLOOKUP(INDIRECT(ADDRESS(2,COLUMN())),OFFSET($CL$2,0,0,ROW()-1,84),ROW()-1,FALSE))</f>
        <v>135.47999999999999</v>
      </c>
      <c r="CL225">
        <f>238.74</f>
        <v>238.74</v>
      </c>
      <c r="CM225">
        <f>223.83</f>
        <v>223.83</v>
      </c>
      <c r="CN225">
        <f>232.98</f>
        <v>232.98</v>
      </c>
      <c r="CO225">
        <f>241.37</f>
        <v>241.37</v>
      </c>
      <c r="CP225">
        <f>246.99</f>
        <v>246.99</v>
      </c>
      <c r="CQ225">
        <f>262.43</f>
        <v>262.43</v>
      </c>
      <c r="CR225">
        <f>254.03</f>
        <v>254.03</v>
      </c>
      <c r="CS225">
        <f>265.97</f>
        <v>265.97000000000003</v>
      </c>
      <c r="CT225">
        <f>261.7</f>
        <v>261.7</v>
      </c>
      <c r="CU225">
        <f>257.27</f>
        <v>257.27</v>
      </c>
      <c r="CV225">
        <f>256.92</f>
        <v>256.92</v>
      </c>
      <c r="CW225">
        <f>244.47</f>
        <v>244.47</v>
      </c>
      <c r="CX225">
        <f>231.53</f>
        <v>231.53</v>
      </c>
      <c r="CY225">
        <f>234.7</f>
        <v>234.7</v>
      </c>
      <c r="CZ225">
        <f>224.3</f>
        <v>224.3</v>
      </c>
      <c r="DA225">
        <f>232.5</f>
        <v>232.5</v>
      </c>
      <c r="DB225">
        <f>215.92</f>
        <v>215.92</v>
      </c>
      <c r="DC225">
        <f>214.09</f>
        <v>214.09</v>
      </c>
      <c r="DD225">
        <f>222.7</f>
        <v>222.7</v>
      </c>
      <c r="DE225">
        <f>227.1</f>
        <v>227.1</v>
      </c>
      <c r="DF225">
        <f>233.88</f>
        <v>233.88</v>
      </c>
      <c r="DG225">
        <f>228.09</f>
        <v>228.09</v>
      </c>
      <c r="DH225">
        <f>227.23</f>
        <v>227.23</v>
      </c>
      <c r="DI225">
        <f>220.45</f>
        <v>220.45</v>
      </c>
      <c r="DJ225">
        <f>233.86</f>
        <v>233.86</v>
      </c>
      <c r="DK225">
        <f>209.28</f>
        <v>209.28</v>
      </c>
      <c r="DL225">
        <f>213.11</f>
        <v>213.11</v>
      </c>
      <c r="DM225">
        <f>239.41</f>
        <v>239.41</v>
      </c>
      <c r="DN225">
        <f>230.79</f>
        <v>230.79</v>
      </c>
      <c r="DO225">
        <f>220.44</f>
        <v>220.44</v>
      </c>
      <c r="DP225">
        <f>223.42</f>
        <v>223.42</v>
      </c>
      <c r="DQ225">
        <f>214.62</f>
        <v>214.62</v>
      </c>
      <c r="DR225">
        <f>224.91</f>
        <v>224.91</v>
      </c>
      <c r="DS225">
        <f>212.5</f>
        <v>212.5</v>
      </c>
      <c r="DT225">
        <f>222.62</f>
        <v>222.62</v>
      </c>
      <c r="DU225">
        <f>221.95</f>
        <v>221.95</v>
      </c>
      <c r="DV225">
        <f>229.9</f>
        <v>229.9</v>
      </c>
      <c r="DW225">
        <f>222.43</f>
        <v>222.43</v>
      </c>
      <c r="DX225">
        <f>226.05</f>
        <v>226.05</v>
      </c>
      <c r="DY225">
        <f>206.6</f>
        <v>206.6</v>
      </c>
      <c r="DZ225">
        <f>202.41</f>
        <v>202.41</v>
      </c>
      <c r="EA225">
        <f>201.76</f>
        <v>201.76</v>
      </c>
      <c r="EB225">
        <f>178.75</f>
        <v>178.75</v>
      </c>
      <c r="EC225">
        <f>193.45</f>
        <v>193.45</v>
      </c>
      <c r="ED225">
        <f>189.57</f>
        <v>189.57</v>
      </c>
      <c r="EE225">
        <f>184.91</f>
        <v>184.91</v>
      </c>
      <c r="EF225">
        <f>180.96</f>
        <v>180.96</v>
      </c>
      <c r="EG225">
        <f>173.26</f>
        <v>173.26</v>
      </c>
      <c r="EH225">
        <f>170.05</f>
        <v>170.05</v>
      </c>
      <c r="EI225">
        <f>167.25</f>
        <v>167.25</v>
      </c>
      <c r="EJ225">
        <f>158.37</f>
        <v>158.37</v>
      </c>
      <c r="EK225">
        <f>143.51</f>
        <v>143.51</v>
      </c>
      <c r="EL225">
        <f>151.81</f>
        <v>151.81</v>
      </c>
      <c r="EM225">
        <f>161</f>
        <v>161</v>
      </c>
      <c r="EN225">
        <f>147.7</f>
        <v>147.69999999999999</v>
      </c>
      <c r="EO225">
        <f>143.31</f>
        <v>143.31</v>
      </c>
      <c r="EP225">
        <f>161.29</f>
        <v>161.29</v>
      </c>
      <c r="EQ225">
        <f>158.92</f>
        <v>158.91999999999999</v>
      </c>
      <c r="ER225">
        <f>157.14</f>
        <v>157.13999999999999</v>
      </c>
      <c r="ES225">
        <f>157.05</f>
        <v>157.05000000000001</v>
      </c>
      <c r="ET225">
        <f>150.58</f>
        <v>150.58000000000001</v>
      </c>
      <c r="EU225">
        <f>148.99</f>
        <v>148.99</v>
      </c>
      <c r="EV225">
        <f>153.78</f>
        <v>153.78</v>
      </c>
      <c r="EW225">
        <f>146.65</f>
        <v>146.65</v>
      </c>
      <c r="EX225">
        <f>140.49</f>
        <v>140.49</v>
      </c>
      <c r="EY225">
        <f>150</f>
        <v>150</v>
      </c>
      <c r="EZ225">
        <f>148.24</f>
        <v>148.24</v>
      </c>
      <c r="FA225">
        <f>151.98</f>
        <v>151.97999999999999</v>
      </c>
      <c r="FB225">
        <f>157.36</f>
        <v>157.36000000000001</v>
      </c>
      <c r="FC225">
        <f>153.92</f>
        <v>153.91999999999999</v>
      </c>
      <c r="FD225">
        <f>150.46</f>
        <v>150.46</v>
      </c>
      <c r="FE225">
        <f>157.97</f>
        <v>157.97</v>
      </c>
      <c r="FF225">
        <f>151.51</f>
        <v>151.51</v>
      </c>
      <c r="FG225">
        <f>139.99</f>
        <v>139.99</v>
      </c>
      <c r="FH225">
        <f>144</f>
        <v>144</v>
      </c>
      <c r="FI225">
        <f>140.51</f>
        <v>140.51</v>
      </c>
      <c r="FJ225">
        <f>132.85</f>
        <v>132.85</v>
      </c>
      <c r="FK225">
        <f>142.76</f>
        <v>142.76</v>
      </c>
      <c r="FL225">
        <f>120.04</f>
        <v>120.04</v>
      </c>
      <c r="FM225">
        <f>143.55</f>
        <v>143.55000000000001</v>
      </c>
      <c r="FN225">
        <f>140.36</f>
        <v>140.36000000000001</v>
      </c>
      <c r="FO225">
        <f>135.29</f>
        <v>135.29</v>
      </c>
      <c r="FP225">
        <f>137.61</f>
        <v>137.61000000000001</v>
      </c>
      <c r="FQ225">
        <f>135.48</f>
        <v>135.47999999999999</v>
      </c>
    </row>
    <row r="226" spans="1:173">
      <c r="A226" t="str">
        <f>"    Mid-America Apartment Communit"</f>
        <v xml:space="preserve">    Mid-America Apartment Communit</v>
      </c>
      <c r="B226" t="str">
        <f>"MAA US Equity"</f>
        <v>MAA US Equity</v>
      </c>
      <c r="C226" t="str">
        <f t="shared" si="72"/>
        <v>PR005</v>
      </c>
      <c r="D226" t="str">
        <f t="shared" si="73"/>
        <v>PX_LAST</v>
      </c>
      <c r="E226" t="str">
        <f t="shared" si="74"/>
        <v>动态</v>
      </c>
      <c r="F226">
        <f ca="1">IF(AND(ISNUMBER($F$427),$B$252=1),$F$427,HLOOKUP(INDIRECT(ADDRESS(2,COLUMN())),OFFSET($CL$2,0,0,ROW()-1,84),ROW()-1,FALSE))</f>
        <v>89.34</v>
      </c>
      <c r="G226">
        <f ca="1">IF(AND(ISNUMBER($G$427),$B$252=1),$G$427,HLOOKUP(INDIRECT(ADDRESS(2,COLUMN())),OFFSET($CL$2,0,0,ROW()-1,84),ROW()-1,FALSE))</f>
        <v>85.82</v>
      </c>
      <c r="H226">
        <f ca="1">IF(AND(ISNUMBER($H$427),$B$252=1),$H$427,HLOOKUP(INDIRECT(ADDRESS(2,COLUMN())),OFFSET($CL$2,0,0,ROW()-1,84),ROW()-1,FALSE))</f>
        <v>95.37</v>
      </c>
      <c r="I226">
        <f ca="1">IF(AND(ISNUMBER($I$427),$B$252=1),$I$427,HLOOKUP(INDIRECT(ADDRESS(2,COLUMN())),OFFSET($CL$2,0,0,ROW()-1,84),ROW()-1,FALSE))</f>
        <v>100.56</v>
      </c>
      <c r="J226">
        <f ca="1">IF(AND(ISNUMBER($J$427),$B$252=1),$J$427,HLOOKUP(INDIRECT(ADDRESS(2,COLUMN())),OFFSET($CL$2,0,0,ROW()-1,84),ROW()-1,FALSE))</f>
        <v>102.44</v>
      </c>
      <c r="K226">
        <f ca="1">IF(AND(ISNUMBER($K$427),$B$252=1),$K$427,HLOOKUP(INDIRECT(ADDRESS(2,COLUMN())),OFFSET($CL$2,0,0,ROW()-1,84),ROW()-1,FALSE))</f>
        <v>102.35</v>
      </c>
      <c r="L226">
        <f ca="1">IF(AND(ISNUMBER($L$427),$B$252=1),$L$427,HLOOKUP(INDIRECT(ADDRESS(2,COLUMN())),OFFSET($CL$2,0,0,ROW()-1,84),ROW()-1,FALSE))</f>
        <v>106.88</v>
      </c>
      <c r="M226">
        <f ca="1">IF(AND(ISNUMBER($M$427),$B$252=1),$M$427,HLOOKUP(INDIRECT(ADDRESS(2,COLUMN())),OFFSET($CL$2,0,0,ROW()-1,84),ROW()-1,FALSE))</f>
        <v>106.46</v>
      </c>
      <c r="N226">
        <f ca="1">IF(AND(ISNUMBER($N$427),$B$252=1),$N$427,HLOOKUP(INDIRECT(ADDRESS(2,COLUMN())),OFFSET($CL$2,0,0,ROW()-1,84),ROW()-1,FALSE))</f>
        <v>103.53</v>
      </c>
      <c r="O226">
        <f ca="1">IF(AND(ISNUMBER($O$427),$B$252=1),$O$427,HLOOKUP(INDIRECT(ADDRESS(2,COLUMN())),OFFSET($CL$2,0,0,ROW()-1,84),ROW()-1,FALSE))</f>
        <v>105.38</v>
      </c>
      <c r="P226">
        <f ca="1">IF(AND(ISNUMBER($P$427),$B$252=1),$P$427,HLOOKUP(INDIRECT(ADDRESS(2,COLUMN())),OFFSET($CL$2,0,0,ROW()-1,84),ROW()-1,FALSE))</f>
        <v>101.94</v>
      </c>
      <c r="Q226">
        <f ca="1">IF(AND(ISNUMBER($Q$427),$B$252=1),$Q$427,HLOOKUP(INDIRECT(ADDRESS(2,COLUMN())),OFFSET($CL$2,0,0,ROW()-1,84),ROW()-1,FALSE))</f>
        <v>99.21</v>
      </c>
      <c r="R226">
        <f ca="1">IF(AND(ISNUMBER($R$427),$B$252=1),$R$427,HLOOKUP(INDIRECT(ADDRESS(2,COLUMN())),OFFSET($CL$2,0,0,ROW()-1,84),ROW()-1,FALSE))</f>
        <v>101.74</v>
      </c>
      <c r="S226">
        <f ca="1">IF(AND(ISNUMBER($S$427),$B$252=1),$S$427,HLOOKUP(INDIRECT(ADDRESS(2,COLUMN())),OFFSET($CL$2,0,0,ROW()-1,84),ROW()-1,FALSE))</f>
        <v>102.73</v>
      </c>
      <c r="T226">
        <f ca="1">IF(AND(ISNUMBER($T$427),$B$252=1),$T$427,HLOOKUP(INDIRECT(ADDRESS(2,COLUMN())),OFFSET($CL$2,0,0,ROW()-1,84),ROW()-1,FALSE))</f>
        <v>94.95</v>
      </c>
      <c r="U226">
        <f ca="1">IF(AND(ISNUMBER($U$427),$B$252=1),$U$427,HLOOKUP(INDIRECT(ADDRESS(2,COLUMN())),OFFSET($CL$2,0,0,ROW()-1,84),ROW()-1,FALSE))</f>
        <v>97.92</v>
      </c>
      <c r="V226">
        <f ca="1">IF(AND(ISNUMBER($V$427),$B$252=1),$V$427,HLOOKUP(INDIRECT(ADDRESS(2,COLUMN())),OFFSET($CL$2,0,0,ROW()-1,84),ROW()-1,FALSE))</f>
        <v>91.63</v>
      </c>
      <c r="W226">
        <f ca="1">IF(AND(ISNUMBER($W$427),$B$252=1),$W$427,HLOOKUP(INDIRECT(ADDRESS(2,COLUMN())),OFFSET($CL$2,0,0,ROW()-1,84),ROW()-1,FALSE))</f>
        <v>92.75</v>
      </c>
      <c r="X226">
        <f ca="1">IF(AND(ISNUMBER($X$427),$B$252=1),$X$427,HLOOKUP(INDIRECT(ADDRESS(2,COLUMN())),OFFSET($CL$2,0,0,ROW()-1,84),ROW()-1,FALSE))</f>
        <v>93.99</v>
      </c>
      <c r="Y226">
        <f ca="1">IF(AND(ISNUMBER($Y$427),$B$252=1),$Y$427,HLOOKUP(INDIRECT(ADDRESS(2,COLUMN())),OFFSET($CL$2,0,0,ROW()-1,84),ROW()-1,FALSE))</f>
        <v>93.99</v>
      </c>
      <c r="Z226">
        <f ca="1">IF(AND(ISNUMBER($Z$427),$B$252=1),$Z$427,HLOOKUP(INDIRECT(ADDRESS(2,COLUMN())),OFFSET($CL$2,0,0,ROW()-1,84),ROW()-1,FALSE))</f>
        <v>106.02</v>
      </c>
      <c r="AA226">
        <f ca="1">IF(AND(ISNUMBER($AA$427),$B$252=1),$AA$427,HLOOKUP(INDIRECT(ADDRESS(2,COLUMN())),OFFSET($CL$2,0,0,ROW()-1,84),ROW()-1,FALSE))</f>
        <v>106.4</v>
      </c>
      <c r="AB226">
        <f ca="1">IF(AND(ISNUMBER($AB$427),$B$252=1),$AB$427,HLOOKUP(INDIRECT(ADDRESS(2,COLUMN())),OFFSET($CL$2,0,0,ROW()-1,84),ROW()-1,FALSE))</f>
        <v>102.99</v>
      </c>
      <c r="AC226">
        <f ca="1">IF(AND(ISNUMBER($AC$427),$B$252=1),$AC$427,HLOOKUP(INDIRECT(ADDRESS(2,COLUMN())),OFFSET($CL$2,0,0,ROW()-1,84),ROW()-1,FALSE))</f>
        <v>95.71</v>
      </c>
      <c r="AD226">
        <f ca="1">IF(AND(ISNUMBER($AD$427),$B$252=1),$AD$427,HLOOKUP(INDIRECT(ADDRESS(2,COLUMN())),OFFSET($CL$2,0,0,ROW()-1,84),ROW()-1,FALSE))</f>
        <v>102.21</v>
      </c>
      <c r="AE226">
        <f ca="1">IF(AND(ISNUMBER($AE$427),$B$252=1),$AE$427,HLOOKUP(INDIRECT(ADDRESS(2,COLUMN())),OFFSET($CL$2,0,0,ROW()-1,84),ROW()-1,FALSE))</f>
        <v>89.94</v>
      </c>
      <c r="AF226">
        <f ca="1">IF(AND(ISNUMBER($AF$427),$B$252=1),$AF$427,HLOOKUP(INDIRECT(ADDRESS(2,COLUMN())),OFFSET($CL$2,0,0,ROW()-1,84),ROW()-1,FALSE))</f>
        <v>93.82</v>
      </c>
      <c r="AG226">
        <f ca="1">IF(AND(ISNUMBER($AG$427),$B$252=1),$AG$427,HLOOKUP(INDIRECT(ADDRESS(2,COLUMN())),OFFSET($CL$2,0,0,ROW()-1,84),ROW()-1,FALSE))</f>
        <v>90.81</v>
      </c>
      <c r="AH226">
        <f ca="1">IF(AND(ISNUMBER($AH$427),$B$252=1),$AH$427,HLOOKUP(INDIRECT(ADDRESS(2,COLUMN())),OFFSET($CL$2,0,0,ROW()-1,84),ROW()-1,FALSE))</f>
        <v>88.56</v>
      </c>
      <c r="AI226">
        <f ca="1">IF(AND(ISNUMBER($AI$427),$B$252=1),$AI$427,HLOOKUP(INDIRECT(ADDRESS(2,COLUMN())),OFFSET($CL$2,0,0,ROW()-1,84),ROW()-1,FALSE))</f>
        <v>85.19</v>
      </c>
      <c r="AJ226">
        <f ca="1">IF(AND(ISNUMBER($AJ$427),$B$252=1),$AJ$427,HLOOKUP(INDIRECT(ADDRESS(2,COLUMN())),OFFSET($CL$2,0,0,ROW()-1,84),ROW()-1,FALSE))</f>
        <v>81.87</v>
      </c>
      <c r="AK226">
        <f ca="1">IF(AND(ISNUMBER($AK$427),$B$252=1),$AK$427,HLOOKUP(INDIRECT(ADDRESS(2,COLUMN())),OFFSET($CL$2,0,0,ROW()-1,84),ROW()-1,FALSE))</f>
        <v>78.59</v>
      </c>
      <c r="AL226">
        <f ca="1">IF(AND(ISNUMBER($AL$427),$B$252=1),$AL$427,HLOOKUP(INDIRECT(ADDRESS(2,COLUMN())),OFFSET($CL$2,0,0,ROW()-1,84),ROW()-1,FALSE))</f>
        <v>80.34</v>
      </c>
      <c r="AM226">
        <f ca="1">IF(AND(ISNUMBER($AM$427),$B$252=1),$AM$427,HLOOKUP(INDIRECT(ADDRESS(2,COLUMN())),OFFSET($CL$2,0,0,ROW()-1,84),ROW()-1,FALSE))</f>
        <v>72.81</v>
      </c>
      <c r="AN226">
        <f ca="1">IF(AND(ISNUMBER($AN$427),$B$252=1),$AN$427,HLOOKUP(INDIRECT(ADDRESS(2,COLUMN())),OFFSET($CL$2,0,0,ROW()-1,84),ROW()-1,FALSE))</f>
        <v>76.39</v>
      </c>
      <c r="AO226">
        <f ca="1">IF(AND(ISNUMBER($AO$427),$B$252=1),$AO$427,HLOOKUP(INDIRECT(ADDRESS(2,COLUMN())),OFFSET($CL$2,0,0,ROW()-1,84),ROW()-1,FALSE))</f>
        <v>74.61</v>
      </c>
      <c r="AP226">
        <f ca="1">IF(AND(ISNUMBER($AP$427),$B$252=1),$AP$427,HLOOKUP(INDIRECT(ADDRESS(2,COLUMN())),OFFSET($CL$2,0,0,ROW()-1,84),ROW()-1,FALSE))</f>
        <v>77.27</v>
      </c>
      <c r="AQ226">
        <f ca="1">IF(AND(ISNUMBER($AQ$427),$B$252=1),$AQ$427,HLOOKUP(INDIRECT(ADDRESS(2,COLUMN())),OFFSET($CL$2,0,0,ROW()-1,84),ROW()-1,FALSE))</f>
        <v>72.47</v>
      </c>
      <c r="AR226">
        <f ca="1">IF(AND(ISNUMBER($AR$427),$B$252=1),$AR$427,HLOOKUP(INDIRECT(ADDRESS(2,COLUMN())),OFFSET($CL$2,0,0,ROW()-1,84),ROW()-1,FALSE))</f>
        <v>79.319999999999993</v>
      </c>
      <c r="AS226">
        <f ca="1">IF(AND(ISNUMBER($AS$427),$B$252=1),$AS$427,HLOOKUP(INDIRECT(ADDRESS(2,COLUMN())),OFFSET($CL$2,0,0,ROW()-1,84),ROW()-1,FALSE))</f>
        <v>74.680000000000007</v>
      </c>
      <c r="AT226">
        <f ca="1">IF(AND(ISNUMBER($AT$427),$B$252=1),$AT$427,HLOOKUP(INDIRECT(ADDRESS(2,COLUMN())),OFFSET($CL$2,0,0,ROW()-1,84),ROW()-1,FALSE))</f>
        <v>73.66</v>
      </c>
      <c r="AU226">
        <f ca="1">IF(AND(ISNUMBER($AU$427),$B$252=1),$AU$427,HLOOKUP(INDIRECT(ADDRESS(2,COLUMN())),OFFSET($CL$2,0,0,ROW()-1,84),ROW()-1,FALSE))</f>
        <v>70.66</v>
      </c>
      <c r="AV226">
        <f ca="1">IF(AND(ISNUMBER($AV$427),$B$252=1),$AV$427,HLOOKUP(INDIRECT(ADDRESS(2,COLUMN())),OFFSET($CL$2,0,0,ROW()-1,84),ROW()-1,FALSE))</f>
        <v>65.650000000000006</v>
      </c>
      <c r="AW226">
        <f ca="1">IF(AND(ISNUMBER($AW$427),$B$252=1),$AW$427,HLOOKUP(INDIRECT(ADDRESS(2,COLUMN())),OFFSET($CL$2,0,0,ROW()-1,84),ROW()-1,FALSE))</f>
        <v>72.319999999999993</v>
      </c>
      <c r="AX226">
        <f ca="1">IF(AND(ISNUMBER($AX$427),$B$252=1),$AX$427,HLOOKUP(INDIRECT(ADDRESS(2,COLUMN())),OFFSET($CL$2,0,0,ROW()-1,84),ROW()-1,FALSE))</f>
        <v>69.92</v>
      </c>
      <c r="AY226">
        <f ca="1">IF(AND(ISNUMBER($AY$427),$B$252=1),$AY$427,HLOOKUP(INDIRECT(ADDRESS(2,COLUMN())),OFFSET($CL$2,0,0,ROW()-1,84),ROW()-1,FALSE))</f>
        <v>73.05</v>
      </c>
      <c r="AZ226">
        <f ca="1">IF(AND(ISNUMBER($AZ$427),$B$252=1),$AZ$427,HLOOKUP(INDIRECT(ADDRESS(2,COLUMN())),OFFSET($CL$2,0,0,ROW()-1,84),ROW()-1,FALSE))</f>
        <v>72.349999999999994</v>
      </c>
      <c r="BA226">
        <f ca="1">IF(AND(ISNUMBER($BA$427),$B$252=1),$BA$427,HLOOKUP(INDIRECT(ADDRESS(2,COLUMN())),OFFSET($CL$2,0,0,ROW()-1,84),ROW()-1,FALSE))</f>
        <v>69.650000000000006</v>
      </c>
      <c r="BB226">
        <f ca="1">IF(AND(ISNUMBER($BB$427),$B$252=1),$BB$427,HLOOKUP(INDIRECT(ADDRESS(2,COLUMN())),OFFSET($CL$2,0,0,ROW()-1,84),ROW()-1,FALSE))</f>
        <v>68.27</v>
      </c>
      <c r="BC226">
        <f ca="1">IF(AND(ISNUMBER($BC$427),$B$252=1),$BC$427,HLOOKUP(INDIRECT(ADDRESS(2,COLUMN())),OFFSET($CL$2,0,0,ROW()-1,84),ROW()-1,FALSE))</f>
        <v>67.64</v>
      </c>
      <c r="BD226">
        <f ca="1">IF(AND(ISNUMBER($BD$427),$B$252=1),$BD$427,HLOOKUP(INDIRECT(ADDRESS(2,COLUMN())),OFFSET($CL$2,0,0,ROW()-1,84),ROW()-1,FALSE))</f>
        <v>64.540000000000006</v>
      </c>
      <c r="BE226">
        <f ca="1">IF(AND(ISNUMBER($BE$427),$B$252=1),$BE$427,HLOOKUP(INDIRECT(ADDRESS(2,COLUMN())),OFFSET($CL$2,0,0,ROW()-1,84),ROW()-1,FALSE))</f>
        <v>60.74</v>
      </c>
      <c r="BF226">
        <f ca="1">IF(AND(ISNUMBER($BF$427),$B$252=1),$BF$427,HLOOKUP(INDIRECT(ADDRESS(2,COLUMN())),OFFSET($CL$2,0,0,ROW()-1,84),ROW()-1,FALSE))</f>
        <v>60.24</v>
      </c>
      <c r="BG226">
        <f ca="1">IF(AND(ISNUMBER($BG$427),$B$252=1),$BG$427,HLOOKUP(INDIRECT(ADDRESS(2,COLUMN())),OFFSET($CL$2,0,0,ROW()-1,84),ROW()-1,FALSE))</f>
        <v>66.400000000000006</v>
      </c>
      <c r="BH226">
        <f ca="1">IF(AND(ISNUMBER($BH$427),$B$252=1),$BH$427,HLOOKUP(INDIRECT(ADDRESS(2,COLUMN())),OFFSET($CL$2,0,0,ROW()-1,84),ROW()-1,FALSE))</f>
        <v>62.5</v>
      </c>
      <c r="BI226">
        <f ca="1">IF(AND(ISNUMBER($BI$427),$B$252=1),$BI$427,HLOOKUP(INDIRECT(ADDRESS(2,COLUMN())),OFFSET($CL$2,0,0,ROW()-1,84),ROW()-1,FALSE))</f>
        <v>61.66</v>
      </c>
      <c r="BJ226">
        <f ca="1">IF(AND(ISNUMBER($BJ$427),$B$252=1),$BJ$427,HLOOKUP(INDIRECT(ADDRESS(2,COLUMN())),OFFSET($CL$2,0,0,ROW()-1,84),ROW()-1,FALSE))</f>
        <v>67.55</v>
      </c>
      <c r="BK226">
        <f ca="1">IF(AND(ISNUMBER($BK$427),$B$252=1),$BK$427,HLOOKUP(INDIRECT(ADDRESS(2,COLUMN())),OFFSET($CL$2,0,0,ROW()-1,84),ROW()-1,FALSE))</f>
        <v>67.77</v>
      </c>
      <c r="BL226">
        <f ca="1">IF(AND(ISNUMBER($BL$427),$B$252=1),$BL$427,HLOOKUP(INDIRECT(ADDRESS(2,COLUMN())),OFFSET($CL$2,0,0,ROW()-1,84),ROW()-1,FALSE))</f>
        <v>67.97</v>
      </c>
      <c r="BM226">
        <f ca="1">IF(AND(ISNUMBER($BM$427),$B$252=1),$BM$427,HLOOKUP(INDIRECT(ADDRESS(2,COLUMN())),OFFSET($CL$2,0,0,ROW()-1,84),ROW()-1,FALSE))</f>
        <v>68.73</v>
      </c>
      <c r="BN226">
        <f ca="1">IF(AND(ISNUMBER($BN$427),$B$252=1),$BN$427,HLOOKUP(INDIRECT(ADDRESS(2,COLUMN())),OFFSET($CL$2,0,0,ROW()-1,84),ROW()-1,FALSE))</f>
        <v>69.06</v>
      </c>
      <c r="BO226">
        <f ca="1">IF(AND(ISNUMBER($BO$427),$B$252=1),$BO$427,HLOOKUP(INDIRECT(ADDRESS(2,COLUMN())),OFFSET($CL$2,0,0,ROW()-1,84),ROW()-1,FALSE))</f>
        <v>69.44</v>
      </c>
      <c r="BP226">
        <f ca="1">IF(AND(ISNUMBER($BP$427),$B$252=1),$BP$427,HLOOKUP(INDIRECT(ADDRESS(2,COLUMN())),OFFSET($CL$2,0,0,ROW()-1,84),ROW()-1,FALSE))</f>
        <v>65.37</v>
      </c>
      <c r="BQ226">
        <f ca="1">IF(AND(ISNUMBER($BQ$427),$B$252=1),$BQ$427,HLOOKUP(INDIRECT(ADDRESS(2,COLUMN())),OFFSET($CL$2,0,0,ROW()-1,84),ROW()-1,FALSE))</f>
        <v>64.75</v>
      </c>
      <c r="BR226">
        <f ca="1">IF(AND(ISNUMBER($BR$427),$B$252=1),$BR$427,HLOOKUP(INDIRECT(ADDRESS(2,COLUMN())),OFFSET($CL$2,0,0,ROW()-1,84),ROW()-1,FALSE))</f>
        <v>62.32</v>
      </c>
      <c r="BS226">
        <f ca="1">IF(AND(ISNUMBER($BS$427),$B$252=1),$BS$427,HLOOKUP(INDIRECT(ADDRESS(2,COLUMN())),OFFSET($CL$2,0,0,ROW()-1,84),ROW()-1,FALSE))</f>
        <v>64.709999999999994</v>
      </c>
      <c r="BT226">
        <f ca="1">IF(AND(ISNUMBER($BT$427),$B$252=1),$BT$427,HLOOKUP(INDIRECT(ADDRESS(2,COLUMN())),OFFSET($CL$2,0,0,ROW()-1,84),ROW()-1,FALSE))</f>
        <v>65.31</v>
      </c>
      <c r="BU226">
        <f ca="1">IF(AND(ISNUMBER($BU$427),$B$252=1),$BU$427,HLOOKUP(INDIRECT(ADDRESS(2,COLUMN())),OFFSET($CL$2,0,0,ROW()-1,84),ROW()-1,FALSE))</f>
        <v>68</v>
      </c>
      <c r="BV226">
        <f ca="1">IF(AND(ISNUMBER($BV$427),$B$252=1),$BV$427,HLOOKUP(INDIRECT(ADDRESS(2,COLUMN())),OFFSET($CL$2,0,0,ROW()-1,84),ROW()-1,FALSE))</f>
        <v>69.23</v>
      </c>
      <c r="BW226">
        <f ca="1">IF(AND(ISNUMBER($BW$427),$B$252=1),$BW$427,HLOOKUP(INDIRECT(ADDRESS(2,COLUMN())),OFFSET($CL$2,0,0,ROW()-1,84),ROW()-1,FALSE))</f>
        <v>68.239999999999995</v>
      </c>
      <c r="BX226">
        <f ca="1">IF(AND(ISNUMBER($BX$427),$B$252=1),$BX$427,HLOOKUP(INDIRECT(ADDRESS(2,COLUMN())),OFFSET($CL$2,0,0,ROW()-1,84),ROW()-1,FALSE))</f>
        <v>67.39</v>
      </c>
      <c r="BY226">
        <f ca="1">IF(AND(ISNUMBER($BY$427),$B$252=1),$BY$427,HLOOKUP(INDIRECT(ADDRESS(2,COLUMN())),OFFSET($CL$2,0,0,ROW()-1,84),ROW()-1,FALSE))</f>
        <v>68.069999999999993</v>
      </c>
      <c r="BZ226">
        <f ca="1">IF(AND(ISNUMBER($BZ$427),$B$252=1),$BZ$427,HLOOKUP(INDIRECT(ADDRESS(2,COLUMN())),OFFSET($CL$2,0,0,ROW()-1,84),ROW()-1,FALSE))</f>
        <v>67.03</v>
      </c>
      <c r="CA226">
        <f ca="1">IF(AND(ISNUMBER($CA$427),$B$252=1),$CA$427,HLOOKUP(INDIRECT(ADDRESS(2,COLUMN())),OFFSET($CL$2,0,0,ROW()-1,84),ROW()-1,FALSE))</f>
        <v>62.37</v>
      </c>
      <c r="CB226">
        <f ca="1">IF(AND(ISNUMBER($CB$427),$B$252=1),$CB$427,HLOOKUP(INDIRECT(ADDRESS(2,COLUMN())),OFFSET($CL$2,0,0,ROW()-1,84),ROW()-1,FALSE))</f>
        <v>63.92</v>
      </c>
      <c r="CC226">
        <f ca="1">IF(AND(ISNUMBER($CC$427),$B$252=1),$CC$427,HLOOKUP(INDIRECT(ADDRESS(2,COLUMN())),OFFSET($CL$2,0,0,ROW()-1,84),ROW()-1,FALSE))</f>
        <v>62.55</v>
      </c>
      <c r="CD226">
        <f ca="1">IF(AND(ISNUMBER($CD$427),$B$252=1),$CD$427,HLOOKUP(INDIRECT(ADDRESS(2,COLUMN())),OFFSET($CL$2,0,0,ROW()-1,84),ROW()-1,FALSE))</f>
        <v>57.32</v>
      </c>
      <c r="CE226">
        <f ca="1">IF(AND(ISNUMBER($CE$427),$B$252=1),$CE$427,HLOOKUP(INDIRECT(ADDRESS(2,COLUMN())),OFFSET($CL$2,0,0,ROW()-1,84),ROW()-1,FALSE))</f>
        <v>62.4</v>
      </c>
      <c r="CF226">
        <f ca="1">IF(AND(ISNUMBER($CF$427),$B$252=1),$CF$427,HLOOKUP(INDIRECT(ADDRESS(2,COLUMN())),OFFSET($CL$2,0,0,ROW()-1,84),ROW()-1,FALSE))</f>
        <v>60.22</v>
      </c>
      <c r="CG226">
        <f ca="1">IF(AND(ISNUMBER($CG$427),$B$252=1),$CG$427,HLOOKUP(INDIRECT(ADDRESS(2,COLUMN())),OFFSET($CL$2,0,0,ROW()-1,84),ROW()-1,FALSE))</f>
        <v>71.48</v>
      </c>
      <c r="CH226">
        <f ca="1">IF(AND(ISNUMBER($CH$427),$B$252=1),$CH$427,HLOOKUP(INDIRECT(ADDRESS(2,COLUMN())),OFFSET($CL$2,0,0,ROW()-1,84),ROW()-1,FALSE))</f>
        <v>70.790000000000006</v>
      </c>
      <c r="CI226">
        <f ca="1">IF(AND(ISNUMBER($CI$427),$B$252=1),$CI$427,HLOOKUP(INDIRECT(ADDRESS(2,COLUMN())),OFFSET($CL$2,0,0,ROW()-1,84),ROW()-1,FALSE))</f>
        <v>67.47</v>
      </c>
      <c r="CJ226">
        <f ca="1">IF(AND(ISNUMBER($CJ$427),$B$252=1),$CJ$427,HLOOKUP(INDIRECT(ADDRESS(2,COLUMN())),OFFSET($CL$2,0,0,ROW()-1,84),ROW()-1,FALSE))</f>
        <v>68.55</v>
      </c>
      <c r="CK226">
        <f ca="1">IF(AND(ISNUMBER($CK$427),$B$252=1),$CK$427,HLOOKUP(INDIRECT(ADDRESS(2,COLUMN())),OFFSET($CL$2,0,0,ROW()-1,84),ROW()-1,FALSE))</f>
        <v>66.849999999999994</v>
      </c>
      <c r="CL226">
        <f>89.34</f>
        <v>89.34</v>
      </c>
      <c r="CM226">
        <f>85.82</f>
        <v>85.82</v>
      </c>
      <c r="CN226">
        <f>95.37</f>
        <v>95.37</v>
      </c>
      <c r="CO226">
        <f>100.56</f>
        <v>100.56</v>
      </c>
      <c r="CP226">
        <f>102.44</f>
        <v>102.44</v>
      </c>
      <c r="CQ226">
        <f>102.35</f>
        <v>102.35</v>
      </c>
      <c r="CR226">
        <f>106.88</f>
        <v>106.88</v>
      </c>
      <c r="CS226">
        <f>106.46</f>
        <v>106.46</v>
      </c>
      <c r="CT226">
        <f>103.53</f>
        <v>103.53</v>
      </c>
      <c r="CU226">
        <f>105.38</f>
        <v>105.38</v>
      </c>
      <c r="CV226">
        <f>101.94</f>
        <v>101.94</v>
      </c>
      <c r="CW226">
        <f>99.21</f>
        <v>99.21</v>
      </c>
      <c r="CX226">
        <f>101.74</f>
        <v>101.74</v>
      </c>
      <c r="CY226">
        <f>102.73</f>
        <v>102.73</v>
      </c>
      <c r="CZ226">
        <f>94.95</f>
        <v>94.95</v>
      </c>
      <c r="DA226">
        <f>97.92</f>
        <v>97.92</v>
      </c>
      <c r="DB226">
        <f>91.63</f>
        <v>91.63</v>
      </c>
      <c r="DC226">
        <f>92.75</f>
        <v>92.75</v>
      </c>
      <c r="DD226">
        <f>93.99</f>
        <v>93.99</v>
      </c>
      <c r="DE226">
        <f>93.99</f>
        <v>93.99</v>
      </c>
      <c r="DF226">
        <f>106.02</f>
        <v>106.02</v>
      </c>
      <c r="DG226">
        <f>106.4</f>
        <v>106.4</v>
      </c>
      <c r="DH226">
        <f>102.99</f>
        <v>102.99</v>
      </c>
      <c r="DI226">
        <f>95.71</f>
        <v>95.71</v>
      </c>
      <c r="DJ226">
        <f>102.21</f>
        <v>102.21</v>
      </c>
      <c r="DK226">
        <f>89.94</f>
        <v>89.94</v>
      </c>
      <c r="DL226">
        <f>93.82</f>
        <v>93.82</v>
      </c>
      <c r="DM226">
        <f>90.81</f>
        <v>90.81</v>
      </c>
      <c r="DN226">
        <f>88.56</f>
        <v>88.56</v>
      </c>
      <c r="DO226">
        <f>85.19</f>
        <v>85.19</v>
      </c>
      <c r="DP226">
        <f>81.87</f>
        <v>81.87</v>
      </c>
      <c r="DQ226">
        <f>78.59</f>
        <v>78.59</v>
      </c>
      <c r="DR226">
        <f>80.34</f>
        <v>80.34</v>
      </c>
      <c r="DS226">
        <f>72.81</f>
        <v>72.81</v>
      </c>
      <c r="DT226">
        <f>76.39</f>
        <v>76.39</v>
      </c>
      <c r="DU226">
        <f>74.61</f>
        <v>74.61</v>
      </c>
      <c r="DV226">
        <f>77.27</f>
        <v>77.27</v>
      </c>
      <c r="DW226">
        <f>72.47</f>
        <v>72.47</v>
      </c>
      <c r="DX226">
        <f>79.32</f>
        <v>79.319999999999993</v>
      </c>
      <c r="DY226">
        <f>74.68</f>
        <v>74.680000000000007</v>
      </c>
      <c r="DZ226">
        <f>73.66</f>
        <v>73.66</v>
      </c>
      <c r="EA226">
        <f>70.66</f>
        <v>70.66</v>
      </c>
      <c r="EB226">
        <f>65.65</f>
        <v>65.650000000000006</v>
      </c>
      <c r="EC226">
        <f>72.32</f>
        <v>72.319999999999993</v>
      </c>
      <c r="ED226">
        <f>69.92</f>
        <v>69.92</v>
      </c>
      <c r="EE226">
        <f>73.05</f>
        <v>73.05</v>
      </c>
      <c r="EF226">
        <f>72.35</f>
        <v>72.349999999999994</v>
      </c>
      <c r="EG226">
        <f>69.65</f>
        <v>69.650000000000006</v>
      </c>
      <c r="EH226">
        <f>68.27</f>
        <v>68.27</v>
      </c>
      <c r="EI226">
        <f>67.64</f>
        <v>67.64</v>
      </c>
      <c r="EJ226">
        <f>64.54</f>
        <v>64.540000000000006</v>
      </c>
      <c r="EK226">
        <f>60.74</f>
        <v>60.74</v>
      </c>
      <c r="EL226">
        <f>60.24</f>
        <v>60.24</v>
      </c>
      <c r="EM226">
        <f>66.4</f>
        <v>66.400000000000006</v>
      </c>
      <c r="EN226">
        <f>62.5</f>
        <v>62.5</v>
      </c>
      <c r="EO226">
        <f>61.66</f>
        <v>61.66</v>
      </c>
      <c r="EP226">
        <f>67.55</f>
        <v>67.55</v>
      </c>
      <c r="EQ226">
        <f>67.77</f>
        <v>67.77</v>
      </c>
      <c r="ER226">
        <f>67.97</f>
        <v>67.97</v>
      </c>
      <c r="ES226">
        <f>68.73</f>
        <v>68.73</v>
      </c>
      <c r="ET226">
        <f>69.06</f>
        <v>69.06</v>
      </c>
      <c r="EU226">
        <f>69.44</f>
        <v>69.44</v>
      </c>
      <c r="EV226">
        <f>65.37</f>
        <v>65.37</v>
      </c>
      <c r="EW226">
        <f>64.75</f>
        <v>64.75</v>
      </c>
      <c r="EX226">
        <f>62.32</f>
        <v>62.32</v>
      </c>
      <c r="EY226">
        <f>64.71</f>
        <v>64.709999999999994</v>
      </c>
      <c r="EZ226">
        <f>65.31</f>
        <v>65.31</v>
      </c>
      <c r="FA226">
        <f>68</f>
        <v>68</v>
      </c>
      <c r="FB226">
        <f>69.23</f>
        <v>69.23</v>
      </c>
      <c r="FC226">
        <f>68.24</f>
        <v>68.239999999999995</v>
      </c>
      <c r="FD226">
        <f>67.39</f>
        <v>67.39</v>
      </c>
      <c r="FE226">
        <f>68.07</f>
        <v>68.069999999999993</v>
      </c>
      <c r="FF226">
        <f>67.03</f>
        <v>67.03</v>
      </c>
      <c r="FG226">
        <f>62.37</f>
        <v>62.37</v>
      </c>
      <c r="FH226">
        <f>63.92</f>
        <v>63.92</v>
      </c>
      <c r="FI226">
        <f>62.55</f>
        <v>62.55</v>
      </c>
      <c r="FJ226">
        <f>57.32</f>
        <v>57.32</v>
      </c>
      <c r="FK226">
        <f>62.4</f>
        <v>62.4</v>
      </c>
      <c r="FL226">
        <f>60.22</f>
        <v>60.22</v>
      </c>
      <c r="FM226">
        <f>71.48</f>
        <v>71.48</v>
      </c>
      <c r="FN226">
        <f>70.79</f>
        <v>70.790000000000006</v>
      </c>
      <c r="FO226">
        <f>67.47</f>
        <v>67.47</v>
      </c>
      <c r="FP226">
        <f>68.55</f>
        <v>68.55</v>
      </c>
      <c r="FQ226">
        <f>66.85</f>
        <v>66.849999999999994</v>
      </c>
    </row>
    <row r="227" spans="1:173">
      <c r="A227" t="str">
        <f>"    Monogram Residential Trust Inc"</f>
        <v xml:space="preserve">    Monogram Residential Trust Inc</v>
      </c>
      <c r="B227" t="str">
        <f>"MORE US Equity"</f>
        <v>MORE US Equity</v>
      </c>
      <c r="C227" t="str">
        <f t="shared" si="72"/>
        <v>PR005</v>
      </c>
      <c r="D227" t="str">
        <f t="shared" si="73"/>
        <v>PX_LAST</v>
      </c>
      <c r="E227" t="str">
        <f t="shared" si="74"/>
        <v>动态</v>
      </c>
      <c r="F227" t="str">
        <f ca="1">IF(AND(ISNUMBER($F$428),$B$252=1),$F$428,HLOOKUP(INDIRECT(ADDRESS(2,COLUMN())),OFFSET($CL$2,0,0,ROW()-1,84),ROW()-1,FALSE))</f>
        <v/>
      </c>
      <c r="G227" t="str">
        <f ca="1">IF(AND(ISNUMBER($G$428),$B$252=1),$G$428,HLOOKUP(INDIRECT(ADDRESS(2,COLUMN())),OFFSET($CL$2,0,0,ROW()-1,84),ROW()-1,FALSE))</f>
        <v/>
      </c>
      <c r="H227" t="str">
        <f ca="1">IF(AND(ISNUMBER($H$428),$B$252=1),$H$428,HLOOKUP(INDIRECT(ADDRESS(2,COLUMN())),OFFSET($CL$2,0,0,ROW()-1,84),ROW()-1,FALSE))</f>
        <v/>
      </c>
      <c r="I227" t="str">
        <f ca="1">IF(AND(ISNUMBER($I$428),$B$252=1),$I$428,HLOOKUP(INDIRECT(ADDRESS(2,COLUMN())),OFFSET($CL$2,0,0,ROW()-1,84),ROW()-1,FALSE))</f>
        <v/>
      </c>
      <c r="J227" t="str">
        <f ca="1">IF(AND(ISNUMBER($J$428),$B$252=1),$J$428,HLOOKUP(INDIRECT(ADDRESS(2,COLUMN())),OFFSET($CL$2,0,0,ROW()-1,84),ROW()-1,FALSE))</f>
        <v/>
      </c>
      <c r="K227" t="str">
        <f ca="1">IF(AND(ISNUMBER($K$428),$B$252=1),$K$428,HLOOKUP(INDIRECT(ADDRESS(2,COLUMN())),OFFSET($CL$2,0,0,ROW()-1,84),ROW()-1,FALSE))</f>
        <v/>
      </c>
      <c r="L227">
        <f ca="1">IF(AND(ISNUMBER($L$428),$B$252=1),$L$428,HLOOKUP(INDIRECT(ADDRESS(2,COLUMN())),OFFSET($CL$2,0,0,ROW()-1,84),ROW()-1,FALSE))</f>
        <v>11.99</v>
      </c>
      <c r="M227">
        <f ca="1">IF(AND(ISNUMBER($M$428),$B$252=1),$M$428,HLOOKUP(INDIRECT(ADDRESS(2,COLUMN())),OFFSET($CL$2,0,0,ROW()-1,84),ROW()-1,FALSE))</f>
        <v>12</v>
      </c>
      <c r="N227">
        <f ca="1">IF(AND(ISNUMBER($N$428),$B$252=1),$N$428,HLOOKUP(INDIRECT(ADDRESS(2,COLUMN())),OFFSET($CL$2,0,0,ROW()-1,84),ROW()-1,FALSE))</f>
        <v>11.96</v>
      </c>
      <c r="O227">
        <f ca="1">IF(AND(ISNUMBER($O$428),$B$252=1),$O$428,HLOOKUP(INDIRECT(ADDRESS(2,COLUMN())),OFFSET($CL$2,0,0,ROW()-1,84),ROW()-1,FALSE))</f>
        <v>9.7100000000000009</v>
      </c>
      <c r="P227">
        <f ca="1">IF(AND(ISNUMBER($P$428),$B$252=1),$P$428,HLOOKUP(INDIRECT(ADDRESS(2,COLUMN())),OFFSET($CL$2,0,0,ROW()-1,84),ROW()-1,FALSE))</f>
        <v>9.6300000000000008</v>
      </c>
      <c r="Q227">
        <f ca="1">IF(AND(ISNUMBER($Q$428),$B$252=1),$Q$428,HLOOKUP(INDIRECT(ADDRESS(2,COLUMN())),OFFSET($CL$2,0,0,ROW()-1,84),ROW()-1,FALSE))</f>
        <v>10.18</v>
      </c>
      <c r="R227">
        <f ca="1">IF(AND(ISNUMBER($R$428),$B$252=1),$R$428,HLOOKUP(INDIRECT(ADDRESS(2,COLUMN())),OFFSET($CL$2,0,0,ROW()-1,84),ROW()-1,FALSE))</f>
        <v>9.9700000000000006</v>
      </c>
      <c r="S227">
        <f ca="1">IF(AND(ISNUMBER($S$428),$B$252=1),$S$428,HLOOKUP(INDIRECT(ADDRESS(2,COLUMN())),OFFSET($CL$2,0,0,ROW()-1,84),ROW()-1,FALSE))</f>
        <v>10.29</v>
      </c>
      <c r="T227">
        <f ca="1">IF(AND(ISNUMBER($T$428),$B$252=1),$T$428,HLOOKUP(INDIRECT(ADDRESS(2,COLUMN())),OFFSET($CL$2,0,0,ROW()-1,84),ROW()-1,FALSE))</f>
        <v>10.17</v>
      </c>
      <c r="U227">
        <f ca="1">IF(AND(ISNUMBER($U$428),$B$252=1),$U$428,HLOOKUP(INDIRECT(ADDRESS(2,COLUMN())),OFFSET($CL$2,0,0,ROW()-1,84),ROW()-1,FALSE))</f>
        <v>10.82</v>
      </c>
      <c r="V227">
        <f ca="1">IF(AND(ISNUMBER($V$428),$B$252=1),$V$428,HLOOKUP(INDIRECT(ADDRESS(2,COLUMN())),OFFSET($CL$2,0,0,ROW()-1,84),ROW()-1,FALSE))</f>
        <v>10.53</v>
      </c>
      <c r="W227">
        <f ca="1">IF(AND(ISNUMBER($W$428),$B$252=1),$W$428,HLOOKUP(INDIRECT(ADDRESS(2,COLUMN())),OFFSET($CL$2,0,0,ROW()-1,84),ROW()-1,FALSE))</f>
        <v>10.54</v>
      </c>
      <c r="X227">
        <f ca="1">IF(AND(ISNUMBER($X$428),$B$252=1),$X$428,HLOOKUP(INDIRECT(ADDRESS(2,COLUMN())),OFFSET($CL$2,0,0,ROW()-1,84),ROW()-1,FALSE))</f>
        <v>10.64</v>
      </c>
      <c r="Y227">
        <f ca="1">IF(AND(ISNUMBER($Y$428),$B$252=1),$Y$428,HLOOKUP(INDIRECT(ADDRESS(2,COLUMN())),OFFSET($CL$2,0,0,ROW()-1,84),ROW()-1,FALSE))</f>
        <v>10.52</v>
      </c>
      <c r="Z227">
        <f ca="1">IF(AND(ISNUMBER($Z$428),$B$252=1),$Z$428,HLOOKUP(INDIRECT(ADDRESS(2,COLUMN())),OFFSET($CL$2,0,0,ROW()-1,84),ROW()-1,FALSE))</f>
        <v>10.71</v>
      </c>
      <c r="AA227">
        <f ca="1">IF(AND(ISNUMBER($AA$428),$B$252=1),$AA$428,HLOOKUP(INDIRECT(ADDRESS(2,COLUMN())),OFFSET($CL$2,0,0,ROW()-1,84),ROW()-1,FALSE))</f>
        <v>10.210000000000001</v>
      </c>
      <c r="AB227">
        <f ca="1">IF(AND(ISNUMBER($AB$428),$B$252=1),$AB$428,HLOOKUP(INDIRECT(ADDRESS(2,COLUMN())),OFFSET($CL$2,0,0,ROW()-1,84),ROW()-1,FALSE))</f>
        <v>10.14</v>
      </c>
      <c r="AC227">
        <f ca="1">IF(AND(ISNUMBER($AC$428),$B$252=1),$AC$428,HLOOKUP(INDIRECT(ADDRESS(2,COLUMN())),OFFSET($CL$2,0,0,ROW()-1,84),ROW()-1,FALSE))</f>
        <v>10.130000000000001</v>
      </c>
      <c r="AD227">
        <f ca="1">IF(AND(ISNUMBER($AD$428),$B$252=1),$AD$428,HLOOKUP(INDIRECT(ADDRESS(2,COLUMN())),OFFSET($CL$2,0,0,ROW()-1,84),ROW()-1,FALSE))</f>
        <v>9.86</v>
      </c>
      <c r="AE227">
        <f ca="1">IF(AND(ISNUMBER($AE$428),$B$252=1),$AE$428,HLOOKUP(INDIRECT(ADDRESS(2,COLUMN())),OFFSET($CL$2,0,0,ROW()-1,84),ROW()-1,FALSE))</f>
        <v>9.08</v>
      </c>
      <c r="AF227">
        <f ca="1">IF(AND(ISNUMBER($AF$428),$B$252=1),$AF$428,HLOOKUP(INDIRECT(ADDRESS(2,COLUMN())),OFFSET($CL$2,0,0,ROW()-1,84),ROW()-1,FALSE))</f>
        <v>8.7200000000000006</v>
      </c>
      <c r="AG227">
        <f ca="1">IF(AND(ISNUMBER($AG$428),$B$252=1),$AG$428,HLOOKUP(INDIRECT(ADDRESS(2,COLUMN())),OFFSET($CL$2,0,0,ROW()-1,84),ROW()-1,FALSE))</f>
        <v>9.76</v>
      </c>
      <c r="AH227">
        <f ca="1">IF(AND(ISNUMBER($AH$428),$B$252=1),$AH$428,HLOOKUP(INDIRECT(ADDRESS(2,COLUMN())),OFFSET($CL$2,0,0,ROW()-1,84),ROW()-1,FALSE))</f>
        <v>9.98</v>
      </c>
      <c r="AI227">
        <f ca="1">IF(AND(ISNUMBER($AI$428),$B$252=1),$AI$428,HLOOKUP(INDIRECT(ADDRESS(2,COLUMN())),OFFSET($CL$2,0,0,ROW()-1,84),ROW()-1,FALSE))</f>
        <v>9.86</v>
      </c>
      <c r="AJ227">
        <f ca="1">IF(AND(ISNUMBER($AJ$428),$B$252=1),$AJ$428,HLOOKUP(INDIRECT(ADDRESS(2,COLUMN())),OFFSET($CL$2,0,0,ROW()-1,84),ROW()-1,FALSE))</f>
        <v>9.31</v>
      </c>
      <c r="AK227">
        <f ca="1">IF(AND(ISNUMBER($AK$428),$B$252=1),$AK$428,HLOOKUP(INDIRECT(ADDRESS(2,COLUMN())),OFFSET($CL$2,0,0,ROW()-1,84),ROW()-1,FALSE))</f>
        <v>9.26</v>
      </c>
      <c r="AL227">
        <f ca="1">IF(AND(ISNUMBER($AL$428),$B$252=1),$AL$428,HLOOKUP(INDIRECT(ADDRESS(2,COLUMN())),OFFSET($CL$2,0,0,ROW()-1,84),ROW()-1,FALSE))</f>
        <v>9.34</v>
      </c>
      <c r="AM227">
        <f ca="1">IF(AND(ISNUMBER($AM$428),$B$252=1),$AM$428,HLOOKUP(INDIRECT(ADDRESS(2,COLUMN())),OFFSET($CL$2,0,0,ROW()-1,84),ROW()-1,FALSE))</f>
        <v>9.02</v>
      </c>
      <c r="AN227">
        <f ca="1">IF(AND(ISNUMBER($AN$428),$B$252=1),$AN$428,HLOOKUP(INDIRECT(ADDRESS(2,COLUMN())),OFFSET($CL$2,0,0,ROW()-1,84),ROW()-1,FALSE))</f>
        <v>9.57</v>
      </c>
      <c r="AO227">
        <f ca="1">IF(AND(ISNUMBER($AO$428),$B$252=1),$AO$428,HLOOKUP(INDIRECT(ADDRESS(2,COLUMN())),OFFSET($CL$2,0,0,ROW()-1,84),ROW()-1,FALSE))</f>
        <v>9.44</v>
      </c>
      <c r="AP227">
        <f ca="1">IF(AND(ISNUMBER($AP$428),$B$252=1),$AP$428,HLOOKUP(INDIRECT(ADDRESS(2,COLUMN())),OFFSET($CL$2,0,0,ROW()-1,84),ROW()-1,FALSE))</f>
        <v>9.32</v>
      </c>
      <c r="AQ227">
        <f ca="1">IF(AND(ISNUMBER($AQ$428),$B$252=1),$AQ$428,HLOOKUP(INDIRECT(ADDRESS(2,COLUMN())),OFFSET($CL$2,0,0,ROW()-1,84),ROW()-1,FALSE))</f>
        <v>9.2100000000000009</v>
      </c>
      <c r="AR227">
        <f ca="1">IF(AND(ISNUMBER($AR$428),$B$252=1),$AR$428,HLOOKUP(INDIRECT(ADDRESS(2,COLUMN())),OFFSET($CL$2,0,0,ROW()-1,84),ROW()-1,FALSE))</f>
        <v>9.15</v>
      </c>
      <c r="AS227">
        <f ca="1">IF(AND(ISNUMBER($AS$428),$B$252=1),$AS$428,HLOOKUP(INDIRECT(ADDRESS(2,COLUMN())),OFFSET($CL$2,0,0,ROW()-1,84),ROW()-1,FALSE))</f>
        <v>9.26</v>
      </c>
      <c r="AT227">
        <f ca="1">IF(AND(ISNUMBER($AT$428),$B$252=1),$AT$428,HLOOKUP(INDIRECT(ADDRESS(2,COLUMN())),OFFSET($CL$2,0,0,ROW()-1,84),ROW()-1,FALSE))</f>
        <v>9.5050000000000008</v>
      </c>
      <c r="AU227" t="str">
        <f ca="1">IF(AND(ISNUMBER($AU$428),$B$252=1),$AU$428,HLOOKUP(INDIRECT(ADDRESS(2,COLUMN())),OFFSET($CL$2,0,0,ROW()-1,84),ROW()-1,FALSE))</f>
        <v/>
      </c>
      <c r="AV227" t="str">
        <f ca="1">IF(AND(ISNUMBER($AV$428),$B$252=1),$AV$428,HLOOKUP(INDIRECT(ADDRESS(2,COLUMN())),OFFSET($CL$2,0,0,ROW()-1,84),ROW()-1,FALSE))</f>
        <v/>
      </c>
      <c r="AW227" t="str">
        <f ca="1">IF(AND(ISNUMBER($AW$428),$B$252=1),$AW$428,HLOOKUP(INDIRECT(ADDRESS(2,COLUMN())),OFFSET($CL$2,0,0,ROW()-1,84),ROW()-1,FALSE))</f>
        <v/>
      </c>
      <c r="AX227" t="str">
        <f ca="1">IF(AND(ISNUMBER($AX$428),$B$252=1),$AX$428,HLOOKUP(INDIRECT(ADDRESS(2,COLUMN())),OFFSET($CL$2,0,0,ROW()-1,84),ROW()-1,FALSE))</f>
        <v/>
      </c>
      <c r="AY227" t="str">
        <f ca="1">IF(AND(ISNUMBER($AY$428),$B$252=1),$AY$428,HLOOKUP(INDIRECT(ADDRESS(2,COLUMN())),OFFSET($CL$2,0,0,ROW()-1,84),ROW()-1,FALSE))</f>
        <v/>
      </c>
      <c r="AZ227" t="str">
        <f ca="1">IF(AND(ISNUMBER($AZ$428),$B$252=1),$AZ$428,HLOOKUP(INDIRECT(ADDRESS(2,COLUMN())),OFFSET($CL$2,0,0,ROW()-1,84),ROW()-1,FALSE))</f>
        <v/>
      </c>
      <c r="BA227" t="str">
        <f ca="1">IF(AND(ISNUMBER($BA$428),$B$252=1),$BA$428,HLOOKUP(INDIRECT(ADDRESS(2,COLUMN())),OFFSET($CL$2,0,0,ROW()-1,84),ROW()-1,FALSE))</f>
        <v/>
      </c>
      <c r="BB227" t="str">
        <f ca="1">IF(AND(ISNUMBER($BB$428),$B$252=1),$BB$428,HLOOKUP(INDIRECT(ADDRESS(2,COLUMN())),OFFSET($CL$2,0,0,ROW()-1,84),ROW()-1,FALSE))</f>
        <v/>
      </c>
      <c r="BC227" t="str">
        <f ca="1">IF(AND(ISNUMBER($BC$428),$B$252=1),$BC$428,HLOOKUP(INDIRECT(ADDRESS(2,COLUMN())),OFFSET($CL$2,0,0,ROW()-1,84),ROW()-1,FALSE))</f>
        <v/>
      </c>
      <c r="BD227" t="str">
        <f ca="1">IF(AND(ISNUMBER($BD$428),$B$252=1),$BD$428,HLOOKUP(INDIRECT(ADDRESS(2,COLUMN())),OFFSET($CL$2,0,0,ROW()-1,84),ROW()-1,FALSE))</f>
        <v/>
      </c>
      <c r="BE227" t="str">
        <f ca="1">IF(AND(ISNUMBER($BE$428),$B$252=1),$BE$428,HLOOKUP(INDIRECT(ADDRESS(2,COLUMN())),OFFSET($CL$2,0,0,ROW()-1,84),ROW()-1,FALSE))</f>
        <v/>
      </c>
      <c r="BF227" t="str">
        <f ca="1">IF(AND(ISNUMBER($BF$428),$B$252=1),$BF$428,HLOOKUP(INDIRECT(ADDRESS(2,COLUMN())),OFFSET($CL$2,0,0,ROW()-1,84),ROW()-1,FALSE))</f>
        <v/>
      </c>
      <c r="BG227" t="str">
        <f ca="1">IF(AND(ISNUMBER($BG$428),$B$252=1),$BG$428,HLOOKUP(INDIRECT(ADDRESS(2,COLUMN())),OFFSET($CL$2,0,0,ROW()-1,84),ROW()-1,FALSE))</f>
        <v/>
      </c>
      <c r="BH227" t="str">
        <f ca="1">IF(AND(ISNUMBER($BH$428),$B$252=1),$BH$428,HLOOKUP(INDIRECT(ADDRESS(2,COLUMN())),OFFSET($CL$2,0,0,ROW()-1,84),ROW()-1,FALSE))</f>
        <v/>
      </c>
      <c r="BI227" t="str">
        <f ca="1">IF(AND(ISNUMBER($BI$428),$B$252=1),$BI$428,HLOOKUP(INDIRECT(ADDRESS(2,COLUMN())),OFFSET($CL$2,0,0,ROW()-1,84),ROW()-1,FALSE))</f>
        <v/>
      </c>
      <c r="BJ227" t="str">
        <f ca="1">IF(AND(ISNUMBER($BJ$428),$B$252=1),$BJ$428,HLOOKUP(INDIRECT(ADDRESS(2,COLUMN())),OFFSET($CL$2,0,0,ROW()-1,84),ROW()-1,FALSE))</f>
        <v/>
      </c>
      <c r="BK227" t="str">
        <f ca="1">IF(AND(ISNUMBER($BK$428),$B$252=1),$BK$428,HLOOKUP(INDIRECT(ADDRESS(2,COLUMN())),OFFSET($CL$2,0,0,ROW()-1,84),ROW()-1,FALSE))</f>
        <v/>
      </c>
      <c r="BL227" t="str">
        <f ca="1">IF(AND(ISNUMBER($BL$428),$B$252=1),$BL$428,HLOOKUP(INDIRECT(ADDRESS(2,COLUMN())),OFFSET($CL$2,0,0,ROW()-1,84),ROW()-1,FALSE))</f>
        <v/>
      </c>
      <c r="BM227" t="str">
        <f ca="1">IF(AND(ISNUMBER($BM$428),$B$252=1),$BM$428,HLOOKUP(INDIRECT(ADDRESS(2,COLUMN())),OFFSET($CL$2,0,0,ROW()-1,84),ROW()-1,FALSE))</f>
        <v/>
      </c>
      <c r="BN227" t="str">
        <f ca="1">IF(AND(ISNUMBER($BN$428),$B$252=1),$BN$428,HLOOKUP(INDIRECT(ADDRESS(2,COLUMN())),OFFSET($CL$2,0,0,ROW()-1,84),ROW()-1,FALSE))</f>
        <v/>
      </c>
      <c r="BO227" t="str">
        <f ca="1">IF(AND(ISNUMBER($BO$428),$B$252=1),$BO$428,HLOOKUP(INDIRECT(ADDRESS(2,COLUMN())),OFFSET($CL$2,0,0,ROW()-1,84),ROW()-1,FALSE))</f>
        <v/>
      </c>
      <c r="BP227" t="str">
        <f ca="1">IF(AND(ISNUMBER($BP$428),$B$252=1),$BP$428,HLOOKUP(INDIRECT(ADDRESS(2,COLUMN())),OFFSET($CL$2,0,0,ROW()-1,84),ROW()-1,FALSE))</f>
        <v/>
      </c>
      <c r="BQ227" t="str">
        <f ca="1">IF(AND(ISNUMBER($BQ$428),$B$252=1),$BQ$428,HLOOKUP(INDIRECT(ADDRESS(2,COLUMN())),OFFSET($CL$2,0,0,ROW()-1,84),ROW()-1,FALSE))</f>
        <v/>
      </c>
      <c r="BR227" t="str">
        <f ca="1">IF(AND(ISNUMBER($BR$428),$B$252=1),$BR$428,HLOOKUP(INDIRECT(ADDRESS(2,COLUMN())),OFFSET($CL$2,0,0,ROW()-1,84),ROW()-1,FALSE))</f>
        <v/>
      </c>
      <c r="BS227" t="str">
        <f ca="1">IF(AND(ISNUMBER($BS$428),$B$252=1),$BS$428,HLOOKUP(INDIRECT(ADDRESS(2,COLUMN())),OFFSET($CL$2,0,0,ROW()-1,84),ROW()-1,FALSE))</f>
        <v/>
      </c>
      <c r="BT227" t="str">
        <f ca="1">IF(AND(ISNUMBER($BT$428),$B$252=1),$BT$428,HLOOKUP(INDIRECT(ADDRESS(2,COLUMN())),OFFSET($CL$2,0,0,ROW()-1,84),ROW()-1,FALSE))</f>
        <v/>
      </c>
      <c r="BU227" t="str">
        <f ca="1">IF(AND(ISNUMBER($BU$428),$B$252=1),$BU$428,HLOOKUP(INDIRECT(ADDRESS(2,COLUMN())),OFFSET($CL$2,0,0,ROW()-1,84),ROW()-1,FALSE))</f>
        <v/>
      </c>
      <c r="BV227" t="str">
        <f ca="1">IF(AND(ISNUMBER($BV$428),$B$252=1),$BV$428,HLOOKUP(INDIRECT(ADDRESS(2,COLUMN())),OFFSET($CL$2,0,0,ROW()-1,84),ROW()-1,FALSE))</f>
        <v/>
      </c>
      <c r="BW227" t="str">
        <f ca="1">IF(AND(ISNUMBER($BW$428),$B$252=1),$BW$428,HLOOKUP(INDIRECT(ADDRESS(2,COLUMN())),OFFSET($CL$2,0,0,ROW()-1,84),ROW()-1,FALSE))</f>
        <v/>
      </c>
      <c r="BX227" t="str">
        <f ca="1">IF(AND(ISNUMBER($BX$428),$B$252=1),$BX$428,HLOOKUP(INDIRECT(ADDRESS(2,COLUMN())),OFFSET($CL$2,0,0,ROW()-1,84),ROW()-1,FALSE))</f>
        <v/>
      </c>
      <c r="BY227" t="str">
        <f ca="1">IF(AND(ISNUMBER($BY$428),$B$252=1),$BY$428,HLOOKUP(INDIRECT(ADDRESS(2,COLUMN())),OFFSET($CL$2,0,0,ROW()-1,84),ROW()-1,FALSE))</f>
        <v/>
      </c>
      <c r="BZ227" t="str">
        <f ca="1">IF(AND(ISNUMBER($BZ$428),$B$252=1),$BZ$428,HLOOKUP(INDIRECT(ADDRESS(2,COLUMN())),OFFSET($CL$2,0,0,ROW()-1,84),ROW()-1,FALSE))</f>
        <v/>
      </c>
      <c r="CA227" t="str">
        <f ca="1">IF(AND(ISNUMBER($CA$428),$B$252=1),$CA$428,HLOOKUP(INDIRECT(ADDRESS(2,COLUMN())),OFFSET($CL$2,0,0,ROW()-1,84),ROW()-1,FALSE))</f>
        <v/>
      </c>
      <c r="CB227" t="str">
        <f ca="1">IF(AND(ISNUMBER($CB$428),$B$252=1),$CB$428,HLOOKUP(INDIRECT(ADDRESS(2,COLUMN())),OFFSET($CL$2,0,0,ROW()-1,84),ROW()-1,FALSE))</f>
        <v/>
      </c>
      <c r="CC227" t="str">
        <f ca="1">IF(AND(ISNUMBER($CC$428),$B$252=1),$CC$428,HLOOKUP(INDIRECT(ADDRESS(2,COLUMN())),OFFSET($CL$2,0,0,ROW()-1,84),ROW()-1,FALSE))</f>
        <v/>
      </c>
      <c r="CD227" t="str">
        <f ca="1">IF(AND(ISNUMBER($CD$428),$B$252=1),$CD$428,HLOOKUP(INDIRECT(ADDRESS(2,COLUMN())),OFFSET($CL$2,0,0,ROW()-1,84),ROW()-1,FALSE))</f>
        <v/>
      </c>
      <c r="CE227" t="str">
        <f ca="1">IF(AND(ISNUMBER($CE$428),$B$252=1),$CE$428,HLOOKUP(INDIRECT(ADDRESS(2,COLUMN())),OFFSET($CL$2,0,0,ROW()-1,84),ROW()-1,FALSE))</f>
        <v/>
      </c>
      <c r="CF227" t="str">
        <f ca="1">IF(AND(ISNUMBER($CF$428),$B$252=1),$CF$428,HLOOKUP(INDIRECT(ADDRESS(2,COLUMN())),OFFSET($CL$2,0,0,ROW()-1,84),ROW()-1,FALSE))</f>
        <v/>
      </c>
      <c r="CG227" t="str">
        <f ca="1">IF(AND(ISNUMBER($CG$428),$B$252=1),$CG$428,HLOOKUP(INDIRECT(ADDRESS(2,COLUMN())),OFFSET($CL$2,0,0,ROW()-1,84),ROW()-1,FALSE))</f>
        <v/>
      </c>
      <c r="CH227" t="str">
        <f ca="1">IF(AND(ISNUMBER($CH$428),$B$252=1),$CH$428,HLOOKUP(INDIRECT(ADDRESS(2,COLUMN())),OFFSET($CL$2,0,0,ROW()-1,84),ROW()-1,FALSE))</f>
        <v/>
      </c>
      <c r="CI227" t="str">
        <f ca="1">IF(AND(ISNUMBER($CI$428),$B$252=1),$CI$428,HLOOKUP(INDIRECT(ADDRESS(2,COLUMN())),OFFSET($CL$2,0,0,ROW()-1,84),ROW()-1,FALSE))</f>
        <v/>
      </c>
      <c r="CJ227" t="str">
        <f ca="1">IF(AND(ISNUMBER($CJ$428),$B$252=1),$CJ$428,HLOOKUP(INDIRECT(ADDRESS(2,COLUMN())),OFFSET($CL$2,0,0,ROW()-1,84),ROW()-1,FALSE))</f>
        <v/>
      </c>
      <c r="CK227" t="str">
        <f ca="1">IF(AND(ISNUMBER($CK$428),$B$252=1),$CK$428,HLOOKUP(INDIRECT(ADDRESS(2,COLUMN())),OFFSET($CL$2,0,0,ROW()-1,84),ROW()-1,FALSE))</f>
        <v/>
      </c>
      <c r="CL227" t="str">
        <f>""</f>
        <v/>
      </c>
      <c r="CM227" t="str">
        <f>""</f>
        <v/>
      </c>
      <c r="CN227" t="str">
        <f>""</f>
        <v/>
      </c>
      <c r="CO227" t="str">
        <f>""</f>
        <v/>
      </c>
      <c r="CP227" t="str">
        <f>""</f>
        <v/>
      </c>
      <c r="CQ227" t="str">
        <f>""</f>
        <v/>
      </c>
      <c r="CR227">
        <f>11.99</f>
        <v>11.99</v>
      </c>
      <c r="CS227">
        <f>12</f>
        <v>12</v>
      </c>
      <c r="CT227">
        <f>11.96</f>
        <v>11.96</v>
      </c>
      <c r="CU227">
        <f>9.71</f>
        <v>9.7100000000000009</v>
      </c>
      <c r="CV227">
        <f>9.63</f>
        <v>9.6300000000000008</v>
      </c>
      <c r="CW227">
        <f>10.18</f>
        <v>10.18</v>
      </c>
      <c r="CX227">
        <f>9.97</f>
        <v>9.9700000000000006</v>
      </c>
      <c r="CY227">
        <f>10.29</f>
        <v>10.29</v>
      </c>
      <c r="CZ227">
        <f>10.17</f>
        <v>10.17</v>
      </c>
      <c r="DA227">
        <f>10.82</f>
        <v>10.82</v>
      </c>
      <c r="DB227">
        <f>10.53</f>
        <v>10.53</v>
      </c>
      <c r="DC227">
        <f>10.54</f>
        <v>10.54</v>
      </c>
      <c r="DD227">
        <f>10.64</f>
        <v>10.64</v>
      </c>
      <c r="DE227">
        <f>10.52</f>
        <v>10.52</v>
      </c>
      <c r="DF227">
        <f>10.71</f>
        <v>10.71</v>
      </c>
      <c r="DG227">
        <f>10.21</f>
        <v>10.210000000000001</v>
      </c>
      <c r="DH227">
        <f>10.14</f>
        <v>10.14</v>
      </c>
      <c r="DI227">
        <f>10.13</f>
        <v>10.130000000000001</v>
      </c>
      <c r="DJ227">
        <f>9.86</f>
        <v>9.86</v>
      </c>
      <c r="DK227">
        <f>9.08</f>
        <v>9.08</v>
      </c>
      <c r="DL227">
        <f>8.72</f>
        <v>8.7200000000000006</v>
      </c>
      <c r="DM227">
        <f>9.76</f>
        <v>9.76</v>
      </c>
      <c r="DN227">
        <f>9.98</f>
        <v>9.98</v>
      </c>
      <c r="DO227">
        <f>9.86</f>
        <v>9.86</v>
      </c>
      <c r="DP227">
        <f>9.31</f>
        <v>9.31</v>
      </c>
      <c r="DQ227">
        <f>9.26</f>
        <v>9.26</v>
      </c>
      <c r="DR227">
        <f>9.34</f>
        <v>9.34</v>
      </c>
      <c r="DS227">
        <f>9.02</f>
        <v>9.02</v>
      </c>
      <c r="DT227">
        <f>9.57</f>
        <v>9.57</v>
      </c>
      <c r="DU227">
        <f>9.44</f>
        <v>9.44</v>
      </c>
      <c r="DV227">
        <f>9.32</f>
        <v>9.32</v>
      </c>
      <c r="DW227">
        <f>9.21</f>
        <v>9.2100000000000009</v>
      </c>
      <c r="DX227">
        <f>9.15</f>
        <v>9.15</v>
      </c>
      <c r="DY227">
        <f>9.26</f>
        <v>9.26</v>
      </c>
      <c r="DZ227">
        <f>9.505</f>
        <v>9.5050000000000008</v>
      </c>
      <c r="EA227" t="str">
        <f>""</f>
        <v/>
      </c>
      <c r="EB227" t="str">
        <f>""</f>
        <v/>
      </c>
      <c r="EC227" t="str">
        <f>""</f>
        <v/>
      </c>
      <c r="ED227" t="str">
        <f>""</f>
        <v/>
      </c>
      <c r="EE227" t="str">
        <f>""</f>
        <v/>
      </c>
      <c r="EF227" t="str">
        <f>""</f>
        <v/>
      </c>
      <c r="EG227" t="str">
        <f>""</f>
        <v/>
      </c>
      <c r="EH227" t="str">
        <f>""</f>
        <v/>
      </c>
      <c r="EI227" t="str">
        <f>""</f>
        <v/>
      </c>
      <c r="EJ227" t="str">
        <f>""</f>
        <v/>
      </c>
      <c r="EK227" t="str">
        <f>""</f>
        <v/>
      </c>
      <c r="EL227" t="str">
        <f>""</f>
        <v/>
      </c>
      <c r="EM227" t="str">
        <f>""</f>
        <v/>
      </c>
      <c r="EN227" t="str">
        <f>""</f>
        <v/>
      </c>
      <c r="EO227" t="str">
        <f>""</f>
        <v/>
      </c>
      <c r="EP227" t="str">
        <f>""</f>
        <v/>
      </c>
      <c r="EQ227" t="str">
        <f>""</f>
        <v/>
      </c>
      <c r="ER227" t="str">
        <f>""</f>
        <v/>
      </c>
      <c r="ES227" t="str">
        <f>""</f>
        <v/>
      </c>
      <c r="ET227" t="str">
        <f>""</f>
        <v/>
      </c>
      <c r="EU227" t="str">
        <f>""</f>
        <v/>
      </c>
      <c r="EV227" t="str">
        <f>""</f>
        <v/>
      </c>
      <c r="EW227" t="str">
        <f>""</f>
        <v/>
      </c>
      <c r="EX227" t="str">
        <f>""</f>
        <v/>
      </c>
      <c r="EY227" t="str">
        <f>""</f>
        <v/>
      </c>
      <c r="EZ227" t="str">
        <f>""</f>
        <v/>
      </c>
      <c r="FA227" t="str">
        <f>""</f>
        <v/>
      </c>
      <c r="FB227" t="str">
        <f>""</f>
        <v/>
      </c>
      <c r="FC227" t="str">
        <f>""</f>
        <v/>
      </c>
      <c r="FD227" t="str">
        <f>""</f>
        <v/>
      </c>
      <c r="FE227" t="str">
        <f>""</f>
        <v/>
      </c>
      <c r="FF227" t="str">
        <f>""</f>
        <v/>
      </c>
      <c r="FG227" t="str">
        <f>""</f>
        <v/>
      </c>
      <c r="FH227" t="str">
        <f>""</f>
        <v/>
      </c>
      <c r="FI227" t="str">
        <f>""</f>
        <v/>
      </c>
      <c r="FJ227" t="str">
        <f>""</f>
        <v/>
      </c>
      <c r="FK227" t="str">
        <f>""</f>
        <v/>
      </c>
      <c r="FL227" t="str">
        <f>""</f>
        <v/>
      </c>
      <c r="FM227" t="str">
        <f>""</f>
        <v/>
      </c>
      <c r="FN227" t="str">
        <f>""</f>
        <v/>
      </c>
      <c r="FO227" t="str">
        <f>""</f>
        <v/>
      </c>
      <c r="FP227" t="str">
        <f>""</f>
        <v/>
      </c>
      <c r="FQ227" t="str">
        <f>""</f>
        <v/>
      </c>
    </row>
    <row r="228" spans="1:173">
      <c r="A228" t="str">
        <f>"    UDR Inc"</f>
        <v xml:space="preserve">    UDR Inc</v>
      </c>
      <c r="B228" t="str">
        <f>"UDR US Equity"</f>
        <v>UDR US Equity</v>
      </c>
      <c r="C228" t="str">
        <f t="shared" si="72"/>
        <v>PR005</v>
      </c>
      <c r="D228" t="str">
        <f t="shared" si="73"/>
        <v>PX_LAST</v>
      </c>
      <c r="E228" t="str">
        <f t="shared" si="74"/>
        <v>动态</v>
      </c>
      <c r="F228">
        <f ca="1">IF(AND(ISNUMBER($F$429),$B$252=1),$F$429,HLOOKUP(INDIRECT(ADDRESS(2,COLUMN())),OFFSET($CL$2,0,0,ROW()-1,84),ROW()-1,FALSE))</f>
        <v>35.32</v>
      </c>
      <c r="G228">
        <f ca="1">IF(AND(ISNUMBER($G$429),$B$252=1),$G$429,HLOOKUP(INDIRECT(ADDRESS(2,COLUMN())),OFFSET($CL$2,0,0,ROW()-1,84),ROW()-1,FALSE))</f>
        <v>33.619999999999997</v>
      </c>
      <c r="H228">
        <f ca="1">IF(AND(ISNUMBER($H$429),$B$252=1),$H$429,HLOOKUP(INDIRECT(ADDRESS(2,COLUMN())),OFFSET($CL$2,0,0,ROW()-1,84),ROW()-1,FALSE))</f>
        <v>36.53</v>
      </c>
      <c r="I228">
        <f ca="1">IF(AND(ISNUMBER($I$429),$B$252=1),$I$429,HLOOKUP(INDIRECT(ADDRESS(2,COLUMN())),OFFSET($CL$2,0,0,ROW()-1,84),ROW()-1,FALSE))</f>
        <v>38.520000000000003</v>
      </c>
      <c r="J228">
        <f ca="1">IF(AND(ISNUMBER($J$429),$B$252=1),$J$429,HLOOKUP(INDIRECT(ADDRESS(2,COLUMN())),OFFSET($CL$2,0,0,ROW()-1,84),ROW()-1,FALSE))</f>
        <v>39.33</v>
      </c>
      <c r="K228">
        <f ca="1">IF(AND(ISNUMBER($K$429),$B$252=1),$K$429,HLOOKUP(INDIRECT(ADDRESS(2,COLUMN())),OFFSET($CL$2,0,0,ROW()-1,84),ROW()-1,FALSE))</f>
        <v>38.79</v>
      </c>
      <c r="L228">
        <f ca="1">IF(AND(ISNUMBER($L$429),$B$252=1),$L$429,HLOOKUP(INDIRECT(ADDRESS(2,COLUMN())),OFFSET($CL$2,0,0,ROW()-1,84),ROW()-1,FALSE))</f>
        <v>38.03</v>
      </c>
      <c r="M228">
        <f ca="1">IF(AND(ISNUMBER($M$429),$B$252=1),$M$429,HLOOKUP(INDIRECT(ADDRESS(2,COLUMN())),OFFSET($CL$2,0,0,ROW()-1,84),ROW()-1,FALSE))</f>
        <v>38.82</v>
      </c>
      <c r="N228">
        <f ca="1">IF(AND(ISNUMBER($N$429),$B$252=1),$N$429,HLOOKUP(INDIRECT(ADDRESS(2,COLUMN())),OFFSET($CL$2,0,0,ROW()-1,84),ROW()-1,FALSE))</f>
        <v>39.090000000000003</v>
      </c>
      <c r="O228">
        <f ca="1">IF(AND(ISNUMBER($O$429),$B$252=1),$O$429,HLOOKUP(INDIRECT(ADDRESS(2,COLUMN())),OFFSET($CL$2,0,0,ROW()-1,84),ROW()-1,FALSE))</f>
        <v>38.97</v>
      </c>
      <c r="P228">
        <f ca="1">IF(AND(ISNUMBER($P$429),$B$252=1),$P$429,HLOOKUP(INDIRECT(ADDRESS(2,COLUMN())),OFFSET($CL$2,0,0,ROW()-1,84),ROW()-1,FALSE))</f>
        <v>38.61</v>
      </c>
      <c r="Q228">
        <f ca="1">IF(AND(ISNUMBER($Q$429),$B$252=1),$Q$429,HLOOKUP(INDIRECT(ADDRESS(2,COLUMN())),OFFSET($CL$2,0,0,ROW()-1,84),ROW()-1,FALSE))</f>
        <v>37.340000000000003</v>
      </c>
      <c r="R228">
        <f ca="1">IF(AND(ISNUMBER($R$429),$B$252=1),$R$429,HLOOKUP(INDIRECT(ADDRESS(2,COLUMN())),OFFSET($CL$2,0,0,ROW()-1,84),ROW()-1,FALSE))</f>
        <v>36.26</v>
      </c>
      <c r="S228">
        <f ca="1">IF(AND(ISNUMBER($S$429),$B$252=1),$S$429,HLOOKUP(INDIRECT(ADDRESS(2,COLUMN())),OFFSET($CL$2,0,0,ROW()-1,84),ROW()-1,FALSE))</f>
        <v>36.5</v>
      </c>
      <c r="T228">
        <f ca="1">IF(AND(ISNUMBER($T$429),$B$252=1),$T$429,HLOOKUP(INDIRECT(ADDRESS(2,COLUMN())),OFFSET($CL$2,0,0,ROW()-1,84),ROW()-1,FALSE))</f>
        <v>34.950000000000003</v>
      </c>
      <c r="U228">
        <f ca="1">IF(AND(ISNUMBER($U$429),$B$252=1),$U$429,HLOOKUP(INDIRECT(ADDRESS(2,COLUMN())),OFFSET($CL$2,0,0,ROW()-1,84),ROW()-1,FALSE))</f>
        <v>36.479999999999997</v>
      </c>
      <c r="V228">
        <f ca="1">IF(AND(ISNUMBER($V$429),$B$252=1),$V$429,HLOOKUP(INDIRECT(ADDRESS(2,COLUMN())),OFFSET($CL$2,0,0,ROW()-1,84),ROW()-1,FALSE))</f>
        <v>34.04</v>
      </c>
      <c r="W228">
        <f ca="1">IF(AND(ISNUMBER($W$429),$B$252=1),$W$429,HLOOKUP(INDIRECT(ADDRESS(2,COLUMN())),OFFSET($CL$2,0,0,ROW()-1,84),ROW()-1,FALSE))</f>
        <v>34.97</v>
      </c>
      <c r="X228">
        <f ca="1">IF(AND(ISNUMBER($X$429),$B$252=1),$X$429,HLOOKUP(INDIRECT(ADDRESS(2,COLUMN())),OFFSET($CL$2,0,0,ROW()-1,84),ROW()-1,FALSE))</f>
        <v>35.99</v>
      </c>
      <c r="Y228">
        <f ca="1">IF(AND(ISNUMBER($Y$429),$B$252=1),$Y$429,HLOOKUP(INDIRECT(ADDRESS(2,COLUMN())),OFFSET($CL$2,0,0,ROW()-1,84),ROW()-1,FALSE))</f>
        <v>36.18</v>
      </c>
      <c r="Z228">
        <f ca="1">IF(AND(ISNUMBER($Z$429),$B$252=1),$Z$429,HLOOKUP(INDIRECT(ADDRESS(2,COLUMN())),OFFSET($CL$2,0,0,ROW()-1,84),ROW()-1,FALSE))</f>
        <v>37.229999999999997</v>
      </c>
      <c r="AA228">
        <f ca="1">IF(AND(ISNUMBER($AA$429),$B$252=1),$AA$429,HLOOKUP(INDIRECT(ADDRESS(2,COLUMN())),OFFSET($CL$2,0,0,ROW()-1,84),ROW()-1,FALSE))</f>
        <v>36.92</v>
      </c>
      <c r="AB228">
        <f ca="1">IF(AND(ISNUMBER($AB$429),$B$252=1),$AB$429,HLOOKUP(INDIRECT(ADDRESS(2,COLUMN())),OFFSET($CL$2,0,0,ROW()-1,84),ROW()-1,FALSE))</f>
        <v>36.03</v>
      </c>
      <c r="AC228">
        <f ca="1">IF(AND(ISNUMBER($AC$429),$B$252=1),$AC$429,HLOOKUP(INDIRECT(ADDRESS(2,COLUMN())),OFFSET($CL$2,0,0,ROW()-1,84),ROW()-1,FALSE))</f>
        <v>34.92</v>
      </c>
      <c r="AD228">
        <f ca="1">IF(AND(ISNUMBER($AD$429),$B$252=1),$AD$429,HLOOKUP(INDIRECT(ADDRESS(2,COLUMN())),OFFSET($CL$2,0,0,ROW()-1,84),ROW()-1,FALSE))</f>
        <v>38.53</v>
      </c>
      <c r="AE228">
        <f ca="1">IF(AND(ISNUMBER($AE$429),$B$252=1),$AE$429,HLOOKUP(INDIRECT(ADDRESS(2,COLUMN())),OFFSET($CL$2,0,0,ROW()-1,84),ROW()-1,FALSE))</f>
        <v>34.33</v>
      </c>
      <c r="AF228">
        <f ca="1">IF(AND(ISNUMBER($AF$429),$B$252=1),$AF$429,HLOOKUP(INDIRECT(ADDRESS(2,COLUMN())),OFFSET($CL$2,0,0,ROW()-1,84),ROW()-1,FALSE))</f>
        <v>35.590000000000003</v>
      </c>
      <c r="AG228">
        <f ca="1">IF(AND(ISNUMBER($AG$429),$B$252=1),$AG$429,HLOOKUP(INDIRECT(ADDRESS(2,COLUMN())),OFFSET($CL$2,0,0,ROW()-1,84),ROW()-1,FALSE))</f>
        <v>37.57</v>
      </c>
      <c r="AH228">
        <f ca="1">IF(AND(ISNUMBER($AH$429),$B$252=1),$AH$429,HLOOKUP(INDIRECT(ADDRESS(2,COLUMN())),OFFSET($CL$2,0,0,ROW()-1,84),ROW()-1,FALSE))</f>
        <v>36.909999999999997</v>
      </c>
      <c r="AI228">
        <f ca="1">IF(AND(ISNUMBER($AI$429),$B$252=1),$AI$429,HLOOKUP(INDIRECT(ADDRESS(2,COLUMN())),OFFSET($CL$2,0,0,ROW()-1,84),ROW()-1,FALSE))</f>
        <v>34.46</v>
      </c>
      <c r="AJ228">
        <f ca="1">IF(AND(ISNUMBER($AJ$429),$B$252=1),$AJ$429,HLOOKUP(INDIRECT(ADDRESS(2,COLUMN())),OFFSET($CL$2,0,0,ROW()-1,84),ROW()-1,FALSE))</f>
        <v>34.479999999999997</v>
      </c>
      <c r="AK228">
        <f ca="1">IF(AND(ISNUMBER($AK$429),$B$252=1),$AK$429,HLOOKUP(INDIRECT(ADDRESS(2,COLUMN())),OFFSET($CL$2,0,0,ROW()-1,84),ROW()-1,FALSE))</f>
        <v>32.299999999999997</v>
      </c>
      <c r="AL228">
        <f ca="1">IF(AND(ISNUMBER($AL$429),$B$252=1),$AL$429,HLOOKUP(INDIRECT(ADDRESS(2,COLUMN())),OFFSET($CL$2,0,0,ROW()-1,84),ROW()-1,FALSE))</f>
        <v>33.81</v>
      </c>
      <c r="AM228">
        <f ca="1">IF(AND(ISNUMBER($AM$429),$B$252=1),$AM$429,HLOOKUP(INDIRECT(ADDRESS(2,COLUMN())),OFFSET($CL$2,0,0,ROW()-1,84),ROW()-1,FALSE))</f>
        <v>32.03</v>
      </c>
      <c r="AN228">
        <f ca="1">IF(AND(ISNUMBER($AN$429),$B$252=1),$AN$429,HLOOKUP(INDIRECT(ADDRESS(2,COLUMN())),OFFSET($CL$2,0,0,ROW()-1,84),ROW()-1,FALSE))</f>
        <v>32.56</v>
      </c>
      <c r="AO228">
        <f ca="1">IF(AND(ISNUMBER($AO$429),$B$252=1),$AO$429,HLOOKUP(INDIRECT(ADDRESS(2,COLUMN())),OFFSET($CL$2,0,0,ROW()-1,84),ROW()-1,FALSE))</f>
        <v>32.770000000000003</v>
      </c>
      <c r="AP228">
        <f ca="1">IF(AND(ISNUMBER($AP$429),$B$252=1),$AP$429,HLOOKUP(INDIRECT(ADDRESS(2,COLUMN())),OFFSET($CL$2,0,0,ROW()-1,84),ROW()-1,FALSE))</f>
        <v>34.03</v>
      </c>
      <c r="AQ228">
        <f ca="1">IF(AND(ISNUMBER($AQ$429),$B$252=1),$AQ$429,HLOOKUP(INDIRECT(ADDRESS(2,COLUMN())),OFFSET($CL$2,0,0,ROW()-1,84),ROW()-1,FALSE))</f>
        <v>31.94</v>
      </c>
      <c r="AR228">
        <f ca="1">IF(AND(ISNUMBER($AR$429),$B$252=1),$AR$429,HLOOKUP(INDIRECT(ADDRESS(2,COLUMN())),OFFSET($CL$2,0,0,ROW()-1,84),ROW()-1,FALSE))</f>
        <v>33.26</v>
      </c>
      <c r="AS228">
        <f ca="1">IF(AND(ISNUMBER($AS$429),$B$252=1),$AS$429,HLOOKUP(INDIRECT(ADDRESS(2,COLUMN())),OFFSET($CL$2,0,0,ROW()-1,84),ROW()-1,FALSE))</f>
        <v>30.82</v>
      </c>
      <c r="AT228">
        <f ca="1">IF(AND(ISNUMBER($AT$429),$B$252=1),$AT$429,HLOOKUP(INDIRECT(ADDRESS(2,COLUMN())),OFFSET($CL$2,0,0,ROW()-1,84),ROW()-1,FALSE))</f>
        <v>30.78</v>
      </c>
      <c r="AU228">
        <f ca="1">IF(AND(ISNUMBER($AU$429),$B$252=1),$AU$429,HLOOKUP(INDIRECT(ADDRESS(2,COLUMN())),OFFSET($CL$2,0,0,ROW()-1,84),ROW()-1,FALSE))</f>
        <v>30.23</v>
      </c>
      <c r="AV228">
        <f ca="1">IF(AND(ISNUMBER($AV$429),$B$252=1),$AV$429,HLOOKUP(INDIRECT(ADDRESS(2,COLUMN())),OFFSET($CL$2,0,0,ROW()-1,84),ROW()-1,FALSE))</f>
        <v>27.25</v>
      </c>
      <c r="AW228">
        <f ca="1">IF(AND(ISNUMBER($AW$429),$B$252=1),$AW$429,HLOOKUP(INDIRECT(ADDRESS(2,COLUMN())),OFFSET($CL$2,0,0,ROW()-1,84),ROW()-1,FALSE))</f>
        <v>29.92</v>
      </c>
      <c r="AX228">
        <f ca="1">IF(AND(ISNUMBER($AX$429),$B$252=1),$AX$429,HLOOKUP(INDIRECT(ADDRESS(2,COLUMN())),OFFSET($CL$2,0,0,ROW()-1,84),ROW()-1,FALSE))</f>
        <v>29.08</v>
      </c>
      <c r="AY228">
        <f ca="1">IF(AND(ISNUMBER($AY$429),$B$252=1),$AY$429,HLOOKUP(INDIRECT(ADDRESS(2,COLUMN())),OFFSET($CL$2,0,0,ROW()-1,84),ROW()-1,FALSE))</f>
        <v>28.63</v>
      </c>
      <c r="AZ228">
        <f ca="1">IF(AND(ISNUMBER($AZ$429),$B$252=1),$AZ$429,HLOOKUP(INDIRECT(ADDRESS(2,COLUMN())),OFFSET($CL$2,0,0,ROW()-1,84),ROW()-1,FALSE))</f>
        <v>27.52</v>
      </c>
      <c r="BA228">
        <f ca="1">IF(AND(ISNUMBER($BA$429),$B$252=1),$BA$429,HLOOKUP(INDIRECT(ADDRESS(2,COLUMN())),OFFSET($CL$2,0,0,ROW()-1,84),ROW()-1,FALSE))</f>
        <v>25.86</v>
      </c>
      <c r="BB228">
        <f ca="1">IF(AND(ISNUMBER($BB$429),$B$252=1),$BB$429,HLOOKUP(INDIRECT(ADDRESS(2,COLUMN())),OFFSET($CL$2,0,0,ROW()-1,84),ROW()-1,FALSE))</f>
        <v>25.83</v>
      </c>
      <c r="BC228">
        <f ca="1">IF(AND(ISNUMBER($BC$429),$B$252=1),$BC$429,HLOOKUP(INDIRECT(ADDRESS(2,COLUMN())),OFFSET($CL$2,0,0,ROW()-1,84),ROW()-1,FALSE))</f>
        <v>25.81</v>
      </c>
      <c r="BD228">
        <f ca="1">IF(AND(ISNUMBER($BD$429),$B$252=1),$BD$429,HLOOKUP(INDIRECT(ADDRESS(2,COLUMN())),OFFSET($CL$2,0,0,ROW()-1,84),ROW()-1,FALSE))</f>
        <v>24.34</v>
      </c>
      <c r="BE228">
        <f ca="1">IF(AND(ISNUMBER($BE$429),$B$252=1),$BE$429,HLOOKUP(INDIRECT(ADDRESS(2,COLUMN())),OFFSET($CL$2,0,0,ROW()-1,84),ROW()-1,FALSE))</f>
        <v>23.35</v>
      </c>
      <c r="BF228">
        <f ca="1">IF(AND(ISNUMBER($BF$429),$B$252=1),$BF$429,HLOOKUP(INDIRECT(ADDRESS(2,COLUMN())),OFFSET($CL$2,0,0,ROW()-1,84),ROW()-1,FALSE))</f>
        <v>23.27</v>
      </c>
      <c r="BG228">
        <f ca="1">IF(AND(ISNUMBER($BG$429),$B$252=1),$BG$429,HLOOKUP(INDIRECT(ADDRESS(2,COLUMN())),OFFSET($CL$2,0,0,ROW()-1,84),ROW()-1,FALSE))</f>
        <v>24.81</v>
      </c>
      <c r="BH228">
        <f ca="1">IF(AND(ISNUMBER($BH$429),$B$252=1),$BH$429,HLOOKUP(INDIRECT(ADDRESS(2,COLUMN())),OFFSET($CL$2,0,0,ROW()-1,84),ROW()-1,FALSE))</f>
        <v>23.7</v>
      </c>
      <c r="BI228">
        <f ca="1">IF(AND(ISNUMBER($BI$429),$B$252=1),$BI$429,HLOOKUP(INDIRECT(ADDRESS(2,COLUMN())),OFFSET($CL$2,0,0,ROW()-1,84),ROW()-1,FALSE))</f>
        <v>22.59</v>
      </c>
      <c r="BJ228">
        <f ca="1">IF(AND(ISNUMBER($BJ$429),$B$252=1),$BJ$429,HLOOKUP(INDIRECT(ADDRESS(2,COLUMN())),OFFSET($CL$2,0,0,ROW()-1,84),ROW()-1,FALSE))</f>
        <v>25.04</v>
      </c>
      <c r="BK228">
        <f ca="1">IF(AND(ISNUMBER($BK$429),$B$252=1),$BK$429,HLOOKUP(INDIRECT(ADDRESS(2,COLUMN())),OFFSET($CL$2,0,0,ROW()-1,84),ROW()-1,FALSE))</f>
        <v>25.49</v>
      </c>
      <c r="BL228">
        <f ca="1">IF(AND(ISNUMBER($BL$429),$B$252=1),$BL$429,HLOOKUP(INDIRECT(ADDRESS(2,COLUMN())),OFFSET($CL$2,0,0,ROW()-1,84),ROW()-1,FALSE))</f>
        <v>24.37</v>
      </c>
      <c r="BM228">
        <f ca="1">IF(AND(ISNUMBER($BM$429),$B$252=1),$BM$429,HLOOKUP(INDIRECT(ADDRESS(2,COLUMN())),OFFSET($CL$2,0,0,ROW()-1,84),ROW()-1,FALSE))</f>
        <v>24.58</v>
      </c>
      <c r="BN228">
        <f ca="1">IF(AND(ISNUMBER($BN$429),$B$252=1),$BN$429,HLOOKUP(INDIRECT(ADDRESS(2,COLUMN())),OFFSET($CL$2,0,0,ROW()-1,84),ROW()-1,FALSE))</f>
        <v>24.19</v>
      </c>
      <c r="BO228">
        <f ca="1">IF(AND(ISNUMBER($BO$429),$B$252=1),$BO$429,HLOOKUP(INDIRECT(ADDRESS(2,COLUMN())),OFFSET($CL$2,0,0,ROW()-1,84),ROW()-1,FALSE))</f>
        <v>23.86</v>
      </c>
      <c r="BP228">
        <f ca="1">IF(AND(ISNUMBER($BP$429),$B$252=1),$BP$429,HLOOKUP(INDIRECT(ADDRESS(2,COLUMN())),OFFSET($CL$2,0,0,ROW()-1,84),ROW()-1,FALSE))</f>
        <v>23.89</v>
      </c>
      <c r="BQ228">
        <f ca="1">IF(AND(ISNUMBER($BQ$429),$B$252=1),$BQ$429,HLOOKUP(INDIRECT(ADDRESS(2,COLUMN())),OFFSET($CL$2,0,0,ROW()-1,84),ROW()-1,FALSE))</f>
        <v>23.78</v>
      </c>
      <c r="BR228">
        <f ca="1">IF(AND(ISNUMBER($BR$429),$B$252=1),$BR$429,HLOOKUP(INDIRECT(ADDRESS(2,COLUMN())),OFFSET($CL$2,0,0,ROW()-1,84),ROW()-1,FALSE))</f>
        <v>23.01</v>
      </c>
      <c r="BS228">
        <f ca="1">IF(AND(ISNUMBER($BS$429),$B$252=1),$BS$429,HLOOKUP(INDIRECT(ADDRESS(2,COLUMN())),OFFSET($CL$2,0,0,ROW()-1,84),ROW()-1,FALSE))</f>
        <v>24.27</v>
      </c>
      <c r="BT228">
        <f ca="1">IF(AND(ISNUMBER($BT$429),$B$252=1),$BT$429,HLOOKUP(INDIRECT(ADDRESS(2,COLUMN())),OFFSET($CL$2,0,0,ROW()-1,84),ROW()-1,FALSE))</f>
        <v>24.82</v>
      </c>
      <c r="BU228">
        <f ca="1">IF(AND(ISNUMBER($BU$429),$B$252=1),$BU$429,HLOOKUP(INDIRECT(ADDRESS(2,COLUMN())),OFFSET($CL$2,0,0,ROW()-1,84),ROW()-1,FALSE))</f>
        <v>25.25</v>
      </c>
      <c r="BV228">
        <f ca="1">IF(AND(ISNUMBER($BV$429),$B$252=1),$BV$429,HLOOKUP(INDIRECT(ADDRESS(2,COLUMN())),OFFSET($CL$2,0,0,ROW()-1,84),ROW()-1,FALSE))</f>
        <v>26.61</v>
      </c>
      <c r="BW228">
        <f ca="1">IF(AND(ISNUMBER($BW$429),$B$252=1),$BW$429,HLOOKUP(INDIRECT(ADDRESS(2,COLUMN())),OFFSET($CL$2,0,0,ROW()-1,84),ROW()-1,FALSE))</f>
        <v>25.84</v>
      </c>
      <c r="BX228">
        <f ca="1">IF(AND(ISNUMBER($BX$429),$B$252=1),$BX$429,HLOOKUP(INDIRECT(ADDRESS(2,COLUMN())),OFFSET($CL$2,0,0,ROW()-1,84),ROW()-1,FALSE))</f>
        <v>25.9</v>
      </c>
      <c r="BY228">
        <f ca="1">IF(AND(ISNUMBER($BY$429),$B$252=1),$BY$429,HLOOKUP(INDIRECT(ADDRESS(2,COLUMN())),OFFSET($CL$2,0,0,ROW()-1,84),ROW()-1,FALSE))</f>
        <v>26.33</v>
      </c>
      <c r="BZ228">
        <f ca="1">IF(AND(ISNUMBER($BZ$429),$B$252=1),$BZ$429,HLOOKUP(INDIRECT(ADDRESS(2,COLUMN())),OFFSET($CL$2,0,0,ROW()-1,84),ROW()-1,FALSE))</f>
        <v>26.71</v>
      </c>
      <c r="CA228">
        <f ca="1">IF(AND(ISNUMBER($CA$429),$B$252=1),$CA$429,HLOOKUP(INDIRECT(ADDRESS(2,COLUMN())),OFFSET($CL$2,0,0,ROW()-1,84),ROW()-1,FALSE))</f>
        <v>25.02</v>
      </c>
      <c r="CB228">
        <f ca="1">IF(AND(ISNUMBER($CB$429),$B$252=1),$CB$429,HLOOKUP(INDIRECT(ADDRESS(2,COLUMN())),OFFSET($CL$2,0,0,ROW()-1,84),ROW()-1,FALSE))</f>
        <v>26.02</v>
      </c>
      <c r="CC228">
        <f ca="1">IF(AND(ISNUMBER($CC$429),$B$252=1),$CC$429,HLOOKUP(INDIRECT(ADDRESS(2,COLUMN())),OFFSET($CL$2,0,0,ROW()-1,84),ROW()-1,FALSE))</f>
        <v>25.1</v>
      </c>
      <c r="CD228">
        <f ca="1">IF(AND(ISNUMBER($CD$429),$B$252=1),$CD$429,HLOOKUP(INDIRECT(ADDRESS(2,COLUMN())),OFFSET($CL$2,0,0,ROW()-1,84),ROW()-1,FALSE))</f>
        <v>23.5</v>
      </c>
      <c r="CE228">
        <f ca="1">IF(AND(ISNUMBER($CE$429),$B$252=1),$CE$429,HLOOKUP(INDIRECT(ADDRESS(2,COLUMN())),OFFSET($CL$2,0,0,ROW()-1,84),ROW()-1,FALSE))</f>
        <v>24.93</v>
      </c>
      <c r="CF228">
        <f ca="1">IF(AND(ISNUMBER($CF$429),$B$252=1),$CF$429,HLOOKUP(INDIRECT(ADDRESS(2,COLUMN())),OFFSET($CL$2,0,0,ROW()-1,84),ROW()-1,FALSE))</f>
        <v>22.14</v>
      </c>
      <c r="CG228">
        <f ca="1">IF(AND(ISNUMBER($CG$429),$B$252=1),$CG$429,HLOOKUP(INDIRECT(ADDRESS(2,COLUMN())),OFFSET($CL$2,0,0,ROW()-1,84),ROW()-1,FALSE))</f>
        <v>26.71</v>
      </c>
      <c r="CH228">
        <f ca="1">IF(AND(ISNUMBER($CH$429),$B$252=1),$CH$429,HLOOKUP(INDIRECT(ADDRESS(2,COLUMN())),OFFSET($CL$2,0,0,ROW()-1,84),ROW()-1,FALSE))</f>
        <v>26.31</v>
      </c>
      <c r="CI228">
        <f ca="1">IF(AND(ISNUMBER($CI$429),$B$252=1),$CI$429,HLOOKUP(INDIRECT(ADDRESS(2,COLUMN())),OFFSET($CL$2,0,0,ROW()-1,84),ROW()-1,FALSE))</f>
        <v>24.55</v>
      </c>
      <c r="CJ228">
        <f ca="1">IF(AND(ISNUMBER($CJ$429),$B$252=1),$CJ$429,HLOOKUP(INDIRECT(ADDRESS(2,COLUMN())),OFFSET($CL$2,0,0,ROW()-1,84),ROW()-1,FALSE))</f>
        <v>26.06</v>
      </c>
      <c r="CK228">
        <f ca="1">IF(AND(ISNUMBER($CK$429),$B$252=1),$CK$429,HLOOKUP(INDIRECT(ADDRESS(2,COLUMN())),OFFSET($CL$2,0,0,ROW()-1,84),ROW()-1,FALSE))</f>
        <v>25.89</v>
      </c>
      <c r="CL228">
        <f>35.32</f>
        <v>35.32</v>
      </c>
      <c r="CM228">
        <f>33.62</f>
        <v>33.619999999999997</v>
      </c>
      <c r="CN228">
        <f>36.53</f>
        <v>36.53</v>
      </c>
      <c r="CO228">
        <f>38.52</f>
        <v>38.520000000000003</v>
      </c>
      <c r="CP228">
        <f>39.33</f>
        <v>39.33</v>
      </c>
      <c r="CQ228">
        <f>38.79</f>
        <v>38.79</v>
      </c>
      <c r="CR228">
        <f>38.03</f>
        <v>38.03</v>
      </c>
      <c r="CS228">
        <f>38.82</f>
        <v>38.82</v>
      </c>
      <c r="CT228">
        <f>39.09</f>
        <v>39.090000000000003</v>
      </c>
      <c r="CU228">
        <f>38.97</f>
        <v>38.97</v>
      </c>
      <c r="CV228">
        <f>38.61</f>
        <v>38.61</v>
      </c>
      <c r="CW228">
        <f>37.34</f>
        <v>37.340000000000003</v>
      </c>
      <c r="CX228">
        <f>36.26</f>
        <v>36.26</v>
      </c>
      <c r="CY228">
        <f>36.5</f>
        <v>36.5</v>
      </c>
      <c r="CZ228">
        <f>34.95</f>
        <v>34.950000000000003</v>
      </c>
      <c r="DA228">
        <f>36.48</f>
        <v>36.479999999999997</v>
      </c>
      <c r="DB228">
        <f>34.04</f>
        <v>34.04</v>
      </c>
      <c r="DC228">
        <f>34.97</f>
        <v>34.97</v>
      </c>
      <c r="DD228">
        <f>35.99</f>
        <v>35.99</v>
      </c>
      <c r="DE228">
        <f>36.18</f>
        <v>36.18</v>
      </c>
      <c r="DF228">
        <f>37.23</f>
        <v>37.229999999999997</v>
      </c>
      <c r="DG228">
        <f>36.92</f>
        <v>36.92</v>
      </c>
      <c r="DH228">
        <f>36.03</f>
        <v>36.03</v>
      </c>
      <c r="DI228">
        <f>34.92</f>
        <v>34.92</v>
      </c>
      <c r="DJ228">
        <f>38.53</f>
        <v>38.53</v>
      </c>
      <c r="DK228">
        <f>34.33</f>
        <v>34.33</v>
      </c>
      <c r="DL228">
        <f>35.59</f>
        <v>35.590000000000003</v>
      </c>
      <c r="DM228">
        <f>37.57</f>
        <v>37.57</v>
      </c>
      <c r="DN228">
        <f>36.91</f>
        <v>36.909999999999997</v>
      </c>
      <c r="DO228">
        <f>34.46</f>
        <v>34.46</v>
      </c>
      <c r="DP228">
        <f>34.48</f>
        <v>34.479999999999997</v>
      </c>
      <c r="DQ228">
        <f>32.3</f>
        <v>32.299999999999997</v>
      </c>
      <c r="DR228">
        <f>33.81</f>
        <v>33.81</v>
      </c>
      <c r="DS228">
        <f>32.03</f>
        <v>32.03</v>
      </c>
      <c r="DT228">
        <f>32.56</f>
        <v>32.56</v>
      </c>
      <c r="DU228">
        <f>32.77</f>
        <v>32.770000000000003</v>
      </c>
      <c r="DV228">
        <f>34.03</f>
        <v>34.03</v>
      </c>
      <c r="DW228">
        <f>31.94</f>
        <v>31.94</v>
      </c>
      <c r="DX228">
        <f>33.26</f>
        <v>33.26</v>
      </c>
      <c r="DY228">
        <f>30.82</f>
        <v>30.82</v>
      </c>
      <c r="DZ228">
        <f>30.78</f>
        <v>30.78</v>
      </c>
      <c r="EA228">
        <f>30.23</f>
        <v>30.23</v>
      </c>
      <c r="EB228">
        <f>27.25</f>
        <v>27.25</v>
      </c>
      <c r="EC228">
        <f>29.92</f>
        <v>29.92</v>
      </c>
      <c r="ED228">
        <f>29.08</f>
        <v>29.08</v>
      </c>
      <c r="EE228">
        <f>28.63</f>
        <v>28.63</v>
      </c>
      <c r="EF228">
        <f>27.52</f>
        <v>27.52</v>
      </c>
      <c r="EG228">
        <f>25.86</f>
        <v>25.86</v>
      </c>
      <c r="EH228">
        <f>25.83</f>
        <v>25.83</v>
      </c>
      <c r="EI228">
        <f>25.81</f>
        <v>25.81</v>
      </c>
      <c r="EJ228">
        <f>24.34</f>
        <v>24.34</v>
      </c>
      <c r="EK228">
        <f>23.35</f>
        <v>23.35</v>
      </c>
      <c r="EL228">
        <f>23.27</f>
        <v>23.27</v>
      </c>
      <c r="EM228">
        <f>24.81</f>
        <v>24.81</v>
      </c>
      <c r="EN228">
        <f>23.7</f>
        <v>23.7</v>
      </c>
      <c r="EO228">
        <f>22.59</f>
        <v>22.59</v>
      </c>
      <c r="EP228">
        <f>25.04</f>
        <v>25.04</v>
      </c>
      <c r="EQ228">
        <f>25.49</f>
        <v>25.49</v>
      </c>
      <c r="ER228">
        <f>24.37</f>
        <v>24.37</v>
      </c>
      <c r="ES228">
        <f>24.58</f>
        <v>24.58</v>
      </c>
      <c r="ET228">
        <f>24.19</f>
        <v>24.19</v>
      </c>
      <c r="EU228">
        <f>23.86</f>
        <v>23.86</v>
      </c>
      <c r="EV228">
        <f>23.89</f>
        <v>23.89</v>
      </c>
      <c r="EW228">
        <f>23.78</f>
        <v>23.78</v>
      </c>
      <c r="EX228">
        <f>23.01</f>
        <v>23.01</v>
      </c>
      <c r="EY228">
        <f>24.27</f>
        <v>24.27</v>
      </c>
      <c r="EZ228">
        <f>24.82</f>
        <v>24.82</v>
      </c>
      <c r="FA228">
        <f>25.25</f>
        <v>25.25</v>
      </c>
      <c r="FB228">
        <f>26.61</f>
        <v>26.61</v>
      </c>
      <c r="FC228">
        <f>25.84</f>
        <v>25.84</v>
      </c>
      <c r="FD228">
        <f>25.9</f>
        <v>25.9</v>
      </c>
      <c r="FE228">
        <f>26.33</f>
        <v>26.33</v>
      </c>
      <c r="FF228">
        <f>26.71</f>
        <v>26.71</v>
      </c>
      <c r="FG228">
        <f>25.02</f>
        <v>25.02</v>
      </c>
      <c r="FH228">
        <f>26.02</f>
        <v>26.02</v>
      </c>
      <c r="FI228">
        <f>25.1</f>
        <v>25.1</v>
      </c>
      <c r="FJ228">
        <f>23.5</f>
        <v>23.5</v>
      </c>
      <c r="FK228">
        <f>24.93</f>
        <v>24.93</v>
      </c>
      <c r="FL228">
        <f>22.14</f>
        <v>22.14</v>
      </c>
      <c r="FM228">
        <f>26.71</f>
        <v>26.71</v>
      </c>
      <c r="FN228">
        <f>26.31</f>
        <v>26.31</v>
      </c>
      <c r="FO228">
        <f>24.55</f>
        <v>24.55</v>
      </c>
      <c r="FP228">
        <f>26.06</f>
        <v>26.06</v>
      </c>
      <c r="FQ228">
        <f>25.89</f>
        <v>25.89</v>
      </c>
    </row>
    <row r="229" spans="1:173">
      <c r="A229" t="str">
        <f>"市值"</f>
        <v>市值</v>
      </c>
      <c r="B229" t="str">
        <f>""</f>
        <v/>
      </c>
      <c r="E229" t="str">
        <f>"Sum"</f>
        <v>Sum</v>
      </c>
      <c r="F229">
        <f ca="1">IF(ISERROR(IF(SUM($F$230:$F$236) = 0, "", SUM($F$230:$F$236))), "", (IF(SUM($F$230:$F$236) = 0, "", SUM($F$230:$F$236))))</f>
        <v>96544.190371000004</v>
      </c>
      <c r="G229">
        <f ca="1">IF(ISERROR(IF(SUM($G$230:$G$236) = 0, "", SUM($G$230:$G$236))), "", (IF(SUM($G$230:$G$236) = 0, "", SUM($G$230:$G$236))))</f>
        <v>92111.848660000018</v>
      </c>
      <c r="H229">
        <f ca="1">IF(ISERROR(IF(SUM($H$230:$H$236) = 0, "", SUM($H$230:$H$236))), "", (IF(SUM($H$230:$H$236) = 0, "", SUM($H$230:$H$236))))</f>
        <v>99872.740246000001</v>
      </c>
      <c r="I229">
        <f ca="1">IF(ISERROR(IF(SUM($I$230:$I$236) = 0, "", SUM($I$230:$I$236))), "", (IF(SUM($I$230:$I$236) = 0, "", SUM($I$230:$I$236))))</f>
        <v>104359.53575999998</v>
      </c>
      <c r="J229">
        <f ca="1">IF(ISERROR(IF(SUM($J$230:$J$236) = 0, "", SUM($J$230:$J$236))), "", (IF(SUM($J$230:$J$236) = 0, "", SUM($J$230:$J$236))))</f>
        <v>106762.30558700001</v>
      </c>
      <c r="K229">
        <f ca="1">IF(ISERROR(IF(SUM($K$230:$K$236) = 0, "", SUM($K$230:$K$236))), "", (IF(SUM($K$230:$K$236) = 0, "", SUM($K$230:$K$236))))</f>
        <v>107769.52363300002</v>
      </c>
      <c r="L229">
        <f ca="1">IF(ISERROR(IF(SUM($L$230:$L$236) = 0, "", SUM($L$230:$L$236))), "", (IF(SUM($L$230:$L$236) = 0, "", SUM($L$230:$L$236))))</f>
        <v>106590.84377400001</v>
      </c>
      <c r="M229">
        <f ca="1">IF(ISERROR(IF(SUM($M$230:$M$236) = 0, "", SUM($M$230:$M$236))), "", (IF(SUM($M$230:$M$236) = 0, "", SUM($M$230:$M$236))))</f>
        <v>108977.87738999999</v>
      </c>
      <c r="N229">
        <f ca="1">IF(ISERROR(IF(SUM($N$230:$N$236) = 0, "", SUM($N$230:$N$236))), "", (IF(SUM($N$230:$N$236) = 0, "", SUM($N$230:$N$236))))</f>
        <v>109401.95186</v>
      </c>
      <c r="O229">
        <f ca="1">IF(ISERROR(IF(SUM($O$230:$O$236) = 0, "", SUM($O$230:$O$236))), "", (IF(SUM($O$230:$O$236) = 0, "", SUM($O$230:$O$236))))</f>
        <v>107485.60305599999</v>
      </c>
      <c r="P229">
        <f ca="1">IF(ISERROR(IF(SUM($P$230:$P$236) = 0, "", SUM($P$230:$P$236))), "", (IF(SUM($P$230:$P$236) = 0, "", SUM($P$230:$P$236))))</f>
        <v>106351.80610000002</v>
      </c>
      <c r="Q229">
        <f ca="1">IF(ISERROR(IF(SUM($Q$230:$Q$236) = 0, "", SUM($Q$230:$Q$236))), "", (IF(SUM($Q$230:$Q$236) = 0, "", SUM($Q$230:$Q$236))))</f>
        <v>104405.20808099999</v>
      </c>
      <c r="R229">
        <f ca="1">IF(ISERROR(IF(SUM($R$230:$R$236) = 0, "", SUM($R$230:$R$236))), "", (IF(SUM($R$230:$R$236) = 0, "", SUM($R$230:$R$236))))</f>
        <v>101654.144825</v>
      </c>
      <c r="S229">
        <f ca="1">IF(ISERROR(IF(SUM($S$230:$S$236) = 0, "", SUM($S$230:$S$236))), "", (IF(SUM($S$230:$S$236) = 0, "", SUM($S$230:$S$236))))</f>
        <v>103014.93745499999</v>
      </c>
      <c r="T229">
        <f ca="1">IF(ISERROR(IF(SUM($T$230:$T$236) = 0, "", SUM($T$230:$T$236))), "", (IF(SUM($T$230:$T$236) = 0, "", SUM($T$230:$T$236))))</f>
        <v>98016.931347999984</v>
      </c>
      <c r="U229">
        <f ca="1">IF(ISERROR(IF(SUM($U$230:$U$236) = 0, "", SUM($U$230:$U$236))), "", (IF(SUM($U$230:$U$236) = 0, "", SUM($U$230:$U$236))))</f>
        <v>101530.560767</v>
      </c>
      <c r="V229">
        <f ca="1">IF(ISERROR(IF(SUM($V$230:$V$236) = 0, "", SUM($V$230:$V$236))), "", (IF(SUM($V$230:$V$236) = 0, "", SUM($V$230:$V$236))))</f>
        <v>91056.505481</v>
      </c>
      <c r="W229">
        <f ca="1">IF(ISERROR(IF(SUM($W$230:$W$236) = 0, "", SUM($W$230:$W$236))), "", (IF(SUM($W$230:$W$236) = 0, "", SUM($W$230:$W$236))))</f>
        <v>93426.547002000007</v>
      </c>
      <c r="X229">
        <f ca="1">IF(ISERROR(IF(SUM($X$230:$X$236) = 0, "", SUM($X$230:$X$236))), "", (IF(SUM($X$230:$X$236) = 0, "", SUM($X$230:$X$236))))</f>
        <v>96774.007744999995</v>
      </c>
      <c r="Y229">
        <f ca="1">IF(ISERROR(IF(SUM($Y$230:$Y$236) = 0, "", SUM($Y$230:$Y$236))), "", (IF(SUM($Y$230:$Y$236) = 0, "", SUM($Y$230:$Y$236))))</f>
        <v>97714.583750000005</v>
      </c>
      <c r="Z229">
        <f ca="1">IF(ISERROR(IF(SUM($Z$230:$Z$236) = 0, "", SUM($Z$230:$Z$236))), "", (IF(SUM($Z$230:$Z$236) = 0, "", SUM($Z$230:$Z$236))))</f>
        <v>102337.17641299998</v>
      </c>
      <c r="AA229">
        <f ca="1">IF(ISERROR(IF(SUM($AA$230:$AA$236) = 0, "", SUM($AA$230:$AA$236))), "", (IF(SUM($AA$230:$AA$236) = 0, "", SUM($AA$230:$AA$236))))</f>
        <v>101049.33093899999</v>
      </c>
      <c r="AB229">
        <f ca="1">IF(ISERROR(IF(SUM($AB$230:$AB$236) = 0, "", SUM($AB$230:$AB$236))), "", (IF(SUM($AB$230:$AB$236) = 0, "", SUM($AB$230:$AB$236))))</f>
        <v>99642.905201000001</v>
      </c>
      <c r="AC229">
        <f ca="1">IF(ISERROR(IF(SUM($AC$230:$AC$236) = 0, "", SUM($AC$230:$AC$236))), "", (IF(SUM($AC$230:$AC$236) = 0, "", SUM($AC$230:$AC$236))))</f>
        <v>96591.585787999997</v>
      </c>
      <c r="AD229">
        <f ca="1">IF(ISERROR(IF(SUM($AD$230:$AD$236) = 0, "", SUM($AD$230:$AD$236))), "", (IF(SUM($AD$230:$AD$236) = 0, "", SUM($AD$230:$AD$236))))</f>
        <v>104073.57966100001</v>
      </c>
      <c r="AE229">
        <f ca="1">IF(ISERROR(IF(SUM($AE$230:$AE$236) = 0, "", SUM($AE$230:$AE$236))), "", (IF(SUM($AE$230:$AE$236) = 0, "", SUM($AE$230:$AE$236))))</f>
        <v>95207.751810999995</v>
      </c>
      <c r="AF229">
        <f ca="1">IF(ISERROR(IF(SUM($AF$230:$AF$236) = 0, "", SUM($AF$230:$AF$236))), "", (IF(SUM($AF$230:$AF$236) = 0, "", SUM($AF$230:$AF$236))))</f>
        <v>97664.673595</v>
      </c>
      <c r="AG229">
        <f ca="1">IF(ISERROR(IF(SUM($AG$230:$AG$236) = 0, "", SUM($AG$230:$AG$236))), "", (IF(SUM($AG$230:$AG$236) = 0, "", SUM($AG$230:$AG$236))))</f>
        <v>103419.76670299999</v>
      </c>
      <c r="AH229">
        <f ca="1">IF(ISERROR(IF(SUM($AH$230:$AH$236) = 0, "", SUM($AH$230:$AH$236))), "", (IF(SUM($AH$230:$AH$236) = 0, "", SUM($AH$230:$AH$236))))</f>
        <v>100886.26452700001</v>
      </c>
      <c r="AI229">
        <f ca="1">IF(ISERROR(IF(SUM($AI$230:$AI$236) = 0, "", SUM($AI$230:$AI$236))), "", (IF(SUM($AI$230:$AI$236) = 0, "", SUM($AI$230:$AI$236))))</f>
        <v>96520.920217000006</v>
      </c>
      <c r="AJ229">
        <f ca="1">IF(ISERROR(IF(SUM($AJ$230:$AJ$236) = 0, "", SUM($AJ$230:$AJ$236))), "", (IF(SUM($AJ$230:$AJ$236) = 0, "", SUM($AJ$230:$AJ$236))))</f>
        <v>95283.507451000012</v>
      </c>
      <c r="AK229">
        <f ca="1">IF(ISERROR(IF(SUM($AK$230:$AK$236) = 0, "", SUM($AK$230:$AK$236))), "", (IF(SUM($AK$230:$AK$236) = 0, "", SUM($AK$230:$AK$236))))</f>
        <v>90750.320261000001</v>
      </c>
      <c r="AL229">
        <f ca="1">IF(ISERROR(IF(SUM($AL$230:$AL$236) = 0, "", SUM($AL$230:$AL$236))), "", (IF(SUM($AL$230:$AL$236) = 0, "", SUM($AL$230:$AL$236))))</f>
        <v>95169.021770000007</v>
      </c>
      <c r="AM229">
        <f ca="1">IF(ISERROR(IF(SUM($AM$230:$AM$236) = 0, "", SUM($AM$230:$AM$236))), "", (IF(SUM($AM$230:$AM$236) = 0, "", SUM($AM$230:$AM$236))))</f>
        <v>89018.425117999999</v>
      </c>
      <c r="AN229">
        <f ca="1">IF(ISERROR(IF(SUM($AN$230:$AN$236) = 0, "", SUM($AN$230:$AN$236))), "", (IF(SUM($AN$230:$AN$236) = 0, "", SUM($AN$230:$AN$236))))</f>
        <v>92806.930877999999</v>
      </c>
      <c r="AO229">
        <f ca="1">IF(ISERROR(IF(SUM($AO$230:$AO$236) = 0, "", SUM($AO$230:$AO$236))), "", (IF(SUM($AO$230:$AO$236) = 0, "", SUM($AO$230:$AO$236))))</f>
        <v>92360.776113</v>
      </c>
      <c r="AP229">
        <f ca="1">IF(ISERROR(IF(SUM($AP$230:$AP$236) = 0, "", SUM($AP$230:$AP$236))), "", (IF(SUM($AP$230:$AP$236) = 0, "", SUM($AP$230:$AP$236))))</f>
        <v>96775.764094999991</v>
      </c>
      <c r="AQ229">
        <f ca="1">IF(ISERROR(IF(SUM($AQ$230:$AQ$236) = 0, "", SUM($AQ$230:$AQ$236))), "", (IF(SUM($AQ$230:$AQ$236) = 0, "", SUM($AQ$230:$AQ$236))))</f>
        <v>92957.273925000001</v>
      </c>
      <c r="AR229">
        <f ca="1">IF(ISERROR(IF(SUM($AR$230:$AR$236) = 0, "", SUM($AR$230:$AR$236))), "", (IF(SUM($AR$230:$AR$236) = 0, "", SUM($AR$230:$AR$236))))</f>
        <v>95370.498686000006</v>
      </c>
      <c r="AS229">
        <f ca="1">IF(ISERROR(IF(SUM($AS$230:$AS$236) = 0, "", SUM($AS$230:$AS$236))), "", (IF(SUM($AS$230:$AS$236) = 0, "", SUM($AS$230:$AS$236))))</f>
        <v>88557.59825000001</v>
      </c>
      <c r="AT229">
        <f ca="1">IF(ISERROR(IF(SUM($AT$230:$AT$236) = 0, "", SUM($AT$230:$AT$236))), "", (IF(SUM($AT$230:$AT$236) = 0, "", SUM($AT$230:$AT$236))))</f>
        <v>87729.503412000005</v>
      </c>
      <c r="AU229">
        <f ca="1">IF(ISERROR(IF(SUM($AU$230:$AU$236) = 0, "", SUM($AU$230:$AU$236))), "", (IF(SUM($AU$230:$AU$236) = 0, "", SUM($AU$230:$AU$236))))</f>
        <v>86477.985954000003</v>
      </c>
      <c r="AV229">
        <f ca="1">IF(ISERROR(IF(SUM($AV$230:$AV$236) = 0, "", SUM($AV$230:$AV$236))), "", (IF(SUM($AV$230:$AV$236) = 0, "", SUM($AV$230:$AV$236))))</f>
        <v>77277.343821000002</v>
      </c>
      <c r="AW229">
        <f ca="1">IF(ISERROR(IF(SUM($AW$230:$AW$236) = 0, "", SUM($AW$230:$AW$236))), "", (IF(SUM($AW$230:$AW$236) = 0, "", SUM($AW$230:$AW$236))))</f>
        <v>83240.623164999997</v>
      </c>
      <c r="AX229">
        <f ca="1">IF(ISERROR(IF(SUM($AX$230:$AX$236) = 0, "", SUM($AX$230:$AX$236))), "", (IF(SUM($AX$230:$AX$236) = 0, "", SUM($AX$230:$AX$236))))</f>
        <v>80397.639534999995</v>
      </c>
      <c r="AY229">
        <f ca="1">IF(ISERROR(IF(SUM($AY$230:$AY$236) = 0, "", SUM($AY$230:$AY$236))), "", (IF(SUM($AY$230:$AY$236) = 0, "", SUM($AY$230:$AY$236))))</f>
        <v>78437.144553999999</v>
      </c>
      <c r="AZ229">
        <f ca="1">IF(ISERROR(IF(SUM($AZ$230:$AZ$236) = 0, "", SUM($AZ$230:$AZ$236))), "", (IF(SUM($AZ$230:$AZ$236) = 0, "", SUM($AZ$230:$AZ$236))))</f>
        <v>77149.542392000003</v>
      </c>
      <c r="BA229">
        <f ca="1">IF(ISERROR(IF(SUM($BA$230:$BA$236) = 0, "", SUM($BA$230:$BA$236))), "", (IF(SUM($BA$230:$BA$236) = 0, "", SUM($BA$230:$BA$236))))</f>
        <v>75182.667935999983</v>
      </c>
      <c r="BB229">
        <f ca="1">IF(ISERROR(IF(SUM($BB$230:$BB$236) = 0, "", SUM($BB$230:$BB$236))), "", (IF(SUM($BB$230:$BB$236) = 0, "", SUM($BB$230:$BB$236))))</f>
        <v>68547.600649</v>
      </c>
      <c r="BC229">
        <f ca="1">IF(ISERROR(IF(SUM($BC$230:$BC$236) = 0, "", SUM($BC$230:$BC$236))), "", (IF(SUM($BC$230:$BC$236) = 0, "", SUM($BC$230:$BC$236))))</f>
        <v>67919.063610000012</v>
      </c>
      <c r="BD229">
        <f ca="1">IF(ISERROR(IF(SUM($BD$230:$BD$236) = 0, "", SUM($BD$230:$BD$236))), "", (IF(SUM($BD$230:$BD$236) = 0, "", SUM($BD$230:$BD$236))))</f>
        <v>64082.284419000003</v>
      </c>
      <c r="BE229">
        <f ca="1">IF(ISERROR(IF(SUM($BE$230:$BE$236) = 0, "", SUM($BE$230:$BE$236))), "", (IF(SUM($BE$230:$BE$236) = 0, "", SUM($BE$230:$BE$236))))</f>
        <v>60193.189796000006</v>
      </c>
      <c r="BF229">
        <f ca="1">IF(ISERROR(IF(SUM($BF$230:$BF$236) = 0, "", SUM($BF$230:$BF$236))), "", (IF(SUM($BF$230:$BF$236) = 0, "", SUM($BF$230:$BF$236))))</f>
        <v>60284.350237999992</v>
      </c>
      <c r="BG229">
        <f ca="1">IF(ISERROR(IF(SUM($BG$230:$BG$236) = 0, "", SUM($BG$230:$BG$236))), "", (IF(SUM($BG$230:$BG$236) = 0, "", SUM($BG$230:$BG$236))))</f>
        <v>63645.452389999999</v>
      </c>
      <c r="BH229">
        <f ca="1">IF(ISERROR(IF(SUM($BH$230:$BH$236) = 0, "", SUM($BH$230:$BH$236))), "", (IF(SUM($BH$230:$BH$236) = 0, "", SUM($BH$230:$BH$236))))</f>
        <v>60998.216377000004</v>
      </c>
      <c r="BI229">
        <f ca="1">IF(ISERROR(IF(SUM($BI$230:$BI$236) = 0, "", SUM($BI$230:$BI$236))), "", (IF(SUM($BI$230:$BI$236) = 0, "", SUM($BI$230:$BI$236))))</f>
        <v>59424.790181000004</v>
      </c>
      <c r="BJ229">
        <f ca="1">IF(ISERROR(IF(SUM($BJ$230:$BJ$236) = 0, "", SUM($BJ$230:$BJ$236))), "", (IF(SUM($BJ$230:$BJ$236) = 0, "", SUM($BJ$230:$BJ$236))))</f>
        <v>65061.973657999995</v>
      </c>
      <c r="BK229">
        <f ca="1">IF(ISERROR(IF(SUM($BK$230:$BK$236) = 0, "", SUM($BK$230:$BK$236))), "", (IF(SUM($BK$230:$BK$236) = 0, "", SUM($BK$230:$BK$236))))</f>
        <v>65758.636428999991</v>
      </c>
      <c r="BL229">
        <f ca="1">IF(ISERROR(IF(SUM($BL$230:$BL$236) = 0, "", SUM($BL$230:$BL$236))), "", (IF(SUM($BL$230:$BL$236) = 0, "", SUM($BL$230:$BL$236))))</f>
        <v>64597.937585</v>
      </c>
      <c r="BM229">
        <f ca="1">IF(ISERROR(IF(SUM($BM$230:$BM$236) = 0, "", SUM($BM$230:$BM$236))), "", (IF(SUM($BM$230:$BM$236) = 0, "", SUM($BM$230:$BM$236))))</f>
        <v>65604.731308000002</v>
      </c>
      <c r="BN229">
        <f ca="1">IF(ISERROR(IF(SUM($BN$230:$BN$236) = 0, "", SUM($BN$230:$BN$236))), "", (IF(SUM($BN$230:$BN$236) = 0, "", SUM($BN$230:$BN$236))))</f>
        <v>62915.073462</v>
      </c>
      <c r="BO229">
        <f ca="1">IF(ISERROR(IF(SUM($BO$230:$BO$236) = 0, "", SUM($BO$230:$BO$236))), "", (IF(SUM($BO$230:$BO$236) = 0, "", SUM($BO$230:$BO$236))))</f>
        <v>58665.718859000001</v>
      </c>
      <c r="BP229">
        <f ca="1">IF(ISERROR(IF(SUM($BP$230:$BP$236) = 0, "", SUM($BP$230:$BP$236))), "", (IF(SUM($BP$230:$BP$236) = 0, "", SUM($BP$230:$BP$236))))</f>
        <v>58752.627734999995</v>
      </c>
      <c r="BQ229">
        <f ca="1">IF(ISERROR(IF(SUM($BQ$230:$BQ$236) = 0, "", SUM($BQ$230:$BQ$236))), "", (IF(SUM($BQ$230:$BQ$236) = 0, "", SUM($BQ$230:$BQ$236))))</f>
        <v>59382.515289000003</v>
      </c>
      <c r="BR229">
        <f ca="1">IF(ISERROR(IF(SUM($BR$230:$BR$236) = 0, "", SUM($BR$230:$BR$236))), "", (IF(SUM($BR$230:$BR$236) = 0, "", SUM($BR$230:$BR$236))))</f>
        <v>57533.678245000003</v>
      </c>
      <c r="BS229">
        <f ca="1">IF(ISERROR(IF(SUM($BS$230:$BS$236) = 0, "", SUM($BS$230:$BS$236))), "", (IF(SUM($BS$230:$BS$236) = 0, "", SUM($BS$230:$BS$236))))</f>
        <v>55900.040301000001</v>
      </c>
      <c r="BT229">
        <f ca="1">IF(ISERROR(IF(SUM($BT$230:$BT$236) = 0, "", SUM($BT$230:$BT$236))), "", (IF(SUM($BT$230:$BT$236) = 0, "", SUM($BT$230:$BT$236))))</f>
        <v>55780.142453</v>
      </c>
      <c r="BU229">
        <f ca="1">IF(ISERROR(IF(SUM($BU$230:$BU$236) = 0, "", SUM($BU$230:$BU$236))), "", (IF(SUM($BU$230:$BU$236) = 0, "", SUM($BU$230:$BU$236))))</f>
        <v>58103.669736999997</v>
      </c>
      <c r="BV229">
        <f ca="1">IF(ISERROR(IF(SUM($BV$230:$BV$236) = 0, "", SUM($BV$230:$BV$236))), "", (IF(SUM($BV$230:$BV$236) = 0, "", SUM($BV$230:$BV$236))))</f>
        <v>59621.882222999993</v>
      </c>
      <c r="BW229">
        <f ca="1">IF(ISERROR(IF(SUM($BW$230:$BW$236) = 0, "", SUM($BW$230:$BW$236))), "", (IF(SUM($BW$230:$BW$236) = 0, "", SUM($BW$230:$BW$236))))</f>
        <v>58038.519572000005</v>
      </c>
      <c r="BX229">
        <f ca="1">IF(ISERROR(IF(SUM($BX$230:$BX$236) = 0, "", SUM($BX$230:$BX$236))), "", (IF(SUM($BX$230:$BX$236) = 0, "", SUM($BX$230:$BX$236))))</f>
        <v>57216.556391999999</v>
      </c>
      <c r="BY229">
        <f ca="1">IF(ISERROR(IF(SUM($BY$230:$BY$236) = 0, "", SUM($BY$230:$BY$236))), "", (IF(SUM($BY$230:$BY$236) = 0, "", SUM($BY$230:$BY$236))))</f>
        <v>57090.658857999995</v>
      </c>
      <c r="BZ229">
        <f ca="1">IF(ISERROR(IF(SUM($BZ$230:$BZ$236) = 0, "", SUM($BZ$230:$BZ$236))), "", (IF(SUM($BZ$230:$BZ$236) = 0, "", SUM($BZ$230:$BZ$236))))</f>
        <v>56510.061146999993</v>
      </c>
      <c r="CA229">
        <f ca="1">IF(ISERROR(IF(SUM($CA$230:$CA$236) = 0, "", SUM($CA$230:$CA$236))), "", (IF(SUM($CA$230:$CA$236) = 0, "", SUM($CA$230:$CA$236))))</f>
        <v>52073.099700000006</v>
      </c>
      <c r="CB229">
        <f ca="1">IF(ISERROR(IF(SUM($CB$230:$CB$236) = 0, "", SUM($CB$230:$CB$236))), "", (IF(SUM($CB$230:$CB$236) = 0, "", SUM($CB$230:$CB$236))))</f>
        <v>53492.454229000003</v>
      </c>
      <c r="CC229">
        <f ca="1">IF(ISERROR(IF(SUM($CC$230:$CC$236) = 0, "", SUM($CC$230:$CC$236))), "", (IF(SUM($CC$230:$CC$236) = 0, "", SUM($CC$230:$CC$236))))</f>
        <v>50947.164441999994</v>
      </c>
      <c r="CD229">
        <f ca="1">IF(ISERROR(IF(SUM($CD$230:$CD$236) = 0, "", SUM($CD$230:$CD$236))), "", (IF(SUM($CD$230:$CD$236) = 0, "", SUM($CD$230:$CD$236))))</f>
        <v>48500.725214000006</v>
      </c>
      <c r="CE229">
        <f ca="1">IF(ISERROR(IF(SUM($CE$230:$CE$236) = 0, "", SUM($CE$230:$CE$236))), "", (IF(SUM($CE$230:$CE$236) = 0, "", SUM($CE$230:$CE$236))))</f>
        <v>51654.691132000007</v>
      </c>
      <c r="CF229">
        <f ca="1">IF(ISERROR(IF(SUM($CF$230:$CF$236) = 0, "", SUM($CF$230:$CF$236))), "", (IF(SUM($CF$230:$CF$236) = 0, "", SUM($CF$230:$CF$236))))</f>
        <v>45431.513437000001</v>
      </c>
      <c r="CG229">
        <f ca="1">IF(ISERROR(IF(SUM($CG$230:$CG$236) = 0, "", SUM($CG$230:$CG$236))), "", (IF(SUM($CG$230:$CG$236) = 0, "", SUM($CG$230:$CG$236))))</f>
        <v>54167.367653000001</v>
      </c>
      <c r="CH229">
        <f ca="1">IF(ISERROR(IF(SUM($CH$230:$CH$236) = 0, "", SUM($CH$230:$CH$236))), "", (IF(SUM($CH$230:$CH$236) = 0, "", SUM($CH$230:$CH$236))))</f>
        <v>52665.165142999991</v>
      </c>
      <c r="CI229">
        <f ca="1">IF(ISERROR(IF(SUM($CI$230:$CI$236) = 0, "", SUM($CI$230:$CI$236))), "", (IF(SUM($CI$230:$CI$236) = 0, "", SUM($CI$230:$CI$236))))</f>
        <v>49751.171815999995</v>
      </c>
      <c r="CJ229">
        <f ca="1">IF(ISERROR(IF(SUM($CJ$230:$CJ$236) = 0, "", SUM($CJ$230:$CJ$236))), "", (IF(SUM($CJ$230:$CJ$236) = 0, "", SUM($CJ$230:$CJ$236))))</f>
        <v>51256.550364000002</v>
      </c>
      <c r="CK229">
        <f ca="1">IF(ISERROR(IF(SUM($CK$230:$CK$236) = 0, "", SUM($CK$230:$CK$236))), "", (IF(SUM($CK$230:$CK$236) = 0, "", SUM($CK$230:$CK$236))))</f>
        <v>49359.581522</v>
      </c>
      <c r="CL229">
        <f>96544.19036</f>
        <v>96544.190359999993</v>
      </c>
      <c r="CM229">
        <f>92111.84866</f>
        <v>92111.848660000003</v>
      </c>
      <c r="CN229">
        <f>99872.74023</f>
        <v>99872.740229999996</v>
      </c>
      <c r="CO229">
        <f>104359.5358</f>
        <v>104359.5358</v>
      </c>
      <c r="CP229">
        <f>106762.3056</f>
        <v>106762.30560000001</v>
      </c>
      <c r="CQ229">
        <f>107769.5236</f>
        <v>107769.5236</v>
      </c>
      <c r="CR229">
        <f>106590.8438</f>
        <v>106590.8438</v>
      </c>
      <c r="CS229">
        <f>108977.8774</f>
        <v>108977.8774</v>
      </c>
      <c r="CT229">
        <f>109401.9519</f>
        <v>109401.9519</v>
      </c>
      <c r="CU229">
        <f>107485.6031</f>
        <v>107485.60309999999</v>
      </c>
      <c r="CV229">
        <f>106351.8061</f>
        <v>106351.8061</v>
      </c>
      <c r="CW229">
        <f>104405.2081</f>
        <v>104405.2081</v>
      </c>
      <c r="CX229">
        <f>101654.1448</f>
        <v>101654.14479999999</v>
      </c>
      <c r="CY229">
        <f>103014.9375</f>
        <v>103014.9375</v>
      </c>
      <c r="CZ229">
        <f>98016.93133</f>
        <v>98016.931330000007</v>
      </c>
      <c r="DA229">
        <f>101530.5608</f>
        <v>101530.56080000001</v>
      </c>
      <c r="DB229">
        <f>91056.50548</f>
        <v>91056.505480000007</v>
      </c>
      <c r="DC229">
        <f>93426.54701</f>
        <v>93426.547009999995</v>
      </c>
      <c r="DD229">
        <f>96774.00775</f>
        <v>96774.007750000004</v>
      </c>
      <c r="DE229">
        <f>97714.58376</f>
        <v>97714.583759999994</v>
      </c>
      <c r="DF229">
        <f>102337.1764</f>
        <v>102337.1764</v>
      </c>
      <c r="DG229">
        <f>101049.3309</f>
        <v>101049.3309</v>
      </c>
      <c r="DH229">
        <f>99642.90521</f>
        <v>99642.905209999997</v>
      </c>
      <c r="DI229">
        <f>96591.58579</f>
        <v>96591.585789999997</v>
      </c>
      <c r="DJ229">
        <f>104073.5797</f>
        <v>104073.5797</v>
      </c>
      <c r="DK229">
        <f>95207.75181</f>
        <v>95207.751810000002</v>
      </c>
      <c r="DL229">
        <f>97664.6736</f>
        <v>97664.673599999995</v>
      </c>
      <c r="DM229">
        <f>103419.7667</f>
        <v>103419.76669999999</v>
      </c>
      <c r="DN229">
        <f>100886.2645</f>
        <v>100886.2645</v>
      </c>
      <c r="DO229">
        <f>96520.92022</f>
        <v>96520.92022</v>
      </c>
      <c r="DP229">
        <f>95283.50745</f>
        <v>95283.507450000005</v>
      </c>
      <c r="DQ229">
        <f>90750.32026</f>
        <v>90750.320259999993</v>
      </c>
      <c r="DR229">
        <f>95169.02177</f>
        <v>95169.021770000007</v>
      </c>
      <c r="DS229">
        <f>89018.42512</f>
        <v>89018.42512</v>
      </c>
      <c r="DT229">
        <f>92806.93087</f>
        <v>92806.930869999997</v>
      </c>
      <c r="DU229">
        <f>92360.77611</f>
        <v>92360.776110000006</v>
      </c>
      <c r="DV229">
        <f>96775.7641</f>
        <v>96775.7641</v>
      </c>
      <c r="DW229">
        <f>92957.27392</f>
        <v>92957.273920000007</v>
      </c>
      <c r="DX229">
        <f>95370.49869</f>
        <v>95370.498689999993</v>
      </c>
      <c r="DY229">
        <f>88557.59825</f>
        <v>88557.598249999995</v>
      </c>
      <c r="DZ229">
        <f>87729.50341</f>
        <v>87729.503410000005</v>
      </c>
      <c r="EA229">
        <f>86477.98595</f>
        <v>86477.985950000002</v>
      </c>
      <c r="EB229">
        <f>77277.34382</f>
        <v>77277.343819999995</v>
      </c>
      <c r="EC229">
        <f>83240.62317</f>
        <v>83240.623170000006</v>
      </c>
      <c r="ED229">
        <f>80397.63953</f>
        <v>80397.63953</v>
      </c>
      <c r="EE229">
        <f>78437.14455</f>
        <v>78437.144549999997</v>
      </c>
      <c r="EF229">
        <f>77149.54239</f>
        <v>77149.542390000002</v>
      </c>
      <c r="EG229">
        <f>75182.66793</f>
        <v>75182.667929999996</v>
      </c>
      <c r="EH229">
        <f>68547.60064</f>
        <v>68547.600640000004</v>
      </c>
      <c r="EI229">
        <f>67919.0636</f>
        <v>67919.063599999994</v>
      </c>
      <c r="EJ229">
        <f>64082.28441</f>
        <v>64082.28441</v>
      </c>
      <c r="EK229">
        <f>60193.18979</f>
        <v>60193.189789999997</v>
      </c>
      <c r="EL229">
        <f>60284.35024</f>
        <v>60284.35024</v>
      </c>
      <c r="EM229">
        <f>63645.45239</f>
        <v>63645.452389999999</v>
      </c>
      <c r="EN229">
        <f>60998.21638</f>
        <v>60998.216379999998</v>
      </c>
      <c r="EO229">
        <f>59424.79019</f>
        <v>59424.79019</v>
      </c>
      <c r="EP229">
        <f>65061.97366</f>
        <v>65061.973660000003</v>
      </c>
      <c r="EQ229">
        <f>65758.63642</f>
        <v>65758.636419999995</v>
      </c>
      <c r="ER229">
        <f>64597.93758</f>
        <v>64597.937579999998</v>
      </c>
      <c r="ES229">
        <f>65604.7313</f>
        <v>65604.731299999999</v>
      </c>
      <c r="ET229">
        <f>62915.07346</f>
        <v>62915.07346</v>
      </c>
      <c r="EU229">
        <f>58665.71886</f>
        <v>58665.718860000001</v>
      </c>
      <c r="EV229">
        <f>58752.62774</f>
        <v>58752.627740000004</v>
      </c>
      <c r="EW229">
        <f>59382.51529</f>
        <v>59382.515290000003</v>
      </c>
      <c r="EX229">
        <f>57533.67825</f>
        <v>57533.678249999997</v>
      </c>
      <c r="EY229">
        <f>55900.0403</f>
        <v>55900.040300000001</v>
      </c>
      <c r="EZ229">
        <f>55780.14246</f>
        <v>55780.142460000003</v>
      </c>
      <c r="FA229">
        <f>58103.66974</f>
        <v>58103.669739999998</v>
      </c>
      <c r="FB229">
        <f>59621.88222</f>
        <v>59621.88222</v>
      </c>
      <c r="FC229">
        <f>58038.51957</f>
        <v>58038.519569999997</v>
      </c>
      <c r="FD229">
        <f>57216.55639</f>
        <v>57216.556389999998</v>
      </c>
      <c r="FE229">
        <f>57090.65886</f>
        <v>57090.658860000003</v>
      </c>
      <c r="FF229">
        <f>56510.06115</f>
        <v>56510.061150000001</v>
      </c>
      <c r="FG229">
        <f>52073.0997</f>
        <v>52073.099699999999</v>
      </c>
      <c r="FH229">
        <f>53492.45422</f>
        <v>53492.45422</v>
      </c>
      <c r="FI229">
        <f>50947.16444</f>
        <v>50947.16444</v>
      </c>
      <c r="FJ229">
        <f>48500.72521</f>
        <v>48500.725209999997</v>
      </c>
      <c r="FK229">
        <f>51654.69114</f>
        <v>51654.691140000003</v>
      </c>
      <c r="FL229">
        <f>45431.51344</f>
        <v>45431.513440000002</v>
      </c>
      <c r="FM229">
        <f>54167.36765</f>
        <v>54167.36765</v>
      </c>
      <c r="FN229">
        <f>52665.16514</f>
        <v>52665.165139999997</v>
      </c>
      <c r="FO229">
        <f>49751.17181</f>
        <v>49751.17181</v>
      </c>
      <c r="FP229">
        <f>51256.55037</f>
        <v>51256.550369999997</v>
      </c>
      <c r="FQ229">
        <f>49359.58152</f>
        <v>49359.58152</v>
      </c>
    </row>
    <row r="230" spans="1:173">
      <c r="A230" t="str">
        <f>"    公寓投资与管理"</f>
        <v xml:space="preserve">    公寓投资与管理</v>
      </c>
      <c r="B230" t="str">
        <f>"AIV US Equity"</f>
        <v>AIV US Equity</v>
      </c>
      <c r="C230" t="str">
        <f t="shared" ref="C230:C236" si="75">"F0825"</f>
        <v>F0825</v>
      </c>
      <c r="D230" t="str">
        <f t="shared" ref="D230:D236" si="76">"INDUSTRY_STANDARDIZED_MARKET_CAP"</f>
        <v>INDUSTRY_STANDARDIZED_MARKET_CAP</v>
      </c>
      <c r="E230" t="str">
        <f t="shared" ref="E230:E236" si="77">"动态"</f>
        <v>动态</v>
      </c>
      <c r="F230">
        <f ca="1">IF(AND(ISNUMBER($F$430),$B$252=1),$F$430,HLOOKUP(INDIRECT(ADDRESS(2,COLUMN())),OFFSET($CL$2,0,0,ROW()-1,84),ROW()-1,FALSE))</f>
        <v>6594.9237169999997</v>
      </c>
      <c r="G230">
        <f ca="1">IF(AND(ISNUMBER($G$430),$B$252=1),$G$430,HLOOKUP(INDIRECT(ADDRESS(2,COLUMN())),OFFSET($CL$2,0,0,ROW()-1,84),ROW()-1,FALSE))</f>
        <v>6366.036349</v>
      </c>
      <c r="H230">
        <f ca="1">IF(AND(ISNUMBER($H$430),$B$252=1),$H$430,HLOOKUP(INDIRECT(ADDRESS(2,COLUMN())),OFFSET($CL$2,0,0,ROW()-1,84),ROW()-1,FALSE))</f>
        <v>6876.8355380000003</v>
      </c>
      <c r="I230">
        <f ca="1">IF(AND(ISNUMBER($I$430),$B$252=1),$I$430,HLOOKUP(INDIRECT(ADDRESS(2,COLUMN())),OFFSET($CL$2,0,0,ROW()-1,84),ROW()-1,FALSE))</f>
        <v>7184.1893250000003</v>
      </c>
      <c r="J230">
        <f ca="1">IF(AND(ISNUMBER($J$430),$B$252=1),$J$430,HLOOKUP(INDIRECT(ADDRESS(2,COLUMN())),OFFSET($CL$2,0,0,ROW()-1,84),ROW()-1,FALSE))</f>
        <v>7247.4398639999999</v>
      </c>
      <c r="K230">
        <f ca="1">IF(AND(ISNUMBER($K$430),$B$252=1),$K$430,HLOOKUP(INDIRECT(ADDRESS(2,COLUMN())),OFFSET($CL$2,0,0,ROW()-1,84),ROW()-1,FALSE))</f>
        <v>7229.3321260000002</v>
      </c>
      <c r="L230">
        <f ca="1">IF(AND(ISNUMBER($L$430),$B$252=1),$L$430,HLOOKUP(INDIRECT(ADDRESS(2,COLUMN())),OFFSET($CL$2,0,0,ROW()-1,84),ROW()-1,FALSE))</f>
        <v>7209.6067990000001</v>
      </c>
      <c r="M230">
        <f ca="1">IF(AND(ISNUMBER($M$430),$B$252=1),$M$430,HLOOKUP(INDIRECT(ADDRESS(2,COLUMN())),OFFSET($CL$2,0,0,ROW()-1,84),ROW()-1,FALSE))</f>
        <v>7451.9219979999998</v>
      </c>
      <c r="N230">
        <f ca="1">IF(AND(ISNUMBER($N$430),$B$252=1),$N$430,HLOOKUP(INDIRECT(ADDRESS(2,COLUMN())),OFFSET($CL$2,0,0,ROW()-1,84),ROW()-1,FALSE))</f>
        <v>7488.0668960000003</v>
      </c>
      <c r="O230">
        <f ca="1">IF(AND(ISNUMBER($O$430),$B$252=1),$O$430,HLOOKUP(INDIRECT(ADDRESS(2,COLUMN())),OFFSET($CL$2,0,0,ROW()-1,84),ROW()-1,FALSE))</f>
        <v>7063.9348970000001</v>
      </c>
      <c r="P230">
        <f ca="1">IF(AND(ISNUMBER($P$430),$B$252=1),$P$430,HLOOKUP(INDIRECT(ADDRESS(2,COLUMN())),OFFSET($CL$2,0,0,ROW()-1,84),ROW()-1,FALSE))</f>
        <v>7064.4280150000004</v>
      </c>
      <c r="Q230">
        <f ca="1">IF(AND(ISNUMBER($Q$430),$B$252=1),$Q$430,HLOOKUP(INDIRECT(ADDRESS(2,COLUMN())),OFFSET($CL$2,0,0,ROW()-1,84),ROW()-1,FALSE))</f>
        <v>7199.1832109999996</v>
      </c>
      <c r="R230">
        <f ca="1">IF(AND(ISNUMBER($R$430),$B$252=1),$R$430,HLOOKUP(INDIRECT(ADDRESS(2,COLUMN())),OFFSET($CL$2,0,0,ROW()-1,84),ROW()-1,FALSE))</f>
        <v>7299.5833419999999</v>
      </c>
      <c r="S230">
        <f ca="1">IF(AND(ISNUMBER($S$430),$B$252=1),$S$430,HLOOKUP(INDIRECT(ADDRESS(2,COLUMN())),OFFSET($CL$2,0,0,ROW()-1,84),ROW()-1,FALSE))</f>
        <v>7659.8793299999998</v>
      </c>
      <c r="T230">
        <f ca="1">IF(AND(ISNUMBER($T$430),$B$252=1),$T$430,HLOOKUP(INDIRECT(ADDRESS(2,COLUMN())),OFFSET($CL$2,0,0,ROW()-1,84),ROW()-1,FALSE))</f>
        <v>7249.2065320000002</v>
      </c>
      <c r="U230">
        <f ca="1">IF(AND(ISNUMBER($U$430),$B$252=1),$U$430,HLOOKUP(INDIRECT(ADDRESS(2,COLUMN())),OFFSET($CL$2,0,0,ROW()-1,84),ROW()-1,FALSE))</f>
        <v>7476.2068719999997</v>
      </c>
      <c r="V230">
        <f ca="1">IF(AND(ISNUMBER($V$430),$B$252=1),$V$430,HLOOKUP(INDIRECT(ADDRESS(2,COLUMN())),OFFSET($CL$2,0,0,ROW()-1,84),ROW()-1,FALSE))</f>
        <v>6926.544621</v>
      </c>
      <c r="W230">
        <f ca="1">IF(AND(ISNUMBER($W$430),$B$252=1),$W$430,HLOOKUP(INDIRECT(ADDRESS(2,COLUMN())),OFFSET($CL$2,0,0,ROW()-1,84),ROW()-1,FALSE))</f>
        <v>7250.6608420000002</v>
      </c>
      <c r="X230">
        <f ca="1">IF(AND(ISNUMBER($X$430),$B$252=1),$X$430,HLOOKUP(INDIRECT(ADDRESS(2,COLUMN())),OFFSET($CL$2,0,0,ROW()-1,84),ROW()-1,FALSE))</f>
        <v>7540.784028</v>
      </c>
      <c r="Y230">
        <f ca="1">IF(AND(ISNUMBER($Y$430),$B$252=1),$Y$430,HLOOKUP(INDIRECT(ADDRESS(2,COLUMN())),OFFSET($CL$2,0,0,ROW()-1,84),ROW()-1,FALSE))</f>
        <v>7780.4229100000002</v>
      </c>
      <c r="Z230">
        <f ca="1">IF(AND(ISNUMBER($Z$430),$B$252=1),$Z$430,HLOOKUP(INDIRECT(ADDRESS(2,COLUMN())),OFFSET($CL$2,0,0,ROW()-1,84),ROW()-1,FALSE))</f>
        <v>7916.4683750000004</v>
      </c>
      <c r="AA230">
        <f ca="1">IF(AND(ISNUMBER($AA$430),$B$252=1),$AA$430,HLOOKUP(INDIRECT(ADDRESS(2,COLUMN())),OFFSET($CL$2,0,0,ROW()-1,84),ROW()-1,FALSE))</f>
        <v>7604.4027100000003</v>
      </c>
      <c r="AB230">
        <f ca="1">IF(AND(ISNUMBER($AB$430),$B$252=1),$AB$430,HLOOKUP(INDIRECT(ADDRESS(2,COLUMN())),OFFSET($CL$2,0,0,ROW()-1,84),ROW()-1,FALSE))</f>
        <v>7013.8414759999996</v>
      </c>
      <c r="AC230">
        <f ca="1">IF(AND(ISNUMBER($AC$430),$B$252=1),$AC$430,HLOOKUP(INDIRECT(ADDRESS(2,COLUMN())),OFFSET($CL$2,0,0,ROW()-1,84),ROW()-1,FALSE))</f>
        <v>6587.9130020000002</v>
      </c>
      <c r="AD230">
        <f ca="1">IF(AND(ISNUMBER($AD$430),$B$252=1),$AD$430,HLOOKUP(INDIRECT(ADDRESS(2,COLUMN())),OFFSET($CL$2,0,0,ROW()-1,84),ROW()-1,FALSE))</f>
        <v>6877.1224030000003</v>
      </c>
      <c r="AE230">
        <f ca="1">IF(AND(ISNUMBER($AE$430),$B$252=1),$AE$430,HLOOKUP(INDIRECT(ADDRESS(2,COLUMN())),OFFSET($CL$2,0,0,ROW()-1,84),ROW()-1,FALSE))</f>
        <v>6020.6161739999998</v>
      </c>
      <c r="AF230">
        <f ca="1">IF(AND(ISNUMBER($AF$430),$B$252=1),$AF$430,HLOOKUP(INDIRECT(ADDRESS(2,COLUMN())),OFFSET($CL$2,0,0,ROW()-1,84),ROW()-1,FALSE))</f>
        <v>6431.4264709999998</v>
      </c>
      <c r="AG230">
        <f ca="1">IF(AND(ISNUMBER($AG$430),$B$252=1),$AG$430,HLOOKUP(INDIRECT(ADDRESS(2,COLUMN())),OFFSET($CL$2,0,0,ROW()-1,84),ROW()-1,FALSE))</f>
        <v>6575.9898240000002</v>
      </c>
      <c r="AH230">
        <f ca="1">IF(AND(ISNUMBER($AH$430),$B$252=1),$AH$430,HLOOKUP(INDIRECT(ADDRESS(2,COLUMN())),OFFSET($CL$2,0,0,ROW()-1,84),ROW()-1,FALSE))</f>
        <v>6250.3272809999999</v>
      </c>
      <c r="AI230">
        <f ca="1">IF(AND(ISNUMBER($AI$430),$B$252=1),$AI$430,HLOOKUP(INDIRECT(ADDRESS(2,COLUMN())),OFFSET($CL$2,0,0,ROW()-1,84),ROW()-1,FALSE))</f>
        <v>6421.8899110000002</v>
      </c>
      <c r="AJ230">
        <f ca="1">IF(AND(ISNUMBER($AJ$430),$B$252=1),$AJ$430,HLOOKUP(INDIRECT(ADDRESS(2,COLUMN())),OFFSET($CL$2,0,0,ROW()-1,84),ROW()-1,FALSE))</f>
        <v>6066.3017229999996</v>
      </c>
      <c r="AK230">
        <f ca="1">IF(AND(ISNUMBER($AK$430),$B$252=1),$AK$430,HLOOKUP(INDIRECT(ADDRESS(2,COLUMN())),OFFSET($CL$2,0,0,ROW()-1,84),ROW()-1,FALSE))</f>
        <v>5905.155753</v>
      </c>
      <c r="AL230">
        <f ca="1">IF(AND(ISNUMBER($AL$430),$B$252=1),$AL$430,HLOOKUP(INDIRECT(ADDRESS(2,COLUMN())),OFFSET($CL$2,0,0,ROW()-1,84),ROW()-1,FALSE))</f>
        <v>6405.037104</v>
      </c>
      <c r="AM230">
        <f ca="1">IF(AND(ISNUMBER($AM$430),$B$252=1),$AM$430,HLOOKUP(INDIRECT(ADDRESS(2,COLUMN())),OFFSET($CL$2,0,0,ROW()-1,84),ROW()-1,FALSE))</f>
        <v>6052.5456430000004</v>
      </c>
      <c r="AN230">
        <f ca="1">IF(AND(ISNUMBER($AN$430),$B$252=1),$AN$430,HLOOKUP(INDIRECT(ADDRESS(2,COLUMN())),OFFSET($CL$2,0,0,ROW()-1,84),ROW()-1,FALSE))</f>
        <v>6217.234555</v>
      </c>
      <c r="AO230">
        <f ca="1">IF(AND(ISNUMBER($AO$430),$B$252=1),$AO$430,HLOOKUP(INDIRECT(ADDRESS(2,COLUMN())),OFFSET($CL$2,0,0,ROW()-1,84),ROW()-1,FALSE))</f>
        <v>6184.4282739999999</v>
      </c>
      <c r="AP230">
        <f ca="1">IF(AND(ISNUMBER($AP$430),$B$252=1),$AP$430,HLOOKUP(INDIRECT(ADDRESS(2,COLUMN())),OFFSET($CL$2,0,0,ROW()-1,84),ROW()-1,FALSE))</f>
        <v>6451.6060660000003</v>
      </c>
      <c r="AQ230">
        <f ca="1">IF(AND(ISNUMBER($AQ$430),$B$252=1),$AQ$430,HLOOKUP(INDIRECT(ADDRESS(2,COLUMN())),OFFSET($CL$2,0,0,ROW()-1,84),ROW()-1,FALSE))</f>
        <v>6176.8731959999996</v>
      </c>
      <c r="AR230">
        <f ca="1">IF(AND(ISNUMBER($AR$430),$B$252=1),$AR$430,HLOOKUP(INDIRECT(ADDRESS(2,COLUMN())),OFFSET($CL$2,0,0,ROW()-1,84),ROW()-1,FALSE))</f>
        <v>6508.634806</v>
      </c>
      <c r="AS230">
        <f ca="1">IF(AND(ISNUMBER($AS$430),$B$252=1),$AS$430,HLOOKUP(INDIRECT(ADDRESS(2,COLUMN())),OFFSET($CL$2,0,0,ROW()-1,84),ROW()-1,FALSE))</f>
        <v>5715.8012230000004</v>
      </c>
      <c r="AT230">
        <f ca="1">IF(AND(ISNUMBER($AT$430),$B$252=1),$AT$430,HLOOKUP(INDIRECT(ADDRESS(2,COLUMN())),OFFSET($CL$2,0,0,ROW()-1,84),ROW()-1,FALSE))</f>
        <v>5731.4104600000001</v>
      </c>
      <c r="AU230">
        <f ca="1">IF(AND(ISNUMBER($AU$430),$B$252=1),$AU$430,HLOOKUP(INDIRECT(ADDRESS(2,COLUMN())),OFFSET($CL$2,0,0,ROW()-1,84),ROW()-1,FALSE))</f>
        <v>5506.7699419999999</v>
      </c>
      <c r="AV230">
        <f ca="1">IF(AND(ISNUMBER($AV$430),$B$252=1),$AV$430,HLOOKUP(INDIRECT(ADDRESS(2,COLUMN())),OFFSET($CL$2,0,0,ROW()-1,84),ROW()-1,FALSE))</f>
        <v>4895.3953700000002</v>
      </c>
      <c r="AW230">
        <f ca="1">IF(AND(ISNUMBER($AW$430),$B$252=1),$AW$430,HLOOKUP(INDIRECT(ADDRESS(2,COLUMN())),OFFSET($CL$2,0,0,ROW()-1,84),ROW()-1,FALSE))</f>
        <v>5272.7990550000004</v>
      </c>
      <c r="AX230">
        <f ca="1">IF(AND(ISNUMBER($AX$430),$B$252=1),$AX$430,HLOOKUP(INDIRECT(ADDRESS(2,COLUMN())),OFFSET($CL$2,0,0,ROW()-1,84),ROW()-1,FALSE))</f>
        <v>5255.9162159999996</v>
      </c>
      <c r="AY230">
        <f ca="1">IF(AND(ISNUMBER($AY$430),$B$252=1),$AY$430,HLOOKUP(INDIRECT(ADDRESS(2,COLUMN())),OFFSET($CL$2,0,0,ROW()-1,84),ROW()-1,FALSE))</f>
        <v>4962.212297</v>
      </c>
      <c r="AZ230">
        <f ca="1">IF(AND(ISNUMBER($AZ$430),$B$252=1),$AZ$430,HLOOKUP(INDIRECT(ADDRESS(2,COLUMN())),OFFSET($CL$2,0,0,ROW()-1,84),ROW()-1,FALSE))</f>
        <v>4845.1398650000001</v>
      </c>
      <c r="BA230">
        <f ca="1">IF(AND(ISNUMBER($BA$430),$B$252=1),$BA$430,HLOOKUP(INDIRECT(ADDRESS(2,COLUMN())),OFFSET($CL$2,0,0,ROW()-1,84),ROW()-1,FALSE))</f>
        <v>4745.0779819999998</v>
      </c>
      <c r="BB230">
        <f ca="1">IF(AND(ISNUMBER($BB$430),$B$252=1),$BB$430,HLOOKUP(INDIRECT(ADDRESS(2,COLUMN())),OFFSET($CL$2,0,0,ROW()-1,84),ROW()-1,FALSE))</f>
        <v>4651.1922350000004</v>
      </c>
      <c r="BC230">
        <f ca="1">IF(AND(ISNUMBER($BC$430),$B$252=1),$BC$430,HLOOKUP(INDIRECT(ADDRESS(2,COLUMN())),OFFSET($CL$2,0,0,ROW()-1,84),ROW()-1,FALSE))</f>
        <v>4603.6297050000003</v>
      </c>
      <c r="BD230">
        <f ca="1">IF(AND(ISNUMBER($BD$430),$B$252=1),$BD$430,HLOOKUP(INDIRECT(ADDRESS(2,COLUMN())),OFFSET($CL$2,0,0,ROW()-1,84),ROW()-1,FALSE))</f>
        <v>4302.8053069999996</v>
      </c>
      <c r="BE230">
        <f ca="1">IF(AND(ISNUMBER($BE$430),$B$252=1),$BE$430,HLOOKUP(INDIRECT(ADDRESS(2,COLUMN())),OFFSET($CL$2,0,0,ROW()-1,84),ROW()-1,FALSE))</f>
        <v>3985.902235</v>
      </c>
      <c r="BF230">
        <f ca="1">IF(AND(ISNUMBER($BF$430),$B$252=1),$BF$430,HLOOKUP(INDIRECT(ADDRESS(2,COLUMN())),OFFSET($CL$2,0,0,ROW()-1,84),ROW()-1,FALSE))</f>
        <v>3863.4122929999999</v>
      </c>
      <c r="BG230">
        <f ca="1">IF(AND(ISNUMBER($BG$430),$B$252=1),$BG$430,HLOOKUP(INDIRECT(ADDRESS(2,COLUMN())),OFFSET($CL$2,0,0,ROW()-1,84),ROW()-1,FALSE))</f>
        <v>4304.7192599999998</v>
      </c>
      <c r="BH230">
        <f ca="1">IF(AND(ISNUMBER($BH$430),$B$252=1),$BH$430,HLOOKUP(INDIRECT(ADDRESS(2,COLUMN())),OFFSET($CL$2,0,0,ROW()-1,84),ROW()-1,FALSE))</f>
        <v>4298.5652650000002</v>
      </c>
      <c r="BI230">
        <f ca="1">IF(AND(ISNUMBER($BI$430),$B$252=1),$BI$430,HLOOKUP(INDIRECT(ADDRESS(2,COLUMN())),OFFSET($CL$2,0,0,ROW()-1,84),ROW()-1,FALSE))</f>
        <v>4235.8564649999998</v>
      </c>
      <c r="BJ230">
        <f ca="1">IF(AND(ISNUMBER($BJ$430),$B$252=1),$BJ$430,HLOOKUP(INDIRECT(ADDRESS(2,COLUMN())),OFFSET($CL$2,0,0,ROW()-1,84),ROW()-1,FALSE))</f>
        <v>4517.9796100000003</v>
      </c>
      <c r="BK230">
        <f ca="1">IF(AND(ISNUMBER($BK$430),$B$252=1),$BK$430,HLOOKUP(INDIRECT(ADDRESS(2,COLUMN())),OFFSET($CL$2,0,0,ROW()-1,84),ROW()-1,FALSE))</f>
        <v>4619.4726849999997</v>
      </c>
      <c r="BL230">
        <f ca="1">IF(AND(ISNUMBER($BL$430),$B$252=1),$BL$430,HLOOKUP(INDIRECT(ADDRESS(2,COLUMN())),OFFSET($CL$2,0,0,ROW()-1,84),ROW()-1,FALSE))</f>
        <v>4654.4261219999999</v>
      </c>
      <c r="BM230">
        <f ca="1">IF(AND(ISNUMBER($BM$430),$B$252=1),$BM$430,HLOOKUP(INDIRECT(ADDRESS(2,COLUMN())),OFFSET($CL$2,0,0,ROW()-1,84),ROW()-1,FALSE))</f>
        <v>4785.1684290000003</v>
      </c>
      <c r="BN230">
        <f ca="1">IF(AND(ISNUMBER($BN$430),$B$252=1),$BN$430,HLOOKUP(INDIRECT(ADDRESS(2,COLUMN())),OFFSET($CL$2,0,0,ROW()-1,84),ROW()-1,FALSE))</f>
        <v>4715.9519140000002</v>
      </c>
      <c r="BO230">
        <f ca="1">IF(AND(ISNUMBER($BO$430),$B$252=1),$BO$430,HLOOKUP(INDIRECT(ADDRESS(2,COLUMN())),OFFSET($CL$2,0,0,ROW()-1,84),ROW()-1,FALSE))</f>
        <v>4556.3233829999999</v>
      </c>
      <c r="BP230">
        <f ca="1">IF(AND(ISNUMBER($BP$430),$B$252=1),$BP$430,HLOOKUP(INDIRECT(ADDRESS(2,COLUMN())),OFFSET($CL$2,0,0,ROW()-1,84),ROW()-1,FALSE))</f>
        <v>4188.8414519999997</v>
      </c>
      <c r="BQ230">
        <f ca="1">IF(AND(ISNUMBER($BQ$430),$B$252=1),$BQ$430,HLOOKUP(INDIRECT(ADDRESS(2,COLUMN())),OFFSET($CL$2,0,0,ROW()-1,84),ROW()-1,FALSE))</f>
        <v>4155.0604729999995</v>
      </c>
      <c r="BR230">
        <f ca="1">IF(AND(ISNUMBER($BR$430),$B$252=1),$BR$430,HLOOKUP(INDIRECT(ADDRESS(2,COLUMN())),OFFSET($CL$2,0,0,ROW()-1,84),ROW()-1,FALSE))</f>
        <v>3849.7018579999999</v>
      </c>
      <c r="BS230">
        <f ca="1">IF(AND(ISNUMBER($BS$430),$B$252=1),$BS$430,HLOOKUP(INDIRECT(ADDRESS(2,COLUMN())),OFFSET($CL$2,0,0,ROW()-1,84),ROW()-1,FALSE))</f>
        <v>4098.4472649999998</v>
      </c>
      <c r="BT230">
        <f ca="1">IF(AND(ISNUMBER($BT$430),$B$252=1),$BT$430,HLOOKUP(INDIRECT(ADDRESS(2,COLUMN())),OFFSET($CL$2,0,0,ROW()-1,84),ROW()-1,FALSE))</f>
        <v>3990.9570779999999</v>
      </c>
      <c r="BU230">
        <f ca="1">IF(AND(ISNUMBER($BU$430),$B$252=1),$BU$430,HLOOKUP(INDIRECT(ADDRESS(2,COLUMN())),OFFSET($CL$2,0,0,ROW()-1,84),ROW()-1,FALSE))</f>
        <v>4070.6926469999999</v>
      </c>
      <c r="BV230">
        <f ca="1">IF(AND(ISNUMBER($BV$430),$B$252=1),$BV$430,HLOOKUP(INDIRECT(ADDRESS(2,COLUMN())),OFFSET($CL$2,0,0,ROW()-1,84),ROW()-1,FALSE))</f>
        <v>4101.7329490000002</v>
      </c>
      <c r="BW230">
        <f ca="1">IF(AND(ISNUMBER($BW$430),$B$252=1),$BW$430,HLOOKUP(INDIRECT(ADDRESS(2,COLUMN())),OFFSET($CL$2,0,0,ROW()-1,84),ROW()-1,FALSE))</f>
        <v>4041.9191249999999</v>
      </c>
      <c r="BX230">
        <f ca="1">IF(AND(ISNUMBER($BX$430),$B$252=1),$BX$430,HLOOKUP(INDIRECT(ADDRESS(2,COLUMN())),OFFSET($CL$2,0,0,ROW()-1,84),ROW()-1,FALSE))</f>
        <v>3802.2394720000002</v>
      </c>
      <c r="BY230">
        <f ca="1">IF(AND(ISNUMBER($BY$430),$B$252=1),$BY$430,HLOOKUP(INDIRECT(ADDRESS(2,COLUMN())),OFFSET($CL$2,0,0,ROW()-1,84),ROW()-1,FALSE))</f>
        <v>3509.1763369999999</v>
      </c>
      <c r="BZ230">
        <f ca="1">IF(AND(ISNUMBER($BZ$430),$B$252=1),$BZ$430,HLOOKUP(INDIRECT(ADDRESS(2,COLUMN())),OFFSET($CL$2,0,0,ROW()-1,84),ROW()-1,FALSE))</f>
        <v>3413.5302790000001</v>
      </c>
      <c r="CA230">
        <f ca="1">IF(AND(ISNUMBER($CA$430),$B$252=1),$CA$430,HLOOKUP(INDIRECT(ADDRESS(2,COLUMN())),OFFSET($CL$2,0,0,ROW()-1,84),ROW()-1,FALSE))</f>
        <v>3217.0893940000001</v>
      </c>
      <c r="CB230">
        <f ca="1">IF(AND(ISNUMBER($CB$430),$B$252=1),$CB$430,HLOOKUP(INDIRECT(ADDRESS(2,COLUMN())),OFFSET($CL$2,0,0,ROW()-1,84),ROW()-1,FALSE))</f>
        <v>3175.238484</v>
      </c>
      <c r="CC230">
        <f ca="1">IF(AND(ISNUMBER($CC$430),$B$252=1),$CC$430,HLOOKUP(INDIRECT(ADDRESS(2,COLUMN())),OFFSET($CL$2,0,0,ROW()-1,84),ROW()-1,FALSE))</f>
        <v>2961.9183090000001</v>
      </c>
      <c r="CD230">
        <f ca="1">IF(AND(ISNUMBER($CD$430),$B$252=1),$CD$430,HLOOKUP(INDIRECT(ADDRESS(2,COLUMN())),OFFSET($CL$2,0,0,ROW()-1,84),ROW()-1,FALSE))</f>
        <v>2814.1053849999998</v>
      </c>
      <c r="CE230">
        <f ca="1">IF(AND(ISNUMBER($CE$430),$B$252=1),$CE$430,HLOOKUP(INDIRECT(ADDRESS(2,COLUMN())),OFFSET($CL$2,0,0,ROW()-1,84),ROW()-1,FALSE))</f>
        <v>3187.5105530000001</v>
      </c>
      <c r="CF230">
        <f ca="1">IF(AND(ISNUMBER($CF$430),$B$252=1),$CF$430,HLOOKUP(INDIRECT(ADDRESS(2,COLUMN())),OFFSET($CL$2,0,0,ROW()-1,84),ROW()-1,FALSE))</f>
        <v>2855.5247300000001</v>
      </c>
      <c r="CG230">
        <f ca="1">IF(AND(ISNUMBER($CG$430),$B$252=1),$CG$430,HLOOKUP(INDIRECT(ADDRESS(2,COLUMN())),OFFSET($CL$2,0,0,ROW()-1,84),ROW()-1,FALSE))</f>
        <v>3431.4995589999999</v>
      </c>
      <c r="CH230">
        <f ca="1">IF(AND(ISNUMBER($CH$430),$B$252=1),$CH$430,HLOOKUP(INDIRECT(ADDRESS(2,COLUMN())),OFFSET($CL$2,0,0,ROW()-1,84),ROW()-1,FALSE))</f>
        <v>3490.5043190000001</v>
      </c>
      <c r="CI230">
        <f ca="1">IF(AND(ISNUMBER($CI$430),$B$252=1),$CI$430,HLOOKUP(INDIRECT(ADDRESS(2,COLUMN())),OFFSET($CL$2,0,0,ROW()-1,84),ROW()-1,FALSE))</f>
        <v>3264.1968959999999</v>
      </c>
      <c r="CJ230">
        <f ca="1">IF(AND(ISNUMBER($CJ$430),$B$252=1),$CJ$430,HLOOKUP(INDIRECT(ADDRESS(2,COLUMN())),OFFSET($CL$2,0,0,ROW()-1,84),ROW()-1,FALSE))</f>
        <v>3420.0824910000001</v>
      </c>
      <c r="CK230">
        <f ca="1">IF(AND(ISNUMBER($CK$430),$B$252=1),$CK$430,HLOOKUP(INDIRECT(ADDRESS(2,COLUMN())),OFFSET($CL$2,0,0,ROW()-1,84),ROW()-1,FALSE))</f>
        <v>3449.5108110000001</v>
      </c>
      <c r="CL230">
        <f>6594.923717</f>
        <v>6594.9237169999997</v>
      </c>
      <c r="CM230">
        <f>6366.036349</f>
        <v>6366.036349</v>
      </c>
      <c r="CN230">
        <f>6876.835538</f>
        <v>6876.8355380000003</v>
      </c>
      <c r="CO230">
        <f>7184.189325</f>
        <v>7184.1893250000003</v>
      </c>
      <c r="CP230">
        <f>7247.439864</f>
        <v>7247.4398639999999</v>
      </c>
      <c r="CQ230">
        <f>7229.332126</f>
        <v>7229.3321260000002</v>
      </c>
      <c r="CR230">
        <f>7209.606799</f>
        <v>7209.6067990000001</v>
      </c>
      <c r="CS230">
        <f>7451.921998</f>
        <v>7451.9219979999998</v>
      </c>
      <c r="CT230">
        <f>7488.066896</f>
        <v>7488.0668960000003</v>
      </c>
      <c r="CU230">
        <f>7063.934897</f>
        <v>7063.9348970000001</v>
      </c>
      <c r="CV230">
        <f>7064.428015</f>
        <v>7064.4280150000004</v>
      </c>
      <c r="CW230">
        <f>7199.183211</f>
        <v>7199.1832109999996</v>
      </c>
      <c r="CX230">
        <f>7299.583342</f>
        <v>7299.5833419999999</v>
      </c>
      <c r="CY230">
        <f>7659.87933</f>
        <v>7659.8793299999998</v>
      </c>
      <c r="CZ230">
        <f>7249.206532</f>
        <v>7249.2065320000002</v>
      </c>
      <c r="DA230">
        <f>7476.206872</f>
        <v>7476.2068719999997</v>
      </c>
      <c r="DB230">
        <f>6926.544621</f>
        <v>6926.544621</v>
      </c>
      <c r="DC230">
        <f>7250.660842</f>
        <v>7250.6608420000002</v>
      </c>
      <c r="DD230">
        <f>7540.784028</f>
        <v>7540.784028</v>
      </c>
      <c r="DE230">
        <f>7780.42291</f>
        <v>7780.4229100000002</v>
      </c>
      <c r="DF230">
        <f>7916.468375</f>
        <v>7916.4683750000004</v>
      </c>
      <c r="DG230">
        <f>7604.40271</f>
        <v>7604.4027100000003</v>
      </c>
      <c r="DH230">
        <f>7013.841476</f>
        <v>7013.8414759999996</v>
      </c>
      <c r="DI230">
        <f>6587.913002</f>
        <v>6587.9130020000002</v>
      </c>
      <c r="DJ230">
        <f>6877.122403</f>
        <v>6877.1224030000003</v>
      </c>
      <c r="DK230">
        <f>6020.616174</f>
        <v>6020.6161739999998</v>
      </c>
      <c r="DL230">
        <f>6431.426471</f>
        <v>6431.4264709999998</v>
      </c>
      <c r="DM230">
        <f>6575.989824</f>
        <v>6575.9898240000002</v>
      </c>
      <c r="DN230">
        <f>6250.327281</f>
        <v>6250.3272809999999</v>
      </c>
      <c r="DO230">
        <f>6421.889911</f>
        <v>6421.8899110000002</v>
      </c>
      <c r="DP230">
        <f>6066.301723</f>
        <v>6066.3017229999996</v>
      </c>
      <c r="DQ230">
        <f>5905.155753</f>
        <v>5905.155753</v>
      </c>
      <c r="DR230">
        <f>6405.037104</f>
        <v>6405.037104</v>
      </c>
      <c r="DS230">
        <f>6052.545643</f>
        <v>6052.5456430000004</v>
      </c>
      <c r="DT230">
        <f>6217.234555</f>
        <v>6217.234555</v>
      </c>
      <c r="DU230">
        <f>6184.428274</f>
        <v>6184.4282739999999</v>
      </c>
      <c r="DV230">
        <f>6451.606066</f>
        <v>6451.6060660000003</v>
      </c>
      <c r="DW230">
        <f>6176.873196</f>
        <v>6176.8731959999996</v>
      </c>
      <c r="DX230">
        <f>6508.634806</f>
        <v>6508.634806</v>
      </c>
      <c r="DY230">
        <f>5715.801223</f>
        <v>5715.8012230000004</v>
      </c>
      <c r="DZ230">
        <f>5731.41046</f>
        <v>5731.4104600000001</v>
      </c>
      <c r="EA230">
        <f>5506.769942</f>
        <v>5506.7699419999999</v>
      </c>
      <c r="EB230">
        <f>4895.39537</f>
        <v>4895.3953700000002</v>
      </c>
      <c r="EC230">
        <f>5272.799055</f>
        <v>5272.7990550000004</v>
      </c>
      <c r="ED230">
        <f>5255.916216</f>
        <v>5255.9162159999996</v>
      </c>
      <c r="EE230">
        <f>4962.212297</f>
        <v>4962.212297</v>
      </c>
      <c r="EF230">
        <f>4845.139865</f>
        <v>4845.1398650000001</v>
      </c>
      <c r="EG230">
        <f>4745.077982</f>
        <v>4745.0779819999998</v>
      </c>
      <c r="EH230">
        <f>4651.192235</f>
        <v>4651.1922350000004</v>
      </c>
      <c r="EI230">
        <f>4603.629705</f>
        <v>4603.6297050000003</v>
      </c>
      <c r="EJ230">
        <f>4302.805307</f>
        <v>4302.8053069999996</v>
      </c>
      <c r="EK230">
        <f>3985.902235</f>
        <v>3985.902235</v>
      </c>
      <c r="EL230">
        <f>3863.412293</f>
        <v>3863.4122929999999</v>
      </c>
      <c r="EM230">
        <f>4304.71926</f>
        <v>4304.7192599999998</v>
      </c>
      <c r="EN230">
        <f>4298.565265</f>
        <v>4298.5652650000002</v>
      </c>
      <c r="EO230">
        <f>4235.856465</f>
        <v>4235.8564649999998</v>
      </c>
      <c r="EP230">
        <f>4517.97961</f>
        <v>4517.9796100000003</v>
      </c>
      <c r="EQ230">
        <f>4619.472685</f>
        <v>4619.4726849999997</v>
      </c>
      <c r="ER230">
        <f>4654.426122</f>
        <v>4654.4261219999999</v>
      </c>
      <c r="ES230">
        <f>4785.168429</f>
        <v>4785.1684290000003</v>
      </c>
      <c r="ET230">
        <f>4715.951914</f>
        <v>4715.9519140000002</v>
      </c>
      <c r="EU230">
        <f>4556.323383</f>
        <v>4556.3233829999999</v>
      </c>
      <c r="EV230">
        <f>4188.841452</f>
        <v>4188.8414519999997</v>
      </c>
      <c r="EW230">
        <f>4155.060473</f>
        <v>4155.0604729999995</v>
      </c>
      <c r="EX230">
        <f>3849.701858</f>
        <v>3849.7018579999999</v>
      </c>
      <c r="EY230">
        <f>4098.447265</f>
        <v>4098.4472649999998</v>
      </c>
      <c r="EZ230">
        <f>3990.957078</f>
        <v>3990.9570779999999</v>
      </c>
      <c r="FA230">
        <f>4070.692647</f>
        <v>4070.6926469999999</v>
      </c>
      <c r="FB230">
        <f>4101.732949</f>
        <v>4101.7329490000002</v>
      </c>
      <c r="FC230">
        <f>4041.919125</f>
        <v>4041.9191249999999</v>
      </c>
      <c r="FD230">
        <f>3802.239472</f>
        <v>3802.2394720000002</v>
      </c>
      <c r="FE230">
        <f>3509.176337</f>
        <v>3509.1763369999999</v>
      </c>
      <c r="FF230">
        <f>3413.530279</f>
        <v>3413.5302790000001</v>
      </c>
      <c r="FG230">
        <f>3217.089394</f>
        <v>3217.0893940000001</v>
      </c>
      <c r="FH230">
        <f>3175.238484</f>
        <v>3175.238484</v>
      </c>
      <c r="FI230">
        <f>2961.918309</f>
        <v>2961.9183090000001</v>
      </c>
      <c r="FJ230">
        <f>2814.105385</f>
        <v>2814.1053849999998</v>
      </c>
      <c r="FK230">
        <f>3187.510553</f>
        <v>3187.5105530000001</v>
      </c>
      <c r="FL230">
        <f>2855.52473</f>
        <v>2855.5247300000001</v>
      </c>
      <c r="FM230">
        <f>3431.499559</f>
        <v>3431.4995589999999</v>
      </c>
      <c r="FN230">
        <f>3490.504319</f>
        <v>3490.5043190000001</v>
      </c>
      <c r="FO230">
        <f>3264.196896</f>
        <v>3264.1968959999999</v>
      </c>
      <c r="FP230">
        <f>3420.082491</f>
        <v>3420.0824910000001</v>
      </c>
      <c r="FQ230">
        <f>3449.510811</f>
        <v>3449.5108110000001</v>
      </c>
    </row>
    <row r="231" spans="1:173">
      <c r="A231" t="str">
        <f>"    AvalonBay社区股份有限公司"</f>
        <v xml:space="preserve">    AvalonBay社区股份有限公司</v>
      </c>
      <c r="B231" t="str">
        <f>"AVB US Equity"</f>
        <v>AVB US Equity</v>
      </c>
      <c r="C231" t="str">
        <f t="shared" si="75"/>
        <v>F0825</v>
      </c>
      <c r="D231" t="str">
        <f t="shared" si="76"/>
        <v>INDUSTRY_STANDARDIZED_MARKET_CAP</v>
      </c>
      <c r="E231" t="str">
        <f t="shared" si="77"/>
        <v>动态</v>
      </c>
      <c r="F231">
        <f ca="1">IF(AND(ISNUMBER($F$431),$B$252=1),$F$431,HLOOKUP(INDIRECT(ADDRESS(2,COLUMN())),OFFSET($CL$2,0,0,ROW()-1,84),ROW()-1,FALSE))</f>
        <v>22306.397799999999</v>
      </c>
      <c r="G231">
        <f ca="1">IF(AND(ISNUMBER($G$431),$B$252=1),$G$431,HLOOKUP(INDIRECT(ADDRESS(2,COLUMN())),OFFSET($CL$2,0,0,ROW()-1,84),ROW()-1,FALSE))</f>
        <v>21546.830679999999</v>
      </c>
      <c r="H231">
        <f ca="1">IF(AND(ISNUMBER($H$431),$B$252=1),$H$431,HLOOKUP(INDIRECT(ADDRESS(2,COLUMN())),OFFSET($CL$2,0,0,ROW()-1,84),ROW()-1,FALSE))</f>
        <v>23531.450369999999</v>
      </c>
      <c r="I231">
        <f ca="1">IF(AND(ISNUMBER($I$431),$B$252=1),$I$431,HLOOKUP(INDIRECT(ADDRESS(2,COLUMN())),OFFSET($CL$2,0,0,ROW()-1,84),ROW()-1,FALSE))</f>
        <v>24637.594249999998</v>
      </c>
      <c r="J231">
        <f ca="1">IF(AND(ISNUMBER($J$431),$B$252=1),$J$431,HLOOKUP(INDIRECT(ADDRESS(2,COLUMN())),OFFSET($CL$2,0,0,ROW()-1,84),ROW()-1,FALSE))</f>
        <v>25040.832719999999</v>
      </c>
      <c r="K231">
        <f ca="1">IF(AND(ISNUMBER($K$431),$B$252=1),$K$431,HLOOKUP(INDIRECT(ADDRESS(2,COLUMN())),OFFSET($CL$2,0,0,ROW()-1,84),ROW()-1,FALSE))</f>
        <v>25039.979200000002</v>
      </c>
      <c r="L231">
        <f ca="1">IF(AND(ISNUMBER($L$431),$B$252=1),$L$431,HLOOKUP(INDIRECT(ADDRESS(2,COLUMN())),OFFSET($CL$2,0,0,ROW()-1,84),ROW()-1,FALSE))</f>
        <v>24638.13538</v>
      </c>
      <c r="M231">
        <f ca="1">IF(AND(ISNUMBER($M$431),$B$252=1),$M$431,HLOOKUP(INDIRECT(ADDRESS(2,COLUMN())),OFFSET($CL$2,0,0,ROW()-1,84),ROW()-1,FALSE))</f>
        <v>25923.759409999999</v>
      </c>
      <c r="N231">
        <f ca="1">IF(AND(ISNUMBER($N$431),$B$252=1),$N$431,HLOOKUP(INDIRECT(ADDRESS(2,COLUMN())),OFFSET($CL$2,0,0,ROW()-1,84),ROW()-1,FALSE))</f>
        <v>26504.593769999999</v>
      </c>
      <c r="O231">
        <f ca="1">IF(AND(ISNUMBER($O$431),$B$252=1),$O$431,HLOOKUP(INDIRECT(ADDRESS(2,COLUMN())),OFFSET($CL$2,0,0,ROW()-1,84),ROW()-1,FALSE))</f>
        <v>26479.790919999999</v>
      </c>
      <c r="P231">
        <f ca="1">IF(AND(ISNUMBER($P$431),$B$252=1),$P$431,HLOOKUP(INDIRECT(ADDRESS(2,COLUMN())),OFFSET($CL$2,0,0,ROW()-1,84),ROW()-1,FALSE))</f>
        <v>26351.642670000001</v>
      </c>
      <c r="Q231">
        <f ca="1">IF(AND(ISNUMBER($Q$431),$B$252=1),$Q$431,HLOOKUP(INDIRECT(ADDRESS(2,COLUMN())),OFFSET($CL$2,0,0,ROW()-1,84),ROW()-1,FALSE))</f>
        <v>26100.681229999998</v>
      </c>
      <c r="R231">
        <f ca="1">IF(AND(ISNUMBER($R$431),$B$252=1),$R$431,HLOOKUP(INDIRECT(ADDRESS(2,COLUMN())),OFFSET($CL$2,0,0,ROW()-1,84),ROW()-1,FALSE))</f>
        <v>25215.347430000002</v>
      </c>
      <c r="S231">
        <f ca="1">IF(AND(ISNUMBER($S$431),$B$252=1),$S$431,HLOOKUP(INDIRECT(ADDRESS(2,COLUMN())),OFFSET($CL$2,0,0,ROW()-1,84),ROW()-1,FALSE))</f>
        <v>25240.068360000001</v>
      </c>
      <c r="T231">
        <f ca="1">IF(AND(ISNUMBER($T$431),$B$252=1),$T$431,HLOOKUP(INDIRECT(ADDRESS(2,COLUMN())),OFFSET($CL$2,0,0,ROW()-1,84),ROW()-1,FALSE))</f>
        <v>23801.24843</v>
      </c>
      <c r="U231">
        <f ca="1">IF(AND(ISNUMBER($U$431),$B$252=1),$U$431,HLOOKUP(INDIRECT(ADDRESS(2,COLUMN())),OFFSET($CL$2,0,0,ROW()-1,84),ROW()-1,FALSE))</f>
        <v>24328.608609999999</v>
      </c>
      <c r="V231">
        <f ca="1">IF(AND(ISNUMBER($V$431),$B$252=1),$V$431,HLOOKUP(INDIRECT(ADDRESS(2,COLUMN())),OFFSET($CL$2,0,0,ROW()-1,84),ROW()-1,FALSE))</f>
        <v>22589.968000000001</v>
      </c>
      <c r="W231">
        <f ca="1">IF(AND(ISNUMBER($W$431),$B$252=1),$W$431,HLOOKUP(INDIRECT(ADDRESS(2,COLUMN())),OFFSET($CL$2,0,0,ROW()-1,84),ROW()-1,FALSE))</f>
        <v>23506.617829999999</v>
      </c>
      <c r="X231">
        <f ca="1">IF(AND(ISNUMBER($X$431),$B$252=1),$X$431,HLOOKUP(INDIRECT(ADDRESS(2,COLUMN())),OFFSET($CL$2,0,0,ROW()-1,84),ROW()-1,FALSE))</f>
        <v>24421.176039999998</v>
      </c>
      <c r="Y231">
        <f ca="1">IF(AND(ISNUMBER($Y$431),$B$252=1),$Y$431,HLOOKUP(INDIRECT(ADDRESS(2,COLUMN())),OFFSET($CL$2,0,0,ROW()-1,84),ROW()-1,FALSE))</f>
        <v>24032.55746</v>
      </c>
      <c r="Z231">
        <f ca="1">IF(AND(ISNUMBER($Z$431),$B$252=1),$Z$431,HLOOKUP(INDIRECT(ADDRESS(2,COLUMN())),OFFSET($CL$2,0,0,ROW()-1,84),ROW()-1,FALSE))</f>
        <v>25465.61447</v>
      </c>
      <c r="AA231">
        <f ca="1">IF(AND(ISNUMBER($AA$431),$B$252=1),$AA$431,HLOOKUP(INDIRECT(ADDRESS(2,COLUMN())),OFFSET($CL$2,0,0,ROW()-1,84),ROW()-1,FALSE))</f>
        <v>24744.100149999998</v>
      </c>
      <c r="AB231">
        <f ca="1">IF(AND(ISNUMBER($AB$431),$B$252=1),$AB$431,HLOOKUP(INDIRECT(ADDRESS(2,COLUMN())),OFFSET($CL$2,0,0,ROW()-1,84),ROW()-1,FALSE))</f>
        <v>24674.14344</v>
      </c>
      <c r="AC231">
        <f ca="1">IF(AND(ISNUMBER($AC$431),$B$252=1),$AC$431,HLOOKUP(INDIRECT(ADDRESS(2,COLUMN())),OFFSET($CL$2,0,0,ROW()-1,84),ROW()-1,FALSE))</f>
        <v>24250.274590000001</v>
      </c>
      <c r="AD231">
        <f ca="1">IF(AND(ISNUMBER($AD$431),$B$252=1),$AD$431,HLOOKUP(INDIRECT(ADDRESS(2,COLUMN())),OFFSET($CL$2,0,0,ROW()-1,84),ROW()-1,FALSE))</f>
        <v>26059.322779999999</v>
      </c>
      <c r="AE231">
        <f ca="1">IF(AND(ISNUMBER($AE$431),$B$252=1),$AE$431,HLOOKUP(INDIRECT(ADDRESS(2,COLUMN())),OFFSET($CL$2,0,0,ROW()-1,84),ROW()-1,FALSE))</f>
        <v>23516.415150000001</v>
      </c>
      <c r="AF231">
        <f ca="1">IF(AND(ISNUMBER($AF$431),$B$252=1),$AF$431,HLOOKUP(INDIRECT(ADDRESS(2,COLUMN())),OFFSET($CL$2,0,0,ROW()-1,84),ROW()-1,FALSE))</f>
        <v>23474.35673</v>
      </c>
      <c r="AG231">
        <f ca="1">IF(AND(ISNUMBER($AG$431),$B$252=1),$AG$431,HLOOKUP(INDIRECT(ADDRESS(2,COLUMN())),OFFSET($CL$2,0,0,ROW()-1,84),ROW()-1,FALSE))</f>
        <v>25204.579310000001</v>
      </c>
      <c r="AH231">
        <f ca="1">IF(AND(ISNUMBER($AH$431),$B$252=1),$AH$431,HLOOKUP(INDIRECT(ADDRESS(2,COLUMN())),OFFSET($CL$2,0,0,ROW()-1,84),ROW()-1,FALSE))</f>
        <v>24884.269120000001</v>
      </c>
      <c r="AI231">
        <f ca="1">IF(AND(ISNUMBER($AI$431),$B$252=1),$AI$431,HLOOKUP(INDIRECT(ADDRESS(2,COLUMN())),OFFSET($CL$2,0,0,ROW()-1,84),ROW()-1,FALSE))</f>
        <v>23236.601309999998</v>
      </c>
      <c r="AJ231">
        <f ca="1">IF(AND(ISNUMBER($AJ$431),$B$252=1),$AJ$431,HLOOKUP(INDIRECT(ADDRESS(2,COLUMN())),OFFSET($CL$2,0,0,ROW()-1,84),ROW()-1,FALSE))</f>
        <v>23235.272209999999</v>
      </c>
      <c r="AK231">
        <f ca="1">IF(AND(ISNUMBER($AK$431),$B$252=1),$AK$431,HLOOKUP(INDIRECT(ADDRESS(2,COLUMN())),OFFSET($CL$2,0,0,ROW()-1,84),ROW()-1,FALSE))</f>
        <v>21938.073619999999</v>
      </c>
      <c r="AL231">
        <f ca="1">IF(AND(ISNUMBER($AL$431),$B$252=1),$AL$431,HLOOKUP(INDIRECT(ADDRESS(2,COLUMN())),OFFSET($CL$2,0,0,ROW()-1,84),ROW()-1,FALSE))</f>
        <v>22782.646710000001</v>
      </c>
      <c r="AM231">
        <f ca="1">IF(AND(ISNUMBER($AM$431),$B$252=1),$AM$431,HLOOKUP(INDIRECT(ADDRESS(2,COLUMN())),OFFSET($CL$2,0,0,ROW()-1,84),ROW()-1,FALSE))</f>
        <v>21134.16345</v>
      </c>
      <c r="AN231">
        <f ca="1">IF(AND(ISNUMBER($AN$431),$B$252=1),$AN$431,HLOOKUP(INDIRECT(ADDRESS(2,COLUMN())),OFFSET($CL$2,0,0,ROW()-1,84),ROW()-1,FALSE))</f>
        <v>22010.622480000002</v>
      </c>
      <c r="AO231">
        <f ca="1">IF(AND(ISNUMBER($AO$431),$B$252=1),$AO$431,HLOOKUP(INDIRECT(ADDRESS(2,COLUMN())),OFFSET($CL$2,0,0,ROW()-1,84),ROW()-1,FALSE))</f>
        <v>21728.449519999998</v>
      </c>
      <c r="AP231">
        <f ca="1">IF(AND(ISNUMBER($AP$431),$B$252=1),$AP$431,HLOOKUP(INDIRECT(ADDRESS(2,COLUMN())),OFFSET($CL$2,0,0,ROW()-1,84),ROW()-1,FALSE))</f>
        <v>23010.993320000001</v>
      </c>
      <c r="AQ231">
        <f ca="1">IF(AND(ISNUMBER($AQ$431),$B$252=1),$AQ$431,HLOOKUP(INDIRECT(ADDRESS(2,COLUMN())),OFFSET($CL$2,0,0,ROW()-1,84),ROW()-1,FALSE))</f>
        <v>22230.534380000001</v>
      </c>
      <c r="AR231">
        <f ca="1">IF(AND(ISNUMBER($AR$431),$B$252=1),$AR$431,HLOOKUP(INDIRECT(ADDRESS(2,COLUMN())),OFFSET($CL$2,0,0,ROW()-1,84),ROW()-1,FALSE))</f>
        <v>22837.365860000002</v>
      </c>
      <c r="AS231">
        <f ca="1">IF(AND(ISNUMBER($AS$431),$B$252=1),$AS$431,HLOOKUP(INDIRECT(ADDRESS(2,COLUMN())),OFFSET($CL$2,0,0,ROW()-1,84),ROW()-1,FALSE))</f>
        <v>21570.016810000001</v>
      </c>
      <c r="AT231">
        <f ca="1">IF(AND(ISNUMBER($AT$431),$B$252=1),$AT$431,HLOOKUP(INDIRECT(ADDRESS(2,COLUMN())),OFFSET($CL$2,0,0,ROW()-1,84),ROW()-1,FALSE))</f>
        <v>21226.776450000001</v>
      </c>
      <c r="AU231">
        <f ca="1">IF(AND(ISNUMBER($AU$431),$B$252=1),$AU$431,HLOOKUP(INDIRECT(ADDRESS(2,COLUMN())),OFFSET($CL$2,0,0,ROW()-1,84),ROW()-1,FALSE))</f>
        <v>21244.032709999999</v>
      </c>
      <c r="AV231">
        <f ca="1">IF(AND(ISNUMBER($AV$431),$B$252=1),$AV$431,HLOOKUP(INDIRECT(ADDRESS(2,COLUMN())),OFFSET($CL$2,0,0,ROW()-1,84),ROW()-1,FALSE))</f>
        <v>19216.961569999999</v>
      </c>
      <c r="AW231">
        <f ca="1">IF(AND(ISNUMBER($AW$431),$B$252=1),$AW$431,HLOOKUP(INDIRECT(ADDRESS(2,COLUMN())),OFFSET($CL$2,0,0,ROW()-1,84),ROW()-1,FALSE))</f>
        <v>20217.001359999998</v>
      </c>
      <c r="AX231">
        <f ca="1">IF(AND(ISNUMBER($AX$431),$B$252=1),$AX$431,HLOOKUP(INDIRECT(ADDRESS(2,COLUMN())),OFFSET($CL$2,0,0,ROW()-1,84),ROW()-1,FALSE))</f>
        <v>19193.63522</v>
      </c>
      <c r="AY231">
        <f ca="1">IF(AND(ISNUMBER($AY$431),$B$252=1),$AY$431,HLOOKUP(INDIRECT(ADDRESS(2,COLUMN())),OFFSET($CL$2,0,0,ROW()-1,84),ROW()-1,FALSE))</f>
        <v>18430.193080000001</v>
      </c>
      <c r="AZ231">
        <f ca="1">IF(AND(ISNUMBER($AZ$431),$B$252=1),$AZ$431,HLOOKUP(INDIRECT(ADDRESS(2,COLUMN())),OFFSET($CL$2,0,0,ROW()-1,84),ROW()-1,FALSE))</f>
        <v>18384.827249999998</v>
      </c>
      <c r="BA231">
        <f ca="1">IF(AND(ISNUMBER($BA$431),$B$252=1),$BA$431,HLOOKUP(INDIRECT(ADDRESS(2,COLUMN())),OFFSET($CL$2,0,0,ROW()-1,84),ROW()-1,FALSE))</f>
        <v>17693.798210000001</v>
      </c>
      <c r="BB231">
        <f ca="1">IF(AND(ISNUMBER($BB$431),$B$252=1),$BB$431,HLOOKUP(INDIRECT(ADDRESS(2,COLUMN())),OFFSET($CL$2,0,0,ROW()-1,84),ROW()-1,FALSE))</f>
        <v>16996.0684</v>
      </c>
      <c r="BC231">
        <f ca="1">IF(AND(ISNUMBER($BC$431),$B$252=1),$BC$431,HLOOKUP(INDIRECT(ADDRESS(2,COLUMN())),OFFSET($CL$2,0,0,ROW()-1,84),ROW()-1,FALSE))</f>
        <v>16691.374940000002</v>
      </c>
      <c r="BD231">
        <f ca="1">IF(AND(ISNUMBER($BD$431),$B$252=1),$BD$431,HLOOKUP(INDIRECT(ADDRESS(2,COLUMN())),OFFSET($CL$2,0,0,ROW()-1,84),ROW()-1,FALSE))</f>
        <v>15983.44425</v>
      </c>
      <c r="BE231">
        <f ca="1">IF(AND(ISNUMBER($BE$431),$B$252=1),$BE$431,HLOOKUP(INDIRECT(ADDRESS(2,COLUMN())),OFFSET($CL$2,0,0,ROW()-1,84),ROW()-1,FALSE))</f>
        <v>15301.39768</v>
      </c>
      <c r="BF231">
        <f ca="1">IF(AND(ISNUMBER($BF$431),$B$252=1),$BF$431,HLOOKUP(INDIRECT(ADDRESS(2,COLUMN())),OFFSET($CL$2,0,0,ROW()-1,84),ROW()-1,FALSE))</f>
        <v>15344.10648</v>
      </c>
      <c r="BG231">
        <f ca="1">IF(AND(ISNUMBER($BG$431),$B$252=1),$BG$431,HLOOKUP(INDIRECT(ADDRESS(2,COLUMN())),OFFSET($CL$2,0,0,ROW()-1,84),ROW()-1,FALSE))</f>
        <v>16182.76965</v>
      </c>
      <c r="BH231">
        <f ca="1">IF(AND(ISNUMBER($BH$431),$B$252=1),$BH$431,HLOOKUP(INDIRECT(ADDRESS(2,COLUMN())),OFFSET($CL$2,0,0,ROW()-1,84),ROW()-1,FALSE))</f>
        <v>16446.76685</v>
      </c>
      <c r="BI231">
        <f ca="1">IF(AND(ISNUMBER($BI$431),$B$252=1),$BI$431,HLOOKUP(INDIRECT(ADDRESS(2,COLUMN())),OFFSET($CL$2,0,0,ROW()-1,84),ROW()-1,FALSE))</f>
        <v>16033.947700000001</v>
      </c>
      <c r="BJ231">
        <f ca="1">IF(AND(ISNUMBER($BJ$431),$B$252=1),$BJ$431,HLOOKUP(INDIRECT(ADDRESS(2,COLUMN())),OFFSET($CL$2,0,0,ROW()-1,84),ROW()-1,FALSE))</f>
        <v>17511.300780000001</v>
      </c>
      <c r="BK231">
        <f ca="1">IF(AND(ISNUMBER($BK$431),$B$252=1),$BK$431,HLOOKUP(INDIRECT(ADDRESS(2,COLUMN())),OFFSET($CL$2,0,0,ROW()-1,84),ROW()-1,FALSE))</f>
        <v>17455.66417</v>
      </c>
      <c r="BL231">
        <f ca="1">IF(AND(ISNUMBER($BL$431),$B$252=1),$BL$431,HLOOKUP(INDIRECT(ADDRESS(2,COLUMN())),OFFSET($CL$2,0,0,ROW()-1,84),ROW()-1,FALSE))</f>
        <v>17164.546399999999</v>
      </c>
      <c r="BM231">
        <f ca="1">IF(AND(ISNUMBER($BM$431),$B$252=1),$BM$431,HLOOKUP(INDIRECT(ADDRESS(2,COLUMN())),OFFSET($CL$2,0,0,ROW()-1,84),ROW()-1,FALSE))</f>
        <v>17208.922780000001</v>
      </c>
      <c r="BN231">
        <f ca="1">IF(AND(ISNUMBER($BN$431),$B$252=1),$BN$431,HLOOKUP(INDIRECT(ADDRESS(2,COLUMN())),OFFSET($CL$2,0,0,ROW()-1,84),ROW()-1,FALSE))</f>
        <v>16378.697190000001</v>
      </c>
      <c r="BO231">
        <f ca="1">IF(AND(ISNUMBER($BO$431),$B$252=1),$BO$431,HLOOKUP(INDIRECT(ADDRESS(2,COLUMN())),OFFSET($CL$2,0,0,ROW()-1,84),ROW()-1,FALSE))</f>
        <v>14282.187459999999</v>
      </c>
      <c r="BP231">
        <f ca="1">IF(AND(ISNUMBER($BP$431),$B$252=1),$BP$431,HLOOKUP(INDIRECT(ADDRESS(2,COLUMN())),OFFSET($CL$2,0,0,ROW()-1,84),ROW()-1,FALSE))</f>
        <v>14846.72955</v>
      </c>
      <c r="BQ231">
        <f ca="1">IF(AND(ISNUMBER($BQ$431),$B$252=1),$BQ$431,HLOOKUP(INDIRECT(ADDRESS(2,COLUMN())),OFFSET($CL$2,0,0,ROW()-1,84),ROW()-1,FALSE))</f>
        <v>15510.19385</v>
      </c>
      <c r="BR231">
        <f ca="1">IF(AND(ISNUMBER($BR$431),$B$252=1),$BR$431,HLOOKUP(INDIRECT(ADDRESS(2,COLUMN())),OFFSET($CL$2,0,0,ROW()-1,84),ROW()-1,FALSE))</f>
        <v>15075.510340000001</v>
      </c>
      <c r="BS231">
        <f ca="1">IF(AND(ISNUMBER($BS$431),$B$252=1),$BS$431,HLOOKUP(INDIRECT(ADDRESS(2,COLUMN())),OFFSET($CL$2,0,0,ROW()-1,84),ROW()-1,FALSE))</f>
        <v>13138.095429999999</v>
      </c>
      <c r="BT231">
        <f ca="1">IF(AND(ISNUMBER($BT$431),$B$252=1),$BT$431,HLOOKUP(INDIRECT(ADDRESS(2,COLUMN())),OFFSET($CL$2,0,0,ROW()-1,84),ROW()-1,FALSE))</f>
        <v>13179.76982</v>
      </c>
      <c r="BU231">
        <f ca="1">IF(AND(ISNUMBER($BU$431),$B$252=1),$BU$431,HLOOKUP(INDIRECT(ADDRESS(2,COLUMN())),OFFSET($CL$2,0,0,ROW()-1,84),ROW()-1,FALSE))</f>
        <v>13715.72193</v>
      </c>
      <c r="BV231">
        <f ca="1">IF(AND(ISNUMBER($BV$431),$B$252=1),$BV$431,HLOOKUP(INDIRECT(ADDRESS(2,COLUMN())),OFFSET($CL$2,0,0,ROW()-1,84),ROW()-1,FALSE))</f>
        <v>14026.458769999999</v>
      </c>
      <c r="BW231">
        <f ca="1">IF(AND(ISNUMBER($BW$431),$B$252=1),$BW$431,HLOOKUP(INDIRECT(ADDRESS(2,COLUMN())),OFFSET($CL$2,0,0,ROW()-1,84),ROW()-1,FALSE))</f>
        <v>13491.490830000001</v>
      </c>
      <c r="BX231">
        <f ca="1">IF(AND(ISNUMBER($BX$431),$B$252=1),$BX$431,HLOOKUP(INDIRECT(ADDRESS(2,COLUMN())),OFFSET($CL$2,0,0,ROW()-1,84),ROW()-1,FALSE))</f>
        <v>13326.518550000001</v>
      </c>
      <c r="BY231">
        <f ca="1">IF(AND(ISNUMBER($BY$431),$B$252=1),$BY$431,HLOOKUP(INDIRECT(ADDRESS(2,COLUMN())),OFFSET($CL$2,0,0,ROW()-1,84),ROW()-1,FALSE))</f>
        <v>13844.43578</v>
      </c>
      <c r="BZ231">
        <f ca="1">IF(AND(ISNUMBER($BZ$431),$B$252=1),$BZ$431,HLOOKUP(INDIRECT(ADDRESS(2,COLUMN())),OFFSET($CL$2,0,0,ROW()-1,84),ROW()-1,FALSE))</f>
        <v>13458.810170000001</v>
      </c>
      <c r="CA231">
        <f ca="1">IF(AND(ISNUMBER($CA$431),$B$252=1),$CA$431,HLOOKUP(INDIRECT(ADDRESS(2,COLUMN())),OFFSET($CL$2,0,0,ROW()-1,84),ROW()-1,FALSE))</f>
        <v>12346.68492</v>
      </c>
      <c r="CB231">
        <f ca="1">IF(AND(ISNUMBER($CB$431),$B$252=1),$CB$431,HLOOKUP(INDIRECT(ADDRESS(2,COLUMN())),OFFSET($CL$2,0,0,ROW()-1,84),ROW()-1,FALSE))</f>
        <v>12933.096020000001</v>
      </c>
      <c r="CC231">
        <f ca="1">IF(AND(ISNUMBER($CC$431),$B$252=1),$CC$431,HLOOKUP(INDIRECT(ADDRESS(2,COLUMN())),OFFSET($CL$2,0,0,ROW()-1,84),ROW()-1,FALSE))</f>
        <v>12418.66289</v>
      </c>
      <c r="CD231">
        <f ca="1">IF(AND(ISNUMBER($CD$431),$B$252=1),$CD$431,HLOOKUP(INDIRECT(ADDRESS(2,COLUMN())),OFFSET($CL$2,0,0,ROW()-1,84),ROW()-1,FALSE))</f>
        <v>11871.92524</v>
      </c>
      <c r="CE231">
        <f ca="1">IF(AND(ISNUMBER($CE$431),$B$252=1),$CE$431,HLOOKUP(INDIRECT(ADDRESS(2,COLUMN())),OFFSET($CL$2,0,0,ROW()-1,84),ROW()-1,FALSE))</f>
        <v>12573.54508</v>
      </c>
      <c r="CF231">
        <f ca="1">IF(AND(ISNUMBER($CF$431),$B$252=1),$CF$431,HLOOKUP(INDIRECT(ADDRESS(2,COLUMN())),OFFSET($CL$2,0,0,ROW()-1,84),ROW()-1,FALSE))</f>
        <v>10726.403</v>
      </c>
      <c r="CG231">
        <f ca="1">IF(AND(ISNUMBER($CG$431),$B$252=1),$CG$431,HLOOKUP(INDIRECT(ADDRESS(2,COLUMN())),OFFSET($CL$2,0,0,ROW()-1,84),ROW()-1,FALSE))</f>
        <v>12826.5396</v>
      </c>
      <c r="CH231">
        <f ca="1">IF(AND(ISNUMBER($CH$431),$B$252=1),$CH$431,HLOOKUP(INDIRECT(ADDRESS(2,COLUMN())),OFFSET($CL$2,0,0,ROW()-1,84),ROW()-1,FALSE))</f>
        <v>11718.035040000001</v>
      </c>
      <c r="CI231">
        <f ca="1">IF(AND(ISNUMBER($CI$431),$B$252=1),$CI$431,HLOOKUP(INDIRECT(ADDRESS(2,COLUMN())),OFFSET($CL$2,0,0,ROW()-1,84),ROW()-1,FALSE))</f>
        <v>11212.427900000001</v>
      </c>
      <c r="CJ231">
        <f ca="1">IF(AND(ISNUMBER($CJ$431),$B$252=1),$CJ$431,HLOOKUP(INDIRECT(ADDRESS(2,COLUMN())),OFFSET($CL$2,0,0,ROW()-1,84),ROW()-1,FALSE))</f>
        <v>11620.23193</v>
      </c>
      <c r="CK231">
        <f ca="1">IF(AND(ISNUMBER($CK$431),$B$252=1),$CK$431,HLOOKUP(INDIRECT(ADDRESS(2,COLUMN())),OFFSET($CL$2,0,0,ROW()-1,84),ROW()-1,FALSE))</f>
        <v>10973.58035</v>
      </c>
      <c r="CL231">
        <f>22306.3978</f>
        <v>22306.397799999999</v>
      </c>
      <c r="CM231">
        <f>21546.83068</f>
        <v>21546.830679999999</v>
      </c>
      <c r="CN231">
        <f>23531.45037</f>
        <v>23531.450369999999</v>
      </c>
      <c r="CO231">
        <f>24637.59425</f>
        <v>24637.594249999998</v>
      </c>
      <c r="CP231">
        <f>25040.83272</f>
        <v>25040.832719999999</v>
      </c>
      <c r="CQ231">
        <f>25039.9792</f>
        <v>25039.979200000002</v>
      </c>
      <c r="CR231">
        <f>24638.13538</f>
        <v>24638.13538</v>
      </c>
      <c r="CS231">
        <f>25923.75941</f>
        <v>25923.759409999999</v>
      </c>
      <c r="CT231">
        <f>26504.59377</f>
        <v>26504.593769999999</v>
      </c>
      <c r="CU231">
        <f>26479.79092</f>
        <v>26479.790919999999</v>
      </c>
      <c r="CV231">
        <f>26351.64267</f>
        <v>26351.642670000001</v>
      </c>
      <c r="CW231">
        <f>26100.68123</f>
        <v>26100.681229999998</v>
      </c>
      <c r="CX231">
        <f>25215.34743</f>
        <v>25215.347430000002</v>
      </c>
      <c r="CY231">
        <f>25240.06836</f>
        <v>25240.068360000001</v>
      </c>
      <c r="CZ231">
        <f>23801.24843</f>
        <v>23801.24843</v>
      </c>
      <c r="DA231">
        <f>24328.60861</f>
        <v>24328.608609999999</v>
      </c>
      <c r="DB231">
        <f>22589.968</f>
        <v>22589.968000000001</v>
      </c>
      <c r="DC231">
        <f>23506.61783</f>
        <v>23506.617829999999</v>
      </c>
      <c r="DD231">
        <f>24421.17604</f>
        <v>24421.176039999998</v>
      </c>
      <c r="DE231">
        <f>24032.55746</f>
        <v>24032.55746</v>
      </c>
      <c r="DF231">
        <f>25465.61447</f>
        <v>25465.61447</v>
      </c>
      <c r="DG231">
        <f>24744.10015</f>
        <v>24744.100149999998</v>
      </c>
      <c r="DH231">
        <f>24674.14344</f>
        <v>24674.14344</v>
      </c>
      <c r="DI231">
        <f>24250.27459</f>
        <v>24250.274590000001</v>
      </c>
      <c r="DJ231">
        <f>26059.32278</f>
        <v>26059.322779999999</v>
      </c>
      <c r="DK231">
        <f>23516.41515</f>
        <v>23516.415150000001</v>
      </c>
      <c r="DL231">
        <f>23474.35673</f>
        <v>23474.35673</v>
      </c>
      <c r="DM231">
        <f>25204.57931</f>
        <v>25204.579310000001</v>
      </c>
      <c r="DN231">
        <f>24884.26912</f>
        <v>24884.269120000001</v>
      </c>
      <c r="DO231">
        <f>23236.60131</f>
        <v>23236.601309999998</v>
      </c>
      <c r="DP231">
        <f>23235.27221</f>
        <v>23235.272209999999</v>
      </c>
      <c r="DQ231">
        <f>21938.07362</f>
        <v>21938.073619999999</v>
      </c>
      <c r="DR231">
        <f>22782.64671</f>
        <v>22782.646710000001</v>
      </c>
      <c r="DS231">
        <f>21134.16345</f>
        <v>21134.16345</v>
      </c>
      <c r="DT231">
        <f>22010.62248</f>
        <v>22010.622480000002</v>
      </c>
      <c r="DU231">
        <f>21728.44952</f>
        <v>21728.449519999998</v>
      </c>
      <c r="DV231">
        <f>23010.99332</f>
        <v>23010.993320000001</v>
      </c>
      <c r="DW231">
        <f>22230.53438</f>
        <v>22230.534380000001</v>
      </c>
      <c r="DX231">
        <f>22837.36586</f>
        <v>22837.365860000002</v>
      </c>
      <c r="DY231">
        <f>21570.01681</f>
        <v>21570.016810000001</v>
      </c>
      <c r="DZ231">
        <f>21226.77645</f>
        <v>21226.776450000001</v>
      </c>
      <c r="EA231">
        <f>21244.03271</f>
        <v>21244.032709999999</v>
      </c>
      <c r="EB231">
        <f>19216.96157</f>
        <v>19216.961569999999</v>
      </c>
      <c r="EC231">
        <f>20217.00136</f>
        <v>20217.001359999998</v>
      </c>
      <c r="ED231">
        <f>19193.63522</f>
        <v>19193.63522</v>
      </c>
      <c r="EE231">
        <f>18430.19308</f>
        <v>18430.193080000001</v>
      </c>
      <c r="EF231">
        <f>18384.82725</f>
        <v>18384.827249999998</v>
      </c>
      <c r="EG231">
        <f>17693.79821</f>
        <v>17693.798210000001</v>
      </c>
      <c r="EH231">
        <f>16996.0684</f>
        <v>16996.0684</v>
      </c>
      <c r="EI231">
        <f>16691.37494</f>
        <v>16691.374940000002</v>
      </c>
      <c r="EJ231">
        <f>15983.44425</f>
        <v>15983.44425</v>
      </c>
      <c r="EK231">
        <f>15301.39768</f>
        <v>15301.39768</v>
      </c>
      <c r="EL231">
        <f>15344.10648</f>
        <v>15344.10648</v>
      </c>
      <c r="EM231">
        <f>16182.76965</f>
        <v>16182.76965</v>
      </c>
      <c r="EN231">
        <f>16446.76685</f>
        <v>16446.76685</v>
      </c>
      <c r="EO231">
        <f>16033.9477</f>
        <v>16033.947700000001</v>
      </c>
      <c r="EP231">
        <f>17511.30078</f>
        <v>17511.300780000001</v>
      </c>
      <c r="EQ231">
        <f>17455.66417</f>
        <v>17455.66417</v>
      </c>
      <c r="ER231">
        <f>17164.5464</f>
        <v>17164.546399999999</v>
      </c>
      <c r="ES231">
        <f>17208.92278</f>
        <v>17208.922780000001</v>
      </c>
      <c r="ET231">
        <f>16378.69719</f>
        <v>16378.697190000001</v>
      </c>
      <c r="EU231">
        <f>14282.18746</f>
        <v>14282.187459999999</v>
      </c>
      <c r="EV231">
        <f>14846.72955</f>
        <v>14846.72955</v>
      </c>
      <c r="EW231">
        <f>15510.19385</f>
        <v>15510.19385</v>
      </c>
      <c r="EX231">
        <f>15075.51034</f>
        <v>15075.510340000001</v>
      </c>
      <c r="EY231">
        <f>13138.09543</f>
        <v>13138.095429999999</v>
      </c>
      <c r="EZ231">
        <f>13179.76982</f>
        <v>13179.76982</v>
      </c>
      <c r="FA231">
        <f>13715.7219299999</f>
        <v>13715.72193</v>
      </c>
      <c r="FB231">
        <f>14026.45877</f>
        <v>14026.458769999999</v>
      </c>
      <c r="FC231">
        <f>13491.49083</f>
        <v>13491.490830000001</v>
      </c>
      <c r="FD231">
        <f>13326.51855</f>
        <v>13326.518550000001</v>
      </c>
      <c r="FE231">
        <f>13844.43578</f>
        <v>13844.43578</v>
      </c>
      <c r="FF231">
        <f>13458.81017</f>
        <v>13458.810170000001</v>
      </c>
      <c r="FG231">
        <f>12346.68492</f>
        <v>12346.68492</v>
      </c>
      <c r="FH231">
        <f>12933.09602</f>
        <v>12933.096020000001</v>
      </c>
      <c r="FI231">
        <f>12418.66289</f>
        <v>12418.66289</v>
      </c>
      <c r="FJ231">
        <f>11871.92524</f>
        <v>11871.92524</v>
      </c>
      <c r="FK231">
        <f>12573.54508</f>
        <v>12573.54508</v>
      </c>
      <c r="FL231">
        <f>10726.403</f>
        <v>10726.403</v>
      </c>
      <c r="FM231">
        <f>12826.5396</f>
        <v>12826.5396</v>
      </c>
      <c r="FN231">
        <f>11718.03504</f>
        <v>11718.035040000001</v>
      </c>
      <c r="FO231">
        <f>11212.4279</f>
        <v>11212.427900000001</v>
      </c>
      <c r="FP231">
        <f>11620.23193</f>
        <v>11620.23193</v>
      </c>
      <c r="FQ231">
        <f>10973.58035</f>
        <v>10973.58035</v>
      </c>
    </row>
    <row r="232" spans="1:173">
      <c r="A232" t="str">
        <f>"    Camden 房地产信托公司"</f>
        <v xml:space="preserve">    Camden 房地产信托公司</v>
      </c>
      <c r="B232" t="str">
        <f>"CPT US Equity"</f>
        <v>CPT US Equity</v>
      </c>
      <c r="C232" t="str">
        <f t="shared" si="75"/>
        <v>F0825</v>
      </c>
      <c r="D232" t="str">
        <f t="shared" si="76"/>
        <v>INDUSTRY_STANDARDIZED_MARKET_CAP</v>
      </c>
      <c r="E232" t="str">
        <f t="shared" si="77"/>
        <v>动态</v>
      </c>
      <c r="F232">
        <f ca="1">IF(AND(ISNUMBER($F$432),$B$252=1),$F$432,HLOOKUP(INDIRECT(ADDRESS(2,COLUMN())),OFFSET($CL$2,0,0,ROW()-1,84),ROW()-1,FALSE))</f>
        <v>7863.5453340000004</v>
      </c>
      <c r="G232">
        <f ca="1">IF(AND(ISNUMBER($G$432),$B$252=1),$G$432,HLOOKUP(INDIRECT(ADDRESS(2,COLUMN())),OFFSET($CL$2,0,0,ROW()-1,84),ROW()-1,FALSE))</f>
        <v>7540.9429490000002</v>
      </c>
      <c r="H232">
        <f ca="1">IF(AND(ISNUMBER($H$432),$B$252=1),$H$432,HLOOKUP(INDIRECT(ADDRESS(2,COLUMN())),OFFSET($CL$2,0,0,ROW()-1,84),ROW()-1,FALSE))</f>
        <v>8185.0394180000003</v>
      </c>
      <c r="I232">
        <f ca="1">IF(AND(ISNUMBER($I$432),$B$252=1),$I$432,HLOOKUP(INDIRECT(ADDRESS(2,COLUMN())),OFFSET($CL$2,0,0,ROW()-1,84),ROW()-1,FALSE))</f>
        <v>8705.114705</v>
      </c>
      <c r="J232">
        <f ca="1">IF(AND(ISNUMBER($J$432),$B$252=1),$J$432,HLOOKUP(INDIRECT(ADDRESS(2,COLUMN())),OFFSET($CL$2,0,0,ROW()-1,84),ROW()-1,FALSE))</f>
        <v>8631.2672930000008</v>
      </c>
      <c r="K232">
        <f ca="1">IF(AND(ISNUMBER($K$432),$B$252=1),$K$432,HLOOKUP(INDIRECT(ADDRESS(2,COLUMN())),OFFSET($CL$2,0,0,ROW()-1,84),ROW()-1,FALSE))</f>
        <v>8627.4849670000003</v>
      </c>
      <c r="L232">
        <f ca="1">IF(AND(ISNUMBER($L$432),$B$252=1),$L$432,HLOOKUP(INDIRECT(ADDRESS(2,COLUMN())),OFFSET($CL$2,0,0,ROW()-1,84),ROW()-1,FALSE))</f>
        <v>8646.4407549999996</v>
      </c>
      <c r="M232">
        <f ca="1">IF(AND(ISNUMBER($M$432),$B$252=1),$M$432,HLOOKUP(INDIRECT(ADDRESS(2,COLUMN())),OFFSET($CL$2,0,0,ROW()-1,84),ROW()-1,FALSE))</f>
        <v>8013.0162319999999</v>
      </c>
      <c r="N232">
        <f ca="1">IF(AND(ISNUMBER($N$432),$B$252=1),$N$432,HLOOKUP(INDIRECT(ADDRESS(2,COLUMN())),OFFSET($CL$2,0,0,ROW()-1,84),ROW()-1,FALSE))</f>
        <v>8032.7174340000001</v>
      </c>
      <c r="O232">
        <f ca="1">IF(AND(ISNUMBER($O$432),$B$252=1),$O$432,HLOOKUP(INDIRECT(ADDRESS(2,COLUMN())),OFFSET($CL$2,0,0,ROW()-1,84),ROW()-1,FALSE))</f>
        <v>7655.2145989999999</v>
      </c>
      <c r="P232">
        <f ca="1">IF(AND(ISNUMBER($P$432),$B$252=1),$P$432,HLOOKUP(INDIRECT(ADDRESS(2,COLUMN())),OFFSET($CL$2,0,0,ROW()-1,84),ROW()-1,FALSE))</f>
        <v>7458.2615050000004</v>
      </c>
      <c r="Q232">
        <f ca="1">IF(AND(ISNUMBER($Q$432),$B$252=1),$Q$432,HLOOKUP(INDIRECT(ADDRESS(2,COLUMN())),OFFSET($CL$2,0,0,ROW()-1,84),ROW()-1,FALSE))</f>
        <v>7369.5862200000001</v>
      </c>
      <c r="R232">
        <f ca="1">IF(AND(ISNUMBER($R$432),$B$252=1),$R$432,HLOOKUP(INDIRECT(ADDRESS(2,COLUMN())),OFFSET($CL$2,0,0,ROW()-1,84),ROW()-1,FALSE))</f>
        <v>7202.1973429999998</v>
      </c>
      <c r="S232">
        <f ca="1">IF(AND(ISNUMBER($S$432),$B$252=1),$S$432,HLOOKUP(INDIRECT(ADDRESS(2,COLUMN())),OFFSET($CL$2,0,0,ROW()-1,84),ROW()-1,FALSE))</f>
        <v>7409.2547850000001</v>
      </c>
      <c r="T232">
        <f ca="1">IF(AND(ISNUMBER($T$432),$B$252=1),$T$432,HLOOKUP(INDIRECT(ADDRESS(2,COLUMN())),OFFSET($CL$2,0,0,ROW()-1,84),ROW()-1,FALSE))</f>
        <v>7310.842146</v>
      </c>
      <c r="U232">
        <f ca="1">IF(AND(ISNUMBER($U$432),$B$252=1),$U$432,HLOOKUP(INDIRECT(ADDRESS(2,COLUMN())),OFFSET($CL$2,0,0,ROW()-1,84),ROW()-1,FALSE))</f>
        <v>7354.5829750000003</v>
      </c>
      <c r="V232">
        <f ca="1">IF(AND(ISNUMBER($V$432),$B$252=1),$V$432,HLOOKUP(INDIRECT(ADDRESS(2,COLUMN())),OFFSET($CL$2,0,0,ROW()-1,84),ROW()-1,FALSE))</f>
        <v>6885.6811319999997</v>
      </c>
      <c r="W232">
        <f ca="1">IF(AND(ISNUMBER($W$432),$B$252=1),$W$432,HLOOKUP(INDIRECT(ADDRESS(2,COLUMN())),OFFSET($CL$2,0,0,ROW()-1,84),ROW()-1,FALSE))</f>
        <v>7124.5060519999997</v>
      </c>
      <c r="X232">
        <f ca="1">IF(AND(ISNUMBER($X$432),$B$252=1),$X$432,HLOOKUP(INDIRECT(ADDRESS(2,COLUMN())),OFFSET($CL$2,0,0,ROW()-1,84),ROW()-1,FALSE))</f>
        <v>7320.0546130000002</v>
      </c>
      <c r="Y232">
        <f ca="1">IF(AND(ISNUMBER($Y$432),$B$252=1),$Y$432,HLOOKUP(INDIRECT(ADDRESS(2,COLUMN())),OFFSET($CL$2,0,0,ROW()-1,84),ROW()-1,FALSE))</f>
        <v>7837.9650659999998</v>
      </c>
      <c r="Z232">
        <f ca="1">IF(AND(ISNUMBER($Z$432),$B$252=1),$Z$432,HLOOKUP(INDIRECT(ADDRESS(2,COLUMN())),OFFSET($CL$2,0,0,ROW()-1,84),ROW()-1,FALSE))</f>
        <v>8000.4932239999998</v>
      </c>
      <c r="AA232">
        <f ca="1">IF(AND(ISNUMBER($AA$432),$B$252=1),$AA$432,HLOOKUP(INDIRECT(ADDRESS(2,COLUMN())),OFFSET($CL$2,0,0,ROW()-1,84),ROW()-1,FALSE))</f>
        <v>7859.4007799999999</v>
      </c>
      <c r="AB232">
        <f ca="1">IF(AND(ISNUMBER($AB$432),$B$252=1),$AB$432,HLOOKUP(INDIRECT(ADDRESS(2,COLUMN())),OFFSET($CL$2,0,0,ROW()-1,84),ROW()-1,FALSE))</f>
        <v>7574.3286950000002</v>
      </c>
      <c r="AC232">
        <f ca="1">IF(AND(ISNUMBER($AC$432),$B$252=1),$AC$432,HLOOKUP(INDIRECT(ADDRESS(2,COLUMN())),OFFSET($CL$2,0,0,ROW()-1,84),ROW()-1,FALSE))</f>
        <v>7176.1008750000001</v>
      </c>
      <c r="AD232">
        <f ca="1">IF(AND(ISNUMBER($AD$432),$B$252=1),$AD$432,HLOOKUP(INDIRECT(ADDRESS(2,COLUMN())),OFFSET($CL$2,0,0,ROW()-1,84),ROW()-1,FALSE))</f>
        <v>7468.8392739999999</v>
      </c>
      <c r="AE232">
        <f ca="1">IF(AND(ISNUMBER($AE$432),$B$252=1),$AE$432,HLOOKUP(INDIRECT(ADDRESS(2,COLUMN())),OFFSET($CL$2,0,0,ROW()-1,84),ROW()-1,FALSE))</f>
        <v>6638.6003330000003</v>
      </c>
      <c r="AF232">
        <f ca="1">IF(AND(ISNUMBER($AF$432),$B$252=1),$AF$432,HLOOKUP(INDIRECT(ADDRESS(2,COLUMN())),OFFSET($CL$2,0,0,ROW()-1,84),ROW()-1,FALSE))</f>
        <v>6772.097358</v>
      </c>
      <c r="AG232">
        <f ca="1">IF(AND(ISNUMBER($AG$432),$B$252=1),$AG$432,HLOOKUP(INDIRECT(ADDRESS(2,COLUMN())),OFFSET($CL$2,0,0,ROW()-1,84),ROW()-1,FALSE))</f>
        <v>6812.9252049999996</v>
      </c>
      <c r="AH232">
        <f ca="1">IF(AND(ISNUMBER($AH$432),$B$252=1),$AH$432,HLOOKUP(INDIRECT(ADDRESS(2,COLUMN())),OFFSET($CL$2,0,0,ROW()-1,84),ROW()-1,FALSE))</f>
        <v>6779.1978529999997</v>
      </c>
      <c r="AI232">
        <f ca="1">IF(AND(ISNUMBER($AI$432),$B$252=1),$AI$432,HLOOKUP(INDIRECT(ADDRESS(2,COLUMN())),OFFSET($CL$2,0,0,ROW()-1,84),ROW()-1,FALSE))</f>
        <v>6549.3193190000002</v>
      </c>
      <c r="AJ232">
        <f ca="1">IF(AND(ISNUMBER($AJ$432),$B$252=1),$AJ$432,HLOOKUP(INDIRECT(ADDRESS(2,COLUMN())),OFFSET($CL$2,0,0,ROW()-1,84),ROW()-1,FALSE))</f>
        <v>6558.4995179999996</v>
      </c>
      <c r="AK232">
        <f ca="1">IF(AND(ISNUMBER($AK$432),$B$252=1),$AK$432,HLOOKUP(INDIRECT(ADDRESS(2,COLUMN())),OFFSET($CL$2,0,0,ROW()-1,84),ROW()-1,FALSE))</f>
        <v>6392.6842530000004</v>
      </c>
      <c r="AL232">
        <f ca="1">IF(AND(ISNUMBER($AL$432),$B$252=1),$AL$432,HLOOKUP(INDIRECT(ADDRESS(2,COLUMN())),OFFSET($CL$2,0,0,ROW()-1,84),ROW()-1,FALSE))</f>
        <v>7067.1865479999997</v>
      </c>
      <c r="AM232">
        <f ca="1">IF(AND(ISNUMBER($AM$432),$B$252=1),$AM$432,HLOOKUP(INDIRECT(ADDRESS(2,COLUMN())),OFFSET($CL$2,0,0,ROW()-1,84),ROW()-1,FALSE))</f>
        <v>6591.5144319999999</v>
      </c>
      <c r="AN232">
        <f ca="1">IF(AND(ISNUMBER($AN$432),$B$252=1),$AN$432,HLOOKUP(INDIRECT(ADDRESS(2,COLUMN())),OFFSET($CL$2,0,0,ROW()-1,84),ROW()-1,FALSE))</f>
        <v>6653.6315569999997</v>
      </c>
      <c r="AO232">
        <f ca="1">IF(AND(ISNUMBER($AO$432),$B$252=1),$AO$432,HLOOKUP(INDIRECT(ADDRESS(2,COLUMN())),OFFSET($CL$2,0,0,ROW()-1,84),ROW()-1,FALSE))</f>
        <v>6892.435641</v>
      </c>
      <c r="AP232">
        <f ca="1">IF(AND(ISNUMBER($AP$432),$B$252=1),$AP$432,HLOOKUP(INDIRECT(ADDRESS(2,COLUMN())),OFFSET($CL$2,0,0,ROW()-1,84),ROW()-1,FALSE))</f>
        <v>7172.4293639999996</v>
      </c>
      <c r="AQ232">
        <f ca="1">IF(AND(ISNUMBER($AQ$432),$B$252=1),$AQ$432,HLOOKUP(INDIRECT(ADDRESS(2,COLUMN())),OFFSET($CL$2,0,0,ROW()-1,84),ROW()-1,FALSE))</f>
        <v>6450.3237820000004</v>
      </c>
      <c r="AR232">
        <f ca="1">IF(AND(ISNUMBER($AR$432),$B$252=1),$AR$432,HLOOKUP(INDIRECT(ADDRESS(2,COLUMN())),OFFSET($CL$2,0,0,ROW()-1,84),ROW()-1,FALSE))</f>
        <v>6803.1646350000001</v>
      </c>
      <c r="AS232">
        <f ca="1">IF(AND(ISNUMBER($AS$432),$B$252=1),$AS$432,HLOOKUP(INDIRECT(ADDRESS(2,COLUMN())),OFFSET($CL$2,0,0,ROW()-1,84),ROW()-1,FALSE))</f>
        <v>6519.7362320000002</v>
      </c>
      <c r="AT232">
        <f ca="1">IF(AND(ISNUMBER($AT$432),$B$252=1),$AT$432,HLOOKUP(INDIRECT(ADDRESS(2,COLUMN())),OFFSET($CL$2,0,0,ROW()-1,84),ROW()-1,FALSE))</f>
        <v>6770.4953180000002</v>
      </c>
      <c r="AU232">
        <f ca="1">IF(AND(ISNUMBER($AU$432),$B$252=1),$AU$432,HLOOKUP(INDIRECT(ADDRESS(2,COLUMN())),OFFSET($CL$2,0,0,ROW()-1,84),ROW()-1,FALSE))</f>
        <v>6769.6123630000002</v>
      </c>
      <c r="AV232">
        <f ca="1">IF(AND(ISNUMBER($AV$432),$B$252=1),$AV$432,HLOOKUP(INDIRECT(ADDRESS(2,COLUMN())),OFFSET($CL$2,0,0,ROW()-1,84),ROW()-1,FALSE))</f>
        <v>5999.3900149999999</v>
      </c>
      <c r="AW232">
        <f ca="1">IF(AND(ISNUMBER($AW$432),$B$252=1),$AW$432,HLOOKUP(INDIRECT(ADDRESS(2,COLUMN())),OFFSET($CL$2,0,0,ROW()-1,84),ROW()-1,FALSE))</f>
        <v>6552.0410869999996</v>
      </c>
      <c r="AX232">
        <f ca="1">IF(AND(ISNUMBER($AX$432),$B$252=1),$AX$432,HLOOKUP(INDIRECT(ADDRESS(2,COLUMN())),OFFSET($CL$2,0,0,ROW()-1,84),ROW()-1,FALSE))</f>
        <v>6328.9752660000004</v>
      </c>
      <c r="AY232">
        <f ca="1">IF(AND(ISNUMBER($AY$432),$B$252=1),$AY$432,HLOOKUP(INDIRECT(ADDRESS(2,COLUMN())),OFFSET($CL$2,0,0,ROW()-1,84),ROW()-1,FALSE))</f>
        <v>6223.142484</v>
      </c>
      <c r="AZ232">
        <f ca="1">IF(AND(ISNUMBER($AZ$432),$B$252=1),$AZ$432,HLOOKUP(INDIRECT(ADDRESS(2,COLUMN())),OFFSET($CL$2,0,0,ROW()-1,84),ROW()-1,FALSE))</f>
        <v>6143.5492350000004</v>
      </c>
      <c r="BA232">
        <f ca="1">IF(AND(ISNUMBER($BA$432),$B$252=1),$BA$432,HLOOKUP(INDIRECT(ADDRESS(2,COLUMN())),OFFSET($CL$2,0,0,ROW()-1,84),ROW()-1,FALSE))</f>
        <v>6201.2052270000004</v>
      </c>
      <c r="BB232">
        <f ca="1">IF(AND(ISNUMBER($BB$432),$B$252=1),$BB$432,HLOOKUP(INDIRECT(ADDRESS(2,COLUMN())),OFFSET($CL$2,0,0,ROW()-1,84),ROW()-1,FALSE))</f>
        <v>6097.0822010000002</v>
      </c>
      <c r="BC232">
        <f ca="1">IF(AND(ISNUMBER($BC$432),$B$252=1),$BC$432,HLOOKUP(INDIRECT(ADDRESS(2,COLUMN())),OFFSET($CL$2,0,0,ROW()-1,84),ROW()-1,FALSE))</f>
        <v>5824.3085060000003</v>
      </c>
      <c r="BD232">
        <f ca="1">IF(AND(ISNUMBER($BD$432),$B$252=1),$BD$432,HLOOKUP(INDIRECT(ADDRESS(2,COLUMN())),OFFSET($CL$2,0,0,ROW()-1,84),ROW()-1,FALSE))</f>
        <v>5398.182186</v>
      </c>
      <c r="BE232">
        <f ca="1">IF(AND(ISNUMBER($BE$432),$B$252=1),$BE$432,HLOOKUP(INDIRECT(ADDRESS(2,COLUMN())),OFFSET($CL$2,0,0,ROW()-1,84),ROW()-1,FALSE))</f>
        <v>4966.8166090000004</v>
      </c>
      <c r="BF232">
        <f ca="1">IF(AND(ISNUMBER($BF$432),$B$252=1),$BF$432,HLOOKUP(INDIRECT(ADDRESS(2,COLUMN())),OFFSET($CL$2,0,0,ROW()-1,84),ROW()-1,FALSE))</f>
        <v>5051.0912589999998</v>
      </c>
      <c r="BG232">
        <f ca="1">IF(AND(ISNUMBER($BG$432),$B$252=1),$BG$432,HLOOKUP(INDIRECT(ADDRESS(2,COLUMN())),OFFSET($CL$2,0,0,ROW()-1,84),ROW()-1,FALSE))</f>
        <v>5595.7113220000001</v>
      </c>
      <c r="BH232">
        <f ca="1">IF(AND(ISNUMBER($BH$432),$B$252=1),$BH$432,HLOOKUP(INDIRECT(ADDRESS(2,COLUMN())),OFFSET($CL$2,0,0,ROW()-1,84),ROW()-1,FALSE))</f>
        <v>5355.1480309999997</v>
      </c>
      <c r="BI232">
        <f ca="1">IF(AND(ISNUMBER($BI$432),$B$252=1),$BI$432,HLOOKUP(INDIRECT(ADDRESS(2,COLUMN())),OFFSET($CL$2,0,0,ROW()-1,84),ROW()-1,FALSE))</f>
        <v>5385.6542460000001</v>
      </c>
      <c r="BJ232">
        <f ca="1">IF(AND(ISNUMBER($BJ$432),$B$252=1),$BJ$432,HLOOKUP(INDIRECT(ADDRESS(2,COLUMN())),OFFSET($CL$2,0,0,ROW()-1,84),ROW()-1,FALSE))</f>
        <v>6148.3096050000004</v>
      </c>
      <c r="BK232">
        <f ca="1">IF(AND(ISNUMBER($BK$432),$B$252=1),$BK$432,HLOOKUP(INDIRECT(ADDRESS(2,COLUMN())),OFFSET($CL$2,0,0,ROW()-1,84),ROW()-1,FALSE))</f>
        <v>5997.0619779999997</v>
      </c>
      <c r="BL232">
        <f ca="1">IF(AND(ISNUMBER($BL$432),$B$252=1),$BL$432,HLOOKUP(INDIRECT(ADDRESS(2,COLUMN())),OFFSET($CL$2,0,0,ROW()-1,84),ROW()-1,FALSE))</f>
        <v>6006.6755720000001</v>
      </c>
      <c r="BM232">
        <f ca="1">IF(AND(ISNUMBER($BM$432),$B$252=1),$BM$432,HLOOKUP(INDIRECT(ADDRESS(2,COLUMN())),OFFSET($CL$2,0,0,ROW()-1,84),ROW()-1,FALSE))</f>
        <v>6222.4480610000001</v>
      </c>
      <c r="BN232">
        <f ca="1">IF(AND(ISNUMBER($BN$432),$B$252=1),$BN$432,HLOOKUP(INDIRECT(ADDRESS(2,COLUMN())),OFFSET($CL$2,0,0,ROW()-1,84),ROW()-1,FALSE))</f>
        <v>5907.6269400000001</v>
      </c>
      <c r="BO232">
        <f ca="1">IF(AND(ISNUMBER($BO$432),$B$252=1),$BO$432,HLOOKUP(INDIRECT(ADDRESS(2,COLUMN())),OFFSET($CL$2,0,0,ROW()-1,84),ROW()-1,FALSE))</f>
        <v>5967.8674819999997</v>
      </c>
      <c r="BP232">
        <f ca="1">IF(AND(ISNUMBER($BP$432),$B$252=1),$BP$432,HLOOKUP(INDIRECT(ADDRESS(2,COLUMN())),OFFSET($CL$2,0,0,ROW()-1,84),ROW()-1,FALSE))</f>
        <v>5989.4464070000004</v>
      </c>
      <c r="BQ232">
        <f ca="1">IF(AND(ISNUMBER($BQ$432),$B$252=1),$BQ$432,HLOOKUP(INDIRECT(ADDRESS(2,COLUMN())),OFFSET($CL$2,0,0,ROW()-1,84),ROW()-1,FALSE))</f>
        <v>5887.5938809999998</v>
      </c>
      <c r="BR232">
        <f ca="1">IF(AND(ISNUMBER($BR$432),$B$252=1),$BR$432,HLOOKUP(INDIRECT(ADDRESS(2,COLUMN())),OFFSET($CL$2,0,0,ROW()-1,84),ROW()-1,FALSE))</f>
        <v>5672.321175</v>
      </c>
      <c r="BS232">
        <f ca="1">IF(AND(ISNUMBER($BS$432),$B$252=1),$BS$432,HLOOKUP(INDIRECT(ADDRESS(2,COLUMN())),OFFSET($CL$2,0,0,ROW()-1,84),ROW()-1,FALSE))</f>
        <v>5631.4872770000002</v>
      </c>
      <c r="BT232">
        <f ca="1">IF(AND(ISNUMBER($BT$432),$B$252=1),$BT$432,HLOOKUP(INDIRECT(ADDRESS(2,COLUMN())),OFFSET($CL$2,0,0,ROW()-1,84),ROW()-1,FALSE))</f>
        <v>5533.667751</v>
      </c>
      <c r="BU232">
        <f ca="1">IF(AND(ISNUMBER($BU$432),$B$252=1),$BU$432,HLOOKUP(INDIRECT(ADDRESS(2,COLUMN())),OFFSET($CL$2,0,0,ROW()-1,84),ROW()-1,FALSE))</f>
        <v>5957.5523629999998</v>
      </c>
      <c r="BV232">
        <f ca="1">IF(AND(ISNUMBER($BV$432),$B$252=1),$BV$432,HLOOKUP(INDIRECT(ADDRESS(2,COLUMN())),OFFSET($CL$2,0,0,ROW()-1,84),ROW()-1,FALSE))</f>
        <v>5883.7240060000004</v>
      </c>
      <c r="BW232">
        <f ca="1">IF(AND(ISNUMBER($BW$432),$B$252=1),$BW$432,HLOOKUP(INDIRECT(ADDRESS(2,COLUMN())),OFFSET($CL$2,0,0,ROW()-1,84),ROW()-1,FALSE))</f>
        <v>5583.3908780000002</v>
      </c>
      <c r="BX232">
        <f ca="1">IF(AND(ISNUMBER($BX$432),$B$252=1),$BX$432,HLOOKUP(INDIRECT(ADDRESS(2,COLUMN())),OFFSET($CL$2,0,0,ROW()-1,84),ROW()-1,FALSE))</f>
        <v>5376.7252790000002</v>
      </c>
      <c r="BY232">
        <f ca="1">IF(AND(ISNUMBER($BY$432),$B$252=1),$BY$432,HLOOKUP(INDIRECT(ADDRESS(2,COLUMN())),OFFSET($CL$2,0,0,ROW()-1,84),ROW()-1,FALSE))</f>
        <v>5588.127778</v>
      </c>
      <c r="BZ232">
        <f ca="1">IF(AND(ISNUMBER($BZ$432),$B$252=1),$BZ$432,HLOOKUP(INDIRECT(ADDRESS(2,COLUMN())),OFFSET($CL$2,0,0,ROW()-1,84),ROW()-1,FALSE))</f>
        <v>5332.0093489999999</v>
      </c>
      <c r="CA232">
        <f ca="1">IF(AND(ISNUMBER($CA$432),$B$252=1),$CA$432,HLOOKUP(INDIRECT(ADDRESS(2,COLUMN())),OFFSET($CL$2,0,0,ROW()-1,84),ROW()-1,FALSE))</f>
        <v>5038.7523520000004</v>
      </c>
      <c r="CB232">
        <f ca="1">IF(AND(ISNUMBER($CB$432),$B$252=1),$CB$432,HLOOKUP(INDIRECT(ADDRESS(2,COLUMN())),OFFSET($CL$2,0,0,ROW()-1,84),ROW()-1,FALSE))</f>
        <v>5240.8959240000004</v>
      </c>
      <c r="CC232">
        <f ca="1">IF(AND(ISNUMBER($CC$432),$B$252=1),$CC$432,HLOOKUP(INDIRECT(ADDRESS(2,COLUMN())),OFFSET($CL$2,0,0,ROW()-1,84),ROW()-1,FALSE))</f>
        <v>4594.7868719999997</v>
      </c>
      <c r="CD232">
        <f ca="1">IF(AND(ISNUMBER($CD$432),$B$252=1),$CD$432,HLOOKUP(INDIRECT(ADDRESS(2,COLUMN())),OFFSET($CL$2,0,0,ROW()-1,84),ROW()-1,FALSE))</f>
        <v>4261.4378909999996</v>
      </c>
      <c r="CE232">
        <f ca="1">IF(AND(ISNUMBER($CE$432),$B$252=1),$CE$432,HLOOKUP(INDIRECT(ADDRESS(2,COLUMN())),OFFSET($CL$2,0,0,ROW()-1,84),ROW()-1,FALSE))</f>
        <v>4465.2325659999997</v>
      </c>
      <c r="CF232">
        <f ca="1">IF(AND(ISNUMBER($CF$432),$B$252=1),$CF$432,HLOOKUP(INDIRECT(ADDRESS(2,COLUMN())),OFFSET($CL$2,0,0,ROW()-1,84),ROW()-1,FALSE))</f>
        <v>4069.0757189999999</v>
      </c>
      <c r="CG232">
        <f ca="1">IF(AND(ISNUMBER($CG$432),$B$252=1),$CG$432,HLOOKUP(INDIRECT(ADDRESS(2,COLUMN())),OFFSET($CL$2,0,0,ROW()-1,84),ROW()-1,FALSE))</f>
        <v>4920.7652349999998</v>
      </c>
      <c r="CH232">
        <f ca="1">IF(AND(ISNUMBER($CH$432),$B$252=1),$CH$432,HLOOKUP(INDIRECT(ADDRESS(2,COLUMN())),OFFSET($CL$2,0,0,ROW()-1,84),ROW()-1,FALSE))</f>
        <v>4939.1757600000001</v>
      </c>
      <c r="CI232">
        <f ca="1">IF(AND(ISNUMBER($CI$432),$B$252=1),$CI$432,HLOOKUP(INDIRECT(ADDRESS(2,COLUMN())),OFFSET($CL$2,0,0,ROW()-1,84),ROW()-1,FALSE))</f>
        <v>4621.8084339999996</v>
      </c>
      <c r="CJ232">
        <f ca="1">IF(AND(ISNUMBER($CJ$432),$B$252=1),$CJ$432,HLOOKUP(INDIRECT(ADDRESS(2,COLUMN())),OFFSET($CL$2,0,0,ROW()-1,84),ROW()-1,FALSE))</f>
        <v>4670.4625999999998</v>
      </c>
      <c r="CK232">
        <f ca="1">IF(AND(ISNUMBER($CK$432),$B$252=1),$CK$432,HLOOKUP(INDIRECT(ADDRESS(2,COLUMN())),OFFSET($CL$2,0,0,ROW()-1,84),ROW()-1,FALSE))</f>
        <v>4559.2957079999996</v>
      </c>
      <c r="CL232">
        <f>7863.545334</f>
        <v>7863.5453340000004</v>
      </c>
      <c r="CM232">
        <f>7540.942949</f>
        <v>7540.9429490000002</v>
      </c>
      <c r="CN232">
        <f>8185.039418</f>
        <v>8185.0394180000003</v>
      </c>
      <c r="CO232">
        <f>8705.114705</f>
        <v>8705.114705</v>
      </c>
      <c r="CP232">
        <f>8631.267293</f>
        <v>8631.2672930000008</v>
      </c>
      <c r="CQ232">
        <f>8627.484967</f>
        <v>8627.4849670000003</v>
      </c>
      <c r="CR232">
        <f>8646.440755</f>
        <v>8646.4407549999996</v>
      </c>
      <c r="CS232">
        <f>8013.016232</f>
        <v>8013.0162319999999</v>
      </c>
      <c r="CT232">
        <f>8032.717434</f>
        <v>8032.7174340000001</v>
      </c>
      <c r="CU232">
        <f>7655.214599</f>
        <v>7655.2145989999999</v>
      </c>
      <c r="CV232">
        <f>7458.261505</f>
        <v>7458.2615050000004</v>
      </c>
      <c r="CW232">
        <f>7369.58622</f>
        <v>7369.5862200000001</v>
      </c>
      <c r="CX232">
        <f>7202.197343</f>
        <v>7202.1973429999998</v>
      </c>
      <c r="CY232">
        <f>7409.254785</f>
        <v>7409.2547850000001</v>
      </c>
      <c r="CZ232">
        <f>7310.842146</f>
        <v>7310.842146</v>
      </c>
      <c r="DA232">
        <f>7354.582975</f>
        <v>7354.5829750000003</v>
      </c>
      <c r="DB232">
        <f>6885.681132</f>
        <v>6885.6811319999997</v>
      </c>
      <c r="DC232">
        <f>7124.506052</f>
        <v>7124.5060519999997</v>
      </c>
      <c r="DD232">
        <f>7320.054613</f>
        <v>7320.0546130000002</v>
      </c>
      <c r="DE232">
        <f>7837.965066</f>
        <v>7837.9650659999998</v>
      </c>
      <c r="DF232">
        <f>8000.493224</f>
        <v>8000.4932239999998</v>
      </c>
      <c r="DG232">
        <f>7859.40078</f>
        <v>7859.4007799999999</v>
      </c>
      <c r="DH232">
        <f>7574.328695</f>
        <v>7574.3286950000002</v>
      </c>
      <c r="DI232">
        <f>7176.100875</f>
        <v>7176.1008750000001</v>
      </c>
      <c r="DJ232">
        <f>7468.839274</f>
        <v>7468.8392739999999</v>
      </c>
      <c r="DK232">
        <f>6638.600333</f>
        <v>6638.6003330000003</v>
      </c>
      <c r="DL232">
        <f>6772.097358</f>
        <v>6772.097358</v>
      </c>
      <c r="DM232">
        <f>6812.925205</f>
        <v>6812.9252049999996</v>
      </c>
      <c r="DN232">
        <f>6779.197853</f>
        <v>6779.1978529999997</v>
      </c>
      <c r="DO232">
        <f>6549.319319</f>
        <v>6549.3193190000002</v>
      </c>
      <c r="DP232">
        <f>6558.499518</f>
        <v>6558.4995179999996</v>
      </c>
      <c r="DQ232">
        <f>6392.684253</f>
        <v>6392.6842530000004</v>
      </c>
      <c r="DR232">
        <f>7067.186548</f>
        <v>7067.1865479999997</v>
      </c>
      <c r="DS232">
        <f>6591.514432</f>
        <v>6591.5144319999999</v>
      </c>
      <c r="DT232">
        <f>6653.631557</f>
        <v>6653.6315569999997</v>
      </c>
      <c r="DU232">
        <f>6892.435641</f>
        <v>6892.435641</v>
      </c>
      <c r="DV232">
        <f>7172.429364</f>
        <v>7172.4293639999996</v>
      </c>
      <c r="DW232">
        <f>6450.323782</f>
        <v>6450.3237820000004</v>
      </c>
      <c r="DX232">
        <f>6803.164635</f>
        <v>6803.1646350000001</v>
      </c>
      <c r="DY232">
        <f>6519.736232</f>
        <v>6519.7362320000002</v>
      </c>
      <c r="DZ232">
        <f>6770.495318</f>
        <v>6770.4953180000002</v>
      </c>
      <c r="EA232">
        <f>6769.612363</f>
        <v>6769.6123630000002</v>
      </c>
      <c r="EB232">
        <f>5999.390015</f>
        <v>5999.3900149999999</v>
      </c>
      <c r="EC232">
        <f>6552.041087</f>
        <v>6552.0410869999996</v>
      </c>
      <c r="ED232">
        <f>6328.975266</f>
        <v>6328.9752660000004</v>
      </c>
      <c r="EE232">
        <f>6223.142484</f>
        <v>6223.142484</v>
      </c>
      <c r="EF232">
        <f>6143.549235</f>
        <v>6143.5492350000004</v>
      </c>
      <c r="EG232">
        <f>6201.205227</f>
        <v>6201.2052270000004</v>
      </c>
      <c r="EH232">
        <f>6097.082201</f>
        <v>6097.0822010000002</v>
      </c>
      <c r="EI232">
        <f>5824.308506</f>
        <v>5824.3085060000003</v>
      </c>
      <c r="EJ232">
        <f>5398.182186</f>
        <v>5398.182186</v>
      </c>
      <c r="EK232">
        <f>4966.816609</f>
        <v>4966.8166090000004</v>
      </c>
      <c r="EL232">
        <f>5051.091259</f>
        <v>5051.0912589999998</v>
      </c>
      <c r="EM232">
        <f>5595.711322</f>
        <v>5595.7113220000001</v>
      </c>
      <c r="EN232">
        <f>5355.148031</f>
        <v>5355.1480309999997</v>
      </c>
      <c r="EO232">
        <f>5385.654246</f>
        <v>5385.6542460000001</v>
      </c>
      <c r="EP232">
        <f>6148.309605</f>
        <v>6148.3096050000004</v>
      </c>
      <c r="EQ232">
        <f>5997.061978</f>
        <v>5997.0619779999997</v>
      </c>
      <c r="ER232">
        <f>6006.675572</f>
        <v>6006.6755720000001</v>
      </c>
      <c r="ES232">
        <f>6222.448061</f>
        <v>6222.4480610000001</v>
      </c>
      <c r="ET232">
        <f>5907.62694</f>
        <v>5907.6269400000001</v>
      </c>
      <c r="EU232">
        <f>5967.867482</f>
        <v>5967.8674819999997</v>
      </c>
      <c r="EV232">
        <f>5989.446407</f>
        <v>5989.4464070000004</v>
      </c>
      <c r="EW232">
        <f>5887.593881</f>
        <v>5887.5938809999998</v>
      </c>
      <c r="EX232">
        <f>5672.321175</f>
        <v>5672.321175</v>
      </c>
      <c r="EY232">
        <f>5631.487277</f>
        <v>5631.4872770000002</v>
      </c>
      <c r="EZ232">
        <f>5533.667751</f>
        <v>5533.667751</v>
      </c>
      <c r="FA232">
        <f>5957.552363</f>
        <v>5957.5523629999998</v>
      </c>
      <c r="FB232">
        <f>5883.724006</f>
        <v>5883.7240060000004</v>
      </c>
      <c r="FC232">
        <f>5583.390878</f>
        <v>5583.3908780000002</v>
      </c>
      <c r="FD232">
        <f>5376.725279</f>
        <v>5376.7252790000002</v>
      </c>
      <c r="FE232">
        <f>5588.127778</f>
        <v>5588.127778</v>
      </c>
      <c r="FF232">
        <f>5332.009349</f>
        <v>5332.0093489999999</v>
      </c>
      <c r="FG232">
        <f>5038.752352</f>
        <v>5038.7523520000004</v>
      </c>
      <c r="FH232">
        <f>5240.895924</f>
        <v>5240.8959240000004</v>
      </c>
      <c r="FI232">
        <f>4594.786872</f>
        <v>4594.7868719999997</v>
      </c>
      <c r="FJ232">
        <f>4261.437891</f>
        <v>4261.4378909999996</v>
      </c>
      <c r="FK232">
        <f>4465.232566</f>
        <v>4465.2325659999997</v>
      </c>
      <c r="FL232">
        <f>4069.075719</f>
        <v>4069.0757189999999</v>
      </c>
      <c r="FM232">
        <f>4920.765235</f>
        <v>4920.7652349999998</v>
      </c>
      <c r="FN232">
        <f>4939.17576</f>
        <v>4939.1757600000001</v>
      </c>
      <c r="FO232">
        <f>4621.808434</f>
        <v>4621.8084339999996</v>
      </c>
      <c r="FP232">
        <f>4670.4626</f>
        <v>4670.4625999999998</v>
      </c>
      <c r="FQ232">
        <f>4559.295708</f>
        <v>4559.2957079999996</v>
      </c>
    </row>
    <row r="233" spans="1:173">
      <c r="A233" t="str">
        <f>"    公寓物业权益信托"</f>
        <v xml:space="preserve">    公寓物业权益信托</v>
      </c>
      <c r="B233" t="str">
        <f>"EQR US Equity"</f>
        <v>EQR US Equity</v>
      </c>
      <c r="C233" t="str">
        <f t="shared" si="75"/>
        <v>F0825</v>
      </c>
      <c r="D233" t="str">
        <f t="shared" si="76"/>
        <v>INDUSTRY_STANDARDIZED_MARKET_CAP</v>
      </c>
      <c r="E233" t="str">
        <f t="shared" si="77"/>
        <v>动态</v>
      </c>
      <c r="F233">
        <f ca="1">IF(AND(ISNUMBER($F$433),$B$252=1),$F$433,HLOOKUP(INDIRECT(ADDRESS(2,COLUMN())),OFFSET($CL$2,0,0,ROW()-1,84),ROW()-1,FALSE))</f>
        <v>22675.659189999998</v>
      </c>
      <c r="G233">
        <f ca="1">IF(AND(ISNUMBER($G$433),$B$252=1),$G$433,HLOOKUP(INDIRECT(ADDRESS(2,COLUMN())),OFFSET($CL$2,0,0,ROW()-1,84),ROW()-1,FALSE))</f>
        <v>21476.374250000001</v>
      </c>
      <c r="H233">
        <f ca="1">IF(AND(ISNUMBER($H$433),$B$252=1),$H$433,HLOOKUP(INDIRECT(ADDRESS(2,COLUMN())),OFFSET($CL$2,0,0,ROW()-1,84),ROW()-1,FALSE))</f>
        <v>23521.8675</v>
      </c>
      <c r="I233">
        <f ca="1">IF(AND(ISNUMBER($I$433),$B$252=1),$I$433,HLOOKUP(INDIRECT(ADDRESS(2,COLUMN())),OFFSET($CL$2,0,0,ROW()-1,84),ROW()-1,FALSE))</f>
        <v>24312.518090000001</v>
      </c>
      <c r="J233">
        <f ca="1">IF(AND(ISNUMBER($J$433),$B$252=1),$J$433,HLOOKUP(INDIRECT(ADDRESS(2,COLUMN())),OFFSET($CL$2,0,0,ROW()-1,84),ROW()-1,FALSE))</f>
        <v>25478.116730000002</v>
      </c>
      <c r="K233">
        <f ca="1">IF(AND(ISNUMBER($K$433),$B$252=1),$K$433,HLOOKUP(INDIRECT(ADDRESS(2,COLUMN())),OFFSET($CL$2,0,0,ROW()-1,84),ROW()-1,FALSE))</f>
        <v>25634.349389999999</v>
      </c>
      <c r="L233">
        <f ca="1">IF(AND(ISNUMBER($L$433),$B$252=1),$L$433,HLOOKUP(INDIRECT(ADDRESS(2,COLUMN())),OFFSET($CL$2,0,0,ROW()-1,84),ROW()-1,FALSE))</f>
        <v>25127.455480000001</v>
      </c>
      <c r="M233">
        <f ca="1">IF(AND(ISNUMBER($M$433),$B$252=1),$M$433,HLOOKUP(INDIRECT(ADDRESS(2,COLUMN())),OFFSET($CL$2,0,0,ROW()-1,84),ROW()-1,FALSE))</f>
        <v>25592.838540000001</v>
      </c>
      <c r="N233">
        <f ca="1">IF(AND(ISNUMBER($N$433),$B$252=1),$N$433,HLOOKUP(INDIRECT(ADDRESS(2,COLUMN())),OFFSET($CL$2,0,0,ROW()-1,84),ROW()-1,FALSE))</f>
        <v>25938.679960000001</v>
      </c>
      <c r="O233">
        <f ca="1">IF(AND(ISNUMBER($O$433),$B$252=1),$O$433,HLOOKUP(INDIRECT(ADDRESS(2,COLUMN())),OFFSET($CL$2,0,0,ROW()-1,84),ROW()-1,FALSE))</f>
        <v>25079.32732</v>
      </c>
      <c r="P233">
        <f ca="1">IF(AND(ISNUMBER($P$433),$B$252=1),$P$433,HLOOKUP(INDIRECT(ADDRESS(2,COLUMN())),OFFSET($CL$2,0,0,ROW()-1,84),ROW()-1,FALSE))</f>
        <v>24798.14704</v>
      </c>
      <c r="Q233">
        <f ca="1">IF(AND(ISNUMBER($Q$433),$B$252=1),$Q$433,HLOOKUP(INDIRECT(ADDRESS(2,COLUMN())),OFFSET($CL$2,0,0,ROW()-1,84),ROW()-1,FALSE))</f>
        <v>24602.73445</v>
      </c>
      <c r="R233">
        <f ca="1">IF(AND(ISNUMBER($R$433),$B$252=1),$R$433,HLOOKUP(INDIRECT(ADDRESS(2,COLUMN())),OFFSET($CL$2,0,0,ROW()-1,84),ROW()-1,FALSE))</f>
        <v>23701.161479999999</v>
      </c>
      <c r="S233">
        <f ca="1">IF(AND(ISNUMBER($S$433),$B$252=1),$S$433,HLOOKUP(INDIRECT(ADDRESS(2,COLUMN())),OFFSET($CL$2,0,0,ROW()-1,84),ROW()-1,FALSE))</f>
        <v>24075.315729999998</v>
      </c>
      <c r="T233">
        <f ca="1">IF(AND(ISNUMBER($T$433),$B$252=1),$T$433,HLOOKUP(INDIRECT(ADDRESS(2,COLUMN())),OFFSET($CL$2,0,0,ROW()-1,84),ROW()-1,FALSE))</f>
        <v>23110.159329999999</v>
      </c>
      <c r="U233">
        <f ca="1">IF(AND(ISNUMBER($U$433),$B$252=1),$U$433,HLOOKUP(INDIRECT(ADDRESS(2,COLUMN())),OFFSET($CL$2,0,0,ROW()-1,84),ROW()-1,FALSE))</f>
        <v>24475.396649999999</v>
      </c>
      <c r="V233">
        <f ca="1">IF(AND(ISNUMBER($V$433),$B$252=1),$V$433,HLOOKUP(INDIRECT(ADDRESS(2,COLUMN())),OFFSET($CL$2,0,0,ROW()-1,84),ROW()-1,FALSE))</f>
        <v>22821.239949999999</v>
      </c>
      <c r="W233">
        <f ca="1">IF(AND(ISNUMBER($W$433),$B$252=1),$W$433,HLOOKUP(INDIRECT(ADDRESS(2,COLUMN())),OFFSET($CL$2,0,0,ROW()-1,84),ROW()-1,FALSE))</f>
        <v>23476.351890000002</v>
      </c>
      <c r="X233">
        <f ca="1">IF(AND(ISNUMBER($X$433),$B$252=1),$X$433,HLOOKUP(INDIRECT(ADDRESS(2,COLUMN())),OFFSET($CL$2,0,0,ROW()-1,84),ROW()-1,FALSE))</f>
        <v>24457.226190000001</v>
      </c>
      <c r="Y233">
        <f ca="1">IF(AND(ISNUMBER($Y$433),$B$252=1),$Y$433,HLOOKUP(INDIRECT(ADDRESS(2,COLUMN())),OFFSET($CL$2,0,0,ROW()-1,84),ROW()-1,FALSE))</f>
        <v>24667.640589999999</v>
      </c>
      <c r="Z233">
        <f ca="1">IF(AND(ISNUMBER($Z$433),$B$252=1),$Z$433,HLOOKUP(INDIRECT(ADDRESS(2,COLUMN())),OFFSET($CL$2,0,0,ROW()-1,84),ROW()-1,FALSE))</f>
        <v>25850.391769999998</v>
      </c>
      <c r="AA233">
        <f ca="1">IF(AND(ISNUMBER($AA$433),$B$252=1),$AA$433,HLOOKUP(INDIRECT(ADDRESS(2,COLUMN())),OFFSET($CL$2,0,0,ROW()-1,84),ROW()-1,FALSE))</f>
        <v>26188.777539999999</v>
      </c>
      <c r="AB233">
        <f ca="1">IF(AND(ISNUMBER($AB$433),$B$252=1),$AB$433,HLOOKUP(INDIRECT(ADDRESS(2,COLUMN())),OFFSET($CL$2,0,0,ROW()-1,84),ROW()-1,FALSE))</f>
        <v>26314.04018</v>
      </c>
      <c r="AC233">
        <f ca="1">IF(AND(ISNUMBER($AC$433),$B$252=1),$AC$433,HLOOKUP(INDIRECT(ADDRESS(2,COLUMN())),OFFSET($CL$2,0,0,ROW()-1,84),ROW()-1,FALSE))</f>
        <v>25880.32934</v>
      </c>
      <c r="AD233">
        <f ca="1">IF(AND(ISNUMBER($AD$433),$B$252=1),$AD$433,HLOOKUP(INDIRECT(ADDRESS(2,COLUMN())),OFFSET($CL$2,0,0,ROW()-1,84),ROW()-1,FALSE))</f>
        <v>28499.786749999999</v>
      </c>
      <c r="AE233">
        <f ca="1">IF(AND(ISNUMBER($AE$433),$B$252=1),$AE$433,HLOOKUP(INDIRECT(ADDRESS(2,COLUMN())),OFFSET($CL$2,0,0,ROW()-1,84),ROW()-1,FALSE))</f>
        <v>28274.07735</v>
      </c>
      <c r="AF233">
        <f ca="1">IF(AND(ISNUMBER($AF$433),$B$252=1),$AF$433,HLOOKUP(INDIRECT(ADDRESS(2,COLUMN())),OFFSET($CL$2,0,0,ROW()-1,84),ROW()-1,FALSE))</f>
        <v>29193.13538</v>
      </c>
      <c r="AG233">
        <f ca="1">IF(AND(ISNUMBER($AG$433),$B$252=1),$AG$433,HLOOKUP(INDIRECT(ADDRESS(2,COLUMN())),OFFSET($CL$2,0,0,ROW()-1,84),ROW()-1,FALSE))</f>
        <v>30897.2359</v>
      </c>
      <c r="AH233">
        <f ca="1">IF(AND(ISNUMBER($AH$433),$B$252=1),$AH$433,HLOOKUP(INDIRECT(ADDRESS(2,COLUMN())),OFFSET($CL$2,0,0,ROW()-1,84),ROW()-1,FALSE))</f>
        <v>30229.236260000001</v>
      </c>
      <c r="AI233">
        <f ca="1">IF(AND(ISNUMBER($AI$433),$B$252=1),$AI$433,HLOOKUP(INDIRECT(ADDRESS(2,COLUMN())),OFFSET($CL$2,0,0,ROW()-1,84),ROW()-1,FALSE))</f>
        <v>29268.55834</v>
      </c>
      <c r="AJ233">
        <f ca="1">IF(AND(ISNUMBER($AJ$433),$B$252=1),$AJ$433,HLOOKUP(INDIRECT(ADDRESS(2,COLUMN())),OFFSET($CL$2,0,0,ROW()-1,84),ROW()-1,FALSE))</f>
        <v>28435.774740000001</v>
      </c>
      <c r="AK233">
        <f ca="1">IF(AND(ISNUMBER($AK$433),$B$252=1),$AK$433,HLOOKUP(INDIRECT(ADDRESS(2,COLUMN())),OFFSET($CL$2,0,0,ROW()-1,84),ROW()-1,FALSE))</f>
        <v>26971.573670000002</v>
      </c>
      <c r="AL233">
        <f ca="1">IF(AND(ISNUMBER($AL$433),$B$252=1),$AL$433,HLOOKUP(INDIRECT(ADDRESS(2,COLUMN())),OFFSET($CL$2,0,0,ROW()-1,84),ROW()-1,FALSE))</f>
        <v>28312.21081</v>
      </c>
      <c r="AM233">
        <f ca="1">IF(AND(ISNUMBER($AM$433),$B$252=1),$AM$433,HLOOKUP(INDIRECT(ADDRESS(2,COLUMN())),OFFSET($CL$2,0,0,ROW()-1,84),ROW()-1,FALSE))</f>
        <v>26556.180090000002</v>
      </c>
      <c r="AN233">
        <f ca="1">IF(AND(ISNUMBER($AN$433),$B$252=1),$AN$433,HLOOKUP(INDIRECT(ADDRESS(2,COLUMN())),OFFSET($CL$2,0,0,ROW()-1,84),ROW()-1,FALSE))</f>
        <v>28127.646219999999</v>
      </c>
      <c r="AO233">
        <f ca="1">IF(AND(ISNUMBER($AO$433),$B$252=1),$AO$433,HLOOKUP(INDIRECT(ADDRESS(2,COLUMN())),OFFSET($CL$2,0,0,ROW()-1,84),ROW()-1,FALSE))</f>
        <v>27939.48414</v>
      </c>
      <c r="AP233">
        <f ca="1">IF(AND(ISNUMBER($AP$433),$B$252=1),$AP$433,HLOOKUP(INDIRECT(ADDRESS(2,COLUMN())),OFFSET($CL$2,0,0,ROW()-1,84),ROW()-1,FALSE))</f>
        <v>29452.58916</v>
      </c>
      <c r="AQ233">
        <f ca="1">IF(AND(ISNUMBER($AQ$433),$B$252=1),$AQ$433,HLOOKUP(INDIRECT(ADDRESS(2,COLUMN())),OFFSET($CL$2,0,0,ROW()-1,84),ROW()-1,FALSE))</f>
        <v>29124.81194</v>
      </c>
      <c r="AR233">
        <f ca="1">IF(AND(ISNUMBER($AR$433),$B$252=1),$AR$433,HLOOKUP(INDIRECT(ADDRESS(2,COLUMN())),OFFSET($CL$2,0,0,ROW()-1,84),ROW()-1,FALSE))</f>
        <v>29232.72856</v>
      </c>
      <c r="AS233">
        <f ca="1">IF(AND(ISNUMBER($AS$433),$B$252=1),$AS$433,HLOOKUP(INDIRECT(ADDRESS(2,COLUMN())),OFFSET($CL$2,0,0,ROW()-1,84),ROW()-1,FALSE))</f>
        <v>27059.389510000001</v>
      </c>
      <c r="AT233">
        <f ca="1">IF(AND(ISNUMBER($AT$433),$B$252=1),$AT$433,HLOOKUP(INDIRECT(ADDRESS(2,COLUMN())),OFFSET($CL$2,0,0,ROW()-1,84),ROW()-1,FALSE))</f>
        <v>26684.596030000001</v>
      </c>
      <c r="AU233">
        <f ca="1">IF(AND(ISNUMBER($AU$433),$B$252=1),$AU$433,HLOOKUP(INDIRECT(ADDRESS(2,COLUMN())),OFFSET($CL$2,0,0,ROW()-1,84),ROW()-1,FALSE))</f>
        <v>26159.272120000001</v>
      </c>
      <c r="AV233">
        <f ca="1">IF(AND(ISNUMBER($AV$433),$B$252=1),$AV$433,HLOOKUP(INDIRECT(ADDRESS(2,COLUMN())),OFFSET($CL$2,0,0,ROW()-1,84),ROW()-1,FALSE))</f>
        <v>23158.251540000001</v>
      </c>
      <c r="AW233">
        <f ca="1">IF(AND(ISNUMBER($AW$433),$B$252=1),$AW$433,HLOOKUP(INDIRECT(ADDRESS(2,COLUMN())),OFFSET($CL$2,0,0,ROW()-1,84),ROW()-1,FALSE))</f>
        <v>24998.00448</v>
      </c>
      <c r="AX233">
        <f ca="1">IF(AND(ISNUMBER($AX$433),$B$252=1),$AX$433,HLOOKUP(INDIRECT(ADDRESS(2,COLUMN())),OFFSET($CL$2,0,0,ROW()-1,84),ROW()-1,FALSE))</f>
        <v>24278.653890000001</v>
      </c>
      <c r="AY233">
        <f ca="1">IF(AND(ISNUMBER($AY$433),$B$252=1),$AY$433,HLOOKUP(INDIRECT(ADDRESS(2,COLUMN())),OFFSET($CL$2,0,0,ROW()-1,84),ROW()-1,FALSE))</f>
        <v>23659.013070000001</v>
      </c>
      <c r="AZ233">
        <f ca="1">IF(AND(ISNUMBER($AZ$433),$B$252=1),$AZ$433,HLOOKUP(INDIRECT(ADDRESS(2,COLUMN())),OFFSET($CL$2,0,0,ROW()-1,84),ROW()-1,FALSE))</f>
        <v>23210.744070000001</v>
      </c>
      <c r="BA233">
        <f ca="1">IF(AND(ISNUMBER($BA$433),$B$252=1),$BA$433,HLOOKUP(INDIRECT(ADDRESS(2,COLUMN())),OFFSET($CL$2,0,0,ROW()-1,84),ROW()-1,FALSE))</f>
        <v>23175.42427</v>
      </c>
      <c r="BB233">
        <f ca="1">IF(AND(ISNUMBER($BB$433),$B$252=1),$BB$433,HLOOKUP(INDIRECT(ADDRESS(2,COLUMN())),OFFSET($CL$2,0,0,ROW()-1,84),ROW()-1,FALSE))</f>
        <v>21772.60716</v>
      </c>
      <c r="BC233">
        <f ca="1">IF(AND(ISNUMBER($BC$433),$B$252=1),$BC$433,HLOOKUP(INDIRECT(ADDRESS(2,COLUMN())),OFFSET($CL$2,0,0,ROW()-1,84),ROW()-1,FALSE))</f>
        <v>21941.427009999999</v>
      </c>
      <c r="BD233">
        <f ca="1">IF(AND(ISNUMBER($BD$433),$B$252=1),$BD$433,HLOOKUP(INDIRECT(ADDRESS(2,COLUMN())),OFFSET($CL$2,0,0,ROW()-1,84),ROW()-1,FALSE))</f>
        <v>20744.857479999999</v>
      </c>
      <c r="BE233">
        <f ca="1">IF(AND(ISNUMBER($BE$433),$B$252=1),$BE$433,HLOOKUP(INDIRECT(ADDRESS(2,COLUMN())),OFFSET($CL$2,0,0,ROW()-1,84),ROW()-1,FALSE))</f>
        <v>19430.042570000001</v>
      </c>
      <c r="BF233">
        <f ca="1">IF(AND(ISNUMBER($BF$433),$B$252=1),$BF$433,HLOOKUP(INDIRECT(ADDRESS(2,COLUMN())),OFFSET($CL$2,0,0,ROW()-1,84),ROW()-1,FALSE))</f>
        <v>19307.458289999999</v>
      </c>
      <c r="BG233">
        <f ca="1">IF(AND(ISNUMBER($BG$433),$B$252=1),$BG$433,HLOOKUP(INDIRECT(ADDRESS(2,COLUMN())),OFFSET($CL$2,0,0,ROW()-1,84),ROW()-1,FALSE))</f>
        <v>19610.64947</v>
      </c>
      <c r="BH233">
        <f ca="1">IF(AND(ISNUMBER($BH$433),$B$252=1),$BH$433,HLOOKUP(INDIRECT(ADDRESS(2,COLUMN())),OFFSET($CL$2,0,0,ROW()-1,84),ROW()-1,FALSE))</f>
        <v>20063.836749999999</v>
      </c>
      <c r="BI233">
        <f ca="1">IF(AND(ISNUMBER($BI$433),$B$252=1),$BI$433,HLOOKUP(INDIRECT(ADDRESS(2,COLUMN())),OFFSET($CL$2,0,0,ROW()-1,84),ROW()-1,FALSE))</f>
        <v>19435.347150000001</v>
      </c>
      <c r="BJ233">
        <f ca="1">IF(AND(ISNUMBER($BJ$433),$B$252=1),$BJ$433,HLOOKUP(INDIRECT(ADDRESS(2,COLUMN())),OFFSET($CL$2,0,0,ROW()-1,84),ROW()-1,FALSE))</f>
        <v>20964.79551</v>
      </c>
      <c r="BK233">
        <f ca="1">IF(AND(ISNUMBER($BK$433),$B$252=1),$BK$433,HLOOKUP(INDIRECT(ADDRESS(2,COLUMN())),OFFSET($CL$2,0,0,ROW()-1,84),ROW()-1,FALSE))</f>
        <v>21736.000489999999</v>
      </c>
      <c r="BL233">
        <f ca="1">IF(AND(ISNUMBER($BL$433),$B$252=1),$BL$433,HLOOKUP(INDIRECT(ADDRESS(2,COLUMN())),OFFSET($CL$2,0,0,ROW()-1,84),ROW()-1,FALSE))</f>
        <v>21171.393479999999</v>
      </c>
      <c r="BM233">
        <f ca="1">IF(AND(ISNUMBER($BM$433),$B$252=1),$BM$433,HLOOKUP(INDIRECT(ADDRESS(2,COLUMN())),OFFSET($CL$2,0,0,ROW()-1,84),ROW()-1,FALSE))</f>
        <v>21731.301510000001</v>
      </c>
      <c r="BN233">
        <f ca="1">IF(AND(ISNUMBER($BN$433),$B$252=1),$BN$433,HLOOKUP(INDIRECT(ADDRESS(2,COLUMN())),OFFSET($CL$2,0,0,ROW()-1,84),ROW()-1,FALSE))</f>
        <v>20601.112560000001</v>
      </c>
      <c r="BO233">
        <f ca="1">IF(AND(ISNUMBER($BO$433),$B$252=1),$BO$433,HLOOKUP(INDIRECT(ADDRESS(2,COLUMN())),OFFSET($CL$2,0,0,ROW()-1,84),ROW()-1,FALSE))</f>
        <v>18682.312900000001</v>
      </c>
      <c r="BP233">
        <f ca="1">IF(AND(ISNUMBER($BP$433),$B$252=1),$BP$433,HLOOKUP(INDIRECT(ADDRESS(2,COLUMN())),OFFSET($CL$2,0,0,ROW()-1,84),ROW()-1,FALSE))</f>
        <v>18749.152010000002</v>
      </c>
      <c r="BQ233">
        <f ca="1">IF(AND(ISNUMBER($BQ$433),$B$252=1),$BQ$433,HLOOKUP(INDIRECT(ADDRESS(2,COLUMN())),OFFSET($CL$2,0,0,ROW()-1,84),ROW()-1,FALSE))</f>
        <v>19182.423630000001</v>
      </c>
      <c r="BR233">
        <f ca="1">IF(AND(ISNUMBER($BR$433),$B$252=1),$BR$433,HLOOKUP(INDIRECT(ADDRESS(2,COLUMN())),OFFSET($CL$2,0,0,ROW()-1,84),ROW()-1,FALSE))</f>
        <v>18813.697810000001</v>
      </c>
      <c r="BS233">
        <f ca="1">IF(AND(ISNUMBER($BS$433),$B$252=1),$BS$433,HLOOKUP(INDIRECT(ADDRESS(2,COLUMN())),OFFSET($CL$2,0,0,ROW()-1,84),ROW()-1,FALSE))</f>
        <v>18203.247220000001</v>
      </c>
      <c r="BT233">
        <f ca="1">IF(AND(ISNUMBER($BT$433),$B$252=1),$BT$433,HLOOKUP(INDIRECT(ADDRESS(2,COLUMN())),OFFSET($CL$2,0,0,ROW()-1,84),ROW()-1,FALSE))</f>
        <v>18145.789130000001</v>
      </c>
      <c r="BU233">
        <f ca="1">IF(AND(ISNUMBER($BU$433),$B$252=1),$BU$433,HLOOKUP(INDIRECT(ADDRESS(2,COLUMN())),OFFSET($CL$2,0,0,ROW()-1,84),ROW()-1,FALSE))</f>
        <v>19057.609700000001</v>
      </c>
      <c r="BV233">
        <f ca="1">IF(AND(ISNUMBER($BV$433),$B$252=1),$BV$433,HLOOKUP(INDIRECT(ADDRESS(2,COLUMN())),OFFSET($CL$2,0,0,ROW()-1,84),ROW()-1,FALSE))</f>
        <v>19972.428550000001</v>
      </c>
      <c r="BW233">
        <f ca="1">IF(AND(ISNUMBER($BW$433),$B$252=1),$BW$433,HLOOKUP(INDIRECT(ADDRESS(2,COLUMN())),OFFSET($CL$2,0,0,ROW()-1,84),ROW()-1,FALSE))</f>
        <v>19651.685590000001</v>
      </c>
      <c r="BX233">
        <f ca="1">IF(AND(ISNUMBER($BX$433),$B$252=1),$BX$433,HLOOKUP(INDIRECT(ADDRESS(2,COLUMN())),OFFSET($CL$2,0,0,ROW()-1,84),ROW()-1,FALSE))</f>
        <v>19194.902999999998</v>
      </c>
      <c r="BY233">
        <f ca="1">IF(AND(ISNUMBER($BY$433),$B$252=1),$BY$433,HLOOKUP(INDIRECT(ADDRESS(2,COLUMN())),OFFSET($CL$2,0,0,ROW()-1,84),ROW()-1,FALSE))</f>
        <v>19295.453389999999</v>
      </c>
      <c r="BZ233">
        <f ca="1">IF(AND(ISNUMBER($BZ$433),$B$252=1),$BZ$433,HLOOKUP(INDIRECT(ADDRESS(2,COLUMN())),OFFSET($CL$2,0,0,ROW()-1,84),ROW()-1,FALSE))</f>
        <v>19648.409469999999</v>
      </c>
      <c r="CA233">
        <f ca="1">IF(AND(ISNUMBER($CA$433),$B$252=1),$CA$433,HLOOKUP(INDIRECT(ADDRESS(2,COLUMN())),OFFSET($CL$2,0,0,ROW()-1,84),ROW()-1,FALSE))</f>
        <v>17848.283749999999</v>
      </c>
      <c r="CB233">
        <f ca="1">IF(AND(ISNUMBER($CB$433),$B$252=1),$CB$433,HLOOKUP(INDIRECT(ADDRESS(2,COLUMN())),OFFSET($CL$2,0,0,ROW()-1,84),ROW()-1,FALSE))</f>
        <v>18467.71413</v>
      </c>
      <c r="CC233">
        <f ca="1">IF(AND(ISNUMBER($CC$433),$B$252=1),$CC$433,HLOOKUP(INDIRECT(ADDRESS(2,COLUMN())),OFFSET($CL$2,0,0,ROW()-1,84),ROW()-1,FALSE))</f>
        <v>17686.208849999999</v>
      </c>
      <c r="CD233">
        <f ca="1">IF(AND(ISNUMBER($CD$433),$B$252=1),$CD$433,HLOOKUP(INDIRECT(ADDRESS(2,COLUMN())),OFFSET($CL$2,0,0,ROW()-1,84),ROW()-1,FALSE))</f>
        <v>17116.521140000001</v>
      </c>
      <c r="CE233">
        <f ca="1">IF(AND(ISNUMBER($CE$433),$B$252=1),$CE$433,HLOOKUP(INDIRECT(ADDRESS(2,COLUMN())),OFFSET($CL$2,0,0,ROW()-1,84),ROW()-1,FALSE))</f>
        <v>18190.658350000002</v>
      </c>
      <c r="CF233">
        <f ca="1">IF(AND(ISNUMBER($CF$433),$B$252=1),$CF$433,HLOOKUP(INDIRECT(ADDRESS(2,COLUMN())),OFFSET($CL$2,0,0,ROW()-1,84),ROW()-1,FALSE))</f>
        <v>16079.574790000001</v>
      </c>
      <c r="CG233">
        <f ca="1">IF(AND(ISNUMBER($CG$433),$B$252=1),$CG$433,HLOOKUP(INDIRECT(ADDRESS(2,COLUMN())),OFFSET($CL$2,0,0,ROW()-1,84),ROW()-1,FALSE))</f>
        <v>18964.35457</v>
      </c>
      <c r="CH233">
        <f ca="1">IF(AND(ISNUMBER($CH$433),$B$252=1),$CH$433,HLOOKUP(INDIRECT(ADDRESS(2,COLUMN())),OFFSET($CL$2,0,0,ROW()-1,84),ROW()-1,FALSE))</f>
        <v>19049.096529999999</v>
      </c>
      <c r="CI233">
        <f ca="1">IF(AND(ISNUMBER($CI$433),$B$252=1),$CI$433,HLOOKUP(INDIRECT(ADDRESS(2,COLUMN())),OFFSET($CL$2,0,0,ROW()-1,84),ROW()-1,FALSE))</f>
        <v>18488.285209999998</v>
      </c>
      <c r="CJ233">
        <f ca="1">IF(AND(ISNUMBER($CJ$433),$B$252=1),$CJ$433,HLOOKUP(INDIRECT(ADDRESS(2,COLUMN())),OFFSET($CL$2,0,0,ROW()-1,84),ROW()-1,FALSE))</f>
        <v>19068.30255</v>
      </c>
      <c r="CK233">
        <f ca="1">IF(AND(ISNUMBER($CK$433),$B$252=1),$CK$433,HLOOKUP(INDIRECT(ADDRESS(2,COLUMN())),OFFSET($CL$2,0,0,ROW()-1,84),ROW()-1,FALSE))</f>
        <v>18383.793399999999</v>
      </c>
      <c r="CL233">
        <f>22675.65919</f>
        <v>22675.659189999998</v>
      </c>
      <c r="CM233">
        <f>21476.37425</f>
        <v>21476.374250000001</v>
      </c>
      <c r="CN233">
        <f>23521.8675</f>
        <v>23521.8675</v>
      </c>
      <c r="CO233">
        <f>24312.51809</f>
        <v>24312.518090000001</v>
      </c>
      <c r="CP233">
        <f>25478.11673</f>
        <v>25478.116730000002</v>
      </c>
      <c r="CQ233">
        <f>25634.34939</f>
        <v>25634.349389999999</v>
      </c>
      <c r="CR233">
        <f>25127.45548</f>
        <v>25127.455480000001</v>
      </c>
      <c r="CS233">
        <f>25592.83854</f>
        <v>25592.838540000001</v>
      </c>
      <c r="CT233">
        <f>25938.67996</f>
        <v>25938.679960000001</v>
      </c>
      <c r="CU233">
        <f>25079.32732</f>
        <v>25079.32732</v>
      </c>
      <c r="CV233">
        <f>24798.14704</f>
        <v>24798.14704</v>
      </c>
      <c r="CW233">
        <f>24602.73445</f>
        <v>24602.73445</v>
      </c>
      <c r="CX233">
        <f>23701.16148</f>
        <v>23701.161479999999</v>
      </c>
      <c r="CY233">
        <f>24075.31573</f>
        <v>24075.315729999998</v>
      </c>
      <c r="CZ233">
        <f>23110.15933</f>
        <v>23110.159329999999</v>
      </c>
      <c r="DA233">
        <f>24475.39665</f>
        <v>24475.396649999999</v>
      </c>
      <c r="DB233">
        <f>22821.23995</f>
        <v>22821.239949999999</v>
      </c>
      <c r="DC233">
        <f>23476.35189</f>
        <v>23476.351890000002</v>
      </c>
      <c r="DD233">
        <f>24457.22619</f>
        <v>24457.226190000001</v>
      </c>
      <c r="DE233">
        <f>24667.64059</f>
        <v>24667.640589999999</v>
      </c>
      <c r="DF233">
        <f>25850.39177</f>
        <v>25850.391769999998</v>
      </c>
      <c r="DG233">
        <f>26188.77754</f>
        <v>26188.777539999999</v>
      </c>
      <c r="DH233">
        <f>26314.04018</f>
        <v>26314.04018</v>
      </c>
      <c r="DI233">
        <f>25880.32934</f>
        <v>25880.32934</v>
      </c>
      <c r="DJ233">
        <f>28499.78675</f>
        <v>28499.786749999999</v>
      </c>
      <c r="DK233">
        <f>28274.07735</f>
        <v>28274.07735</v>
      </c>
      <c r="DL233">
        <f>29193.13538</f>
        <v>29193.13538</v>
      </c>
      <c r="DM233">
        <f>30897.2359</f>
        <v>30897.2359</v>
      </c>
      <c r="DN233">
        <f>30229.23626</f>
        <v>30229.236260000001</v>
      </c>
      <c r="DO233">
        <f>29268.55834</f>
        <v>29268.55834</v>
      </c>
      <c r="DP233">
        <f>28435.77474</f>
        <v>28435.774740000001</v>
      </c>
      <c r="DQ233">
        <f>26971.57367</f>
        <v>26971.573670000002</v>
      </c>
      <c r="DR233">
        <f>28312.21081</f>
        <v>28312.21081</v>
      </c>
      <c r="DS233">
        <f>26556.18009</f>
        <v>26556.180090000002</v>
      </c>
      <c r="DT233">
        <f>28127.64622</f>
        <v>28127.646219999999</v>
      </c>
      <c r="DU233">
        <f>27939.48414</f>
        <v>27939.48414</v>
      </c>
      <c r="DV233">
        <f>29452.58916</f>
        <v>29452.58916</v>
      </c>
      <c r="DW233">
        <f>29124.81194</f>
        <v>29124.81194</v>
      </c>
      <c r="DX233">
        <f>29232.72856</f>
        <v>29232.72856</v>
      </c>
      <c r="DY233">
        <f>27059.38951</f>
        <v>27059.389510000001</v>
      </c>
      <c r="DZ233">
        <f>26684.59603</f>
        <v>26684.596030000001</v>
      </c>
      <c r="EA233">
        <f>26159.27212</f>
        <v>26159.272120000001</v>
      </c>
      <c r="EB233">
        <f>23158.25154</f>
        <v>23158.251540000001</v>
      </c>
      <c r="EC233">
        <f>24998.00448</f>
        <v>24998.00448</v>
      </c>
      <c r="ED233">
        <f>24278.65389</f>
        <v>24278.653890000001</v>
      </c>
      <c r="EE233">
        <f>23659.01307</f>
        <v>23659.013070000001</v>
      </c>
      <c r="EF233">
        <f>23210.74407</f>
        <v>23210.744070000001</v>
      </c>
      <c r="EG233">
        <f>23175.42427</f>
        <v>23175.42427</v>
      </c>
      <c r="EH233">
        <f>21772.60716</f>
        <v>21772.60716</v>
      </c>
      <c r="EI233">
        <f>21941.42701</f>
        <v>21941.427009999999</v>
      </c>
      <c r="EJ233">
        <f>20744.85748</f>
        <v>20744.857479999999</v>
      </c>
      <c r="EK233">
        <f>19430.04257</f>
        <v>19430.042570000001</v>
      </c>
      <c r="EL233">
        <f>19307.45829</f>
        <v>19307.458289999999</v>
      </c>
      <c r="EM233">
        <f>19610.64947</f>
        <v>19610.64947</v>
      </c>
      <c r="EN233">
        <f>20063.83675</f>
        <v>20063.836749999999</v>
      </c>
      <c r="EO233">
        <f>19435.34715</f>
        <v>19435.347150000001</v>
      </c>
      <c r="EP233">
        <f>20964.79551</f>
        <v>20964.79551</v>
      </c>
      <c r="EQ233">
        <f>21736.00049</f>
        <v>21736.000489999999</v>
      </c>
      <c r="ER233">
        <f>21171.39348</f>
        <v>21171.393479999999</v>
      </c>
      <c r="ES233">
        <f>21731.30151</f>
        <v>21731.301510000001</v>
      </c>
      <c r="ET233">
        <f>20601.11256</f>
        <v>20601.112560000001</v>
      </c>
      <c r="EU233">
        <f>18682.3129</f>
        <v>18682.312900000001</v>
      </c>
      <c r="EV233">
        <f>18749.15201</f>
        <v>18749.152010000002</v>
      </c>
      <c r="EW233">
        <f>19182.42363</f>
        <v>19182.423630000001</v>
      </c>
      <c r="EX233">
        <f>18813.69781</f>
        <v>18813.697810000001</v>
      </c>
      <c r="EY233">
        <f>18203.24722</f>
        <v>18203.247220000001</v>
      </c>
      <c r="EZ233">
        <f>18145.78913</f>
        <v>18145.789130000001</v>
      </c>
      <c r="FA233">
        <f>19057.6097</f>
        <v>19057.609700000001</v>
      </c>
      <c r="FB233">
        <f>19972.42855</f>
        <v>19972.428550000001</v>
      </c>
      <c r="FC233">
        <f>19651.68559</f>
        <v>19651.685590000001</v>
      </c>
      <c r="FD233">
        <f>19194.903</f>
        <v>19194.902999999998</v>
      </c>
      <c r="FE233">
        <f>19295.45339</f>
        <v>19295.453389999999</v>
      </c>
      <c r="FF233">
        <f>19648.40947</f>
        <v>19648.409469999999</v>
      </c>
      <c r="FG233">
        <f>17848.28375</f>
        <v>17848.283749999999</v>
      </c>
      <c r="FH233">
        <f>18467.71413</f>
        <v>18467.71413</v>
      </c>
      <c r="FI233">
        <f>17686.20885</f>
        <v>17686.208849999999</v>
      </c>
      <c r="FJ233">
        <f>17116.52114</f>
        <v>17116.521140000001</v>
      </c>
      <c r="FK233">
        <f>18190.65835</f>
        <v>18190.658350000002</v>
      </c>
      <c r="FL233">
        <f>16079.57479</f>
        <v>16079.574790000001</v>
      </c>
      <c r="FM233">
        <f>18964.35457</f>
        <v>18964.35457</v>
      </c>
      <c r="FN233">
        <f>19049.09653</f>
        <v>19049.096529999999</v>
      </c>
      <c r="FO233">
        <f>18488.28521</f>
        <v>18488.285209999998</v>
      </c>
      <c r="FP233">
        <f>19068.30255</f>
        <v>19068.30255</v>
      </c>
      <c r="FQ233">
        <f>18383.7934</f>
        <v>18383.793399999999</v>
      </c>
    </row>
    <row r="234" spans="1:173">
      <c r="A234" t="str">
        <f>"    埃塞克斯房地产信托公司"</f>
        <v xml:space="preserve">    埃塞克斯房地产信托公司</v>
      </c>
      <c r="B234" t="str">
        <f>"ESS US Equity"</f>
        <v>ESS US Equity</v>
      </c>
      <c r="C234" t="str">
        <f t="shared" si="75"/>
        <v>F0825</v>
      </c>
      <c r="D234" t="str">
        <f t="shared" si="76"/>
        <v>INDUSTRY_STANDARDIZED_MARKET_CAP</v>
      </c>
      <c r="E234" t="str">
        <f t="shared" si="77"/>
        <v>动态</v>
      </c>
      <c r="F234">
        <f ca="1">IF(AND(ISNUMBER($F$434),$B$252=1),$F$434,HLOOKUP(INDIRECT(ADDRESS(2,COLUMN())),OFFSET($CL$2,0,0,ROW()-1,84),ROW()-1,FALSE))</f>
        <v>16251.74584</v>
      </c>
      <c r="G234">
        <f ca="1">IF(AND(ISNUMBER($G$434),$B$252=1),$G$434,HLOOKUP(INDIRECT(ADDRESS(2,COLUMN())),OFFSET($CL$2,0,0,ROW()-1,84),ROW()-1,FALSE))</f>
        <v>15280.941919999999</v>
      </c>
      <c r="H234">
        <f ca="1">IF(AND(ISNUMBER($H$434),$B$252=1),$H$434,HLOOKUP(INDIRECT(ADDRESS(2,COLUMN())),OFFSET($CL$2,0,0,ROW()-1,84),ROW()-1,FALSE))</f>
        <v>15904.852419999999</v>
      </c>
      <c r="I234">
        <f ca="1">IF(AND(ISNUMBER($I$434),$B$252=1),$I$434,HLOOKUP(INDIRECT(ADDRESS(2,COLUMN())),OFFSET($CL$2,0,0,ROW()-1,84),ROW()-1,FALSE))</f>
        <v>16477.612789999999</v>
      </c>
      <c r="J234">
        <f ca="1">IF(AND(ISNUMBER($J$434),$B$252=1),$J$434,HLOOKUP(INDIRECT(ADDRESS(2,COLUMN())),OFFSET($CL$2,0,0,ROW()-1,84),ROW()-1,FALSE))</f>
        <v>16857.074659999998</v>
      </c>
      <c r="K234">
        <f ca="1">IF(AND(ISNUMBER($K$434),$B$252=1),$K$434,HLOOKUP(INDIRECT(ADDRESS(2,COLUMN())),OFFSET($CL$2,0,0,ROW()-1,84),ROW()-1,FALSE))</f>
        <v>17898.44296</v>
      </c>
      <c r="L234">
        <f ca="1">IF(AND(ISNUMBER($L$434),$B$252=1),$L$434,HLOOKUP(INDIRECT(ADDRESS(2,COLUMN())),OFFSET($CL$2,0,0,ROW()-1,84),ROW()-1,FALSE))</f>
        <v>17325.540010000001</v>
      </c>
      <c r="M234">
        <f ca="1">IF(AND(ISNUMBER($M$434),$B$252=1),$M$434,HLOOKUP(INDIRECT(ADDRESS(2,COLUMN())),OFFSET($CL$2,0,0,ROW()-1,84),ROW()-1,FALSE))</f>
        <v>18169.669269999999</v>
      </c>
      <c r="N234">
        <f ca="1">IF(AND(ISNUMBER($N$434),$B$252=1),$N$434,HLOOKUP(INDIRECT(ADDRESS(2,COLUMN())),OFFSET($CL$2,0,0,ROW()-1,84),ROW()-1,FALSE))</f>
        <v>17877.965359999998</v>
      </c>
      <c r="O234">
        <f ca="1">IF(AND(ISNUMBER($O$434),$B$252=1),$O$434,HLOOKUP(INDIRECT(ADDRESS(2,COLUMN())),OFFSET($CL$2,0,0,ROW()-1,84),ROW()-1,FALSE))</f>
        <v>17474.779689999999</v>
      </c>
      <c r="P234">
        <f ca="1">IF(AND(ISNUMBER($P$434),$B$252=1),$P$434,HLOOKUP(INDIRECT(ADDRESS(2,COLUMN())),OFFSET($CL$2,0,0,ROW()-1,84),ROW()-1,FALSE))</f>
        <v>17451.777150000002</v>
      </c>
      <c r="Q234">
        <f ca="1">IF(AND(ISNUMBER($Q$434),$B$252=1),$Q$434,HLOOKUP(INDIRECT(ADDRESS(2,COLUMN())),OFFSET($CL$2,0,0,ROW()-1,84),ROW()-1,FALSE))</f>
        <v>16596.099419999999</v>
      </c>
      <c r="R234">
        <f ca="1">IF(AND(ISNUMBER($R$434),$B$252=1),$R$434,HLOOKUP(INDIRECT(ADDRESS(2,COLUMN())),OFFSET($CL$2,0,0,ROW()-1,84),ROW()-1,FALSE))</f>
        <v>15717.6541</v>
      </c>
      <c r="S234">
        <f ca="1">IF(AND(ISNUMBER($S$434),$B$252=1),$S$434,HLOOKUP(INDIRECT(ADDRESS(2,COLUMN())),OFFSET($CL$2,0,0,ROW()-1,84),ROW()-1,FALSE))</f>
        <v>15927.321470000001</v>
      </c>
      <c r="T234">
        <f ca="1">IF(AND(ISNUMBER($T$434),$B$252=1),$T$434,HLOOKUP(INDIRECT(ADDRESS(2,COLUMN())),OFFSET($CL$2,0,0,ROW()-1,84),ROW()-1,FALSE))</f>
        <v>15214.364449999999</v>
      </c>
      <c r="U234">
        <f ca="1">IF(AND(ISNUMBER($U$434),$B$252=1),$U$434,HLOOKUP(INDIRECT(ADDRESS(2,COLUMN())),OFFSET($CL$2,0,0,ROW()-1,84),ROW()-1,FALSE))</f>
        <v>15770.57394</v>
      </c>
      <c r="V234">
        <f ca="1">IF(AND(ISNUMBER($V$434),$B$252=1),$V$434,HLOOKUP(INDIRECT(ADDRESS(2,COLUMN())),OFFSET($CL$2,0,0,ROW()-1,84),ROW()-1,FALSE))</f>
        <v>14642.058919999999</v>
      </c>
      <c r="W234">
        <f ca="1">IF(AND(ISNUMBER($W$434),$B$252=1),$W$434,HLOOKUP(INDIRECT(ADDRESS(2,COLUMN())),OFFSET($CL$2,0,0,ROW()-1,84),ROW()-1,FALSE))</f>
        <v>14517.96218</v>
      </c>
      <c r="X234">
        <f ca="1">IF(AND(ISNUMBER($X$434),$B$252=1),$X$434,HLOOKUP(INDIRECT(ADDRESS(2,COLUMN())),OFFSET($CL$2,0,0,ROW()-1,84),ROW()-1,FALSE))</f>
        <v>15096.79963</v>
      </c>
      <c r="Y234">
        <f ca="1">IF(AND(ISNUMBER($Y$434),$B$252=1),$Y$434,HLOOKUP(INDIRECT(ADDRESS(2,COLUMN())),OFFSET($CL$2,0,0,ROW()-1,84),ROW()-1,FALSE))</f>
        <v>15395.52917</v>
      </c>
      <c r="Z234">
        <f ca="1">IF(AND(ISNUMBER($Z$434),$B$252=1),$Z$434,HLOOKUP(INDIRECT(ADDRESS(2,COLUMN())),OFFSET($CL$2,0,0,ROW()-1,84),ROW()-1,FALSE))</f>
        <v>15840.01224</v>
      </c>
      <c r="AA234">
        <f ca="1">IF(AND(ISNUMBER($AA$434),$B$252=1),$AA$434,HLOOKUP(INDIRECT(ADDRESS(2,COLUMN())),OFFSET($CL$2,0,0,ROW()-1,84),ROW()-1,FALSE))</f>
        <v>15447.872380000001</v>
      </c>
      <c r="AB234">
        <f ca="1">IF(AND(ISNUMBER($AB$434),$B$252=1),$AB$434,HLOOKUP(INDIRECT(ADDRESS(2,COLUMN())),OFFSET($CL$2,0,0,ROW()-1,84),ROW()-1,FALSE))</f>
        <v>15391.67215</v>
      </c>
      <c r="AC234">
        <f ca="1">IF(AND(ISNUMBER($AC$434),$B$252=1),$AC$434,HLOOKUP(INDIRECT(ADDRESS(2,COLUMN())),OFFSET($CL$2,0,0,ROW()-1,84),ROW()-1,FALSE))</f>
        <v>14929.09297</v>
      </c>
      <c r="AD234">
        <f ca="1">IF(AND(ISNUMBER($AD$434),$B$252=1),$AD$434,HLOOKUP(INDIRECT(ADDRESS(2,COLUMN())),OFFSET($CL$2,0,0,ROW()-1,84),ROW()-1,FALSE))</f>
        <v>15837.23149</v>
      </c>
      <c r="AE234">
        <f ca="1">IF(AND(ISNUMBER($AE$434),$B$252=1),$AE$434,HLOOKUP(INDIRECT(ADDRESS(2,COLUMN())),OFFSET($CL$2,0,0,ROW()-1,84),ROW()-1,FALSE))</f>
        <v>14169.633680000001</v>
      </c>
      <c r="AF234">
        <f ca="1">IF(AND(ISNUMBER($AF$434),$B$252=1),$AF$434,HLOOKUP(INDIRECT(ADDRESS(2,COLUMN())),OFFSET($CL$2,0,0,ROW()-1,84),ROW()-1,FALSE))</f>
        <v>14561.83635</v>
      </c>
      <c r="AG234">
        <f ca="1">IF(AND(ISNUMBER($AG$434),$B$252=1),$AG$434,HLOOKUP(INDIRECT(ADDRESS(2,COLUMN())),OFFSET($CL$2,0,0,ROW()-1,84),ROW()-1,FALSE))</f>
        <v>16358.91905</v>
      </c>
      <c r="AH234">
        <f ca="1">IF(AND(ISNUMBER($AH$434),$B$252=1),$AH$434,HLOOKUP(INDIRECT(ADDRESS(2,COLUMN())),OFFSET($CL$2,0,0,ROW()-1,84),ROW()-1,FALSE))</f>
        <v>15756.52742</v>
      </c>
      <c r="AI234">
        <f ca="1">IF(AND(ISNUMBER($AI$434),$B$252=1),$AI$434,HLOOKUP(INDIRECT(ADDRESS(2,COLUMN())),OFFSET($CL$2,0,0,ROW()-1,84),ROW()-1,FALSE))</f>
        <v>14985.803</v>
      </c>
      <c r="AJ234">
        <f ca="1">IF(AND(ISNUMBER($AJ$434),$B$252=1),$AJ$434,HLOOKUP(INDIRECT(ADDRESS(2,COLUMN())),OFFSET($CL$2,0,0,ROW()-1,84),ROW()-1,FALSE))</f>
        <v>15188.387350000001</v>
      </c>
      <c r="AK234">
        <f ca="1">IF(AND(ISNUMBER($AK$434),$B$252=1),$AK$434,HLOOKUP(INDIRECT(ADDRESS(2,COLUMN())),OFFSET($CL$2,0,0,ROW()-1,84),ROW()-1,FALSE))</f>
        <v>14591.2248</v>
      </c>
      <c r="AL234">
        <f ca="1">IF(AND(ISNUMBER($AL$434),$B$252=1),$AL$434,HLOOKUP(INDIRECT(ADDRESS(2,COLUMN())),OFFSET($CL$2,0,0,ROW()-1,84),ROW()-1,FALSE))</f>
        <v>15202.598550000001</v>
      </c>
      <c r="AM234">
        <f ca="1">IF(AND(ISNUMBER($AM$434),$B$252=1),$AM$434,HLOOKUP(INDIRECT(ADDRESS(2,COLUMN())),OFFSET($CL$2,0,0,ROW()-1,84),ROW()-1,FALSE))</f>
        <v>14363.75525</v>
      </c>
      <c r="AN234">
        <f ca="1">IF(AND(ISNUMBER($AN$434),$B$252=1),$AN$434,HLOOKUP(INDIRECT(ADDRESS(2,COLUMN())),OFFSET($CL$2,0,0,ROW()-1,84),ROW()-1,FALSE))</f>
        <v>15048.03059</v>
      </c>
      <c r="AO234">
        <f ca="1">IF(AND(ISNUMBER($AO$434),$B$252=1),$AO$434,HLOOKUP(INDIRECT(ADDRESS(2,COLUMN())),OFFSET($CL$2,0,0,ROW()-1,84),ROW()-1,FALSE))</f>
        <v>14952.437669999999</v>
      </c>
      <c r="AP234">
        <f ca="1">IF(AND(ISNUMBER($AP$434),$B$252=1),$AP$434,HLOOKUP(INDIRECT(ADDRESS(2,COLUMN())),OFFSET($CL$2,0,0,ROW()-1,84),ROW()-1,FALSE))</f>
        <v>15488.087369999999</v>
      </c>
      <c r="AQ234">
        <f ca="1">IF(AND(ISNUMBER($AQ$434),$B$252=1),$AQ$434,HLOOKUP(INDIRECT(ADDRESS(2,COLUMN())),OFFSET($CL$2,0,0,ROW()-1,84),ROW()-1,FALSE))</f>
        <v>14712.435670000001</v>
      </c>
      <c r="AR234">
        <f ca="1">IF(AND(ISNUMBER($AR$434),$B$252=1),$AR$434,HLOOKUP(INDIRECT(ADDRESS(2,COLUMN())),OFFSET($CL$2,0,0,ROW()-1,84),ROW()-1,FALSE))</f>
        <v>14951.87737</v>
      </c>
      <c r="AS234">
        <f ca="1">IF(AND(ISNUMBER($AS$434),$B$252=1),$AS$434,HLOOKUP(INDIRECT(ADDRESS(2,COLUMN())),OFFSET($CL$2,0,0,ROW()-1,84),ROW()-1,FALSE))</f>
        <v>13665.374320000001</v>
      </c>
      <c r="AT234">
        <f ca="1">IF(AND(ISNUMBER($AT$434),$B$252=1),$AT$434,HLOOKUP(INDIRECT(ADDRESS(2,COLUMN())),OFFSET($CL$2,0,0,ROW()-1,84),ROW()-1,FALSE))</f>
        <v>13378.919620000001</v>
      </c>
      <c r="AU234">
        <f ca="1">IF(AND(ISNUMBER($AU$434),$B$252=1),$AU$434,HLOOKUP(INDIRECT(ADDRESS(2,COLUMN())),OFFSET($CL$2,0,0,ROW()-1,84),ROW()-1,FALSE))</f>
        <v>13243.82295</v>
      </c>
      <c r="AV234">
        <f ca="1">IF(AND(ISNUMBER($AV$434),$B$252=1),$AV$434,HLOOKUP(INDIRECT(ADDRESS(2,COLUMN())),OFFSET($CL$2,0,0,ROW()-1,84),ROW()-1,FALSE))</f>
        <v>11733.41273</v>
      </c>
      <c r="AW234">
        <f ca="1">IF(AND(ISNUMBER($AW$434),$B$252=1),$AW$434,HLOOKUP(INDIRECT(ADDRESS(2,COLUMN())),OFFSET($CL$2,0,0,ROW()-1,84),ROW()-1,FALSE))</f>
        <v>12701.24409</v>
      </c>
      <c r="AX234">
        <f ca="1">IF(AND(ISNUMBER($AX$434),$B$252=1),$AX$434,HLOOKUP(INDIRECT(ADDRESS(2,COLUMN())),OFFSET($CL$2,0,0,ROW()-1,84),ROW()-1,FALSE))</f>
        <v>12262.26023</v>
      </c>
      <c r="AY234">
        <f ca="1">IF(AND(ISNUMBER($AY$434),$B$252=1),$AY$434,HLOOKUP(INDIRECT(ADDRESS(2,COLUMN())),OFFSET($CL$2,0,0,ROW()-1,84),ROW()-1,FALSE))</f>
        <v>11960.82998</v>
      </c>
      <c r="AZ234">
        <f ca="1">IF(AND(ISNUMBER($AZ$434),$B$252=1),$AZ$434,HLOOKUP(INDIRECT(ADDRESS(2,COLUMN())),OFFSET($CL$2,0,0,ROW()-1,84),ROW()-1,FALSE))</f>
        <v>11706.230600000001</v>
      </c>
      <c r="BA234">
        <f ca="1">IF(AND(ISNUMBER($BA$434),$B$252=1),$BA$434,HLOOKUP(INDIRECT(ADDRESS(2,COLUMN())),OFFSET($CL$2,0,0,ROW()-1,84),ROW()-1,FALSE))</f>
        <v>11153.96831</v>
      </c>
      <c r="BB234">
        <f ca="1">IF(AND(ISNUMBER($BB$434),$B$252=1),$BB$434,HLOOKUP(INDIRECT(ADDRESS(2,COLUMN())),OFFSET($CL$2,0,0,ROW()-1,84),ROW()-1,FALSE))</f>
        <v>6935.0989360000003</v>
      </c>
      <c r="BC234">
        <f ca="1">IF(AND(ISNUMBER($BC$434),$B$252=1),$BC$434,HLOOKUP(INDIRECT(ADDRESS(2,COLUMN())),OFFSET($CL$2,0,0,ROW()-1,84),ROW()-1,FALSE))</f>
        <v>6816.525748</v>
      </c>
      <c r="BD234">
        <f ca="1">IF(AND(ISNUMBER($BD$434),$B$252=1),$BD$434,HLOOKUP(INDIRECT(ADDRESS(2,COLUMN())),OFFSET($CL$2,0,0,ROW()-1,84),ROW()-1,FALSE))</f>
        <v>6266.8625760000004</v>
      </c>
      <c r="BE234">
        <f ca="1">IF(AND(ISNUMBER($BE$434),$B$252=1),$BE$434,HLOOKUP(INDIRECT(ADDRESS(2,COLUMN())),OFFSET($CL$2,0,0,ROW()-1,84),ROW()-1,FALSE))</f>
        <v>5678.8372049999998</v>
      </c>
      <c r="BF234">
        <f ca="1">IF(AND(ISNUMBER($BF$434),$B$252=1),$BF$434,HLOOKUP(INDIRECT(ADDRESS(2,COLUMN())),OFFSET($CL$2,0,0,ROW()-1,84),ROW()-1,FALSE))</f>
        <v>6100.3394449999996</v>
      </c>
      <c r="BG234">
        <f ca="1">IF(AND(ISNUMBER($BG$434),$B$252=1),$BG$434,HLOOKUP(INDIRECT(ADDRESS(2,COLUMN())),OFFSET($CL$2,0,0,ROW()-1,84),ROW()-1,FALSE))</f>
        <v>6468.8974779999999</v>
      </c>
      <c r="BH234">
        <f ca="1">IF(AND(ISNUMBER($BH$434),$B$252=1),$BH$434,HLOOKUP(INDIRECT(ADDRESS(2,COLUMN())),OFFSET($CL$2,0,0,ROW()-1,84),ROW()-1,FALSE))</f>
        <v>5934.510295</v>
      </c>
      <c r="BI234">
        <f ca="1">IF(AND(ISNUMBER($BI$434),$B$252=1),$BI$434,HLOOKUP(INDIRECT(ADDRESS(2,COLUMN())),OFFSET($CL$2,0,0,ROW()-1,84),ROW()-1,FALSE))</f>
        <v>5758.2715310000003</v>
      </c>
      <c r="BJ234">
        <f ca="1">IF(AND(ISNUMBER($BJ$434),$B$252=1),$BJ$434,HLOOKUP(INDIRECT(ADDRESS(2,COLUMN())),OFFSET($CL$2,0,0,ROW()-1,84),ROW()-1,FALSE))</f>
        <v>6475.1602910000001</v>
      </c>
      <c r="BK234">
        <f ca="1">IF(AND(ISNUMBER($BK$434),$B$252=1),$BK$434,HLOOKUP(INDIRECT(ADDRESS(2,COLUMN())),OFFSET($CL$2,0,0,ROW()-1,84),ROW()-1,FALSE))</f>
        <v>6380.0140950000005</v>
      </c>
      <c r="BL234">
        <f ca="1">IF(AND(ISNUMBER($BL$434),$B$252=1),$BL$434,HLOOKUP(INDIRECT(ADDRESS(2,COLUMN())),OFFSET($CL$2,0,0,ROW()-1,84),ROW()-1,FALSE))</f>
        <v>6309.5811800000001</v>
      </c>
      <c r="BM234">
        <f ca="1">IF(AND(ISNUMBER($BM$434),$B$252=1),$BM$434,HLOOKUP(INDIRECT(ADDRESS(2,COLUMN())),OFFSET($CL$2,0,0,ROW()-1,84),ROW()-1,FALSE))</f>
        <v>6291.7071100000003</v>
      </c>
      <c r="BN234">
        <f ca="1">IF(AND(ISNUMBER($BN$434),$B$252=1),$BN$434,HLOOKUP(INDIRECT(ADDRESS(2,COLUMN())),OFFSET($CL$2,0,0,ROW()-1,84),ROW()-1,FALSE))</f>
        <v>6032.5072060000002</v>
      </c>
      <c r="BO234">
        <f ca="1">IF(AND(ISNUMBER($BO$434),$B$252=1),$BO$434,HLOOKUP(INDIRECT(ADDRESS(2,COLUMN())),OFFSET($CL$2,0,0,ROW()-1,84),ROW()-1,FALSE))</f>
        <v>5964.0220289999997</v>
      </c>
      <c r="BP234">
        <f ca="1">IF(AND(ISNUMBER($BP$434),$B$252=1),$BP$434,HLOOKUP(INDIRECT(ADDRESS(2,COLUMN())),OFFSET($CL$2,0,0,ROW()-1,84),ROW()-1,FALSE))</f>
        <v>5943.686076</v>
      </c>
      <c r="BQ234">
        <f ca="1">IF(AND(ISNUMBER($BQ$434),$B$252=1),$BQ$434,HLOOKUP(INDIRECT(ADDRESS(2,COLUMN())),OFFSET($CL$2,0,0,ROW()-1,84),ROW()-1,FALSE))</f>
        <v>5668.107446</v>
      </c>
      <c r="BR234">
        <f ca="1">IF(AND(ISNUMBER($BR$434),$B$252=1),$BR$434,HLOOKUP(INDIRECT(ADDRESS(2,COLUMN())),OFFSET($CL$2,0,0,ROW()-1,84),ROW()-1,FALSE))</f>
        <v>5445.9517249999999</v>
      </c>
      <c r="BS234">
        <f ca="1">IF(AND(ISNUMBER($BS$434),$B$252=1),$BS$434,HLOOKUP(INDIRECT(ADDRESS(2,COLUMN())),OFFSET($CL$2,0,0,ROW()-1,84),ROW()-1,FALSE))</f>
        <v>5797.5123020000001</v>
      </c>
      <c r="BT234">
        <f ca="1">IF(AND(ISNUMBER($BT$434),$B$252=1),$BT$434,HLOOKUP(INDIRECT(ADDRESS(2,COLUMN())),OFFSET($CL$2,0,0,ROW()-1,84),ROW()-1,FALSE))</f>
        <v>5729.4881569999998</v>
      </c>
      <c r="BU234">
        <f ca="1">IF(AND(ISNUMBER($BU$434),$B$252=1),$BU$434,HLOOKUP(INDIRECT(ADDRESS(2,COLUMN())),OFFSET($CL$2,0,0,ROW()-1,84),ROW()-1,FALSE))</f>
        <v>5874.5370469999998</v>
      </c>
      <c r="BV234">
        <f ca="1">IF(AND(ISNUMBER($BV$434),$B$252=1),$BV$434,HLOOKUP(INDIRECT(ADDRESS(2,COLUMN())),OFFSET($CL$2,0,0,ROW()-1,84),ROW()-1,FALSE))</f>
        <v>5893.6917970000004</v>
      </c>
      <c r="BW234">
        <f ca="1">IF(AND(ISNUMBER($BW$434),$B$252=1),$BW$434,HLOOKUP(INDIRECT(ADDRESS(2,COLUMN())),OFFSET($CL$2,0,0,ROW()-1,84),ROW()-1,FALSE))</f>
        <v>5764.8515589999997</v>
      </c>
      <c r="BX234">
        <f ca="1">IF(AND(ISNUMBER($BX$434),$B$252=1),$BX$434,HLOOKUP(INDIRECT(ADDRESS(2,COLUMN())),OFFSET($CL$2,0,0,ROW()-1,84),ROW()-1,FALSE))</f>
        <v>5636.1814109999996</v>
      </c>
      <c r="BY234">
        <f ca="1">IF(AND(ISNUMBER($BY$434),$B$252=1),$BY$434,HLOOKUP(INDIRECT(ADDRESS(2,COLUMN())),OFFSET($CL$2,0,0,ROW()-1,84),ROW()-1,FALSE))</f>
        <v>5853.5415160000002</v>
      </c>
      <c r="BZ234">
        <f ca="1">IF(AND(ISNUMBER($BZ$434),$B$252=1),$BZ$434,HLOOKUP(INDIRECT(ADDRESS(2,COLUMN())),OFFSET($CL$2,0,0,ROW()-1,84),ROW()-1,FALSE))</f>
        <v>5614.1677220000001</v>
      </c>
      <c r="CA234">
        <f ca="1">IF(AND(ISNUMBER($CA$434),$B$252=1),$CA$434,HLOOKUP(INDIRECT(ADDRESS(2,COLUMN())),OFFSET($CL$2,0,0,ROW()-1,84),ROW()-1,FALSE))</f>
        <v>5185.065928</v>
      </c>
      <c r="CB234">
        <f ca="1">IF(AND(ISNUMBER($CB$434),$B$252=1),$CB$434,HLOOKUP(INDIRECT(ADDRESS(2,COLUMN())),OFFSET($CL$2,0,0,ROW()-1,84),ROW()-1,FALSE))</f>
        <v>5234.8651989999998</v>
      </c>
      <c r="CC234">
        <f ca="1">IF(AND(ISNUMBER($CC$434),$B$252=1),$CC$434,HLOOKUP(INDIRECT(ADDRESS(2,COLUMN())),OFFSET($CL$2,0,0,ROW()-1,84),ROW()-1,FALSE))</f>
        <v>5107.992424</v>
      </c>
      <c r="CD234">
        <f ca="1">IF(AND(ISNUMBER($CD$434),$B$252=1),$CD$434,HLOOKUP(INDIRECT(ADDRESS(2,COLUMN())),OFFSET($CL$2,0,0,ROW()-1,84),ROW()-1,FALSE))</f>
        <v>4829.4169439999996</v>
      </c>
      <c r="CE234">
        <f ca="1">IF(AND(ISNUMBER($CE$434),$B$252=1),$CE$434,HLOOKUP(INDIRECT(ADDRESS(2,COLUMN())),OFFSET($CL$2,0,0,ROW()-1,84),ROW()-1,FALSE))</f>
        <v>5145.8562259999999</v>
      </c>
      <c r="CF234">
        <f ca="1">IF(AND(ISNUMBER($CF$434),$B$252=1),$CF$434,HLOOKUP(INDIRECT(ADDRESS(2,COLUMN())),OFFSET($CL$2,0,0,ROW()-1,84),ROW()-1,FALSE))</f>
        <v>4326.9023630000002</v>
      </c>
      <c r="CG234">
        <f ca="1">IF(AND(ISNUMBER($CG$434),$B$252=1),$CG$434,HLOOKUP(INDIRECT(ADDRESS(2,COLUMN())),OFFSET($CL$2,0,0,ROW()-1,84),ROW()-1,FALSE))</f>
        <v>5174.3789720000004</v>
      </c>
      <c r="CH234">
        <f ca="1">IF(AND(ISNUMBER($CH$434),$B$252=1),$CH$434,HLOOKUP(INDIRECT(ADDRESS(2,COLUMN())),OFFSET($CL$2,0,0,ROW()-1,84),ROW()-1,FALSE))</f>
        <v>4886.9042410000002</v>
      </c>
      <c r="CI234">
        <f ca="1">IF(AND(ISNUMBER($CI$434),$B$252=1),$CI$434,HLOOKUP(INDIRECT(ADDRESS(2,COLUMN())),OFFSET($CL$2,0,0,ROW()-1,84),ROW()-1,FALSE))</f>
        <v>4710.3824080000004</v>
      </c>
      <c r="CJ234">
        <f ca="1">IF(AND(ISNUMBER($CJ$434),$B$252=1),$CJ$434,HLOOKUP(INDIRECT(ADDRESS(2,COLUMN())),OFFSET($CL$2,0,0,ROW()-1,84),ROW()-1,FALSE))</f>
        <v>4791.9530699999996</v>
      </c>
      <c r="CK234">
        <f ca="1">IF(AND(ISNUMBER($CK$434),$B$252=1),$CK$434,HLOOKUP(INDIRECT(ADDRESS(2,COLUMN())),OFFSET($CL$2,0,0,ROW()-1,84),ROW()-1,FALSE))</f>
        <v>4660.8385179999996</v>
      </c>
      <c r="CL234">
        <f>16251.74584</f>
        <v>16251.74584</v>
      </c>
      <c r="CM234">
        <f>15280.94192</f>
        <v>15280.941919999999</v>
      </c>
      <c r="CN234">
        <f>15904.85242</f>
        <v>15904.852419999999</v>
      </c>
      <c r="CO234">
        <f>16477.61279</f>
        <v>16477.612789999999</v>
      </c>
      <c r="CP234">
        <f>16857.07466</f>
        <v>16857.074659999998</v>
      </c>
      <c r="CQ234">
        <f>17898.44296</f>
        <v>17898.44296</v>
      </c>
      <c r="CR234">
        <f>17325.54001</f>
        <v>17325.540010000001</v>
      </c>
      <c r="CS234">
        <f>18169.66927</f>
        <v>18169.669269999999</v>
      </c>
      <c r="CT234">
        <f>17877.96536</f>
        <v>17877.965359999998</v>
      </c>
      <c r="CU234">
        <f>17474.77969</f>
        <v>17474.779689999999</v>
      </c>
      <c r="CV234">
        <f>17451.77715</f>
        <v>17451.777150000002</v>
      </c>
      <c r="CW234">
        <f>16596.09942</f>
        <v>16596.099419999999</v>
      </c>
      <c r="CX234">
        <f>15717.6541</f>
        <v>15717.6541</v>
      </c>
      <c r="CY234">
        <f>15927.32147</f>
        <v>15927.321470000001</v>
      </c>
      <c r="CZ234">
        <f>15214.36445</f>
        <v>15214.364449999999</v>
      </c>
      <c r="DA234">
        <f>15770.57394</f>
        <v>15770.57394</v>
      </c>
      <c r="DB234">
        <f>14642.05892</f>
        <v>14642.058919999999</v>
      </c>
      <c r="DC234">
        <f>14517.96218</f>
        <v>14517.96218</v>
      </c>
      <c r="DD234">
        <f>15096.79963</f>
        <v>15096.79963</v>
      </c>
      <c r="DE234">
        <f>15395.52917</f>
        <v>15395.52917</v>
      </c>
      <c r="DF234">
        <f>15840.01224</f>
        <v>15840.01224</v>
      </c>
      <c r="DG234">
        <f>15447.87238</f>
        <v>15447.872380000001</v>
      </c>
      <c r="DH234">
        <f>15391.67215</f>
        <v>15391.67215</v>
      </c>
      <c r="DI234">
        <f>14929.09297</f>
        <v>14929.09297</v>
      </c>
      <c r="DJ234">
        <f>15837.23149</f>
        <v>15837.23149</v>
      </c>
      <c r="DK234">
        <f>14169.63368</f>
        <v>14169.633680000001</v>
      </c>
      <c r="DL234">
        <f>14561.83635</f>
        <v>14561.83635</v>
      </c>
      <c r="DM234">
        <f>16358.91905</f>
        <v>16358.91905</v>
      </c>
      <c r="DN234">
        <f>15756.52742</f>
        <v>15756.52742</v>
      </c>
      <c r="DO234">
        <f>14985.803</f>
        <v>14985.803</v>
      </c>
      <c r="DP234">
        <f>15188.38735</f>
        <v>15188.387350000001</v>
      </c>
      <c r="DQ234">
        <f>14591.2248</f>
        <v>14591.2248</v>
      </c>
      <c r="DR234">
        <f>15202.59855</f>
        <v>15202.598550000001</v>
      </c>
      <c r="DS234">
        <f>14363.75525</f>
        <v>14363.75525</v>
      </c>
      <c r="DT234">
        <f>15048.03059</f>
        <v>15048.03059</v>
      </c>
      <c r="DU234">
        <f>14952.43767</f>
        <v>14952.437669999999</v>
      </c>
      <c r="DV234">
        <f>15488.08737</f>
        <v>15488.087369999999</v>
      </c>
      <c r="DW234">
        <f>14712.43567</f>
        <v>14712.435670000001</v>
      </c>
      <c r="DX234">
        <f>14951.87737</f>
        <v>14951.87737</v>
      </c>
      <c r="DY234">
        <f>13665.37432</f>
        <v>13665.374320000001</v>
      </c>
      <c r="DZ234">
        <f>13378.91962</f>
        <v>13378.919620000001</v>
      </c>
      <c r="EA234">
        <f>13243.82295</f>
        <v>13243.82295</v>
      </c>
      <c r="EB234">
        <f>11733.41273</f>
        <v>11733.41273</v>
      </c>
      <c r="EC234">
        <f>12701.24409</f>
        <v>12701.24409</v>
      </c>
      <c r="ED234">
        <f>12262.26023</f>
        <v>12262.26023</v>
      </c>
      <c r="EE234">
        <f>11960.82998</f>
        <v>11960.82998</v>
      </c>
      <c r="EF234">
        <f>11706.2306</f>
        <v>11706.230600000001</v>
      </c>
      <c r="EG234">
        <f>11153.96831</f>
        <v>11153.96831</v>
      </c>
      <c r="EH234">
        <f>6935.098936</f>
        <v>6935.0989360000003</v>
      </c>
      <c r="EI234">
        <f>6816.525748</f>
        <v>6816.525748</v>
      </c>
      <c r="EJ234">
        <f>6266.862576</f>
        <v>6266.8625760000004</v>
      </c>
      <c r="EK234">
        <f>5678.837205</f>
        <v>5678.8372049999998</v>
      </c>
      <c r="EL234">
        <f>6100.339445</f>
        <v>6100.3394449999996</v>
      </c>
      <c r="EM234">
        <f>6468.897478</f>
        <v>6468.8974779999999</v>
      </c>
      <c r="EN234">
        <f>5934.510295</f>
        <v>5934.510295</v>
      </c>
      <c r="EO234">
        <f>5758.271531</f>
        <v>5758.2715310000003</v>
      </c>
      <c r="EP234">
        <f>6475.160291</f>
        <v>6475.1602910000001</v>
      </c>
      <c r="EQ234">
        <f>6380.014095</f>
        <v>6380.0140950000005</v>
      </c>
      <c r="ER234">
        <f>6309.58118</f>
        <v>6309.5811800000001</v>
      </c>
      <c r="ES234">
        <f>6291.70711</f>
        <v>6291.7071100000003</v>
      </c>
      <c r="ET234">
        <f>6032.507206</f>
        <v>6032.5072060000002</v>
      </c>
      <c r="EU234">
        <f>5964.022029</f>
        <v>5964.0220289999997</v>
      </c>
      <c r="EV234">
        <f>5943.686076</f>
        <v>5943.686076</v>
      </c>
      <c r="EW234">
        <f>5668.107446</f>
        <v>5668.107446</v>
      </c>
      <c r="EX234">
        <f>5445.951725</f>
        <v>5445.9517249999999</v>
      </c>
      <c r="EY234">
        <f>5797.512302</f>
        <v>5797.5123020000001</v>
      </c>
      <c r="EZ234">
        <f>5729.488157</f>
        <v>5729.4881569999998</v>
      </c>
      <c r="FA234">
        <f>5874.537047</f>
        <v>5874.5370469999998</v>
      </c>
      <c r="FB234">
        <f>5893.691797</f>
        <v>5893.6917970000004</v>
      </c>
      <c r="FC234">
        <f>5764.851559</f>
        <v>5764.8515589999997</v>
      </c>
      <c r="FD234">
        <f>5636.181411</f>
        <v>5636.1814109999996</v>
      </c>
      <c r="FE234">
        <f>5853.541516</f>
        <v>5853.5415160000002</v>
      </c>
      <c r="FF234">
        <f>5614.167722</f>
        <v>5614.1677220000001</v>
      </c>
      <c r="FG234">
        <f>5185.065928</f>
        <v>5185.065928</v>
      </c>
      <c r="FH234">
        <f>5234.865199</f>
        <v>5234.8651989999998</v>
      </c>
      <c r="FI234">
        <f>5107.992424</f>
        <v>5107.992424</v>
      </c>
      <c r="FJ234">
        <f>4829.416944</f>
        <v>4829.4169439999996</v>
      </c>
      <c r="FK234">
        <f>5145.856226</f>
        <v>5145.8562259999999</v>
      </c>
      <c r="FL234">
        <f>4326.902363</f>
        <v>4326.9023630000002</v>
      </c>
      <c r="FM234">
        <f>5174.378972</f>
        <v>5174.3789720000004</v>
      </c>
      <c r="FN234">
        <f>4886.904241</f>
        <v>4886.9042410000002</v>
      </c>
      <c r="FO234">
        <f>4710.382408</f>
        <v>4710.3824080000004</v>
      </c>
      <c r="FP234">
        <f>4791.95307</f>
        <v>4791.9530699999996</v>
      </c>
      <c r="FQ234">
        <f>4660.838518</f>
        <v>4660.8385179999996</v>
      </c>
    </row>
    <row r="235" spans="1:173">
      <c r="A235" t="str">
        <f>"    Mid-America Apartment Communities股份有限公司"</f>
        <v xml:space="preserve">    Mid-America Apartment Communities股份有限公司</v>
      </c>
      <c r="B235" t="str">
        <f>"MAA US Equity"</f>
        <v>MAA US Equity</v>
      </c>
      <c r="C235" t="str">
        <f t="shared" si="75"/>
        <v>F0825</v>
      </c>
      <c r="D235" t="str">
        <f t="shared" si="76"/>
        <v>INDUSTRY_STANDARDIZED_MARKET_CAP</v>
      </c>
      <c r="E235" t="str">
        <f t="shared" si="77"/>
        <v>动态</v>
      </c>
      <c r="F235">
        <f ca="1">IF(AND(ISNUMBER($F$435),$B$252=1),$F$435,HLOOKUP(INDIRECT(ADDRESS(2,COLUMN())),OFFSET($CL$2,0,0,ROW()-1,84),ROW()-1,FALSE))</f>
        <v>10546.81071</v>
      </c>
      <c r="G235">
        <f ca="1">IF(AND(ISNUMBER($G$435),$B$252=1),$G$435,HLOOKUP(INDIRECT(ADDRESS(2,COLUMN())),OFFSET($CL$2,0,0,ROW()-1,84),ROW()-1,FALSE))</f>
        <v>10116.54502</v>
      </c>
      <c r="H235">
        <f ca="1">IF(AND(ISNUMBER($H$435),$B$252=1),$H$435,HLOOKUP(INDIRECT(ADDRESS(2,COLUMN())),OFFSET($CL$2,0,0,ROW()-1,84),ROW()-1,FALSE))</f>
        <v>11236.399369999999</v>
      </c>
      <c r="I235">
        <f ca="1">IF(AND(ISNUMBER($I$435),$B$252=1),$I$435,HLOOKUP(INDIRECT(ADDRESS(2,COLUMN())),OFFSET($CL$2,0,0,ROW()-1,84),ROW()-1,FALSE))</f>
        <v>11847.88005</v>
      </c>
      <c r="J235">
        <f ca="1">IF(AND(ISNUMBER($J$435),$B$252=1),$J$435,HLOOKUP(INDIRECT(ADDRESS(2,COLUMN())),OFFSET($CL$2,0,0,ROW()-1,84),ROW()-1,FALSE))</f>
        <v>12070.19931</v>
      </c>
      <c r="K235">
        <f ca="1">IF(AND(ISNUMBER($K$435),$B$252=1),$K$435,HLOOKUP(INDIRECT(ADDRESS(2,COLUMN())),OFFSET($CL$2,0,0,ROW()-1,84),ROW()-1,FALSE))</f>
        <v>12059.594880000001</v>
      </c>
      <c r="L235">
        <f ca="1">IF(AND(ISNUMBER($L$435),$B$252=1),$L$435,HLOOKUP(INDIRECT(ADDRESS(2,COLUMN())),OFFSET($CL$2,0,0,ROW()-1,84),ROW()-1,FALSE))</f>
        <v>12591.290499999999</v>
      </c>
      <c r="M235">
        <f ca="1">IF(AND(ISNUMBER($M$435),$B$252=1),$M$435,HLOOKUP(INDIRECT(ADDRESS(2,COLUMN())),OFFSET($CL$2,0,0,ROW()-1,84),ROW()-1,FALSE))</f>
        <v>12543.408160000001</v>
      </c>
      <c r="N235">
        <f ca="1">IF(AND(ISNUMBER($N$435),$B$252=1),$N$435,HLOOKUP(INDIRECT(ADDRESS(2,COLUMN())),OFFSET($CL$2,0,0,ROW()-1,84),ROW()-1,FALSE))</f>
        <v>12198.187550000001</v>
      </c>
      <c r="O235">
        <f ca="1">IF(AND(ISNUMBER($O$435),$B$252=1),$O$435,HLOOKUP(INDIRECT(ADDRESS(2,COLUMN())),OFFSET($CL$2,0,0,ROW()-1,84),ROW()-1,FALSE))</f>
        <v>12412.76647</v>
      </c>
      <c r="P235">
        <f ca="1">IF(AND(ISNUMBER($P$435),$B$252=1),$P$435,HLOOKUP(INDIRECT(ADDRESS(2,COLUMN())),OFFSET($CL$2,0,0,ROW()-1,84),ROW()-1,FALSE))</f>
        <v>12007.77061</v>
      </c>
      <c r="Q235">
        <f ca="1">IF(AND(ISNUMBER($Q$435),$B$252=1),$Q$435,HLOOKUP(INDIRECT(ADDRESS(2,COLUMN())),OFFSET($CL$2,0,0,ROW()-1,84),ROW()-1,FALSE))</f>
        <v>11686.197</v>
      </c>
      <c r="R235">
        <f ca="1">IF(AND(ISNUMBER($R$435),$B$252=1),$R$435,HLOOKUP(INDIRECT(ADDRESS(2,COLUMN())),OFFSET($CL$2,0,0,ROW()-1,84),ROW()-1,FALSE))</f>
        <v>11981.12976</v>
      </c>
      <c r="S235">
        <f ca="1">IF(AND(ISNUMBER($S$435),$B$252=1),$S$435,HLOOKUP(INDIRECT(ADDRESS(2,COLUMN())),OFFSET($CL$2,0,0,ROW()-1,84),ROW()-1,FALSE))</f>
        <v>12098.022559999999</v>
      </c>
      <c r="T235">
        <f ca="1">IF(AND(ISNUMBER($T$435),$B$252=1),$T$435,HLOOKUP(INDIRECT(ADDRESS(2,COLUMN())),OFFSET($CL$2,0,0,ROW()-1,84),ROW()-1,FALSE))</f>
        <v>11180.66157</v>
      </c>
      <c r="U235">
        <f ca="1">IF(AND(ISNUMBER($U$435),$B$252=1),$U$435,HLOOKUP(INDIRECT(ADDRESS(2,COLUMN())),OFFSET($CL$2,0,0,ROW()-1,84),ROW()-1,FALSE))</f>
        <v>11530.388419999999</v>
      </c>
      <c r="V235">
        <f ca="1">IF(AND(ISNUMBER($V$435),$B$252=1),$V$435,HLOOKUP(INDIRECT(ADDRESS(2,COLUMN())),OFFSET($CL$2,0,0,ROW()-1,84),ROW()-1,FALSE))</f>
        <v>7301.5526120000004</v>
      </c>
      <c r="W235">
        <f ca="1">IF(AND(ISNUMBER($W$435),$B$252=1),$W$435,HLOOKUP(INDIRECT(ADDRESS(2,COLUMN())),OFFSET($CL$2,0,0,ROW()-1,84),ROW()-1,FALSE))</f>
        <v>7390.8000080000002</v>
      </c>
      <c r="X235">
        <f ca="1">IF(AND(ISNUMBER($X$435),$B$252=1),$X$435,HLOOKUP(INDIRECT(ADDRESS(2,COLUMN())),OFFSET($CL$2,0,0,ROW()-1,84),ROW()-1,FALSE))</f>
        <v>7488.8495140000005</v>
      </c>
      <c r="Y235">
        <f ca="1">IF(AND(ISNUMBER($Y$435),$B$252=1),$Y$435,HLOOKUP(INDIRECT(ADDRESS(2,COLUMN())),OFFSET($CL$2,0,0,ROW()-1,84),ROW()-1,FALSE))</f>
        <v>7490.3533539999999</v>
      </c>
      <c r="Z235">
        <f ca="1">IF(AND(ISNUMBER($Z$435),$B$252=1),$Z$435,HLOOKUP(INDIRECT(ADDRESS(2,COLUMN())),OFFSET($CL$2,0,0,ROW()-1,84),ROW()-1,FALSE))</f>
        <v>8449.0612039999996</v>
      </c>
      <c r="AA235">
        <f ca="1">IF(AND(ISNUMBER($AA$435),$B$252=1),$AA$435,HLOOKUP(INDIRECT(ADDRESS(2,COLUMN())),OFFSET($CL$2,0,0,ROW()-1,84),ROW()-1,FALSE))</f>
        <v>8476.7550389999997</v>
      </c>
      <c r="AB235">
        <f ca="1">IF(AND(ISNUMBER($AB$435),$B$252=1),$AB$435,HLOOKUP(INDIRECT(ADDRESS(2,COLUMN())),OFFSET($CL$2,0,0,ROW()-1,84),ROW()-1,FALSE))</f>
        <v>8205.3935700000002</v>
      </c>
      <c r="AC235">
        <f ca="1">IF(AND(ISNUMBER($AC$435),$B$252=1),$AC$435,HLOOKUP(INDIRECT(ADDRESS(2,COLUMN())),OFFSET($CL$2,0,0,ROW()-1,84),ROW()-1,FALSE))</f>
        <v>7620.9296809999996</v>
      </c>
      <c r="AD235">
        <f ca="1">IF(AND(ISNUMBER($AD$435),$B$252=1),$AD$435,HLOOKUP(INDIRECT(ADDRESS(2,COLUMN())),OFFSET($CL$2,0,0,ROW()-1,84),ROW()-1,FALSE))</f>
        <v>8135.2808240000004</v>
      </c>
      <c r="AE235">
        <f ca="1">IF(AND(ISNUMBER($AE$435),$B$252=1),$AE$435,HLOOKUP(INDIRECT(ADDRESS(2,COLUMN())),OFFSET($CL$2,0,0,ROW()-1,84),ROW()-1,FALSE))</f>
        <v>6784.7092160000002</v>
      </c>
      <c r="AF235">
        <f ca="1">IF(AND(ISNUMBER($AF$435),$B$252=1),$AF$435,HLOOKUP(INDIRECT(ADDRESS(2,COLUMN())),OFFSET($CL$2,0,0,ROW()-1,84),ROW()-1,FALSE))</f>
        <v>7072.4839359999996</v>
      </c>
      <c r="AG235">
        <f ca="1">IF(AND(ISNUMBER($AG$435),$B$252=1),$AG$435,HLOOKUP(INDIRECT(ADDRESS(2,COLUMN())),OFFSET($CL$2,0,0,ROW()-1,84),ROW()-1,FALSE))</f>
        <v>6845.5794740000001</v>
      </c>
      <c r="AH235">
        <f ca="1">IF(AND(ISNUMBER($AH$435),$B$252=1),$AH$435,HLOOKUP(INDIRECT(ADDRESS(2,COLUMN())),OFFSET($CL$2,0,0,ROW()-1,84),ROW()-1,FALSE))</f>
        <v>7046.2214279999998</v>
      </c>
      <c r="AI235">
        <f ca="1">IF(AND(ISNUMBER($AI$435),$B$252=1),$AI$435,HLOOKUP(INDIRECT(ADDRESS(2,COLUMN())),OFFSET($CL$2,0,0,ROW()-1,84),ROW()-1,FALSE))</f>
        <v>6778.0894699999999</v>
      </c>
      <c r="AJ235">
        <f ca="1">IF(AND(ISNUMBER($AJ$435),$B$252=1),$AJ$435,HLOOKUP(INDIRECT(ADDRESS(2,COLUMN())),OFFSET($CL$2,0,0,ROW()-1,84),ROW()-1,FALSE))</f>
        <v>6513.566581</v>
      </c>
      <c r="AK235">
        <f ca="1">IF(AND(ISNUMBER($AK$435),$B$252=1),$AK$435,HLOOKUP(INDIRECT(ADDRESS(2,COLUMN())),OFFSET($CL$2,0,0,ROW()-1,84),ROW()-1,FALSE))</f>
        <v>6252.6887969999998</v>
      </c>
      <c r="AL235">
        <f ca="1">IF(AND(ISNUMBER($AL$435),$B$252=1),$AL$435,HLOOKUP(INDIRECT(ADDRESS(2,COLUMN())),OFFSET($CL$2,0,0,ROW()-1,84),ROW()-1,FALSE))</f>
        <v>6391.9203200000002</v>
      </c>
      <c r="AM235">
        <f ca="1">IF(AND(ISNUMBER($AM$435),$B$252=1),$AM$435,HLOOKUP(INDIRECT(ADDRESS(2,COLUMN())),OFFSET($CL$2,0,0,ROW()-1,84),ROW()-1,FALSE))</f>
        <v>5790.7749640000002</v>
      </c>
      <c r="AN235">
        <f ca="1">IF(AND(ISNUMBER($AN$435),$B$252=1),$AN$435,HLOOKUP(INDIRECT(ADDRESS(2,COLUMN())),OFFSET($CL$2,0,0,ROW()-1,84),ROW()-1,FALSE))</f>
        <v>6075.8075440000002</v>
      </c>
      <c r="AO235">
        <f ca="1">IF(AND(ISNUMBER($AO$435),$B$252=1),$AO$435,HLOOKUP(INDIRECT(ADDRESS(2,COLUMN())),OFFSET($CL$2,0,0,ROW()-1,84),ROW()-1,FALSE))</f>
        <v>5933.6391039999999</v>
      </c>
      <c r="AP235">
        <f ca="1">IF(AND(ISNUMBER($AP$435),$B$252=1),$AP$435,HLOOKUP(INDIRECT(ADDRESS(2,COLUMN())),OFFSET($CL$2,0,0,ROW()-1,84),ROW()-1,FALSE))</f>
        <v>6141.9879709999996</v>
      </c>
      <c r="AQ235">
        <f ca="1">IF(AND(ISNUMBER($AQ$435),$B$252=1),$AQ$435,HLOOKUP(INDIRECT(ADDRESS(2,COLUMN())),OFFSET($CL$2,0,0,ROW()-1,84),ROW()-1,FALSE))</f>
        <v>5760.5211339999996</v>
      </c>
      <c r="AR235">
        <f ca="1">IF(AND(ISNUMBER($AR$435),$B$252=1),$AR$435,HLOOKUP(INDIRECT(ADDRESS(2,COLUMN())),OFFSET($CL$2,0,0,ROW()-1,84),ROW()-1,FALSE))</f>
        <v>6301.5971959999997</v>
      </c>
      <c r="AS235">
        <f ca="1">IF(AND(ISNUMBER($AS$435),$B$252=1),$AS$435,HLOOKUP(INDIRECT(ADDRESS(2,COLUMN())),OFFSET($CL$2,0,0,ROW()-1,84),ROW()-1,FALSE))</f>
        <v>5932.9712380000001</v>
      </c>
      <c r="AT235">
        <f ca="1">IF(AND(ISNUMBER($AT$435),$B$252=1),$AT$435,HLOOKUP(INDIRECT(ADDRESS(2,COLUMN())),OFFSET($CL$2,0,0,ROW()-1,84),ROW()-1,FALSE))</f>
        <v>5852.7473440000003</v>
      </c>
      <c r="AU235">
        <f ca="1">IF(AND(ISNUMBER($AU$435),$B$252=1),$AU$435,HLOOKUP(INDIRECT(ADDRESS(2,COLUMN())),OFFSET($CL$2,0,0,ROW()-1,84),ROW()-1,FALSE))</f>
        <v>5614.3785950000001</v>
      </c>
      <c r="AV235">
        <f ca="1">IF(AND(ISNUMBER($AV$435),$B$252=1),$AV$435,HLOOKUP(INDIRECT(ADDRESS(2,COLUMN())),OFFSET($CL$2,0,0,ROW()-1,84),ROW()-1,FALSE))</f>
        <v>5212.4015099999997</v>
      </c>
      <c r="AW235">
        <f ca="1">IF(AND(ISNUMBER($AW$435),$B$252=1),$AW$435,HLOOKUP(INDIRECT(ADDRESS(2,COLUMN())),OFFSET($CL$2,0,0,ROW()-1,84),ROW()-1,FALSE))</f>
        <v>5742.3399280000003</v>
      </c>
      <c r="AX235">
        <f ca="1">IF(AND(ISNUMBER($AX$435),$B$252=1),$AX$435,HLOOKUP(INDIRECT(ADDRESS(2,COLUMN())),OFFSET($CL$2,0,0,ROW()-1,84),ROW()-1,FALSE))</f>
        <v>5538.7877090000002</v>
      </c>
      <c r="AY235">
        <f ca="1">IF(AND(ISNUMBER($AY$435),$B$252=1),$AY$435,HLOOKUP(INDIRECT(ADDRESS(2,COLUMN())),OFFSET($CL$2,0,0,ROW()-1,84),ROW()-1,FALSE))</f>
        <v>5786.7340119999999</v>
      </c>
      <c r="AZ235">
        <f ca="1">IF(AND(ISNUMBER($AZ$435),$B$252=1),$AZ$435,HLOOKUP(INDIRECT(ADDRESS(2,COLUMN())),OFFSET($CL$2,0,0,ROW()-1,84),ROW()-1,FALSE))</f>
        <v>5731.4274619999997</v>
      </c>
      <c r="BA235">
        <f ca="1">IF(AND(ISNUMBER($BA$435),$B$252=1),$BA$435,HLOOKUP(INDIRECT(ADDRESS(2,COLUMN())),OFFSET($CL$2,0,0,ROW()-1,84),ROW()-1,FALSE))</f>
        <v>5515.5066440000001</v>
      </c>
      <c r="BB235">
        <f ca="1">IF(AND(ISNUMBER($BB$435),$B$252=1),$BB$435,HLOOKUP(INDIRECT(ADDRESS(2,COLUMN())),OFFSET($CL$2,0,0,ROW()-1,84),ROW()-1,FALSE))</f>
        <v>5405.5358290000004</v>
      </c>
      <c r="BC235">
        <f ca="1">IF(AND(ISNUMBER($BC$435),$B$252=1),$BC$435,HLOOKUP(INDIRECT(ADDRESS(2,COLUMN())),OFFSET($CL$2,0,0,ROW()-1,84),ROW()-1,FALSE))</f>
        <v>5356.8707130000003</v>
      </c>
      <c r="BD235">
        <f ca="1">IF(AND(ISNUMBER($BD$435),$B$252=1),$BD$435,HLOOKUP(INDIRECT(ADDRESS(2,COLUMN())),OFFSET($CL$2,0,0,ROW()-1,84),ROW()-1,FALSE))</f>
        <v>5098.8684549999998</v>
      </c>
      <c r="BE235">
        <f ca="1">IF(AND(ISNUMBER($BE$435),$B$252=1),$BE$435,HLOOKUP(INDIRECT(ADDRESS(2,COLUMN())),OFFSET($CL$2,0,0,ROW()-1,84),ROW()-1,FALSE))</f>
        <v>4798.6561819999997</v>
      </c>
      <c r="BF235">
        <f ca="1">IF(AND(ISNUMBER($BF$435),$B$252=1),$BF$435,HLOOKUP(INDIRECT(ADDRESS(2,COLUMN())),OFFSET($CL$2,0,0,ROW()-1,84),ROW()-1,FALSE))</f>
        <v>4607.0485669999998</v>
      </c>
      <c r="BG235">
        <f ca="1">IF(AND(ISNUMBER($BG$435),$B$252=1),$BG$435,HLOOKUP(INDIRECT(ADDRESS(2,COLUMN())),OFFSET($CL$2,0,0,ROW()-1,84),ROW()-1,FALSE))</f>
        <v>5074.0125680000001</v>
      </c>
      <c r="BH235">
        <f ca="1">IF(AND(ISNUMBER($BH$435),$B$252=1),$BH$435,HLOOKUP(INDIRECT(ADDRESS(2,COLUMN())),OFFSET($CL$2,0,0,ROW()-1,84),ROW()-1,FALSE))</f>
        <v>2777.3575989999999</v>
      </c>
      <c r="BI235">
        <f ca="1">IF(AND(ISNUMBER($BI$435),$B$252=1),$BI$435,HLOOKUP(INDIRECT(ADDRESS(2,COLUMN())),OFFSET($CL$2,0,0,ROW()-1,84),ROW()-1,FALSE))</f>
        <v>2740.3998729999998</v>
      </c>
      <c r="BJ235">
        <f ca="1">IF(AND(ISNUMBER($BJ$435),$B$252=1),$BJ$435,HLOOKUP(INDIRECT(ADDRESS(2,COLUMN())),OFFSET($CL$2,0,0,ROW()-1,84),ROW()-1,FALSE))</f>
        <v>2976.2453500000001</v>
      </c>
      <c r="BK235">
        <f ca="1">IF(AND(ISNUMBER($BK$435),$B$252=1),$BK$435,HLOOKUP(INDIRECT(ADDRESS(2,COLUMN())),OFFSET($CL$2,0,0,ROW()-1,84),ROW()-1,FALSE))</f>
        <v>2985.938525</v>
      </c>
      <c r="BL235">
        <f ca="1">IF(AND(ISNUMBER($BL$435),$B$252=1),$BL$435,HLOOKUP(INDIRECT(ADDRESS(2,COLUMN())),OFFSET($CL$2,0,0,ROW()-1,84),ROW()-1,FALSE))</f>
        <v>2994.75128</v>
      </c>
      <c r="BM235">
        <f ca="1">IF(AND(ISNUMBER($BM$435),$B$252=1),$BM$435,HLOOKUP(INDIRECT(ADDRESS(2,COLUMN())),OFFSET($CL$2,0,0,ROW()-1,84),ROW()-1,FALSE))</f>
        <v>3028.2368029999998</v>
      </c>
      <c r="BN235">
        <f ca="1">IF(AND(ISNUMBER($BN$435),$B$252=1),$BN$435,HLOOKUP(INDIRECT(ADDRESS(2,COLUMN())),OFFSET($CL$2,0,0,ROW()-1,84),ROW()-1,FALSE))</f>
        <v>3042.7765690000001</v>
      </c>
      <c r="BO235">
        <f ca="1">IF(AND(ISNUMBER($BO$435),$B$252=1),$BO$435,HLOOKUP(INDIRECT(ADDRESS(2,COLUMN())),OFFSET($CL$2,0,0,ROW()-1,84),ROW()-1,FALSE))</f>
        <v>3061.1858910000001</v>
      </c>
      <c r="BP235">
        <f ca="1">IF(AND(ISNUMBER($BP$435),$B$252=1),$BP$435,HLOOKUP(INDIRECT(ADDRESS(2,COLUMN())),OFFSET($CL$2,0,0,ROW()-1,84),ROW()-1,FALSE))</f>
        <v>2876.2474350000002</v>
      </c>
      <c r="BQ235">
        <f ca="1">IF(AND(ISNUMBER($BQ$435),$B$252=1),$BQ$435,HLOOKUP(INDIRECT(ADDRESS(2,COLUMN())),OFFSET($CL$2,0,0,ROW()-1,84),ROW()-1,FALSE))</f>
        <v>2848.967744</v>
      </c>
      <c r="BR235">
        <f ca="1">IF(AND(ISNUMBER($BR$435),$B$252=1),$BR$435,HLOOKUP(INDIRECT(ADDRESS(2,COLUMN())),OFFSET($CL$2,0,0,ROW()-1,84),ROW()-1,FALSE))</f>
        <v>2744.7287139999999</v>
      </c>
      <c r="BS235">
        <f ca="1">IF(AND(ISNUMBER($BS$435),$B$252=1),$BS$435,HLOOKUP(INDIRECT(ADDRESS(2,COLUMN())),OFFSET($CL$2,0,0,ROW()-1,84),ROW()-1,FALSE))</f>
        <v>2774.6677589999999</v>
      </c>
      <c r="BT235">
        <f ca="1">IF(AND(ISNUMBER($BT$435),$B$252=1),$BT$435,HLOOKUP(INDIRECT(ADDRESS(2,COLUMN())),OFFSET($CL$2,0,0,ROW()-1,84),ROW()-1,FALSE))</f>
        <v>2800.394859</v>
      </c>
      <c r="BU235">
        <f ca="1">IF(AND(ISNUMBER($BU$435),$B$252=1),$BU$435,HLOOKUP(INDIRECT(ADDRESS(2,COLUMN())),OFFSET($CL$2,0,0,ROW()-1,84),ROW()-1,FALSE))</f>
        <v>2916.3500250000002</v>
      </c>
      <c r="BV235">
        <f ca="1">IF(AND(ISNUMBER($BV$435),$B$252=1),$BV$435,HLOOKUP(INDIRECT(ADDRESS(2,COLUMN())),OFFSET($CL$2,0,0,ROW()-1,84),ROW()-1,FALSE))</f>
        <v>2957.5817149999998</v>
      </c>
      <c r="BW235">
        <f ca="1">IF(AND(ISNUMBER($BW$435),$B$252=1),$BW$435,HLOOKUP(INDIRECT(ADDRESS(2,COLUMN())),OFFSET($CL$2,0,0,ROW()-1,84),ROW()-1,FALSE))</f>
        <v>2915.2878270000001</v>
      </c>
      <c r="BX235">
        <f ca="1">IF(AND(ISNUMBER($BX$435),$B$252=1),$BX$435,HLOOKUP(INDIRECT(ADDRESS(2,COLUMN())),OFFSET($CL$2,0,0,ROW()-1,84),ROW()-1,FALSE))</f>
        <v>2889.2181719999999</v>
      </c>
      <c r="BY235">
        <f ca="1">IF(AND(ISNUMBER($BY$435),$B$252=1),$BY$435,HLOOKUP(INDIRECT(ADDRESS(2,COLUMN())),OFFSET($CL$2,0,0,ROW()-1,84),ROW()-1,FALSE))</f>
        <v>2917.4326660000002</v>
      </c>
      <c r="BZ235">
        <f ca="1">IF(AND(ISNUMBER($BZ$435),$B$252=1),$BZ$435,HLOOKUP(INDIRECT(ADDRESS(2,COLUMN())),OFFSET($CL$2,0,0,ROW()-1,84),ROW()-1,FALSE))</f>
        <v>2872.8589929999998</v>
      </c>
      <c r="CA235">
        <f ca="1">IF(AND(ISNUMBER($CA$435),$B$252=1),$CA$435,HLOOKUP(INDIRECT(ADDRESS(2,COLUMN())),OFFSET($CL$2,0,0,ROW()-1,84),ROW()-1,FALSE))</f>
        <v>2657.3549699999999</v>
      </c>
      <c r="CB235">
        <f ca="1">IF(AND(ISNUMBER($CB$435),$B$252=1),$CB$435,HLOOKUP(INDIRECT(ADDRESS(2,COLUMN())),OFFSET($CL$2,0,0,ROW()-1,84),ROW()-1,FALSE))</f>
        <v>2541.5871240000001</v>
      </c>
      <c r="CC235">
        <f ca="1">IF(AND(ISNUMBER($CC$435),$B$252=1),$CC$435,HLOOKUP(INDIRECT(ADDRESS(2,COLUMN())),OFFSET($CL$2,0,0,ROW()-1,84),ROW()-1,FALSE))</f>
        <v>2487.1131820000001</v>
      </c>
      <c r="CD235">
        <f ca="1">IF(AND(ISNUMBER($CD$435),$B$252=1),$CD$435,HLOOKUP(INDIRECT(ADDRESS(2,COLUMN())),OFFSET($CL$2,0,0,ROW()-1,84),ROW()-1,FALSE))</f>
        <v>2279.3871949999998</v>
      </c>
      <c r="CE235">
        <f ca="1">IF(AND(ISNUMBER($CE$435),$B$252=1),$CE$435,HLOOKUP(INDIRECT(ADDRESS(2,COLUMN())),OFFSET($CL$2,0,0,ROW()-1,84),ROW()-1,FALSE))</f>
        <v>2438.829115</v>
      </c>
      <c r="CF235">
        <f ca="1">IF(AND(ISNUMBER($CF$435),$B$252=1),$CF$435,HLOOKUP(INDIRECT(ADDRESS(2,COLUMN())),OFFSET($CL$2,0,0,ROW()-1,84),ROW()-1,FALSE))</f>
        <v>2353.626432</v>
      </c>
      <c r="CG235">
        <f ca="1">IF(AND(ISNUMBER($CG$435),$B$252=1),$CG$435,HLOOKUP(INDIRECT(ADDRESS(2,COLUMN())),OFFSET($CL$2,0,0,ROW()-1,84),ROW()-1,FALSE))</f>
        <v>2794.4248189999998</v>
      </c>
      <c r="CH235">
        <f ca="1">IF(AND(ISNUMBER($CH$435),$B$252=1),$CH$435,HLOOKUP(INDIRECT(ADDRESS(2,COLUMN())),OFFSET($CL$2,0,0,ROW()-1,84),ROW()-1,FALSE))</f>
        <v>2736.0122980000001</v>
      </c>
      <c r="CI235">
        <f ca="1">IF(AND(ISNUMBER($CI$435),$B$252=1),$CI$435,HLOOKUP(INDIRECT(ADDRESS(2,COLUMN())),OFFSET($CL$2,0,0,ROW()-1,84),ROW()-1,FALSE))</f>
        <v>2607.6952930000002</v>
      </c>
      <c r="CJ235">
        <f ca="1">IF(AND(ISNUMBER($CJ$435),$B$252=1),$CJ$435,HLOOKUP(INDIRECT(ADDRESS(2,COLUMN())),OFFSET($CL$2,0,0,ROW()-1,84),ROW()-1,FALSE))</f>
        <v>2653.6185190000001</v>
      </c>
      <c r="CK235">
        <f ca="1">IF(AND(ISNUMBER($CK$435),$B$252=1),$CK$435,HLOOKUP(INDIRECT(ADDRESS(2,COLUMN())),OFFSET($CL$2,0,0,ROW()-1,84),ROW()-1,FALSE))</f>
        <v>2522.0298509999998</v>
      </c>
      <c r="CL235">
        <f>10546.81071</f>
        <v>10546.81071</v>
      </c>
      <c r="CM235">
        <f>10116.54502</f>
        <v>10116.54502</v>
      </c>
      <c r="CN235">
        <f>11236.3993699999</f>
        <v>11236.399369999999</v>
      </c>
      <c r="CO235">
        <f>11847.88005</f>
        <v>11847.88005</v>
      </c>
      <c r="CP235">
        <f>12070.19931</f>
        <v>12070.19931</v>
      </c>
      <c r="CQ235">
        <f>12059.59488</f>
        <v>12059.594880000001</v>
      </c>
      <c r="CR235">
        <f>12591.2905</f>
        <v>12591.290499999999</v>
      </c>
      <c r="CS235">
        <f>12543.40816</f>
        <v>12543.408160000001</v>
      </c>
      <c r="CT235">
        <f>12198.18755</f>
        <v>12198.187550000001</v>
      </c>
      <c r="CU235">
        <f>12412.76647</f>
        <v>12412.76647</v>
      </c>
      <c r="CV235">
        <f>12007.77061</f>
        <v>12007.77061</v>
      </c>
      <c r="CW235">
        <f>11686.197</f>
        <v>11686.197</v>
      </c>
      <c r="CX235">
        <f>11981.12976</f>
        <v>11981.12976</v>
      </c>
      <c r="CY235">
        <f>12098.02256</f>
        <v>12098.022559999999</v>
      </c>
      <c r="CZ235">
        <f>11180.66157</f>
        <v>11180.66157</v>
      </c>
      <c r="DA235">
        <f>11530.38842</f>
        <v>11530.388419999999</v>
      </c>
      <c r="DB235">
        <f>7301.552612</f>
        <v>7301.5526120000004</v>
      </c>
      <c r="DC235">
        <f>7390.800008</f>
        <v>7390.8000080000002</v>
      </c>
      <c r="DD235">
        <f>7488.849514</f>
        <v>7488.8495140000005</v>
      </c>
      <c r="DE235">
        <f>7490.353354</f>
        <v>7490.3533539999999</v>
      </c>
      <c r="DF235">
        <f>8449.061204</f>
        <v>8449.0612039999996</v>
      </c>
      <c r="DG235">
        <f>8476.755039</f>
        <v>8476.7550389999997</v>
      </c>
      <c r="DH235">
        <f>8205.39357</f>
        <v>8205.3935700000002</v>
      </c>
      <c r="DI235">
        <f>7620.929681</f>
        <v>7620.9296809999996</v>
      </c>
      <c r="DJ235">
        <f>8135.280824</f>
        <v>8135.2808240000004</v>
      </c>
      <c r="DK235">
        <f>6784.709216</f>
        <v>6784.7092160000002</v>
      </c>
      <c r="DL235">
        <f>7072.483936</f>
        <v>7072.4839359999996</v>
      </c>
      <c r="DM235">
        <f>6845.579474</f>
        <v>6845.5794740000001</v>
      </c>
      <c r="DN235">
        <f>7046.221428</f>
        <v>7046.2214279999998</v>
      </c>
      <c r="DO235">
        <f>6778.08947</f>
        <v>6778.0894699999999</v>
      </c>
      <c r="DP235">
        <f>6513.566581</f>
        <v>6513.566581</v>
      </c>
      <c r="DQ235">
        <f>6252.688797</f>
        <v>6252.6887969999998</v>
      </c>
      <c r="DR235">
        <f>6391.92032</f>
        <v>6391.9203200000002</v>
      </c>
      <c r="DS235">
        <f>5790.774964</f>
        <v>5790.7749640000002</v>
      </c>
      <c r="DT235">
        <f>6075.807544</f>
        <v>6075.8075440000002</v>
      </c>
      <c r="DU235">
        <f>5933.639104</f>
        <v>5933.6391039999999</v>
      </c>
      <c r="DV235">
        <f>6141.987971</f>
        <v>6141.9879709999996</v>
      </c>
      <c r="DW235">
        <f>5760.521134</f>
        <v>5760.5211339999996</v>
      </c>
      <c r="DX235">
        <f>6301.597196</f>
        <v>6301.5971959999997</v>
      </c>
      <c r="DY235">
        <f>5932.971238</f>
        <v>5932.9712380000001</v>
      </c>
      <c r="DZ235">
        <f>5852.747344</f>
        <v>5852.7473440000003</v>
      </c>
      <c r="EA235">
        <f>5614.378595</f>
        <v>5614.3785950000001</v>
      </c>
      <c r="EB235">
        <f>5212.40151</f>
        <v>5212.4015099999997</v>
      </c>
      <c r="EC235">
        <f>5742.339928</f>
        <v>5742.3399280000003</v>
      </c>
      <c r="ED235">
        <f>5538.787709</f>
        <v>5538.7877090000002</v>
      </c>
      <c r="EE235">
        <f>5786.734012</f>
        <v>5786.7340119999999</v>
      </c>
      <c r="EF235">
        <f>5731.427462</f>
        <v>5731.4274619999997</v>
      </c>
      <c r="EG235">
        <f>5515.506644</f>
        <v>5515.5066440000001</v>
      </c>
      <c r="EH235">
        <f>5405.535829</f>
        <v>5405.5358290000004</v>
      </c>
      <c r="EI235">
        <f>5356.870713</f>
        <v>5356.8707130000003</v>
      </c>
      <c r="EJ235">
        <f>5098.868455</f>
        <v>5098.8684549999998</v>
      </c>
      <c r="EK235">
        <f>4798.656182</f>
        <v>4798.6561819999997</v>
      </c>
      <c r="EL235">
        <f>4607.048567</f>
        <v>4607.0485669999998</v>
      </c>
      <c r="EM235">
        <f>5074.012568</f>
        <v>5074.0125680000001</v>
      </c>
      <c r="EN235">
        <f>2777.357599</f>
        <v>2777.3575989999999</v>
      </c>
      <c r="EO235">
        <f>2740.399873</f>
        <v>2740.3998729999998</v>
      </c>
      <c r="EP235">
        <f>2976.24535</f>
        <v>2976.2453500000001</v>
      </c>
      <c r="EQ235">
        <f>2985.938525</f>
        <v>2985.938525</v>
      </c>
      <c r="ER235">
        <f>2994.75128</f>
        <v>2994.75128</v>
      </c>
      <c r="ES235">
        <f>3028.236803</f>
        <v>3028.2368029999998</v>
      </c>
      <c r="ET235">
        <f>3042.776569</f>
        <v>3042.7765690000001</v>
      </c>
      <c r="EU235">
        <f>3061.185891</f>
        <v>3061.1858910000001</v>
      </c>
      <c r="EV235">
        <f>2876.247435</f>
        <v>2876.2474350000002</v>
      </c>
      <c r="EW235">
        <f>2848.967744</f>
        <v>2848.967744</v>
      </c>
      <c r="EX235">
        <f>2744.728714</f>
        <v>2744.7287139999999</v>
      </c>
      <c r="EY235">
        <f>2774.667759</f>
        <v>2774.6677589999999</v>
      </c>
      <c r="EZ235">
        <f>2800.394859</f>
        <v>2800.394859</v>
      </c>
      <c r="FA235">
        <f>2916.350025</f>
        <v>2916.3500250000002</v>
      </c>
      <c r="FB235">
        <f>2957.581715</f>
        <v>2957.5817149999998</v>
      </c>
      <c r="FC235">
        <f>2915.287827</f>
        <v>2915.2878270000001</v>
      </c>
      <c r="FD235">
        <f>2889.218172</f>
        <v>2889.2181719999999</v>
      </c>
      <c r="FE235">
        <f>2917.432666</f>
        <v>2917.4326660000002</v>
      </c>
      <c r="FF235">
        <f>2872.858993</f>
        <v>2872.8589929999998</v>
      </c>
      <c r="FG235">
        <f>2657.35497</f>
        <v>2657.3549699999999</v>
      </c>
      <c r="FH235">
        <f>2541.587124</f>
        <v>2541.5871240000001</v>
      </c>
      <c r="FI235">
        <f>2487.113182</f>
        <v>2487.1131820000001</v>
      </c>
      <c r="FJ235">
        <f>2279.387195</f>
        <v>2279.3871949999998</v>
      </c>
      <c r="FK235">
        <f>2438.829115</f>
        <v>2438.829115</v>
      </c>
      <c r="FL235">
        <f>2353.626432</f>
        <v>2353.626432</v>
      </c>
      <c r="FM235">
        <f>2794.424819</f>
        <v>2794.4248189999998</v>
      </c>
      <c r="FN235">
        <f>2736.012298</f>
        <v>2736.0122980000001</v>
      </c>
      <c r="FO235">
        <f>2607.695293</f>
        <v>2607.6952930000002</v>
      </c>
      <c r="FP235">
        <f>2653.618519</f>
        <v>2653.6185190000001</v>
      </c>
      <c r="FQ235">
        <f>2522.029851</f>
        <v>2522.0298509999998</v>
      </c>
    </row>
    <row r="236" spans="1:173">
      <c r="A236" t="str">
        <f>"    UDR 公司"</f>
        <v xml:space="preserve">    UDR 公司</v>
      </c>
      <c r="B236" t="str">
        <f>"UDR US Equity"</f>
        <v>UDR US Equity</v>
      </c>
      <c r="C236" t="str">
        <f t="shared" si="75"/>
        <v>F0825</v>
      </c>
      <c r="D236" t="str">
        <f t="shared" si="76"/>
        <v>INDUSTRY_STANDARDIZED_MARKET_CAP</v>
      </c>
      <c r="E236" t="str">
        <f t="shared" si="77"/>
        <v>动态</v>
      </c>
      <c r="F236">
        <f ca="1">IF(AND(ISNUMBER($F$436),$B$252=1),$F$436,HLOOKUP(INDIRECT(ADDRESS(2,COLUMN())),OFFSET($CL$2,0,0,ROW()-1,84),ROW()-1,FALSE))</f>
        <v>10305.10778</v>
      </c>
      <c r="G236">
        <f ca="1">IF(AND(ISNUMBER($G$436),$B$252=1),$G$436,HLOOKUP(INDIRECT(ADDRESS(2,COLUMN())),OFFSET($CL$2,0,0,ROW()-1,84),ROW()-1,FALSE))</f>
        <v>9784.1774920000007</v>
      </c>
      <c r="H236">
        <f ca="1">IF(AND(ISNUMBER($H$436),$B$252=1),$H$436,HLOOKUP(INDIRECT(ADDRESS(2,COLUMN())),OFFSET($CL$2,0,0,ROW()-1,84),ROW()-1,FALSE))</f>
        <v>10616.295630000001</v>
      </c>
      <c r="I236">
        <f ca="1">IF(AND(ISNUMBER($I$436),$B$252=1),$I$436,HLOOKUP(INDIRECT(ADDRESS(2,COLUMN())),OFFSET($CL$2,0,0,ROW()-1,84),ROW()-1,FALSE))</f>
        <v>11194.626550000001</v>
      </c>
      <c r="J236">
        <f ca="1">IF(AND(ISNUMBER($J$436),$B$252=1),$J$436,HLOOKUP(INDIRECT(ADDRESS(2,COLUMN())),OFFSET($CL$2,0,0,ROW()-1,84),ROW()-1,FALSE))</f>
        <v>11437.37501</v>
      </c>
      <c r="K236">
        <f ca="1">IF(AND(ISNUMBER($K$436),$B$252=1),$K$436,HLOOKUP(INDIRECT(ADDRESS(2,COLUMN())),OFFSET($CL$2,0,0,ROW()-1,84),ROW()-1,FALSE))</f>
        <v>11280.340109999999</v>
      </c>
      <c r="L236">
        <f ca="1">IF(AND(ISNUMBER($L$436),$B$252=1),$L$436,HLOOKUP(INDIRECT(ADDRESS(2,COLUMN())),OFFSET($CL$2,0,0,ROW()-1,84),ROW()-1,FALSE))</f>
        <v>11052.37485</v>
      </c>
      <c r="M236">
        <f ca="1">IF(AND(ISNUMBER($M$436),$B$252=1),$M$436,HLOOKUP(INDIRECT(ADDRESS(2,COLUMN())),OFFSET($CL$2,0,0,ROW()-1,84),ROW()-1,FALSE))</f>
        <v>11283.263779999999</v>
      </c>
      <c r="N236">
        <f ca="1">IF(AND(ISNUMBER($N$436),$B$252=1),$N$436,HLOOKUP(INDIRECT(ADDRESS(2,COLUMN())),OFFSET($CL$2,0,0,ROW()-1,84),ROW()-1,FALSE))</f>
        <v>11361.740889999999</v>
      </c>
      <c r="O236">
        <f ca="1">IF(AND(ISNUMBER($O$436),$B$252=1),$O$436,HLOOKUP(INDIRECT(ADDRESS(2,COLUMN())),OFFSET($CL$2,0,0,ROW()-1,84),ROW()-1,FALSE))</f>
        <v>11319.78916</v>
      </c>
      <c r="P236">
        <f ca="1">IF(AND(ISNUMBER($P$436),$B$252=1),$P$436,HLOOKUP(INDIRECT(ADDRESS(2,COLUMN())),OFFSET($CL$2,0,0,ROW()-1,84),ROW()-1,FALSE))</f>
        <v>11219.779109999999</v>
      </c>
      <c r="Q236">
        <f ca="1">IF(AND(ISNUMBER($Q$436),$B$252=1),$Q$436,HLOOKUP(INDIRECT(ADDRESS(2,COLUMN())),OFFSET($CL$2,0,0,ROW()-1,84),ROW()-1,FALSE))</f>
        <v>10850.726549999999</v>
      </c>
      <c r="R236">
        <f ca="1">IF(AND(ISNUMBER($R$436),$B$252=1),$R$436,HLOOKUP(INDIRECT(ADDRESS(2,COLUMN())),OFFSET($CL$2,0,0,ROW()-1,84),ROW()-1,FALSE))</f>
        <v>10537.07137</v>
      </c>
      <c r="S236">
        <f ca="1">IF(AND(ISNUMBER($S$436),$B$252=1),$S$436,HLOOKUP(INDIRECT(ADDRESS(2,COLUMN())),OFFSET($CL$2,0,0,ROW()-1,84),ROW()-1,FALSE))</f>
        <v>10605.075220000001</v>
      </c>
      <c r="T236">
        <f ca="1">IF(AND(ISNUMBER($T$436),$B$252=1),$T$436,HLOOKUP(INDIRECT(ADDRESS(2,COLUMN())),OFFSET($CL$2,0,0,ROW()-1,84),ROW()-1,FALSE))</f>
        <v>10150.44889</v>
      </c>
      <c r="U236">
        <f ca="1">IF(AND(ISNUMBER($U$436),$B$252=1),$U$436,HLOOKUP(INDIRECT(ADDRESS(2,COLUMN())),OFFSET($CL$2,0,0,ROW()-1,84),ROW()-1,FALSE))</f>
        <v>10594.8033</v>
      </c>
      <c r="V236">
        <f ca="1">IF(AND(ISNUMBER($V$436),$B$252=1),$V$436,HLOOKUP(INDIRECT(ADDRESS(2,COLUMN())),OFFSET($CL$2,0,0,ROW()-1,84),ROW()-1,FALSE))</f>
        <v>9889.4602460000006</v>
      </c>
      <c r="W236">
        <f ca="1">IF(AND(ISNUMBER($W$436),$B$252=1),$W$436,HLOOKUP(INDIRECT(ADDRESS(2,COLUMN())),OFFSET($CL$2,0,0,ROW()-1,84),ROW()-1,FALSE))</f>
        <v>10159.6482</v>
      </c>
      <c r="X236">
        <f ca="1">IF(AND(ISNUMBER($X$436),$B$252=1),$X$436,HLOOKUP(INDIRECT(ADDRESS(2,COLUMN())),OFFSET($CL$2,0,0,ROW()-1,84),ROW()-1,FALSE))</f>
        <v>10449.11773</v>
      </c>
      <c r="Y236">
        <f ca="1">IF(AND(ISNUMBER($Y$436),$B$252=1),$Y$436,HLOOKUP(INDIRECT(ADDRESS(2,COLUMN())),OFFSET($CL$2,0,0,ROW()-1,84),ROW()-1,FALSE))</f>
        <v>10510.1152</v>
      </c>
      <c r="Z236">
        <f ca="1">IF(AND(ISNUMBER($Z$436),$B$252=1),$Z$436,HLOOKUP(INDIRECT(ADDRESS(2,COLUMN())),OFFSET($CL$2,0,0,ROW()-1,84),ROW()-1,FALSE))</f>
        <v>10815.135130000001</v>
      </c>
      <c r="AA236">
        <f ca="1">IF(AND(ISNUMBER($AA$436),$B$252=1),$AA$436,HLOOKUP(INDIRECT(ADDRESS(2,COLUMN())),OFFSET($CL$2,0,0,ROW()-1,84),ROW()-1,FALSE))</f>
        <v>10728.02234</v>
      </c>
      <c r="AB236">
        <f ca="1">IF(AND(ISNUMBER($AB$436),$B$252=1),$AB$436,HLOOKUP(INDIRECT(ADDRESS(2,COLUMN())),OFFSET($CL$2,0,0,ROW()-1,84),ROW()-1,FALSE))</f>
        <v>10469.48569</v>
      </c>
      <c r="AC236">
        <f ca="1">IF(AND(ISNUMBER($AC$436),$B$252=1),$AC$436,HLOOKUP(INDIRECT(ADDRESS(2,COLUMN())),OFFSET($CL$2,0,0,ROW()-1,84),ROW()-1,FALSE))</f>
        <v>10146.94533</v>
      </c>
      <c r="AD236">
        <f ca="1">IF(AND(ISNUMBER($AD$436),$B$252=1),$AD$436,HLOOKUP(INDIRECT(ADDRESS(2,COLUMN())),OFFSET($CL$2,0,0,ROW()-1,84),ROW()-1,FALSE))</f>
        <v>11195.996139999999</v>
      </c>
      <c r="AE236">
        <f ca="1">IF(AND(ISNUMBER($AE$436),$B$252=1),$AE$436,HLOOKUP(INDIRECT(ADDRESS(2,COLUMN())),OFFSET($CL$2,0,0,ROW()-1,84),ROW()-1,FALSE))</f>
        <v>9803.6999080000005</v>
      </c>
      <c r="AF236">
        <f ca="1">IF(AND(ISNUMBER($AF$436),$B$252=1),$AF$436,HLOOKUP(INDIRECT(ADDRESS(2,COLUMN())),OFFSET($CL$2,0,0,ROW()-1,84),ROW()-1,FALSE))</f>
        <v>10159.337369999999</v>
      </c>
      <c r="AG236">
        <f ca="1">IF(AND(ISNUMBER($AG$436),$B$252=1),$AG$436,HLOOKUP(INDIRECT(ADDRESS(2,COLUMN())),OFFSET($CL$2,0,0,ROW()-1,84),ROW()-1,FALSE))</f>
        <v>10724.53794</v>
      </c>
      <c r="AH236">
        <f ca="1">IF(AND(ISNUMBER($AH$436),$B$252=1),$AH$436,HLOOKUP(INDIRECT(ADDRESS(2,COLUMN())),OFFSET($CL$2,0,0,ROW()-1,84),ROW()-1,FALSE))</f>
        <v>9940.4851650000001</v>
      </c>
      <c r="AI236">
        <f ca="1">IF(AND(ISNUMBER($AI$436),$B$252=1),$AI$436,HLOOKUP(INDIRECT(ADDRESS(2,COLUMN())),OFFSET($CL$2,0,0,ROW()-1,84),ROW()-1,FALSE))</f>
        <v>9280.6588670000001</v>
      </c>
      <c r="AJ236">
        <f ca="1">IF(AND(ISNUMBER($AJ$436),$B$252=1),$AJ$436,HLOOKUP(INDIRECT(ADDRESS(2,COLUMN())),OFFSET($CL$2,0,0,ROW()-1,84),ROW()-1,FALSE))</f>
        <v>9285.7053290000003</v>
      </c>
      <c r="AK236">
        <f ca="1">IF(AND(ISNUMBER($AK$436),$B$252=1),$AK$436,HLOOKUP(INDIRECT(ADDRESS(2,COLUMN())),OFFSET($CL$2,0,0,ROW()-1,84),ROW()-1,FALSE))</f>
        <v>8698.9193680000008</v>
      </c>
      <c r="AL236">
        <f ca="1">IF(AND(ISNUMBER($AL$436),$B$252=1),$AL$436,HLOOKUP(INDIRECT(ADDRESS(2,COLUMN())),OFFSET($CL$2,0,0,ROW()-1,84),ROW()-1,FALSE))</f>
        <v>9007.4217279999993</v>
      </c>
      <c r="AM236">
        <f ca="1">IF(AND(ISNUMBER($AM$436),$B$252=1),$AM$436,HLOOKUP(INDIRECT(ADDRESS(2,COLUMN())),OFFSET($CL$2,0,0,ROW()-1,84),ROW()-1,FALSE))</f>
        <v>8529.4912889999996</v>
      </c>
      <c r="AN236">
        <f ca="1">IF(AND(ISNUMBER($AN$436),$B$252=1),$AN$436,HLOOKUP(INDIRECT(ADDRESS(2,COLUMN())),OFFSET($CL$2,0,0,ROW()-1,84),ROW()-1,FALSE))</f>
        <v>8673.9579319999993</v>
      </c>
      <c r="AO236">
        <f ca="1">IF(AND(ISNUMBER($AO$436),$B$252=1),$AO$436,HLOOKUP(INDIRECT(ADDRESS(2,COLUMN())),OFFSET($CL$2,0,0,ROW()-1,84),ROW()-1,FALSE))</f>
        <v>8729.9017640000002</v>
      </c>
      <c r="AP236">
        <f ca="1">IF(AND(ISNUMBER($AP$436),$B$252=1),$AP$436,HLOOKUP(INDIRECT(ADDRESS(2,COLUMN())),OFFSET($CL$2,0,0,ROW()-1,84),ROW()-1,FALSE))</f>
        <v>9058.0708439999999</v>
      </c>
      <c r="AQ236">
        <f ca="1">IF(AND(ISNUMBER($AQ$436),$B$252=1),$AQ$436,HLOOKUP(INDIRECT(ADDRESS(2,COLUMN())),OFFSET($CL$2,0,0,ROW()-1,84),ROW()-1,FALSE))</f>
        <v>8501.7738229999995</v>
      </c>
      <c r="AR236">
        <f ca="1">IF(AND(ISNUMBER($AR$436),$B$252=1),$AR$436,HLOOKUP(INDIRECT(ADDRESS(2,COLUMN())),OFFSET($CL$2,0,0,ROW()-1,84),ROW()-1,FALSE))</f>
        <v>8735.1302589999996</v>
      </c>
      <c r="AS236">
        <f ca="1">IF(AND(ISNUMBER($AS$436),$B$252=1),$AS$436,HLOOKUP(INDIRECT(ADDRESS(2,COLUMN())),OFFSET($CL$2,0,0,ROW()-1,84),ROW()-1,FALSE))</f>
        <v>8094.3089170000003</v>
      </c>
      <c r="AT236">
        <f ca="1">IF(AND(ISNUMBER($AT$436),$B$252=1),$AT$436,HLOOKUP(INDIRECT(ADDRESS(2,COLUMN())),OFFSET($CL$2,0,0,ROW()-1,84),ROW()-1,FALSE))</f>
        <v>8084.5581899999997</v>
      </c>
      <c r="AU236">
        <f ca="1">IF(AND(ISNUMBER($AU$436),$B$252=1),$AU$436,HLOOKUP(INDIRECT(ADDRESS(2,COLUMN())),OFFSET($CL$2,0,0,ROW()-1,84),ROW()-1,FALSE))</f>
        <v>7940.0972739999997</v>
      </c>
      <c r="AV236">
        <f ca="1">IF(AND(ISNUMBER($AV$436),$B$252=1),$AV$436,HLOOKUP(INDIRECT(ADDRESS(2,COLUMN())),OFFSET($CL$2,0,0,ROW()-1,84),ROW()-1,FALSE))</f>
        <v>7061.531086</v>
      </c>
      <c r="AW236">
        <f ca="1">IF(AND(ISNUMBER($AW$436),$B$252=1),$AW$436,HLOOKUP(INDIRECT(ADDRESS(2,COLUMN())),OFFSET($CL$2,0,0,ROW()-1,84),ROW()-1,FALSE))</f>
        <v>7757.1931649999997</v>
      </c>
      <c r="AX236">
        <f ca="1">IF(AND(ISNUMBER($AX$436),$B$252=1),$AX$436,HLOOKUP(INDIRECT(ADDRESS(2,COLUMN())),OFFSET($CL$2,0,0,ROW()-1,84),ROW()-1,FALSE))</f>
        <v>7539.4110039999996</v>
      </c>
      <c r="AY236">
        <f ca="1">IF(AND(ISNUMBER($AY$436),$B$252=1),$AY$436,HLOOKUP(INDIRECT(ADDRESS(2,COLUMN())),OFFSET($CL$2,0,0,ROW()-1,84),ROW()-1,FALSE))</f>
        <v>7415.0196310000001</v>
      </c>
      <c r="AZ236">
        <f ca="1">IF(AND(ISNUMBER($AZ$436),$B$252=1),$AZ$436,HLOOKUP(INDIRECT(ADDRESS(2,COLUMN())),OFFSET($CL$2,0,0,ROW()-1,84),ROW()-1,FALSE))</f>
        <v>7127.6239100000003</v>
      </c>
      <c r="BA236">
        <f ca="1">IF(AND(ISNUMBER($BA$436),$B$252=1),$BA$436,HLOOKUP(INDIRECT(ADDRESS(2,COLUMN())),OFFSET($CL$2,0,0,ROW()-1,84),ROW()-1,FALSE))</f>
        <v>6697.687293</v>
      </c>
      <c r="BB236">
        <f ca="1">IF(AND(ISNUMBER($BB$436),$B$252=1),$BB$436,HLOOKUP(INDIRECT(ADDRESS(2,COLUMN())),OFFSET($CL$2,0,0,ROW()-1,84),ROW()-1,FALSE))</f>
        <v>6690.0158879999999</v>
      </c>
      <c r="BC236">
        <f ca="1">IF(AND(ISNUMBER($BC$436),$B$252=1),$BC$436,HLOOKUP(INDIRECT(ADDRESS(2,COLUMN())),OFFSET($CL$2,0,0,ROW()-1,84),ROW()-1,FALSE))</f>
        <v>6684.9269880000002</v>
      </c>
      <c r="BD236">
        <f ca="1">IF(AND(ISNUMBER($BD$436),$B$252=1),$BD$436,HLOOKUP(INDIRECT(ADDRESS(2,COLUMN())),OFFSET($CL$2,0,0,ROW()-1,84),ROW()-1,FALSE))</f>
        <v>6287.2641649999996</v>
      </c>
      <c r="BE236">
        <f ca="1">IF(AND(ISNUMBER($BE$436),$B$252=1),$BE$436,HLOOKUP(INDIRECT(ADDRESS(2,COLUMN())),OFFSET($CL$2,0,0,ROW()-1,84),ROW()-1,FALSE))</f>
        <v>6031.5373149999996</v>
      </c>
      <c r="BF236">
        <f ca="1">IF(AND(ISNUMBER($BF$436),$B$252=1),$BF$436,HLOOKUP(INDIRECT(ADDRESS(2,COLUMN())),OFFSET($CL$2,0,0,ROW()-1,84),ROW()-1,FALSE))</f>
        <v>6010.8939039999996</v>
      </c>
      <c r="BG236">
        <f ca="1">IF(AND(ISNUMBER($BG$436),$B$252=1),$BG$436,HLOOKUP(INDIRECT(ADDRESS(2,COLUMN())),OFFSET($CL$2,0,0,ROW()-1,84),ROW()-1,FALSE))</f>
        <v>6408.692642</v>
      </c>
      <c r="BH236">
        <f ca="1">IF(AND(ISNUMBER($BH$436),$B$252=1),$BH$436,HLOOKUP(INDIRECT(ADDRESS(2,COLUMN())),OFFSET($CL$2,0,0,ROW()-1,84),ROW()-1,FALSE))</f>
        <v>6122.0315870000004</v>
      </c>
      <c r="BI236">
        <f ca="1">IF(AND(ISNUMBER($BI$436),$B$252=1),$BI$436,HLOOKUP(INDIRECT(ADDRESS(2,COLUMN())),OFFSET($CL$2,0,0,ROW()-1,84),ROW()-1,FALSE))</f>
        <v>5835.3132159999996</v>
      </c>
      <c r="BJ236">
        <f ca="1">IF(AND(ISNUMBER($BJ$436),$B$252=1),$BJ$436,HLOOKUP(INDIRECT(ADDRESS(2,COLUMN())),OFFSET($CL$2,0,0,ROW()-1,84),ROW()-1,FALSE))</f>
        <v>6468.1825120000003</v>
      </c>
      <c r="BK236">
        <f ca="1">IF(AND(ISNUMBER($BK$436),$B$252=1),$BK$436,HLOOKUP(INDIRECT(ADDRESS(2,COLUMN())),OFFSET($CL$2,0,0,ROW()-1,84),ROW()-1,FALSE))</f>
        <v>6584.4844860000003</v>
      </c>
      <c r="BL236">
        <f ca="1">IF(AND(ISNUMBER($BL$436),$B$252=1),$BL$436,HLOOKUP(INDIRECT(ADDRESS(2,COLUMN())),OFFSET($CL$2,0,0,ROW()-1,84),ROW()-1,FALSE))</f>
        <v>6296.5635510000002</v>
      </c>
      <c r="BM236">
        <f ca="1">IF(AND(ISNUMBER($BM$436),$B$252=1),$BM$436,HLOOKUP(INDIRECT(ADDRESS(2,COLUMN())),OFFSET($CL$2,0,0,ROW()-1,84),ROW()-1,FALSE))</f>
        <v>6336.9466149999998</v>
      </c>
      <c r="BN236">
        <f ca="1">IF(AND(ISNUMBER($BN$436),$B$252=1),$BN$436,HLOOKUP(INDIRECT(ADDRESS(2,COLUMN())),OFFSET($CL$2,0,0,ROW()-1,84),ROW()-1,FALSE))</f>
        <v>6236.4010829999997</v>
      </c>
      <c r="BO236">
        <f ca="1">IF(AND(ISNUMBER($BO$436),$B$252=1),$BO$436,HLOOKUP(INDIRECT(ADDRESS(2,COLUMN())),OFFSET($CL$2,0,0,ROW()-1,84),ROW()-1,FALSE))</f>
        <v>6151.8197140000002</v>
      </c>
      <c r="BP236">
        <f ca="1">IF(AND(ISNUMBER($BP$436),$B$252=1),$BP$436,HLOOKUP(INDIRECT(ADDRESS(2,COLUMN())),OFFSET($CL$2,0,0,ROW()-1,84),ROW()-1,FALSE))</f>
        <v>6158.524805</v>
      </c>
      <c r="BQ236">
        <f ca="1">IF(AND(ISNUMBER($BQ$436),$B$252=1),$BQ$436,HLOOKUP(INDIRECT(ADDRESS(2,COLUMN())),OFFSET($CL$2,0,0,ROW()-1,84),ROW()-1,FALSE))</f>
        <v>6130.1682650000002</v>
      </c>
      <c r="BR236">
        <f ca="1">IF(AND(ISNUMBER($BR$436),$B$252=1),$BR$436,HLOOKUP(INDIRECT(ADDRESS(2,COLUMN())),OFFSET($CL$2,0,0,ROW()-1,84),ROW()-1,FALSE))</f>
        <v>5931.7666230000004</v>
      </c>
      <c r="BS236">
        <f ca="1">IF(AND(ISNUMBER($BS$436),$B$252=1),$BS$436,HLOOKUP(INDIRECT(ADDRESS(2,COLUMN())),OFFSET($CL$2,0,0,ROW()-1,84),ROW()-1,FALSE))</f>
        <v>6256.5830480000004</v>
      </c>
      <c r="BT236">
        <f ca="1">IF(AND(ISNUMBER($BT$436),$B$252=1),$BT$436,HLOOKUP(INDIRECT(ADDRESS(2,COLUMN())),OFFSET($CL$2,0,0,ROW()-1,84),ROW()-1,FALSE))</f>
        <v>6400.0756579999997</v>
      </c>
      <c r="BU236">
        <f ca="1">IF(AND(ISNUMBER($BU$436),$B$252=1),$BU$436,HLOOKUP(INDIRECT(ADDRESS(2,COLUMN())),OFFSET($CL$2,0,0,ROW()-1,84),ROW()-1,FALSE))</f>
        <v>6511.2060250000004</v>
      </c>
      <c r="BV236">
        <f ca="1">IF(AND(ISNUMBER($BV$436),$B$252=1),$BV$436,HLOOKUP(INDIRECT(ADDRESS(2,COLUMN())),OFFSET($CL$2,0,0,ROW()-1,84),ROW()-1,FALSE))</f>
        <v>6786.2644360000004</v>
      </c>
      <c r="BW236">
        <f ca="1">IF(AND(ISNUMBER($BW$436),$B$252=1),$BW$436,HLOOKUP(INDIRECT(ADDRESS(2,COLUMN())),OFFSET($CL$2,0,0,ROW()-1,84),ROW()-1,FALSE))</f>
        <v>6589.893763</v>
      </c>
      <c r="BX236">
        <f ca="1">IF(AND(ISNUMBER($BX$436),$B$252=1),$BX$436,HLOOKUP(INDIRECT(ADDRESS(2,COLUMN())),OFFSET($CL$2,0,0,ROW()-1,84),ROW()-1,FALSE))</f>
        <v>6990.7705079999996</v>
      </c>
      <c r="BY236">
        <f ca="1">IF(AND(ISNUMBER($BY$436),$B$252=1),$BY$436,HLOOKUP(INDIRECT(ADDRESS(2,COLUMN())),OFFSET($CL$2,0,0,ROW()-1,84),ROW()-1,FALSE))</f>
        <v>6082.4913909999996</v>
      </c>
      <c r="BZ236">
        <f ca="1">IF(AND(ISNUMBER($BZ$436),$B$252=1),$BZ$436,HLOOKUP(INDIRECT(ADDRESS(2,COLUMN())),OFFSET($CL$2,0,0,ROW()-1,84),ROW()-1,FALSE))</f>
        <v>6170.2751639999997</v>
      </c>
      <c r="CA236">
        <f ca="1">IF(AND(ISNUMBER($CA$436),$B$252=1),$CA$436,HLOOKUP(INDIRECT(ADDRESS(2,COLUMN())),OFFSET($CL$2,0,0,ROW()-1,84),ROW()-1,FALSE))</f>
        <v>5779.8683860000001</v>
      </c>
      <c r="CB236">
        <f ca="1">IF(AND(ISNUMBER($CB$436),$B$252=1),$CB$436,HLOOKUP(INDIRECT(ADDRESS(2,COLUMN())),OFFSET($CL$2,0,0,ROW()-1,84),ROW()-1,FALSE))</f>
        <v>5899.0573480000003</v>
      </c>
      <c r="CC236">
        <f ca="1">IF(AND(ISNUMBER($CC$436),$B$252=1),$CC$436,HLOOKUP(INDIRECT(ADDRESS(2,COLUMN())),OFFSET($CL$2,0,0,ROW()-1,84),ROW()-1,FALSE))</f>
        <v>5690.4819150000003</v>
      </c>
      <c r="CD236">
        <f ca="1">IF(AND(ISNUMBER($CD$436),$B$252=1),$CD$436,HLOOKUP(INDIRECT(ADDRESS(2,COLUMN())),OFFSET($CL$2,0,0,ROW()-1,84),ROW()-1,FALSE))</f>
        <v>5327.9314189999996</v>
      </c>
      <c r="CE236">
        <f ca="1">IF(AND(ISNUMBER($CE$436),$B$252=1),$CE$436,HLOOKUP(INDIRECT(ADDRESS(2,COLUMN())),OFFSET($CL$2,0,0,ROW()-1,84),ROW()-1,FALSE))</f>
        <v>5653.0592420000003</v>
      </c>
      <c r="CF236">
        <f ca="1">IF(AND(ISNUMBER($CF$436),$B$252=1),$CF$436,HLOOKUP(INDIRECT(ADDRESS(2,COLUMN())),OFFSET($CL$2,0,0,ROW()-1,84),ROW()-1,FALSE))</f>
        <v>5020.406403</v>
      </c>
      <c r="CG236">
        <f ca="1">IF(AND(ISNUMBER($CG$436),$B$252=1),$CG$436,HLOOKUP(INDIRECT(ADDRESS(2,COLUMN())),OFFSET($CL$2,0,0,ROW()-1,84),ROW()-1,FALSE))</f>
        <v>6055.4048979999998</v>
      </c>
      <c r="CH236">
        <f ca="1">IF(AND(ISNUMBER($CH$436),$B$252=1),$CH$436,HLOOKUP(INDIRECT(ADDRESS(2,COLUMN())),OFFSET($CL$2,0,0,ROW()-1,84),ROW()-1,FALSE))</f>
        <v>5845.4369550000001</v>
      </c>
      <c r="CI236">
        <f ca="1">IF(AND(ISNUMBER($CI$436),$B$252=1),$CI$436,HLOOKUP(INDIRECT(ADDRESS(2,COLUMN())),OFFSET($CL$2,0,0,ROW()-1,84),ROW()-1,FALSE))</f>
        <v>4846.3756750000002</v>
      </c>
      <c r="CJ236">
        <f ca="1">IF(AND(ISNUMBER($CJ$436),$B$252=1),$CJ$436,HLOOKUP(INDIRECT(ADDRESS(2,COLUMN())),OFFSET($CL$2,0,0,ROW()-1,84),ROW()-1,FALSE))</f>
        <v>5031.8992040000003</v>
      </c>
      <c r="CK236">
        <f ca="1">IF(AND(ISNUMBER($CK$436),$B$252=1),$CK$436,HLOOKUP(INDIRECT(ADDRESS(2,COLUMN())),OFFSET($CL$2,0,0,ROW()-1,84),ROW()-1,FALSE))</f>
        <v>4810.5328840000002</v>
      </c>
      <c r="CL236">
        <f>10305.10778</f>
        <v>10305.10778</v>
      </c>
      <c r="CM236">
        <f>9784.177492</f>
        <v>9784.1774920000007</v>
      </c>
      <c r="CN236">
        <f>10616.29563</f>
        <v>10616.295630000001</v>
      </c>
      <c r="CO236">
        <f>11194.62655</f>
        <v>11194.626550000001</v>
      </c>
      <c r="CP236">
        <f>11437.37501</f>
        <v>11437.37501</v>
      </c>
      <c r="CQ236">
        <f>11280.34011</f>
        <v>11280.340109999999</v>
      </c>
      <c r="CR236">
        <f>11052.37485</f>
        <v>11052.37485</v>
      </c>
      <c r="CS236">
        <f>11283.26378</f>
        <v>11283.263779999999</v>
      </c>
      <c r="CT236">
        <f>11361.74089</f>
        <v>11361.740889999999</v>
      </c>
      <c r="CU236">
        <f>11319.78916</f>
        <v>11319.78916</v>
      </c>
      <c r="CV236">
        <f>11219.77911</f>
        <v>11219.779109999999</v>
      </c>
      <c r="CW236">
        <f>10850.72655</f>
        <v>10850.726549999999</v>
      </c>
      <c r="CX236">
        <f>10537.07137</f>
        <v>10537.07137</v>
      </c>
      <c r="CY236">
        <f>10605.07522</f>
        <v>10605.075220000001</v>
      </c>
      <c r="CZ236">
        <f>10150.44889</f>
        <v>10150.44889</v>
      </c>
      <c r="DA236">
        <f>10594.8033</f>
        <v>10594.8033</v>
      </c>
      <c r="DB236">
        <f>9889.460246</f>
        <v>9889.4602460000006</v>
      </c>
      <c r="DC236">
        <f>10159.6482</f>
        <v>10159.6482</v>
      </c>
      <c r="DD236">
        <f>10449.11773</f>
        <v>10449.11773</v>
      </c>
      <c r="DE236">
        <f>10510.1152</f>
        <v>10510.1152</v>
      </c>
      <c r="DF236">
        <f>10815.13513</f>
        <v>10815.135130000001</v>
      </c>
      <c r="DG236">
        <f>10728.02234</f>
        <v>10728.02234</v>
      </c>
      <c r="DH236">
        <f>10469.48569</f>
        <v>10469.48569</v>
      </c>
      <c r="DI236">
        <f>10146.94533</f>
        <v>10146.94533</v>
      </c>
      <c r="DJ236">
        <f>11195.99614</f>
        <v>11195.996139999999</v>
      </c>
      <c r="DK236">
        <f>9803.699908</f>
        <v>9803.6999080000005</v>
      </c>
      <c r="DL236">
        <f>10159.33737</f>
        <v>10159.337369999999</v>
      </c>
      <c r="DM236">
        <f>10724.53794</f>
        <v>10724.53794</v>
      </c>
      <c r="DN236">
        <f>9940.485165</f>
        <v>9940.4851650000001</v>
      </c>
      <c r="DO236">
        <f>9280.658867</f>
        <v>9280.6588670000001</v>
      </c>
      <c r="DP236">
        <f>9285.705329</f>
        <v>9285.7053290000003</v>
      </c>
      <c r="DQ236">
        <f>8698.919368</f>
        <v>8698.9193680000008</v>
      </c>
      <c r="DR236">
        <f>9007.421728</f>
        <v>9007.4217279999993</v>
      </c>
      <c r="DS236">
        <f>8529.491289</f>
        <v>8529.4912889999996</v>
      </c>
      <c r="DT236">
        <f>8673.957932</f>
        <v>8673.9579319999993</v>
      </c>
      <c r="DU236">
        <f>8729.901764</f>
        <v>8729.9017640000002</v>
      </c>
      <c r="DV236">
        <f>9058.070844</f>
        <v>9058.0708439999999</v>
      </c>
      <c r="DW236">
        <f>8501.773823</f>
        <v>8501.7738229999995</v>
      </c>
      <c r="DX236">
        <f>8735.130259</f>
        <v>8735.1302589999996</v>
      </c>
      <c r="DY236">
        <f>8094.308917</f>
        <v>8094.3089170000003</v>
      </c>
      <c r="DZ236">
        <f>8084.55819</f>
        <v>8084.5581899999997</v>
      </c>
      <c r="EA236">
        <f>7940.097274</f>
        <v>7940.0972739999997</v>
      </c>
      <c r="EB236">
        <f>7061.531086</f>
        <v>7061.531086</v>
      </c>
      <c r="EC236">
        <f>7757.193165</f>
        <v>7757.1931649999997</v>
      </c>
      <c r="ED236">
        <f>7539.411004</f>
        <v>7539.4110039999996</v>
      </c>
      <c r="EE236">
        <f>7415.019631</f>
        <v>7415.0196310000001</v>
      </c>
      <c r="EF236">
        <f>7127.62391</f>
        <v>7127.6239100000003</v>
      </c>
      <c r="EG236">
        <f>6697.687293</f>
        <v>6697.687293</v>
      </c>
      <c r="EH236">
        <f>6690.015888</f>
        <v>6690.0158879999999</v>
      </c>
      <c r="EI236">
        <f>6684.926988</f>
        <v>6684.9269880000002</v>
      </c>
      <c r="EJ236">
        <f>6287.264165</f>
        <v>6287.2641649999996</v>
      </c>
      <c r="EK236">
        <f>6031.537315</f>
        <v>6031.5373149999996</v>
      </c>
      <c r="EL236">
        <f>6010.893904</f>
        <v>6010.8939039999996</v>
      </c>
      <c r="EM236">
        <f>6408.692642</f>
        <v>6408.692642</v>
      </c>
      <c r="EN236">
        <f>6122.031587</f>
        <v>6122.0315870000004</v>
      </c>
      <c r="EO236">
        <f>5835.313216</f>
        <v>5835.3132159999996</v>
      </c>
      <c r="EP236">
        <f>6468.182512</f>
        <v>6468.1825120000003</v>
      </c>
      <c r="EQ236">
        <f>6584.484486</f>
        <v>6584.4844860000003</v>
      </c>
      <c r="ER236">
        <f>6296.563551</f>
        <v>6296.5635510000002</v>
      </c>
      <c r="ES236">
        <f>6336.946615</f>
        <v>6336.9466149999998</v>
      </c>
      <c r="ET236">
        <f>6236.401083</f>
        <v>6236.4010829999997</v>
      </c>
      <c r="EU236">
        <f>6151.819714</f>
        <v>6151.8197140000002</v>
      </c>
      <c r="EV236">
        <f>6158.524805</f>
        <v>6158.524805</v>
      </c>
      <c r="EW236">
        <f>6130.168265</f>
        <v>6130.1682650000002</v>
      </c>
      <c r="EX236">
        <f>5931.766623</f>
        <v>5931.7666230000004</v>
      </c>
      <c r="EY236">
        <f>6256.583048</f>
        <v>6256.5830480000004</v>
      </c>
      <c r="EZ236">
        <f>6400.075658</f>
        <v>6400.0756579999997</v>
      </c>
      <c r="FA236">
        <f>6511.206025</f>
        <v>6511.2060250000004</v>
      </c>
      <c r="FB236">
        <f>6786.264436</f>
        <v>6786.2644360000004</v>
      </c>
      <c r="FC236">
        <f>6589.893763</f>
        <v>6589.893763</v>
      </c>
      <c r="FD236">
        <f>6990.770508</f>
        <v>6990.7705079999996</v>
      </c>
      <c r="FE236">
        <f>6082.491391</f>
        <v>6082.4913909999996</v>
      </c>
      <c r="FF236">
        <f>6170.275164</f>
        <v>6170.2751639999997</v>
      </c>
      <c r="FG236">
        <f>5779.868386</f>
        <v>5779.8683860000001</v>
      </c>
      <c r="FH236">
        <f>5899.057348</f>
        <v>5899.0573480000003</v>
      </c>
      <c r="FI236">
        <f>5690.481915</f>
        <v>5690.4819150000003</v>
      </c>
      <c r="FJ236">
        <f>5327.931419</f>
        <v>5327.9314189999996</v>
      </c>
      <c r="FK236">
        <f>5653.059242</f>
        <v>5653.0592420000003</v>
      </c>
      <c r="FL236">
        <f>5020.406403</f>
        <v>5020.406403</v>
      </c>
      <c r="FM236">
        <f>6055.404898</f>
        <v>6055.4048979999998</v>
      </c>
      <c r="FN236">
        <f>5845.436955</f>
        <v>5845.4369550000001</v>
      </c>
      <c r="FO236">
        <f>4846.375675</f>
        <v>4846.3756750000002</v>
      </c>
      <c r="FP236">
        <f>5031.899204</f>
        <v>5031.8992040000003</v>
      </c>
      <c r="FQ236">
        <f>4810.532884</f>
        <v>4810.5328840000002</v>
      </c>
    </row>
    <row r="237" spans="1:173">
      <c r="CL237" t="str">
        <f>""</f>
        <v/>
      </c>
      <c r="CM237" t="str">
        <f>""</f>
        <v/>
      </c>
      <c r="CN237" t="str">
        <f>""</f>
        <v/>
      </c>
      <c r="CO237" t="str">
        <f>""</f>
        <v/>
      </c>
      <c r="CP237" t="str">
        <f>""</f>
        <v/>
      </c>
      <c r="CQ237" t="str">
        <f>""</f>
        <v/>
      </c>
      <c r="CR237" t="str">
        <f>""</f>
        <v/>
      </c>
      <c r="CS237" t="str">
        <f>""</f>
        <v/>
      </c>
      <c r="CT237" t="str">
        <f>""</f>
        <v/>
      </c>
      <c r="CU237" t="str">
        <f>""</f>
        <v/>
      </c>
      <c r="CV237" t="str">
        <f>""</f>
        <v/>
      </c>
      <c r="CW237" t="str">
        <f>""</f>
        <v/>
      </c>
      <c r="CX237" t="str">
        <f>""</f>
        <v/>
      </c>
      <c r="CY237" t="str">
        <f>""</f>
        <v/>
      </c>
      <c r="CZ237" t="str">
        <f>""</f>
        <v/>
      </c>
      <c r="DA237" t="str">
        <f>""</f>
        <v/>
      </c>
      <c r="DB237" t="str">
        <f>""</f>
        <v/>
      </c>
      <c r="DC237" t="str">
        <f>""</f>
        <v/>
      </c>
      <c r="DD237" t="str">
        <f>""</f>
        <v/>
      </c>
      <c r="DE237" t="str">
        <f>""</f>
        <v/>
      </c>
      <c r="DF237" t="str">
        <f>""</f>
        <v/>
      </c>
      <c r="DG237" t="str">
        <f>""</f>
        <v/>
      </c>
      <c r="DH237" t="str">
        <f>""</f>
        <v/>
      </c>
      <c r="DI237" t="str">
        <f>""</f>
        <v/>
      </c>
      <c r="DJ237" t="str">
        <f>""</f>
        <v/>
      </c>
      <c r="DK237" t="str">
        <f>""</f>
        <v/>
      </c>
      <c r="DL237" t="str">
        <f>""</f>
        <v/>
      </c>
      <c r="DM237" t="str">
        <f>""</f>
        <v/>
      </c>
      <c r="DN237" t="str">
        <f>""</f>
        <v/>
      </c>
      <c r="DO237" t="str">
        <f>""</f>
        <v/>
      </c>
      <c r="DP237" t="str">
        <f>""</f>
        <v/>
      </c>
      <c r="DQ237" t="str">
        <f>""</f>
        <v/>
      </c>
      <c r="DR237" t="str">
        <f>""</f>
        <v/>
      </c>
      <c r="DS237" t="str">
        <f>""</f>
        <v/>
      </c>
      <c r="DT237" t="str">
        <f>""</f>
        <v/>
      </c>
      <c r="DU237" t="str">
        <f>""</f>
        <v/>
      </c>
      <c r="DV237" t="str">
        <f>""</f>
        <v/>
      </c>
      <c r="DW237" t="str">
        <f>""</f>
        <v/>
      </c>
      <c r="DX237" t="str">
        <f>""</f>
        <v/>
      </c>
      <c r="DY237" t="str">
        <f>""</f>
        <v/>
      </c>
      <c r="DZ237" t="str">
        <f>""</f>
        <v/>
      </c>
      <c r="EA237" t="str">
        <f>""</f>
        <v/>
      </c>
      <c r="EB237" t="str">
        <f>""</f>
        <v/>
      </c>
      <c r="EC237" t="str">
        <f>""</f>
        <v/>
      </c>
      <c r="ED237" t="str">
        <f>""</f>
        <v/>
      </c>
      <c r="EE237" t="str">
        <f>""</f>
        <v/>
      </c>
      <c r="EF237" t="str">
        <f>""</f>
        <v/>
      </c>
      <c r="EG237" t="str">
        <f>""</f>
        <v/>
      </c>
      <c r="EH237" t="str">
        <f>""</f>
        <v/>
      </c>
      <c r="EI237" t="str">
        <f>""</f>
        <v/>
      </c>
      <c r="EJ237" t="str">
        <f>""</f>
        <v/>
      </c>
      <c r="EK237" t="str">
        <f>""</f>
        <v/>
      </c>
      <c r="EL237" t="str">
        <f>""</f>
        <v/>
      </c>
      <c r="EM237" t="str">
        <f>""</f>
        <v/>
      </c>
      <c r="EN237" t="str">
        <f>""</f>
        <v/>
      </c>
      <c r="EO237" t="str">
        <f>""</f>
        <v/>
      </c>
      <c r="EP237" t="str">
        <f>""</f>
        <v/>
      </c>
      <c r="EQ237" t="str">
        <f>""</f>
        <v/>
      </c>
      <c r="ER237" t="str">
        <f>""</f>
        <v/>
      </c>
      <c r="ES237" t="str">
        <f>""</f>
        <v/>
      </c>
      <c r="ET237" t="str">
        <f>""</f>
        <v/>
      </c>
      <c r="EU237" t="str">
        <f>""</f>
        <v/>
      </c>
      <c r="EV237" t="str">
        <f>""</f>
        <v/>
      </c>
      <c r="EW237" t="str">
        <f>""</f>
        <v/>
      </c>
      <c r="EX237" t="str">
        <f>""</f>
        <v/>
      </c>
      <c r="EY237" t="str">
        <f>""</f>
        <v/>
      </c>
      <c r="EZ237" t="str">
        <f>""</f>
        <v/>
      </c>
      <c r="FA237" t="str">
        <f>""</f>
        <v/>
      </c>
      <c r="FB237" t="str">
        <f>""</f>
        <v/>
      </c>
      <c r="FC237" t="str">
        <f>""</f>
        <v/>
      </c>
      <c r="FD237" t="str">
        <f>""</f>
        <v/>
      </c>
      <c r="FE237" t="str">
        <f>""</f>
        <v/>
      </c>
      <c r="FF237" t="str">
        <f>""</f>
        <v/>
      </c>
      <c r="FG237" t="str">
        <f>""</f>
        <v/>
      </c>
      <c r="FH237" t="str">
        <f>""</f>
        <v/>
      </c>
      <c r="FI237" t="str">
        <f>""</f>
        <v/>
      </c>
      <c r="FJ237" t="str">
        <f>""</f>
        <v/>
      </c>
      <c r="FK237" t="str">
        <f>""</f>
        <v/>
      </c>
      <c r="FL237" t="str">
        <f>""</f>
        <v/>
      </c>
      <c r="FM237" t="str">
        <f>""</f>
        <v/>
      </c>
      <c r="FN237" t="str">
        <f>""</f>
        <v/>
      </c>
      <c r="FO237" t="str">
        <f>""</f>
        <v/>
      </c>
      <c r="FP237" t="str">
        <f>""</f>
        <v/>
      </c>
      <c r="FQ237" t="str">
        <f>""</f>
        <v/>
      </c>
    </row>
    <row r="238" spans="1:173">
      <c r="CL238" t="str">
        <f>""</f>
        <v/>
      </c>
      <c r="CM238" t="str">
        <f>""</f>
        <v/>
      </c>
      <c r="CN238" t="str">
        <f>""</f>
        <v/>
      </c>
      <c r="CO238" t="str">
        <f>""</f>
        <v/>
      </c>
      <c r="CP238" t="str">
        <f>""</f>
        <v/>
      </c>
      <c r="CQ238" t="str">
        <f>""</f>
        <v/>
      </c>
      <c r="CR238" t="str">
        <f>""</f>
        <v/>
      </c>
      <c r="CS238" t="str">
        <f>""</f>
        <v/>
      </c>
      <c r="CT238" t="str">
        <f>""</f>
        <v/>
      </c>
      <c r="CU238" t="str">
        <f>""</f>
        <v/>
      </c>
      <c r="CV238" t="str">
        <f>""</f>
        <v/>
      </c>
      <c r="CW238" t="str">
        <f>""</f>
        <v/>
      </c>
      <c r="CX238" t="str">
        <f>""</f>
        <v/>
      </c>
      <c r="CY238" t="str">
        <f>""</f>
        <v/>
      </c>
      <c r="CZ238" t="str">
        <f>""</f>
        <v/>
      </c>
      <c r="DA238" t="str">
        <f>""</f>
        <v/>
      </c>
      <c r="DB238" t="str">
        <f>""</f>
        <v/>
      </c>
      <c r="DC238" t="str">
        <f>""</f>
        <v/>
      </c>
      <c r="DD238" t="str">
        <f>""</f>
        <v/>
      </c>
      <c r="DE238" t="str">
        <f>""</f>
        <v/>
      </c>
      <c r="DF238" t="str">
        <f>""</f>
        <v/>
      </c>
      <c r="DG238" t="str">
        <f>""</f>
        <v/>
      </c>
      <c r="DH238" t="str">
        <f>""</f>
        <v/>
      </c>
      <c r="DI238" t="str">
        <f>""</f>
        <v/>
      </c>
      <c r="DJ238" t="str">
        <f>""</f>
        <v/>
      </c>
      <c r="DK238" t="str">
        <f>""</f>
        <v/>
      </c>
      <c r="DL238" t="str">
        <f>""</f>
        <v/>
      </c>
      <c r="DM238" t="str">
        <f>""</f>
        <v/>
      </c>
      <c r="DN238" t="str">
        <f>""</f>
        <v/>
      </c>
      <c r="DO238" t="str">
        <f>""</f>
        <v/>
      </c>
      <c r="DP238" t="str">
        <f>""</f>
        <v/>
      </c>
      <c r="DQ238" t="str">
        <f>""</f>
        <v/>
      </c>
      <c r="DR238" t="str">
        <f>""</f>
        <v/>
      </c>
      <c r="DS238" t="str">
        <f>""</f>
        <v/>
      </c>
      <c r="DT238" t="str">
        <f>""</f>
        <v/>
      </c>
      <c r="DU238" t="str">
        <f>""</f>
        <v/>
      </c>
      <c r="DV238" t="str">
        <f>""</f>
        <v/>
      </c>
      <c r="DW238" t="str">
        <f>""</f>
        <v/>
      </c>
      <c r="DX238" t="str">
        <f>""</f>
        <v/>
      </c>
      <c r="DY238" t="str">
        <f>""</f>
        <v/>
      </c>
      <c r="DZ238" t="str">
        <f>""</f>
        <v/>
      </c>
      <c r="EA238" t="str">
        <f>""</f>
        <v/>
      </c>
      <c r="EB238" t="str">
        <f>""</f>
        <v/>
      </c>
      <c r="EC238" t="str">
        <f>""</f>
        <v/>
      </c>
      <c r="ED238" t="str">
        <f>""</f>
        <v/>
      </c>
      <c r="EE238" t="str">
        <f>""</f>
        <v/>
      </c>
      <c r="EF238" t="str">
        <f>""</f>
        <v/>
      </c>
      <c r="EG238" t="str">
        <f>""</f>
        <v/>
      </c>
      <c r="EH238" t="str">
        <f>""</f>
        <v/>
      </c>
      <c r="EI238" t="str">
        <f>""</f>
        <v/>
      </c>
      <c r="EJ238" t="str">
        <f>""</f>
        <v/>
      </c>
      <c r="EK238" t="str">
        <f>""</f>
        <v/>
      </c>
      <c r="EL238" t="str">
        <f>""</f>
        <v/>
      </c>
      <c r="EM238" t="str">
        <f>""</f>
        <v/>
      </c>
      <c r="EN238" t="str">
        <f>""</f>
        <v/>
      </c>
      <c r="EO238" t="str">
        <f>""</f>
        <v/>
      </c>
      <c r="EP238" t="str">
        <f>""</f>
        <v/>
      </c>
      <c r="EQ238" t="str">
        <f>""</f>
        <v/>
      </c>
      <c r="ER238" t="str">
        <f>""</f>
        <v/>
      </c>
      <c r="ES238" t="str">
        <f>""</f>
        <v/>
      </c>
      <c r="ET238" t="str">
        <f>""</f>
        <v/>
      </c>
      <c r="EU238" t="str">
        <f>""</f>
        <v/>
      </c>
      <c r="EV238" t="str">
        <f>""</f>
        <v/>
      </c>
      <c r="EW238" t="str">
        <f>""</f>
        <v/>
      </c>
      <c r="EX238" t="str">
        <f>""</f>
        <v/>
      </c>
      <c r="EY238" t="str">
        <f>""</f>
        <v/>
      </c>
      <c r="EZ238" t="str">
        <f>""</f>
        <v/>
      </c>
      <c r="FA238" t="str">
        <f>""</f>
        <v/>
      </c>
      <c r="FB238" t="str">
        <f>""</f>
        <v/>
      </c>
      <c r="FC238" t="str">
        <f>""</f>
        <v/>
      </c>
      <c r="FD238" t="str">
        <f>""</f>
        <v/>
      </c>
      <c r="FE238" t="str">
        <f>""</f>
        <v/>
      </c>
      <c r="FF238" t="str">
        <f>""</f>
        <v/>
      </c>
      <c r="FG238" t="str">
        <f>""</f>
        <v/>
      </c>
      <c r="FH238" t="str">
        <f>""</f>
        <v/>
      </c>
      <c r="FI238" t="str">
        <f>""</f>
        <v/>
      </c>
      <c r="FJ238" t="str">
        <f>""</f>
        <v/>
      </c>
      <c r="FK238" t="str">
        <f>""</f>
        <v/>
      </c>
      <c r="FL238" t="str">
        <f>""</f>
        <v/>
      </c>
      <c r="FM238" t="str">
        <f>""</f>
        <v/>
      </c>
      <c r="FN238" t="str">
        <f>""</f>
        <v/>
      </c>
      <c r="FO238" t="str">
        <f>""</f>
        <v/>
      </c>
      <c r="FP238" t="str">
        <f>""</f>
        <v/>
      </c>
      <c r="FQ238" t="str">
        <f>""</f>
        <v/>
      </c>
    </row>
    <row r="239" spans="1:173">
      <c r="CL239" t="str">
        <f>""</f>
        <v/>
      </c>
      <c r="CM239" t="str">
        <f>""</f>
        <v/>
      </c>
      <c r="CN239" t="str">
        <f>""</f>
        <v/>
      </c>
      <c r="CO239" t="str">
        <f>""</f>
        <v/>
      </c>
      <c r="CP239" t="str">
        <f>""</f>
        <v/>
      </c>
      <c r="CQ239" t="str">
        <f>""</f>
        <v/>
      </c>
      <c r="CR239" t="str">
        <f>""</f>
        <v/>
      </c>
      <c r="CS239" t="str">
        <f>""</f>
        <v/>
      </c>
      <c r="CT239" t="str">
        <f>""</f>
        <v/>
      </c>
      <c r="CU239" t="str">
        <f>""</f>
        <v/>
      </c>
      <c r="CV239" t="str">
        <f>""</f>
        <v/>
      </c>
      <c r="CW239" t="str">
        <f>""</f>
        <v/>
      </c>
      <c r="CX239" t="str">
        <f>""</f>
        <v/>
      </c>
      <c r="CY239" t="str">
        <f>""</f>
        <v/>
      </c>
      <c r="CZ239" t="str">
        <f>""</f>
        <v/>
      </c>
      <c r="DA239" t="str">
        <f>""</f>
        <v/>
      </c>
      <c r="DB239" t="str">
        <f>""</f>
        <v/>
      </c>
      <c r="DC239" t="str">
        <f>""</f>
        <v/>
      </c>
      <c r="DD239" t="str">
        <f>""</f>
        <v/>
      </c>
      <c r="DE239" t="str">
        <f>""</f>
        <v/>
      </c>
      <c r="DF239" t="str">
        <f>""</f>
        <v/>
      </c>
      <c r="DG239" t="str">
        <f>""</f>
        <v/>
      </c>
      <c r="DH239" t="str">
        <f>""</f>
        <v/>
      </c>
      <c r="DI239" t="str">
        <f>""</f>
        <v/>
      </c>
      <c r="DJ239" t="str">
        <f>""</f>
        <v/>
      </c>
      <c r="DK239" t="str">
        <f>""</f>
        <v/>
      </c>
      <c r="DL239" t="str">
        <f>""</f>
        <v/>
      </c>
      <c r="DM239" t="str">
        <f>""</f>
        <v/>
      </c>
      <c r="DN239" t="str">
        <f>""</f>
        <v/>
      </c>
      <c r="DO239" t="str">
        <f>""</f>
        <v/>
      </c>
      <c r="DP239" t="str">
        <f>""</f>
        <v/>
      </c>
      <c r="DQ239" t="str">
        <f>""</f>
        <v/>
      </c>
      <c r="DR239" t="str">
        <f>""</f>
        <v/>
      </c>
      <c r="DS239" t="str">
        <f>""</f>
        <v/>
      </c>
      <c r="DT239" t="str">
        <f>""</f>
        <v/>
      </c>
      <c r="DU239" t="str">
        <f>""</f>
        <v/>
      </c>
      <c r="DV239" t="str">
        <f>""</f>
        <v/>
      </c>
      <c r="DW239" t="str">
        <f>""</f>
        <v/>
      </c>
      <c r="DX239" t="str">
        <f>""</f>
        <v/>
      </c>
      <c r="DY239" t="str">
        <f>""</f>
        <v/>
      </c>
      <c r="DZ239" t="str">
        <f>""</f>
        <v/>
      </c>
      <c r="EA239" t="str">
        <f>""</f>
        <v/>
      </c>
      <c r="EB239" t="str">
        <f>""</f>
        <v/>
      </c>
      <c r="EC239" t="str">
        <f>""</f>
        <v/>
      </c>
      <c r="ED239" t="str">
        <f>""</f>
        <v/>
      </c>
      <c r="EE239" t="str">
        <f>""</f>
        <v/>
      </c>
      <c r="EF239" t="str">
        <f>""</f>
        <v/>
      </c>
      <c r="EG239" t="str">
        <f>""</f>
        <v/>
      </c>
      <c r="EH239" t="str">
        <f>""</f>
        <v/>
      </c>
      <c r="EI239" t="str">
        <f>""</f>
        <v/>
      </c>
      <c r="EJ239" t="str">
        <f>""</f>
        <v/>
      </c>
      <c r="EK239" t="str">
        <f>""</f>
        <v/>
      </c>
      <c r="EL239" t="str">
        <f>""</f>
        <v/>
      </c>
      <c r="EM239" t="str">
        <f>""</f>
        <v/>
      </c>
      <c r="EN239" t="str">
        <f>""</f>
        <v/>
      </c>
      <c r="EO239" t="str">
        <f>""</f>
        <v/>
      </c>
      <c r="EP239" t="str">
        <f>""</f>
        <v/>
      </c>
      <c r="EQ239" t="str">
        <f>""</f>
        <v/>
      </c>
      <c r="ER239" t="str">
        <f>""</f>
        <v/>
      </c>
      <c r="ES239" t="str">
        <f>""</f>
        <v/>
      </c>
      <c r="ET239" t="str">
        <f>""</f>
        <v/>
      </c>
      <c r="EU239" t="str">
        <f>""</f>
        <v/>
      </c>
      <c r="EV239" t="str">
        <f>""</f>
        <v/>
      </c>
      <c r="EW239" t="str">
        <f>""</f>
        <v/>
      </c>
      <c r="EX239" t="str">
        <f>""</f>
        <v/>
      </c>
      <c r="EY239" t="str">
        <f>""</f>
        <v/>
      </c>
      <c r="EZ239" t="str">
        <f>""</f>
        <v/>
      </c>
      <c r="FA239" t="str">
        <f>""</f>
        <v/>
      </c>
      <c r="FB239" t="str">
        <f>""</f>
        <v/>
      </c>
      <c r="FC239" t="str">
        <f>""</f>
        <v/>
      </c>
      <c r="FD239" t="str">
        <f>""</f>
        <v/>
      </c>
      <c r="FE239" t="str">
        <f>""</f>
        <v/>
      </c>
      <c r="FF239" t="str">
        <f>""</f>
        <v/>
      </c>
      <c r="FG239" t="str">
        <f>""</f>
        <v/>
      </c>
      <c r="FH239" t="str">
        <f>""</f>
        <v/>
      </c>
      <c r="FI239" t="str">
        <f>""</f>
        <v/>
      </c>
      <c r="FJ239" t="str">
        <f>""</f>
        <v/>
      </c>
      <c r="FK239" t="str">
        <f>""</f>
        <v/>
      </c>
      <c r="FL239" t="str">
        <f>""</f>
        <v/>
      </c>
      <c r="FM239" t="str">
        <f>""</f>
        <v/>
      </c>
      <c r="FN239" t="str">
        <f>""</f>
        <v/>
      </c>
      <c r="FO239" t="str">
        <f>""</f>
        <v/>
      </c>
      <c r="FP239" t="str">
        <f>""</f>
        <v/>
      </c>
      <c r="FQ239" t="str">
        <f>""</f>
        <v/>
      </c>
    </row>
    <row r="240" spans="1:173">
      <c r="CL240" t="str">
        <f>""</f>
        <v/>
      </c>
      <c r="CM240" t="str">
        <f>""</f>
        <v/>
      </c>
      <c r="CN240" t="str">
        <f>""</f>
        <v/>
      </c>
      <c r="CO240" t="str">
        <f>""</f>
        <v/>
      </c>
      <c r="CP240" t="str">
        <f>""</f>
        <v/>
      </c>
      <c r="CQ240" t="str">
        <f>""</f>
        <v/>
      </c>
      <c r="CR240" t="str">
        <f>""</f>
        <v/>
      </c>
      <c r="CS240" t="str">
        <f>""</f>
        <v/>
      </c>
      <c r="CT240" t="str">
        <f>""</f>
        <v/>
      </c>
      <c r="CU240" t="str">
        <f>""</f>
        <v/>
      </c>
      <c r="CV240" t="str">
        <f>""</f>
        <v/>
      </c>
      <c r="CW240" t="str">
        <f>""</f>
        <v/>
      </c>
      <c r="CX240" t="str">
        <f>""</f>
        <v/>
      </c>
      <c r="CY240" t="str">
        <f>""</f>
        <v/>
      </c>
      <c r="CZ240" t="str">
        <f>""</f>
        <v/>
      </c>
      <c r="DA240" t="str">
        <f>""</f>
        <v/>
      </c>
      <c r="DB240" t="str">
        <f>""</f>
        <v/>
      </c>
      <c r="DC240" t="str">
        <f>""</f>
        <v/>
      </c>
      <c r="DD240" t="str">
        <f>""</f>
        <v/>
      </c>
      <c r="DE240" t="str">
        <f>""</f>
        <v/>
      </c>
      <c r="DF240" t="str">
        <f>""</f>
        <v/>
      </c>
      <c r="DG240" t="str">
        <f>""</f>
        <v/>
      </c>
      <c r="DH240" t="str">
        <f>""</f>
        <v/>
      </c>
      <c r="DI240" t="str">
        <f>""</f>
        <v/>
      </c>
      <c r="DJ240" t="str">
        <f>""</f>
        <v/>
      </c>
      <c r="DK240" t="str">
        <f>""</f>
        <v/>
      </c>
      <c r="DL240" t="str">
        <f>""</f>
        <v/>
      </c>
      <c r="DM240" t="str">
        <f>""</f>
        <v/>
      </c>
      <c r="DN240" t="str">
        <f>""</f>
        <v/>
      </c>
      <c r="DO240" t="str">
        <f>""</f>
        <v/>
      </c>
      <c r="DP240" t="str">
        <f>""</f>
        <v/>
      </c>
      <c r="DQ240" t="str">
        <f>""</f>
        <v/>
      </c>
      <c r="DR240" t="str">
        <f>""</f>
        <v/>
      </c>
      <c r="DS240" t="str">
        <f>""</f>
        <v/>
      </c>
      <c r="DT240" t="str">
        <f>""</f>
        <v/>
      </c>
      <c r="DU240" t="str">
        <f>""</f>
        <v/>
      </c>
      <c r="DV240" t="str">
        <f>""</f>
        <v/>
      </c>
      <c r="DW240" t="str">
        <f>""</f>
        <v/>
      </c>
      <c r="DX240" t="str">
        <f>""</f>
        <v/>
      </c>
      <c r="DY240" t="str">
        <f>""</f>
        <v/>
      </c>
      <c r="DZ240" t="str">
        <f>""</f>
        <v/>
      </c>
      <c r="EA240" t="str">
        <f>""</f>
        <v/>
      </c>
      <c r="EB240" t="str">
        <f>""</f>
        <v/>
      </c>
      <c r="EC240" t="str">
        <f>""</f>
        <v/>
      </c>
      <c r="ED240" t="str">
        <f>""</f>
        <v/>
      </c>
      <c r="EE240" t="str">
        <f>""</f>
        <v/>
      </c>
      <c r="EF240" t="str">
        <f>""</f>
        <v/>
      </c>
      <c r="EG240" t="str">
        <f>""</f>
        <v/>
      </c>
      <c r="EH240" t="str">
        <f>""</f>
        <v/>
      </c>
      <c r="EI240" t="str">
        <f>""</f>
        <v/>
      </c>
      <c r="EJ240" t="str">
        <f>""</f>
        <v/>
      </c>
      <c r="EK240" t="str">
        <f>""</f>
        <v/>
      </c>
      <c r="EL240" t="str">
        <f>""</f>
        <v/>
      </c>
      <c r="EM240" t="str">
        <f>""</f>
        <v/>
      </c>
      <c r="EN240" t="str">
        <f>""</f>
        <v/>
      </c>
      <c r="EO240" t="str">
        <f>""</f>
        <v/>
      </c>
      <c r="EP240" t="str">
        <f>""</f>
        <v/>
      </c>
      <c r="EQ240" t="str">
        <f>""</f>
        <v/>
      </c>
      <c r="ER240" t="str">
        <f>""</f>
        <v/>
      </c>
      <c r="ES240" t="str">
        <f>""</f>
        <v/>
      </c>
      <c r="ET240" t="str">
        <f>""</f>
        <v/>
      </c>
      <c r="EU240" t="str">
        <f>""</f>
        <v/>
      </c>
      <c r="EV240" t="str">
        <f>""</f>
        <v/>
      </c>
      <c r="EW240" t="str">
        <f>""</f>
        <v/>
      </c>
      <c r="EX240" t="str">
        <f>""</f>
        <v/>
      </c>
      <c r="EY240" t="str">
        <f>""</f>
        <v/>
      </c>
      <c r="EZ240" t="str">
        <f>""</f>
        <v/>
      </c>
      <c r="FA240" t="str">
        <f>""</f>
        <v/>
      </c>
      <c r="FB240" t="str">
        <f>""</f>
        <v/>
      </c>
      <c r="FC240" t="str">
        <f>""</f>
        <v/>
      </c>
      <c r="FD240" t="str">
        <f>""</f>
        <v/>
      </c>
      <c r="FE240" t="str">
        <f>""</f>
        <v/>
      </c>
      <c r="FF240" t="str">
        <f>""</f>
        <v/>
      </c>
      <c r="FG240" t="str">
        <f>""</f>
        <v/>
      </c>
      <c r="FH240" t="str">
        <f>""</f>
        <v/>
      </c>
      <c r="FI240" t="str">
        <f>""</f>
        <v/>
      </c>
      <c r="FJ240" t="str">
        <f>""</f>
        <v/>
      </c>
      <c r="FK240" t="str">
        <f>""</f>
        <v/>
      </c>
      <c r="FL240" t="str">
        <f>""</f>
        <v/>
      </c>
      <c r="FM240" t="str">
        <f>""</f>
        <v/>
      </c>
      <c r="FN240" t="str">
        <f>""</f>
        <v/>
      </c>
      <c r="FO240" t="str">
        <f>""</f>
        <v/>
      </c>
      <c r="FP240" t="str">
        <f>""</f>
        <v/>
      </c>
      <c r="FQ240" t="str">
        <f>""</f>
        <v/>
      </c>
    </row>
    <row r="241" spans="1:173">
      <c r="CL241" t="str">
        <f>""</f>
        <v/>
      </c>
      <c r="CM241" t="str">
        <f>""</f>
        <v/>
      </c>
      <c r="CN241" t="str">
        <f>""</f>
        <v/>
      </c>
      <c r="CO241" t="str">
        <f>""</f>
        <v/>
      </c>
      <c r="CP241" t="str">
        <f>""</f>
        <v/>
      </c>
      <c r="CQ241" t="str">
        <f>""</f>
        <v/>
      </c>
      <c r="CR241" t="str">
        <f>""</f>
        <v/>
      </c>
      <c r="CS241" t="str">
        <f>""</f>
        <v/>
      </c>
      <c r="CT241" t="str">
        <f>""</f>
        <v/>
      </c>
      <c r="CU241" t="str">
        <f>""</f>
        <v/>
      </c>
      <c r="CV241" t="str">
        <f>""</f>
        <v/>
      </c>
      <c r="CW241" t="str">
        <f>""</f>
        <v/>
      </c>
      <c r="CX241" t="str">
        <f>""</f>
        <v/>
      </c>
      <c r="CY241" t="str">
        <f>""</f>
        <v/>
      </c>
      <c r="CZ241" t="str">
        <f>""</f>
        <v/>
      </c>
      <c r="DA241" t="str">
        <f>""</f>
        <v/>
      </c>
      <c r="DB241" t="str">
        <f>""</f>
        <v/>
      </c>
      <c r="DC241" t="str">
        <f>""</f>
        <v/>
      </c>
      <c r="DD241" t="str">
        <f>""</f>
        <v/>
      </c>
      <c r="DE241" t="str">
        <f>""</f>
        <v/>
      </c>
      <c r="DF241" t="str">
        <f>""</f>
        <v/>
      </c>
      <c r="DG241" t="str">
        <f>""</f>
        <v/>
      </c>
      <c r="DH241" t="str">
        <f>""</f>
        <v/>
      </c>
      <c r="DI241" t="str">
        <f>""</f>
        <v/>
      </c>
      <c r="DJ241" t="str">
        <f>""</f>
        <v/>
      </c>
      <c r="DK241" t="str">
        <f>""</f>
        <v/>
      </c>
      <c r="DL241" t="str">
        <f>""</f>
        <v/>
      </c>
      <c r="DM241" t="str">
        <f>""</f>
        <v/>
      </c>
      <c r="DN241" t="str">
        <f>""</f>
        <v/>
      </c>
      <c r="DO241" t="str">
        <f>""</f>
        <v/>
      </c>
      <c r="DP241" t="str">
        <f>""</f>
        <v/>
      </c>
      <c r="DQ241" t="str">
        <f>""</f>
        <v/>
      </c>
      <c r="DR241" t="str">
        <f>""</f>
        <v/>
      </c>
      <c r="DS241" t="str">
        <f>""</f>
        <v/>
      </c>
      <c r="DT241" t="str">
        <f>""</f>
        <v/>
      </c>
      <c r="DU241" t="str">
        <f>""</f>
        <v/>
      </c>
      <c r="DV241" t="str">
        <f>""</f>
        <v/>
      </c>
      <c r="DW241" t="str">
        <f>""</f>
        <v/>
      </c>
      <c r="DX241" t="str">
        <f>""</f>
        <v/>
      </c>
      <c r="DY241" t="str">
        <f>""</f>
        <v/>
      </c>
      <c r="DZ241" t="str">
        <f>""</f>
        <v/>
      </c>
      <c r="EA241" t="str">
        <f>""</f>
        <v/>
      </c>
      <c r="EB241" t="str">
        <f>""</f>
        <v/>
      </c>
      <c r="EC241" t="str">
        <f>""</f>
        <v/>
      </c>
      <c r="ED241" t="str">
        <f>""</f>
        <v/>
      </c>
      <c r="EE241" t="str">
        <f>""</f>
        <v/>
      </c>
      <c r="EF241" t="str">
        <f>""</f>
        <v/>
      </c>
      <c r="EG241" t="str">
        <f>""</f>
        <v/>
      </c>
      <c r="EH241" t="str">
        <f>""</f>
        <v/>
      </c>
      <c r="EI241" t="str">
        <f>""</f>
        <v/>
      </c>
      <c r="EJ241" t="str">
        <f>""</f>
        <v/>
      </c>
      <c r="EK241" t="str">
        <f>""</f>
        <v/>
      </c>
      <c r="EL241" t="str">
        <f>""</f>
        <v/>
      </c>
      <c r="EM241" t="str">
        <f>""</f>
        <v/>
      </c>
      <c r="EN241" t="str">
        <f>""</f>
        <v/>
      </c>
      <c r="EO241" t="str">
        <f>""</f>
        <v/>
      </c>
      <c r="EP241" t="str">
        <f>""</f>
        <v/>
      </c>
      <c r="EQ241" t="str">
        <f>""</f>
        <v/>
      </c>
      <c r="ER241" t="str">
        <f>""</f>
        <v/>
      </c>
      <c r="ES241" t="str">
        <f>""</f>
        <v/>
      </c>
      <c r="ET241" t="str">
        <f>""</f>
        <v/>
      </c>
      <c r="EU241" t="str">
        <f>""</f>
        <v/>
      </c>
      <c r="EV241" t="str">
        <f>""</f>
        <v/>
      </c>
      <c r="EW241" t="str">
        <f>""</f>
        <v/>
      </c>
      <c r="EX241" t="str">
        <f>""</f>
        <v/>
      </c>
      <c r="EY241" t="str">
        <f>""</f>
        <v/>
      </c>
      <c r="EZ241" t="str">
        <f>""</f>
        <v/>
      </c>
      <c r="FA241" t="str">
        <f>""</f>
        <v/>
      </c>
      <c r="FB241" t="str">
        <f>""</f>
        <v/>
      </c>
      <c r="FC241" t="str">
        <f>""</f>
        <v/>
      </c>
      <c r="FD241" t="str">
        <f>""</f>
        <v/>
      </c>
      <c r="FE241" t="str">
        <f>""</f>
        <v/>
      </c>
      <c r="FF241" t="str">
        <f>""</f>
        <v/>
      </c>
      <c r="FG241" t="str">
        <f>""</f>
        <v/>
      </c>
      <c r="FH241" t="str">
        <f>""</f>
        <v/>
      </c>
      <c r="FI241" t="str">
        <f>""</f>
        <v/>
      </c>
      <c r="FJ241" t="str">
        <f>""</f>
        <v/>
      </c>
      <c r="FK241" t="str">
        <f>""</f>
        <v/>
      </c>
      <c r="FL241" t="str">
        <f>""</f>
        <v/>
      </c>
      <c r="FM241" t="str">
        <f>""</f>
        <v/>
      </c>
      <c r="FN241" t="str">
        <f>""</f>
        <v/>
      </c>
      <c r="FO241" t="str">
        <f>""</f>
        <v/>
      </c>
      <c r="FP241" t="str">
        <f>""</f>
        <v/>
      </c>
      <c r="FQ241" t="str">
        <f>""</f>
        <v/>
      </c>
    </row>
    <row r="242" spans="1:173">
      <c r="CL242" t="str">
        <f>""</f>
        <v/>
      </c>
      <c r="CM242" t="str">
        <f>""</f>
        <v/>
      </c>
      <c r="CN242" t="str">
        <f>""</f>
        <v/>
      </c>
      <c r="CO242" t="str">
        <f>""</f>
        <v/>
      </c>
      <c r="CP242" t="str">
        <f>""</f>
        <v/>
      </c>
      <c r="CQ242" t="str">
        <f>""</f>
        <v/>
      </c>
      <c r="CR242" t="str">
        <f>""</f>
        <v/>
      </c>
      <c r="CS242" t="str">
        <f>""</f>
        <v/>
      </c>
      <c r="CT242" t="str">
        <f>""</f>
        <v/>
      </c>
      <c r="CU242" t="str">
        <f>""</f>
        <v/>
      </c>
      <c r="CV242" t="str">
        <f>""</f>
        <v/>
      </c>
      <c r="CW242" t="str">
        <f>""</f>
        <v/>
      </c>
      <c r="CX242" t="str">
        <f>""</f>
        <v/>
      </c>
      <c r="CY242" t="str">
        <f>""</f>
        <v/>
      </c>
      <c r="CZ242" t="str">
        <f>""</f>
        <v/>
      </c>
      <c r="DA242" t="str">
        <f>""</f>
        <v/>
      </c>
      <c r="DB242" t="str">
        <f>""</f>
        <v/>
      </c>
      <c r="DC242" t="str">
        <f>""</f>
        <v/>
      </c>
      <c r="DD242" t="str">
        <f>""</f>
        <v/>
      </c>
      <c r="DE242" t="str">
        <f>""</f>
        <v/>
      </c>
      <c r="DF242" t="str">
        <f>""</f>
        <v/>
      </c>
      <c r="DG242" t="str">
        <f>""</f>
        <v/>
      </c>
      <c r="DH242" t="str">
        <f>""</f>
        <v/>
      </c>
      <c r="DI242" t="str">
        <f>""</f>
        <v/>
      </c>
      <c r="DJ242" t="str">
        <f>""</f>
        <v/>
      </c>
      <c r="DK242" t="str">
        <f>""</f>
        <v/>
      </c>
      <c r="DL242" t="str">
        <f>""</f>
        <v/>
      </c>
      <c r="DM242" t="str">
        <f>""</f>
        <v/>
      </c>
      <c r="DN242" t="str">
        <f>""</f>
        <v/>
      </c>
      <c r="DO242" t="str">
        <f>""</f>
        <v/>
      </c>
      <c r="DP242" t="str">
        <f>""</f>
        <v/>
      </c>
      <c r="DQ242" t="str">
        <f>""</f>
        <v/>
      </c>
      <c r="DR242" t="str">
        <f>""</f>
        <v/>
      </c>
      <c r="DS242" t="str">
        <f>""</f>
        <v/>
      </c>
      <c r="DT242" t="str">
        <f>""</f>
        <v/>
      </c>
      <c r="DU242" t="str">
        <f>""</f>
        <v/>
      </c>
      <c r="DV242" t="str">
        <f>""</f>
        <v/>
      </c>
      <c r="DW242" t="str">
        <f>""</f>
        <v/>
      </c>
      <c r="DX242" t="str">
        <f>""</f>
        <v/>
      </c>
      <c r="DY242" t="str">
        <f>""</f>
        <v/>
      </c>
      <c r="DZ242" t="str">
        <f>""</f>
        <v/>
      </c>
      <c r="EA242" t="str">
        <f>""</f>
        <v/>
      </c>
      <c r="EB242" t="str">
        <f>""</f>
        <v/>
      </c>
      <c r="EC242" t="str">
        <f>""</f>
        <v/>
      </c>
      <c r="ED242" t="str">
        <f>""</f>
        <v/>
      </c>
      <c r="EE242" t="str">
        <f>""</f>
        <v/>
      </c>
      <c r="EF242" t="str">
        <f>""</f>
        <v/>
      </c>
      <c r="EG242" t="str">
        <f>""</f>
        <v/>
      </c>
      <c r="EH242" t="str">
        <f>""</f>
        <v/>
      </c>
      <c r="EI242" t="str">
        <f>""</f>
        <v/>
      </c>
      <c r="EJ242" t="str">
        <f>""</f>
        <v/>
      </c>
      <c r="EK242" t="str">
        <f>""</f>
        <v/>
      </c>
      <c r="EL242" t="str">
        <f>""</f>
        <v/>
      </c>
      <c r="EM242" t="str">
        <f>""</f>
        <v/>
      </c>
      <c r="EN242" t="str">
        <f>""</f>
        <v/>
      </c>
      <c r="EO242" t="str">
        <f>""</f>
        <v/>
      </c>
      <c r="EP242" t="str">
        <f>""</f>
        <v/>
      </c>
      <c r="EQ242" t="str">
        <f>""</f>
        <v/>
      </c>
      <c r="ER242" t="str">
        <f>""</f>
        <v/>
      </c>
      <c r="ES242" t="str">
        <f>""</f>
        <v/>
      </c>
      <c r="ET242" t="str">
        <f>""</f>
        <v/>
      </c>
      <c r="EU242" t="str">
        <f>""</f>
        <v/>
      </c>
      <c r="EV242" t="str">
        <f>""</f>
        <v/>
      </c>
      <c r="EW242" t="str">
        <f>""</f>
        <v/>
      </c>
      <c r="EX242" t="str">
        <f>""</f>
        <v/>
      </c>
      <c r="EY242" t="str">
        <f>""</f>
        <v/>
      </c>
      <c r="EZ242" t="str">
        <f>""</f>
        <v/>
      </c>
      <c r="FA242" t="str">
        <f>""</f>
        <v/>
      </c>
      <c r="FB242" t="str">
        <f>""</f>
        <v/>
      </c>
      <c r="FC242" t="str">
        <f>""</f>
        <v/>
      </c>
      <c r="FD242" t="str">
        <f>""</f>
        <v/>
      </c>
      <c r="FE242" t="str">
        <f>""</f>
        <v/>
      </c>
      <c r="FF242" t="str">
        <f>""</f>
        <v/>
      </c>
      <c r="FG242" t="str">
        <f>""</f>
        <v/>
      </c>
      <c r="FH242" t="str">
        <f>""</f>
        <v/>
      </c>
      <c r="FI242" t="str">
        <f>""</f>
        <v/>
      </c>
      <c r="FJ242" t="str">
        <f>""</f>
        <v/>
      </c>
      <c r="FK242" t="str">
        <f>""</f>
        <v/>
      </c>
      <c r="FL242" t="str">
        <f>""</f>
        <v/>
      </c>
      <c r="FM242" t="str">
        <f>""</f>
        <v/>
      </c>
      <c r="FN242" t="str">
        <f>""</f>
        <v/>
      </c>
      <c r="FO242" t="str">
        <f>""</f>
        <v/>
      </c>
      <c r="FP242" t="str">
        <f>""</f>
        <v/>
      </c>
      <c r="FQ242" t="str">
        <f>""</f>
        <v/>
      </c>
    </row>
    <row r="243" spans="1:173">
      <c r="CL243" t="str">
        <f>""</f>
        <v/>
      </c>
      <c r="CM243" t="str">
        <f>""</f>
        <v/>
      </c>
      <c r="CN243" t="str">
        <f>""</f>
        <v/>
      </c>
      <c r="CO243" t="str">
        <f>""</f>
        <v/>
      </c>
      <c r="CP243" t="str">
        <f>""</f>
        <v/>
      </c>
      <c r="CQ243" t="str">
        <f>""</f>
        <v/>
      </c>
      <c r="CR243" t="str">
        <f>""</f>
        <v/>
      </c>
      <c r="CS243" t="str">
        <f>""</f>
        <v/>
      </c>
      <c r="CT243" t="str">
        <f>""</f>
        <v/>
      </c>
      <c r="CU243" t="str">
        <f>""</f>
        <v/>
      </c>
      <c r="CV243" t="str">
        <f>""</f>
        <v/>
      </c>
      <c r="CW243" t="str">
        <f>""</f>
        <v/>
      </c>
      <c r="CX243" t="str">
        <f>""</f>
        <v/>
      </c>
      <c r="CY243" t="str">
        <f>""</f>
        <v/>
      </c>
      <c r="CZ243" t="str">
        <f>""</f>
        <v/>
      </c>
      <c r="DA243" t="str">
        <f>""</f>
        <v/>
      </c>
      <c r="DB243" t="str">
        <f>""</f>
        <v/>
      </c>
      <c r="DC243" t="str">
        <f>""</f>
        <v/>
      </c>
      <c r="DD243" t="str">
        <f>""</f>
        <v/>
      </c>
      <c r="DE243" t="str">
        <f>""</f>
        <v/>
      </c>
      <c r="DF243" t="str">
        <f>""</f>
        <v/>
      </c>
      <c r="DG243" t="str">
        <f>""</f>
        <v/>
      </c>
      <c r="DH243" t="str">
        <f>""</f>
        <v/>
      </c>
      <c r="DI243" t="str">
        <f>""</f>
        <v/>
      </c>
      <c r="DJ243" t="str">
        <f>""</f>
        <v/>
      </c>
      <c r="DK243" t="str">
        <f>""</f>
        <v/>
      </c>
      <c r="DL243" t="str">
        <f>""</f>
        <v/>
      </c>
      <c r="DM243" t="str">
        <f>""</f>
        <v/>
      </c>
      <c r="DN243" t="str">
        <f>""</f>
        <v/>
      </c>
      <c r="DO243" t="str">
        <f>""</f>
        <v/>
      </c>
      <c r="DP243" t="str">
        <f>""</f>
        <v/>
      </c>
      <c r="DQ243" t="str">
        <f>""</f>
        <v/>
      </c>
      <c r="DR243" t="str">
        <f>""</f>
        <v/>
      </c>
      <c r="DS243" t="str">
        <f>""</f>
        <v/>
      </c>
      <c r="DT243" t="str">
        <f>""</f>
        <v/>
      </c>
      <c r="DU243" t="str">
        <f>""</f>
        <v/>
      </c>
      <c r="DV243" t="str">
        <f>""</f>
        <v/>
      </c>
      <c r="DW243" t="str">
        <f>""</f>
        <v/>
      </c>
      <c r="DX243" t="str">
        <f>""</f>
        <v/>
      </c>
      <c r="DY243" t="str">
        <f>""</f>
        <v/>
      </c>
      <c r="DZ243" t="str">
        <f>""</f>
        <v/>
      </c>
      <c r="EA243" t="str">
        <f>""</f>
        <v/>
      </c>
      <c r="EB243" t="str">
        <f>""</f>
        <v/>
      </c>
      <c r="EC243" t="str">
        <f>""</f>
        <v/>
      </c>
      <c r="ED243" t="str">
        <f>""</f>
        <v/>
      </c>
      <c r="EE243" t="str">
        <f>""</f>
        <v/>
      </c>
      <c r="EF243" t="str">
        <f>""</f>
        <v/>
      </c>
      <c r="EG243" t="str">
        <f>""</f>
        <v/>
      </c>
      <c r="EH243" t="str">
        <f>""</f>
        <v/>
      </c>
      <c r="EI243" t="str">
        <f>""</f>
        <v/>
      </c>
      <c r="EJ243" t="str">
        <f>""</f>
        <v/>
      </c>
      <c r="EK243" t="str">
        <f>""</f>
        <v/>
      </c>
      <c r="EL243" t="str">
        <f>""</f>
        <v/>
      </c>
      <c r="EM243" t="str">
        <f>""</f>
        <v/>
      </c>
      <c r="EN243" t="str">
        <f>""</f>
        <v/>
      </c>
      <c r="EO243" t="str">
        <f>""</f>
        <v/>
      </c>
      <c r="EP243" t="str">
        <f>""</f>
        <v/>
      </c>
      <c r="EQ243" t="str">
        <f>""</f>
        <v/>
      </c>
      <c r="ER243" t="str">
        <f>""</f>
        <v/>
      </c>
      <c r="ES243" t="str">
        <f>""</f>
        <v/>
      </c>
      <c r="ET243" t="str">
        <f>""</f>
        <v/>
      </c>
      <c r="EU243" t="str">
        <f>""</f>
        <v/>
      </c>
      <c r="EV243" t="str">
        <f>""</f>
        <v/>
      </c>
      <c r="EW243" t="str">
        <f>""</f>
        <v/>
      </c>
      <c r="EX243" t="str">
        <f>""</f>
        <v/>
      </c>
      <c r="EY243" t="str">
        <f>""</f>
        <v/>
      </c>
      <c r="EZ243" t="str">
        <f>""</f>
        <v/>
      </c>
      <c r="FA243" t="str">
        <f>""</f>
        <v/>
      </c>
      <c r="FB243" t="str">
        <f>""</f>
        <v/>
      </c>
      <c r="FC243" t="str">
        <f>""</f>
        <v/>
      </c>
      <c r="FD243" t="str">
        <f>""</f>
        <v/>
      </c>
      <c r="FE243" t="str">
        <f>""</f>
        <v/>
      </c>
      <c r="FF243" t="str">
        <f>""</f>
        <v/>
      </c>
      <c r="FG243" t="str">
        <f>""</f>
        <v/>
      </c>
      <c r="FH243" t="str">
        <f>""</f>
        <v/>
      </c>
      <c r="FI243" t="str">
        <f>""</f>
        <v/>
      </c>
      <c r="FJ243" t="str">
        <f>""</f>
        <v/>
      </c>
      <c r="FK243" t="str">
        <f>""</f>
        <v/>
      </c>
      <c r="FL243" t="str">
        <f>""</f>
        <v/>
      </c>
      <c r="FM243" t="str">
        <f>""</f>
        <v/>
      </c>
      <c r="FN243" t="str">
        <f>""</f>
        <v/>
      </c>
      <c r="FO243" t="str">
        <f>""</f>
        <v/>
      </c>
      <c r="FP243" t="str">
        <f>""</f>
        <v/>
      </c>
      <c r="FQ243" t="str">
        <f>""</f>
        <v/>
      </c>
    </row>
    <row r="244" spans="1:173">
      <c r="A244" t="str">
        <f t="shared" ref="A244:AF244" si="78">"~~~~~~~~~~"</f>
        <v>~~~~~~~~~~</v>
      </c>
      <c r="B244" t="str">
        <f t="shared" si="78"/>
        <v>~~~~~~~~~~</v>
      </c>
      <c r="C244" t="str">
        <f t="shared" si="78"/>
        <v>~~~~~~~~~~</v>
      </c>
      <c r="D244" t="str">
        <f t="shared" si="78"/>
        <v>~~~~~~~~~~</v>
      </c>
      <c r="E244" t="str">
        <f t="shared" si="78"/>
        <v>~~~~~~~~~~</v>
      </c>
      <c r="F244" t="str">
        <f t="shared" si="78"/>
        <v>~~~~~~~~~~</v>
      </c>
      <c r="G244" t="str">
        <f t="shared" si="78"/>
        <v>~~~~~~~~~~</v>
      </c>
      <c r="H244" t="str">
        <f t="shared" si="78"/>
        <v>~~~~~~~~~~</v>
      </c>
      <c r="I244" t="str">
        <f t="shared" si="78"/>
        <v>~~~~~~~~~~</v>
      </c>
      <c r="J244" t="str">
        <f t="shared" si="78"/>
        <v>~~~~~~~~~~</v>
      </c>
      <c r="K244" t="str">
        <f t="shared" si="78"/>
        <v>~~~~~~~~~~</v>
      </c>
      <c r="L244" t="str">
        <f t="shared" si="78"/>
        <v>~~~~~~~~~~</v>
      </c>
      <c r="M244" t="str">
        <f t="shared" si="78"/>
        <v>~~~~~~~~~~</v>
      </c>
      <c r="N244" t="str">
        <f t="shared" si="78"/>
        <v>~~~~~~~~~~</v>
      </c>
      <c r="O244" t="str">
        <f t="shared" si="78"/>
        <v>~~~~~~~~~~</v>
      </c>
      <c r="P244" t="str">
        <f t="shared" si="78"/>
        <v>~~~~~~~~~~</v>
      </c>
      <c r="Q244" t="str">
        <f t="shared" si="78"/>
        <v>~~~~~~~~~~</v>
      </c>
      <c r="R244" t="str">
        <f t="shared" si="78"/>
        <v>~~~~~~~~~~</v>
      </c>
      <c r="S244" t="str">
        <f t="shared" si="78"/>
        <v>~~~~~~~~~~</v>
      </c>
      <c r="T244" t="str">
        <f t="shared" si="78"/>
        <v>~~~~~~~~~~</v>
      </c>
      <c r="U244" t="str">
        <f t="shared" si="78"/>
        <v>~~~~~~~~~~</v>
      </c>
      <c r="V244" t="str">
        <f t="shared" si="78"/>
        <v>~~~~~~~~~~</v>
      </c>
      <c r="W244" t="str">
        <f t="shared" si="78"/>
        <v>~~~~~~~~~~</v>
      </c>
      <c r="X244" t="str">
        <f t="shared" si="78"/>
        <v>~~~~~~~~~~</v>
      </c>
      <c r="Y244" t="str">
        <f t="shared" si="78"/>
        <v>~~~~~~~~~~</v>
      </c>
      <c r="Z244" t="str">
        <f t="shared" si="78"/>
        <v>~~~~~~~~~~</v>
      </c>
      <c r="AA244" t="str">
        <f t="shared" si="78"/>
        <v>~~~~~~~~~~</v>
      </c>
      <c r="AB244" t="str">
        <f t="shared" si="78"/>
        <v>~~~~~~~~~~</v>
      </c>
      <c r="AC244" t="str">
        <f t="shared" si="78"/>
        <v>~~~~~~~~~~</v>
      </c>
      <c r="AD244" t="str">
        <f t="shared" si="78"/>
        <v>~~~~~~~~~~</v>
      </c>
      <c r="AE244" t="str">
        <f t="shared" si="78"/>
        <v>~~~~~~~~~~</v>
      </c>
      <c r="AF244" t="str">
        <f t="shared" si="78"/>
        <v>~~~~~~~~~~</v>
      </c>
      <c r="AG244" t="str">
        <f t="shared" ref="AG244:BL244" si="79">"~~~~~~~~~~"</f>
        <v>~~~~~~~~~~</v>
      </c>
      <c r="AH244" t="str">
        <f t="shared" si="79"/>
        <v>~~~~~~~~~~</v>
      </c>
      <c r="AI244" t="str">
        <f t="shared" si="79"/>
        <v>~~~~~~~~~~</v>
      </c>
      <c r="AJ244" t="str">
        <f t="shared" si="79"/>
        <v>~~~~~~~~~~</v>
      </c>
      <c r="AK244" t="str">
        <f t="shared" si="79"/>
        <v>~~~~~~~~~~</v>
      </c>
      <c r="AL244" t="str">
        <f t="shared" si="79"/>
        <v>~~~~~~~~~~</v>
      </c>
      <c r="AM244" t="str">
        <f t="shared" si="79"/>
        <v>~~~~~~~~~~</v>
      </c>
      <c r="AN244" t="str">
        <f t="shared" si="79"/>
        <v>~~~~~~~~~~</v>
      </c>
      <c r="AO244" t="str">
        <f t="shared" si="79"/>
        <v>~~~~~~~~~~</v>
      </c>
      <c r="AP244" t="str">
        <f t="shared" si="79"/>
        <v>~~~~~~~~~~</v>
      </c>
      <c r="AQ244" t="str">
        <f t="shared" si="79"/>
        <v>~~~~~~~~~~</v>
      </c>
      <c r="AR244" t="str">
        <f t="shared" si="79"/>
        <v>~~~~~~~~~~</v>
      </c>
      <c r="AS244" t="str">
        <f t="shared" si="79"/>
        <v>~~~~~~~~~~</v>
      </c>
      <c r="AT244" t="str">
        <f t="shared" si="79"/>
        <v>~~~~~~~~~~</v>
      </c>
      <c r="AU244" t="str">
        <f t="shared" si="79"/>
        <v>~~~~~~~~~~</v>
      </c>
      <c r="AV244" t="str">
        <f t="shared" si="79"/>
        <v>~~~~~~~~~~</v>
      </c>
      <c r="AW244" t="str">
        <f t="shared" si="79"/>
        <v>~~~~~~~~~~</v>
      </c>
      <c r="AX244" t="str">
        <f t="shared" si="79"/>
        <v>~~~~~~~~~~</v>
      </c>
      <c r="AY244" t="str">
        <f t="shared" si="79"/>
        <v>~~~~~~~~~~</v>
      </c>
      <c r="AZ244" t="str">
        <f t="shared" si="79"/>
        <v>~~~~~~~~~~</v>
      </c>
      <c r="BA244" t="str">
        <f t="shared" si="79"/>
        <v>~~~~~~~~~~</v>
      </c>
      <c r="BB244" t="str">
        <f t="shared" si="79"/>
        <v>~~~~~~~~~~</v>
      </c>
      <c r="BC244" t="str">
        <f t="shared" si="79"/>
        <v>~~~~~~~~~~</v>
      </c>
      <c r="BD244" t="str">
        <f t="shared" si="79"/>
        <v>~~~~~~~~~~</v>
      </c>
      <c r="BE244" t="str">
        <f t="shared" si="79"/>
        <v>~~~~~~~~~~</v>
      </c>
      <c r="BF244" t="str">
        <f t="shared" si="79"/>
        <v>~~~~~~~~~~</v>
      </c>
      <c r="BG244" t="str">
        <f t="shared" si="79"/>
        <v>~~~~~~~~~~</v>
      </c>
      <c r="BH244" t="str">
        <f t="shared" si="79"/>
        <v>~~~~~~~~~~</v>
      </c>
      <c r="BI244" t="str">
        <f t="shared" si="79"/>
        <v>~~~~~~~~~~</v>
      </c>
      <c r="BJ244" t="str">
        <f t="shared" si="79"/>
        <v>~~~~~~~~~~</v>
      </c>
      <c r="BK244" t="str">
        <f t="shared" si="79"/>
        <v>~~~~~~~~~~</v>
      </c>
      <c r="BL244" t="str">
        <f t="shared" si="79"/>
        <v>~~~~~~~~~~</v>
      </c>
      <c r="BM244" t="str">
        <f t="shared" ref="BM244:CK244" si="80">"~~~~~~~~~~"</f>
        <v>~~~~~~~~~~</v>
      </c>
      <c r="BN244" t="str">
        <f t="shared" si="80"/>
        <v>~~~~~~~~~~</v>
      </c>
      <c r="BO244" t="str">
        <f t="shared" si="80"/>
        <v>~~~~~~~~~~</v>
      </c>
      <c r="BP244" t="str">
        <f t="shared" si="80"/>
        <v>~~~~~~~~~~</v>
      </c>
      <c r="BQ244" t="str">
        <f t="shared" si="80"/>
        <v>~~~~~~~~~~</v>
      </c>
      <c r="BR244" t="str">
        <f t="shared" si="80"/>
        <v>~~~~~~~~~~</v>
      </c>
      <c r="BS244" t="str">
        <f t="shared" si="80"/>
        <v>~~~~~~~~~~</v>
      </c>
      <c r="BT244" t="str">
        <f t="shared" si="80"/>
        <v>~~~~~~~~~~</v>
      </c>
      <c r="BU244" t="str">
        <f t="shared" si="80"/>
        <v>~~~~~~~~~~</v>
      </c>
      <c r="BV244" t="str">
        <f t="shared" si="80"/>
        <v>~~~~~~~~~~</v>
      </c>
      <c r="BW244" t="str">
        <f t="shared" si="80"/>
        <v>~~~~~~~~~~</v>
      </c>
      <c r="BX244" t="str">
        <f t="shared" si="80"/>
        <v>~~~~~~~~~~</v>
      </c>
      <c r="BY244" t="str">
        <f t="shared" si="80"/>
        <v>~~~~~~~~~~</v>
      </c>
      <c r="BZ244" t="str">
        <f t="shared" si="80"/>
        <v>~~~~~~~~~~</v>
      </c>
      <c r="CA244" t="str">
        <f t="shared" si="80"/>
        <v>~~~~~~~~~~</v>
      </c>
      <c r="CB244" t="str">
        <f t="shared" si="80"/>
        <v>~~~~~~~~~~</v>
      </c>
      <c r="CC244" t="str">
        <f t="shared" si="80"/>
        <v>~~~~~~~~~~</v>
      </c>
      <c r="CD244" t="str">
        <f t="shared" si="80"/>
        <v>~~~~~~~~~~</v>
      </c>
      <c r="CE244" t="str">
        <f t="shared" si="80"/>
        <v>~~~~~~~~~~</v>
      </c>
      <c r="CF244" t="str">
        <f t="shared" si="80"/>
        <v>~~~~~~~~~~</v>
      </c>
      <c r="CG244" t="str">
        <f t="shared" si="80"/>
        <v>~~~~~~~~~~</v>
      </c>
      <c r="CH244" t="str">
        <f t="shared" si="80"/>
        <v>~~~~~~~~~~</v>
      </c>
      <c r="CI244" t="str">
        <f t="shared" si="80"/>
        <v>~~~~~~~~~~</v>
      </c>
      <c r="CJ244" t="str">
        <f t="shared" si="80"/>
        <v>~~~~~~~~~~</v>
      </c>
      <c r="CK244" t="str">
        <f t="shared" si="80"/>
        <v>~~~~~~~~~~</v>
      </c>
      <c r="CL244" t="str">
        <f>""</f>
        <v/>
      </c>
      <c r="CM244" t="str">
        <f>""</f>
        <v/>
      </c>
      <c r="CN244" t="str">
        <f>""</f>
        <v/>
      </c>
      <c r="CO244" t="str">
        <f>""</f>
        <v/>
      </c>
      <c r="CP244" t="str">
        <f>""</f>
        <v/>
      </c>
      <c r="CQ244" t="str">
        <f>""</f>
        <v/>
      </c>
      <c r="CR244" t="str">
        <f>""</f>
        <v/>
      </c>
      <c r="CS244" t="str">
        <f>""</f>
        <v/>
      </c>
      <c r="CT244" t="str">
        <f>""</f>
        <v/>
      </c>
      <c r="CU244" t="str">
        <f>""</f>
        <v/>
      </c>
      <c r="CV244" t="str">
        <f>""</f>
        <v/>
      </c>
      <c r="CW244" t="str">
        <f>""</f>
        <v/>
      </c>
      <c r="CX244" t="str">
        <f>""</f>
        <v/>
      </c>
      <c r="CY244" t="str">
        <f>""</f>
        <v/>
      </c>
      <c r="CZ244" t="str">
        <f>""</f>
        <v/>
      </c>
      <c r="DA244" t="str">
        <f>""</f>
        <v/>
      </c>
      <c r="DB244" t="str">
        <f>""</f>
        <v/>
      </c>
      <c r="DC244" t="str">
        <f>""</f>
        <v/>
      </c>
      <c r="DD244" t="str">
        <f>""</f>
        <v/>
      </c>
      <c r="DE244" t="str">
        <f>""</f>
        <v/>
      </c>
      <c r="DF244" t="str">
        <f>""</f>
        <v/>
      </c>
      <c r="DG244" t="str">
        <f>""</f>
        <v/>
      </c>
      <c r="DH244" t="str">
        <f>""</f>
        <v/>
      </c>
      <c r="DI244" t="str">
        <f>""</f>
        <v/>
      </c>
      <c r="DJ244" t="str">
        <f>""</f>
        <v/>
      </c>
      <c r="DK244" t="str">
        <f>""</f>
        <v/>
      </c>
      <c r="DL244" t="str">
        <f>""</f>
        <v/>
      </c>
      <c r="DM244" t="str">
        <f>""</f>
        <v/>
      </c>
      <c r="DN244" t="str">
        <f>""</f>
        <v/>
      </c>
      <c r="DO244" t="str">
        <f>""</f>
        <v/>
      </c>
      <c r="DP244" t="str">
        <f>""</f>
        <v/>
      </c>
      <c r="DQ244" t="str">
        <f>""</f>
        <v/>
      </c>
      <c r="DR244" t="str">
        <f>""</f>
        <v/>
      </c>
      <c r="DS244" t="str">
        <f>""</f>
        <v/>
      </c>
      <c r="DT244" t="str">
        <f>""</f>
        <v/>
      </c>
      <c r="DU244" t="str">
        <f>""</f>
        <v/>
      </c>
      <c r="DV244" t="str">
        <f>""</f>
        <v/>
      </c>
      <c r="DW244" t="str">
        <f>""</f>
        <v/>
      </c>
      <c r="DX244" t="str">
        <f>""</f>
        <v/>
      </c>
      <c r="DY244" t="str">
        <f>""</f>
        <v/>
      </c>
      <c r="DZ244" t="str">
        <f>""</f>
        <v/>
      </c>
      <c r="EA244" t="str">
        <f>""</f>
        <v/>
      </c>
      <c r="EB244" t="str">
        <f>""</f>
        <v/>
      </c>
      <c r="EC244" t="str">
        <f>""</f>
        <v/>
      </c>
      <c r="ED244" t="str">
        <f>""</f>
        <v/>
      </c>
      <c r="EE244" t="str">
        <f>""</f>
        <v/>
      </c>
      <c r="EF244" t="str">
        <f>""</f>
        <v/>
      </c>
      <c r="EG244" t="str">
        <f>""</f>
        <v/>
      </c>
      <c r="EH244" t="str">
        <f>""</f>
        <v/>
      </c>
      <c r="EI244" t="str">
        <f>""</f>
        <v/>
      </c>
      <c r="EJ244" t="str">
        <f>""</f>
        <v/>
      </c>
      <c r="EK244" t="str">
        <f>""</f>
        <v/>
      </c>
      <c r="EL244" t="str">
        <f>""</f>
        <v/>
      </c>
      <c r="EM244" t="str">
        <f>""</f>
        <v/>
      </c>
      <c r="EN244" t="str">
        <f>""</f>
        <v/>
      </c>
      <c r="EO244" t="str">
        <f>""</f>
        <v/>
      </c>
      <c r="EP244" t="str">
        <f>""</f>
        <v/>
      </c>
      <c r="EQ244" t="str">
        <f>""</f>
        <v/>
      </c>
      <c r="ER244" t="str">
        <f>""</f>
        <v/>
      </c>
      <c r="ES244" t="str">
        <f>""</f>
        <v/>
      </c>
      <c r="ET244" t="str">
        <f>""</f>
        <v/>
      </c>
      <c r="EU244" t="str">
        <f>""</f>
        <v/>
      </c>
      <c r="EV244" t="str">
        <f>""</f>
        <v/>
      </c>
      <c r="EW244" t="str">
        <f>""</f>
        <v/>
      </c>
      <c r="EX244" t="str">
        <f>""</f>
        <v/>
      </c>
      <c r="EY244" t="str">
        <f>""</f>
        <v/>
      </c>
      <c r="EZ244" t="str">
        <f>""</f>
        <v/>
      </c>
      <c r="FA244" t="str">
        <f>""</f>
        <v/>
      </c>
      <c r="FB244" t="str">
        <f>""</f>
        <v/>
      </c>
      <c r="FC244" t="str">
        <f>""</f>
        <v/>
      </c>
      <c r="FD244" t="str">
        <f>""</f>
        <v/>
      </c>
      <c r="FE244" t="str">
        <f>""</f>
        <v/>
      </c>
      <c r="FF244" t="str">
        <f>""</f>
        <v/>
      </c>
      <c r="FG244" t="str">
        <f>""</f>
        <v/>
      </c>
      <c r="FH244" t="str">
        <f>""</f>
        <v/>
      </c>
      <c r="FI244" t="str">
        <f>""</f>
        <v/>
      </c>
      <c r="FJ244" t="str">
        <f>""</f>
        <v/>
      </c>
      <c r="FK244" t="str">
        <f>""</f>
        <v/>
      </c>
      <c r="FL244" t="str">
        <f>""</f>
        <v/>
      </c>
      <c r="FM244" t="str">
        <f>""</f>
        <v/>
      </c>
      <c r="FN244" t="str">
        <f>""</f>
        <v/>
      </c>
      <c r="FO244" t="str">
        <f>""</f>
        <v/>
      </c>
      <c r="FP244" t="str">
        <f>""</f>
        <v/>
      </c>
      <c r="FQ244" t="str">
        <f>""</f>
        <v/>
      </c>
    </row>
    <row r="245" spans="1:173">
      <c r="A245" t="str">
        <f>"通过上面公式行而添加下列所有数据行以供参考之用。"</f>
        <v>通过上面公式行而添加下列所有数据行以供参考之用。</v>
      </c>
      <c r="CL245" t="str">
        <f>""</f>
        <v/>
      </c>
      <c r="CM245" t="str">
        <f>""</f>
        <v/>
      </c>
      <c r="CN245" t="str">
        <f>""</f>
        <v/>
      </c>
      <c r="CO245" t="str">
        <f>""</f>
        <v/>
      </c>
      <c r="CP245" t="str">
        <f>""</f>
        <v/>
      </c>
      <c r="CQ245" t="str">
        <f>""</f>
        <v/>
      </c>
      <c r="CR245" t="str">
        <f>""</f>
        <v/>
      </c>
      <c r="CS245" t="str">
        <f>""</f>
        <v/>
      </c>
      <c r="CT245" t="str">
        <f>""</f>
        <v/>
      </c>
      <c r="CU245" t="str">
        <f>""</f>
        <v/>
      </c>
      <c r="CV245" t="str">
        <f>""</f>
        <v/>
      </c>
      <c r="CW245" t="str">
        <f>""</f>
        <v/>
      </c>
      <c r="CX245" t="str">
        <f>""</f>
        <v/>
      </c>
      <c r="CY245" t="str">
        <f>""</f>
        <v/>
      </c>
      <c r="CZ245" t="str">
        <f>""</f>
        <v/>
      </c>
      <c r="DA245" t="str">
        <f>""</f>
        <v/>
      </c>
      <c r="DB245" t="str">
        <f>""</f>
        <v/>
      </c>
      <c r="DC245" t="str">
        <f>""</f>
        <v/>
      </c>
      <c r="DD245" t="str">
        <f>""</f>
        <v/>
      </c>
      <c r="DE245" t="str">
        <f>""</f>
        <v/>
      </c>
      <c r="DF245" t="str">
        <f>""</f>
        <v/>
      </c>
      <c r="DG245" t="str">
        <f>""</f>
        <v/>
      </c>
      <c r="DH245" t="str">
        <f>""</f>
        <v/>
      </c>
      <c r="DI245" t="str">
        <f>""</f>
        <v/>
      </c>
      <c r="DJ245" t="str">
        <f>""</f>
        <v/>
      </c>
      <c r="DK245" t="str">
        <f>""</f>
        <v/>
      </c>
      <c r="DL245" t="str">
        <f>""</f>
        <v/>
      </c>
      <c r="DM245" t="str">
        <f>""</f>
        <v/>
      </c>
      <c r="DN245" t="str">
        <f>""</f>
        <v/>
      </c>
      <c r="DO245" t="str">
        <f>""</f>
        <v/>
      </c>
      <c r="DP245" t="str">
        <f>""</f>
        <v/>
      </c>
      <c r="DQ245" t="str">
        <f>""</f>
        <v/>
      </c>
      <c r="DR245" t="str">
        <f>""</f>
        <v/>
      </c>
      <c r="DS245" t="str">
        <f>""</f>
        <v/>
      </c>
      <c r="DT245" t="str">
        <f>""</f>
        <v/>
      </c>
      <c r="DU245" t="str">
        <f>""</f>
        <v/>
      </c>
      <c r="DV245" t="str">
        <f>""</f>
        <v/>
      </c>
      <c r="DW245" t="str">
        <f>""</f>
        <v/>
      </c>
      <c r="DX245" t="str">
        <f>""</f>
        <v/>
      </c>
      <c r="DY245" t="str">
        <f>""</f>
        <v/>
      </c>
      <c r="DZ245" t="str">
        <f>""</f>
        <v/>
      </c>
      <c r="EA245" t="str">
        <f>""</f>
        <v/>
      </c>
      <c r="EB245" t="str">
        <f>""</f>
        <v/>
      </c>
      <c r="EC245" t="str">
        <f>""</f>
        <v/>
      </c>
      <c r="ED245" t="str">
        <f>""</f>
        <v/>
      </c>
      <c r="EE245" t="str">
        <f>""</f>
        <v/>
      </c>
      <c r="EF245" t="str">
        <f>""</f>
        <v/>
      </c>
      <c r="EG245" t="str">
        <f>""</f>
        <v/>
      </c>
      <c r="EH245" t="str">
        <f>""</f>
        <v/>
      </c>
      <c r="EI245" t="str">
        <f>""</f>
        <v/>
      </c>
      <c r="EJ245" t="str">
        <f>""</f>
        <v/>
      </c>
      <c r="EK245" t="str">
        <f>""</f>
        <v/>
      </c>
      <c r="EL245" t="str">
        <f>""</f>
        <v/>
      </c>
      <c r="EM245" t="str">
        <f>""</f>
        <v/>
      </c>
      <c r="EN245" t="str">
        <f>""</f>
        <v/>
      </c>
      <c r="EO245" t="str">
        <f>""</f>
        <v/>
      </c>
      <c r="EP245" t="str">
        <f>""</f>
        <v/>
      </c>
      <c r="EQ245" t="str">
        <f>""</f>
        <v/>
      </c>
      <c r="ER245" t="str">
        <f>""</f>
        <v/>
      </c>
      <c r="ES245" t="str">
        <f>""</f>
        <v/>
      </c>
      <c r="ET245" t="str">
        <f>""</f>
        <v/>
      </c>
      <c r="EU245" t="str">
        <f>""</f>
        <v/>
      </c>
      <c r="EV245" t="str">
        <f>""</f>
        <v/>
      </c>
      <c r="EW245" t="str">
        <f>""</f>
        <v/>
      </c>
      <c r="EX245" t="str">
        <f>""</f>
        <v/>
      </c>
      <c r="EY245" t="str">
        <f>""</f>
        <v/>
      </c>
      <c r="EZ245" t="str">
        <f>""</f>
        <v/>
      </c>
      <c r="FA245" t="str">
        <f>""</f>
        <v/>
      </c>
      <c r="FB245" t="str">
        <f>""</f>
        <v/>
      </c>
      <c r="FC245" t="str">
        <f>""</f>
        <v/>
      </c>
      <c r="FD245" t="str">
        <f>""</f>
        <v/>
      </c>
      <c r="FE245" t="str">
        <f>""</f>
        <v/>
      </c>
      <c r="FF245" t="str">
        <f>""</f>
        <v/>
      </c>
      <c r="FG245" t="str">
        <f>""</f>
        <v/>
      </c>
      <c r="FH245" t="str">
        <f>""</f>
        <v/>
      </c>
      <c r="FI245" t="str">
        <f>""</f>
        <v/>
      </c>
      <c r="FJ245" t="str">
        <f>""</f>
        <v/>
      </c>
      <c r="FK245" t="str">
        <f>""</f>
        <v/>
      </c>
      <c r="FL245" t="str">
        <f>""</f>
        <v/>
      </c>
      <c r="FM245" t="str">
        <f>""</f>
        <v/>
      </c>
      <c r="FN245" t="str">
        <f>""</f>
        <v/>
      </c>
      <c r="FO245" t="str">
        <f>""</f>
        <v/>
      </c>
      <c r="FP245" t="str">
        <f>""</f>
        <v/>
      </c>
      <c r="FQ245" t="str">
        <f>""</f>
        <v/>
      </c>
    </row>
    <row r="246" spans="1:173">
      <c r="A246">
        <f>RTD("bloomberg.ccyreader", "", "#track", "DBG", "BIHITX", "1.0","RepeatHit")</f>
        <v>0</v>
      </c>
      <c r="CL246" t="str">
        <f>""</f>
        <v/>
      </c>
      <c r="CM246" t="str">
        <f>""</f>
        <v/>
      </c>
      <c r="CN246" t="str">
        <f>""</f>
        <v/>
      </c>
      <c r="CO246" t="str">
        <f>""</f>
        <v/>
      </c>
      <c r="CP246" t="str">
        <f>""</f>
        <v/>
      </c>
      <c r="CQ246" t="str">
        <f>""</f>
        <v/>
      </c>
      <c r="CR246" t="str">
        <f>""</f>
        <v/>
      </c>
      <c r="CS246" t="str">
        <f>""</f>
        <v/>
      </c>
      <c r="CT246" t="str">
        <f>""</f>
        <v/>
      </c>
      <c r="CU246" t="str">
        <f>""</f>
        <v/>
      </c>
      <c r="CV246" t="str">
        <f>""</f>
        <v/>
      </c>
      <c r="CW246" t="str">
        <f>""</f>
        <v/>
      </c>
      <c r="CX246" t="str">
        <f>""</f>
        <v/>
      </c>
      <c r="CY246" t="str">
        <f>""</f>
        <v/>
      </c>
      <c r="CZ246" t="str">
        <f>""</f>
        <v/>
      </c>
      <c r="DA246" t="str">
        <f>""</f>
        <v/>
      </c>
      <c r="DB246" t="str">
        <f>""</f>
        <v/>
      </c>
      <c r="DC246" t="str">
        <f>""</f>
        <v/>
      </c>
      <c r="DD246" t="str">
        <f>""</f>
        <v/>
      </c>
      <c r="DE246" t="str">
        <f>""</f>
        <v/>
      </c>
      <c r="DF246" t="str">
        <f>""</f>
        <v/>
      </c>
      <c r="DG246" t="str">
        <f>""</f>
        <v/>
      </c>
      <c r="DH246" t="str">
        <f>""</f>
        <v/>
      </c>
      <c r="DI246" t="str">
        <f>""</f>
        <v/>
      </c>
      <c r="DJ246" t="str">
        <f>""</f>
        <v/>
      </c>
      <c r="DK246" t="str">
        <f>""</f>
        <v/>
      </c>
      <c r="DL246" t="str">
        <f>""</f>
        <v/>
      </c>
      <c r="DM246" t="str">
        <f>""</f>
        <v/>
      </c>
      <c r="DN246" t="str">
        <f>""</f>
        <v/>
      </c>
      <c r="DO246" t="str">
        <f>""</f>
        <v/>
      </c>
      <c r="DP246" t="str">
        <f>""</f>
        <v/>
      </c>
      <c r="DQ246" t="str">
        <f>""</f>
        <v/>
      </c>
      <c r="DR246" t="str">
        <f>""</f>
        <v/>
      </c>
      <c r="DS246" t="str">
        <f>""</f>
        <v/>
      </c>
      <c r="DT246" t="str">
        <f>""</f>
        <v/>
      </c>
      <c r="DU246" t="str">
        <f>""</f>
        <v/>
      </c>
      <c r="DV246" t="str">
        <f>""</f>
        <v/>
      </c>
      <c r="DW246" t="str">
        <f>""</f>
        <v/>
      </c>
      <c r="DX246" t="str">
        <f>""</f>
        <v/>
      </c>
      <c r="DY246" t="str">
        <f>""</f>
        <v/>
      </c>
      <c r="DZ246" t="str">
        <f>""</f>
        <v/>
      </c>
      <c r="EA246" t="str">
        <f>""</f>
        <v/>
      </c>
      <c r="EB246" t="str">
        <f>""</f>
        <v/>
      </c>
      <c r="EC246" t="str">
        <f>""</f>
        <v/>
      </c>
      <c r="ED246" t="str">
        <f>""</f>
        <v/>
      </c>
      <c r="EE246" t="str">
        <f>""</f>
        <v/>
      </c>
      <c r="EF246" t="str">
        <f>""</f>
        <v/>
      </c>
      <c r="EG246" t="str">
        <f>""</f>
        <v/>
      </c>
      <c r="EH246" t="str">
        <f>""</f>
        <v/>
      </c>
      <c r="EI246" t="str">
        <f>""</f>
        <v/>
      </c>
      <c r="EJ246" t="str">
        <f>""</f>
        <v/>
      </c>
      <c r="EK246" t="str">
        <f>""</f>
        <v/>
      </c>
      <c r="EL246" t="str">
        <f>""</f>
        <v/>
      </c>
      <c r="EM246" t="str">
        <f>""</f>
        <v/>
      </c>
      <c r="EN246" t="str">
        <f>""</f>
        <v/>
      </c>
      <c r="EO246" t="str">
        <f>""</f>
        <v/>
      </c>
      <c r="EP246" t="str">
        <f>""</f>
        <v/>
      </c>
      <c r="EQ246" t="str">
        <f>""</f>
        <v/>
      </c>
      <c r="ER246" t="str">
        <f>""</f>
        <v/>
      </c>
      <c r="ES246" t="str">
        <f>""</f>
        <v/>
      </c>
      <c r="ET246" t="str">
        <f>""</f>
        <v/>
      </c>
      <c r="EU246" t="str">
        <f>""</f>
        <v/>
      </c>
      <c r="EV246" t="str">
        <f>""</f>
        <v/>
      </c>
      <c r="EW246" t="str">
        <f>""</f>
        <v/>
      </c>
      <c r="EX246" t="str">
        <f>""</f>
        <v/>
      </c>
      <c r="EY246" t="str">
        <f>""</f>
        <v/>
      </c>
      <c r="EZ246" t="str">
        <f>""</f>
        <v/>
      </c>
      <c r="FA246" t="str">
        <f>""</f>
        <v/>
      </c>
      <c r="FB246" t="str">
        <f>""</f>
        <v/>
      </c>
      <c r="FC246" t="str">
        <f>""</f>
        <v/>
      </c>
      <c r="FD246" t="str">
        <f>""</f>
        <v/>
      </c>
      <c r="FE246" t="str">
        <f>""</f>
        <v/>
      </c>
      <c r="FF246" t="str">
        <f>""</f>
        <v/>
      </c>
      <c r="FG246" t="str">
        <f>""</f>
        <v/>
      </c>
      <c r="FH246" t="str">
        <f>""</f>
        <v/>
      </c>
      <c r="FI246" t="str">
        <f>""</f>
        <v/>
      </c>
      <c r="FJ246" t="str">
        <f>""</f>
        <v/>
      </c>
      <c r="FK246" t="str">
        <f>""</f>
        <v/>
      </c>
      <c r="FL246" t="str">
        <f>""</f>
        <v/>
      </c>
      <c r="FM246" t="str">
        <f>""</f>
        <v/>
      </c>
      <c r="FN246" t="str">
        <f>""</f>
        <v/>
      </c>
      <c r="FO246" t="str">
        <f>""</f>
        <v/>
      </c>
      <c r="FP246" t="str">
        <f>""</f>
        <v/>
      </c>
      <c r="FQ246" t="str">
        <f>""</f>
        <v/>
      </c>
    </row>
    <row r="247" spans="1:173">
      <c r="A247" t="str">
        <f>"货币"</f>
        <v>货币</v>
      </c>
      <c r="B247" t="str">
        <f>"USD"</f>
        <v>USD</v>
      </c>
      <c r="CL247" t="str">
        <f>""</f>
        <v/>
      </c>
      <c r="CM247" t="str">
        <f>""</f>
        <v/>
      </c>
      <c r="CN247" t="str">
        <f>""</f>
        <v/>
      </c>
      <c r="CO247" t="str">
        <f>""</f>
        <v/>
      </c>
      <c r="CP247" t="str">
        <f>""</f>
        <v/>
      </c>
      <c r="CQ247" t="str">
        <f>""</f>
        <v/>
      </c>
      <c r="CR247" t="str">
        <f>""</f>
        <v/>
      </c>
      <c r="CS247" t="str">
        <f>""</f>
        <v/>
      </c>
      <c r="CT247" t="str">
        <f>""</f>
        <v/>
      </c>
      <c r="CU247" t="str">
        <f>""</f>
        <v/>
      </c>
      <c r="CV247" t="str">
        <f>""</f>
        <v/>
      </c>
      <c r="CW247" t="str">
        <f>""</f>
        <v/>
      </c>
      <c r="CX247" t="str">
        <f>""</f>
        <v/>
      </c>
      <c r="CY247" t="str">
        <f>""</f>
        <v/>
      </c>
      <c r="CZ247" t="str">
        <f>""</f>
        <v/>
      </c>
      <c r="DA247" t="str">
        <f>""</f>
        <v/>
      </c>
      <c r="DB247" t="str">
        <f>""</f>
        <v/>
      </c>
      <c r="DC247" t="str">
        <f>""</f>
        <v/>
      </c>
      <c r="DD247" t="str">
        <f>""</f>
        <v/>
      </c>
      <c r="DE247" t="str">
        <f>""</f>
        <v/>
      </c>
      <c r="DF247" t="str">
        <f>""</f>
        <v/>
      </c>
      <c r="DG247" t="str">
        <f>""</f>
        <v/>
      </c>
      <c r="DH247" t="str">
        <f>""</f>
        <v/>
      </c>
      <c r="DI247" t="str">
        <f>""</f>
        <v/>
      </c>
      <c r="DJ247" t="str">
        <f>""</f>
        <v/>
      </c>
      <c r="DK247" t="str">
        <f>""</f>
        <v/>
      </c>
      <c r="DL247" t="str">
        <f>""</f>
        <v/>
      </c>
      <c r="DM247" t="str">
        <f>""</f>
        <v/>
      </c>
      <c r="DN247" t="str">
        <f>""</f>
        <v/>
      </c>
      <c r="DO247" t="str">
        <f>""</f>
        <v/>
      </c>
      <c r="DP247" t="str">
        <f>""</f>
        <v/>
      </c>
      <c r="DQ247" t="str">
        <f>""</f>
        <v/>
      </c>
      <c r="DR247" t="str">
        <f>""</f>
        <v/>
      </c>
      <c r="DS247" t="str">
        <f>""</f>
        <v/>
      </c>
      <c r="DT247" t="str">
        <f>""</f>
        <v/>
      </c>
      <c r="DU247" t="str">
        <f>""</f>
        <v/>
      </c>
      <c r="DV247" t="str">
        <f>""</f>
        <v/>
      </c>
      <c r="DW247" t="str">
        <f>""</f>
        <v/>
      </c>
      <c r="DX247" t="str">
        <f>""</f>
        <v/>
      </c>
      <c r="DY247" t="str">
        <f>""</f>
        <v/>
      </c>
      <c r="DZ247" t="str">
        <f>""</f>
        <v/>
      </c>
      <c r="EA247" t="str">
        <f>""</f>
        <v/>
      </c>
      <c r="EB247" t="str">
        <f>""</f>
        <v/>
      </c>
      <c r="EC247" t="str">
        <f>""</f>
        <v/>
      </c>
      <c r="ED247" t="str">
        <f>""</f>
        <v/>
      </c>
      <c r="EE247" t="str">
        <f>""</f>
        <v/>
      </c>
      <c r="EF247" t="str">
        <f>""</f>
        <v/>
      </c>
      <c r="EG247" t="str">
        <f>""</f>
        <v/>
      </c>
      <c r="EH247" t="str">
        <f>""</f>
        <v/>
      </c>
      <c r="EI247" t="str">
        <f>""</f>
        <v/>
      </c>
      <c r="EJ247" t="str">
        <f>""</f>
        <v/>
      </c>
      <c r="EK247" t="str">
        <f>""</f>
        <v/>
      </c>
      <c r="EL247" t="str">
        <f>""</f>
        <v/>
      </c>
      <c r="EM247" t="str">
        <f>""</f>
        <v/>
      </c>
      <c r="EN247" t="str">
        <f>""</f>
        <v/>
      </c>
      <c r="EO247" t="str">
        <f>""</f>
        <v/>
      </c>
      <c r="EP247" t="str">
        <f>""</f>
        <v/>
      </c>
      <c r="EQ247" t="str">
        <f>""</f>
        <v/>
      </c>
      <c r="ER247" t="str">
        <f>""</f>
        <v/>
      </c>
      <c r="ES247" t="str">
        <f>""</f>
        <v/>
      </c>
      <c r="ET247" t="str">
        <f>""</f>
        <v/>
      </c>
      <c r="EU247" t="str">
        <f>""</f>
        <v/>
      </c>
      <c r="EV247" t="str">
        <f>""</f>
        <v/>
      </c>
      <c r="EW247" t="str">
        <f>""</f>
        <v/>
      </c>
      <c r="EX247" t="str">
        <f>""</f>
        <v/>
      </c>
      <c r="EY247" t="str">
        <f>""</f>
        <v/>
      </c>
      <c r="EZ247" t="str">
        <f>""</f>
        <v/>
      </c>
      <c r="FA247" t="str">
        <f>""</f>
        <v/>
      </c>
      <c r="FB247" t="str">
        <f>""</f>
        <v/>
      </c>
      <c r="FC247" t="str">
        <f>""</f>
        <v/>
      </c>
      <c r="FD247" t="str">
        <f>""</f>
        <v/>
      </c>
      <c r="FE247" t="str">
        <f>""</f>
        <v/>
      </c>
      <c r="FF247" t="str">
        <f>""</f>
        <v/>
      </c>
      <c r="FG247" t="str">
        <f>""</f>
        <v/>
      </c>
      <c r="FH247" t="str">
        <f>""</f>
        <v/>
      </c>
      <c r="FI247" t="str">
        <f>""</f>
        <v/>
      </c>
      <c r="FJ247" t="str">
        <f>""</f>
        <v/>
      </c>
      <c r="FK247" t="str">
        <f>""</f>
        <v/>
      </c>
      <c r="FL247" t="str">
        <f>""</f>
        <v/>
      </c>
      <c r="FM247" t="str">
        <f>""</f>
        <v/>
      </c>
      <c r="FN247" t="str">
        <f>""</f>
        <v/>
      </c>
      <c r="FO247" t="str">
        <f>""</f>
        <v/>
      </c>
      <c r="FP247" t="str">
        <f>""</f>
        <v/>
      </c>
      <c r="FQ247" t="str">
        <f>""</f>
        <v/>
      </c>
    </row>
    <row r="248" spans="1:173">
      <c r="A248" t="str">
        <f>"周期"</f>
        <v>周期</v>
      </c>
      <c r="B248" t="str">
        <f>"CM"</f>
        <v>CM</v>
      </c>
      <c r="C248" t="str">
        <f>"AM"</f>
        <v>AM</v>
      </c>
      <c r="CL248" t="str">
        <f>""</f>
        <v/>
      </c>
      <c r="CM248" t="str">
        <f>""</f>
        <v/>
      </c>
      <c r="CN248" t="str">
        <f>""</f>
        <v/>
      </c>
      <c r="CO248" t="str">
        <f>""</f>
        <v/>
      </c>
      <c r="CP248" t="str">
        <f>""</f>
        <v/>
      </c>
      <c r="CQ248" t="str">
        <f>""</f>
        <v/>
      </c>
      <c r="CR248" t="str">
        <f>""</f>
        <v/>
      </c>
      <c r="CS248" t="str">
        <f>""</f>
        <v/>
      </c>
      <c r="CT248" t="str">
        <f>""</f>
        <v/>
      </c>
      <c r="CU248" t="str">
        <f>""</f>
        <v/>
      </c>
      <c r="CV248" t="str">
        <f>""</f>
        <v/>
      </c>
      <c r="CW248" t="str">
        <f>""</f>
        <v/>
      </c>
      <c r="CX248" t="str">
        <f>""</f>
        <v/>
      </c>
      <c r="CY248" t="str">
        <f>""</f>
        <v/>
      </c>
      <c r="CZ248" t="str">
        <f>""</f>
        <v/>
      </c>
      <c r="DA248" t="str">
        <f>""</f>
        <v/>
      </c>
      <c r="DB248" t="str">
        <f>""</f>
        <v/>
      </c>
      <c r="DC248" t="str">
        <f>""</f>
        <v/>
      </c>
      <c r="DD248" t="str">
        <f>""</f>
        <v/>
      </c>
      <c r="DE248" t="str">
        <f>""</f>
        <v/>
      </c>
      <c r="DF248" t="str">
        <f>""</f>
        <v/>
      </c>
      <c r="DG248" t="str">
        <f>""</f>
        <v/>
      </c>
      <c r="DH248" t="str">
        <f>""</f>
        <v/>
      </c>
      <c r="DI248" t="str">
        <f>""</f>
        <v/>
      </c>
      <c r="DJ248" t="str">
        <f>""</f>
        <v/>
      </c>
      <c r="DK248" t="str">
        <f>""</f>
        <v/>
      </c>
      <c r="DL248" t="str">
        <f>""</f>
        <v/>
      </c>
      <c r="DM248" t="str">
        <f>""</f>
        <v/>
      </c>
      <c r="DN248" t="str">
        <f>""</f>
        <v/>
      </c>
      <c r="DO248" t="str">
        <f>""</f>
        <v/>
      </c>
      <c r="DP248" t="str">
        <f>""</f>
        <v/>
      </c>
      <c r="DQ248" t="str">
        <f>""</f>
        <v/>
      </c>
      <c r="DR248" t="str">
        <f>""</f>
        <v/>
      </c>
      <c r="DS248" t="str">
        <f>""</f>
        <v/>
      </c>
      <c r="DT248" t="str">
        <f>""</f>
        <v/>
      </c>
      <c r="DU248" t="str">
        <f>""</f>
        <v/>
      </c>
      <c r="DV248" t="str">
        <f>""</f>
        <v/>
      </c>
      <c r="DW248" t="str">
        <f>""</f>
        <v/>
      </c>
      <c r="DX248" t="str">
        <f>""</f>
        <v/>
      </c>
      <c r="DY248" t="str">
        <f>""</f>
        <v/>
      </c>
      <c r="DZ248" t="str">
        <f>""</f>
        <v/>
      </c>
      <c r="EA248" t="str">
        <f>""</f>
        <v/>
      </c>
      <c r="EB248" t="str">
        <f>""</f>
        <v/>
      </c>
      <c r="EC248" t="str">
        <f>""</f>
        <v/>
      </c>
      <c r="ED248" t="str">
        <f>""</f>
        <v/>
      </c>
      <c r="EE248" t="str">
        <f>""</f>
        <v/>
      </c>
      <c r="EF248" t="str">
        <f>""</f>
        <v/>
      </c>
      <c r="EG248" t="str">
        <f>""</f>
        <v/>
      </c>
      <c r="EH248" t="str">
        <f>""</f>
        <v/>
      </c>
      <c r="EI248" t="str">
        <f>""</f>
        <v/>
      </c>
      <c r="EJ248" t="str">
        <f>""</f>
        <v/>
      </c>
      <c r="EK248" t="str">
        <f>""</f>
        <v/>
      </c>
      <c r="EL248" t="str">
        <f>""</f>
        <v/>
      </c>
      <c r="EM248" t="str">
        <f>""</f>
        <v/>
      </c>
      <c r="EN248" t="str">
        <f>""</f>
        <v/>
      </c>
      <c r="EO248" t="str">
        <f>""</f>
        <v/>
      </c>
      <c r="EP248" t="str">
        <f>""</f>
        <v/>
      </c>
      <c r="EQ248" t="str">
        <f>""</f>
        <v/>
      </c>
      <c r="ER248" t="str">
        <f>""</f>
        <v/>
      </c>
      <c r="ES248" t="str">
        <f>""</f>
        <v/>
      </c>
      <c r="ET248" t="str">
        <f>""</f>
        <v/>
      </c>
      <c r="EU248" t="str">
        <f>""</f>
        <v/>
      </c>
      <c r="EV248" t="str">
        <f>""</f>
        <v/>
      </c>
      <c r="EW248" t="str">
        <f>""</f>
        <v/>
      </c>
      <c r="EX248" t="str">
        <f>""</f>
        <v/>
      </c>
      <c r="EY248" t="str">
        <f>""</f>
        <v/>
      </c>
      <c r="EZ248" t="str">
        <f>""</f>
        <v/>
      </c>
      <c r="FA248" t="str">
        <f>""</f>
        <v/>
      </c>
      <c r="FB248" t="str">
        <f>""</f>
        <v/>
      </c>
      <c r="FC248" t="str">
        <f>""</f>
        <v/>
      </c>
      <c r="FD248" t="str">
        <f>""</f>
        <v/>
      </c>
      <c r="FE248" t="str">
        <f>""</f>
        <v/>
      </c>
      <c r="FF248" t="str">
        <f>""</f>
        <v/>
      </c>
      <c r="FG248" t="str">
        <f>""</f>
        <v/>
      </c>
      <c r="FH248" t="str">
        <f>""</f>
        <v/>
      </c>
      <c r="FI248" t="str">
        <f>""</f>
        <v/>
      </c>
      <c r="FJ248" t="str">
        <f>""</f>
        <v/>
      </c>
      <c r="FK248" t="str">
        <f>""</f>
        <v/>
      </c>
      <c r="FL248" t="str">
        <f>""</f>
        <v/>
      </c>
      <c r="FM248" t="str">
        <f>""</f>
        <v/>
      </c>
      <c r="FN248" t="str">
        <f>""</f>
        <v/>
      </c>
      <c r="FO248" t="str">
        <f>""</f>
        <v/>
      </c>
      <c r="FP248" t="str">
        <f>""</f>
        <v/>
      </c>
      <c r="FQ248" t="str">
        <f>""</f>
        <v/>
      </c>
    </row>
    <row r="249" spans="1:173">
      <c r="A249" t="str">
        <f>"周期数"</f>
        <v>周期数</v>
      </c>
      <c r="B249">
        <f>84</f>
        <v>84</v>
      </c>
      <c r="CL249" t="str">
        <f>""</f>
        <v/>
      </c>
      <c r="CM249" t="str">
        <f>""</f>
        <v/>
      </c>
      <c r="CN249" t="str">
        <f>""</f>
        <v/>
      </c>
      <c r="CO249" t="str">
        <f>""</f>
        <v/>
      </c>
      <c r="CP249" t="str">
        <f>""</f>
        <v/>
      </c>
      <c r="CQ249" t="str">
        <f>""</f>
        <v/>
      </c>
      <c r="CR249" t="str">
        <f>""</f>
        <v/>
      </c>
      <c r="CS249" t="str">
        <f>""</f>
        <v/>
      </c>
      <c r="CT249" t="str">
        <f>""</f>
        <v/>
      </c>
      <c r="CU249" t="str">
        <f>""</f>
        <v/>
      </c>
      <c r="CV249" t="str">
        <f>""</f>
        <v/>
      </c>
      <c r="CW249" t="str">
        <f>""</f>
        <v/>
      </c>
      <c r="CX249" t="str">
        <f>""</f>
        <v/>
      </c>
      <c r="CY249" t="str">
        <f>""</f>
        <v/>
      </c>
      <c r="CZ249" t="str">
        <f>""</f>
        <v/>
      </c>
      <c r="DA249" t="str">
        <f>""</f>
        <v/>
      </c>
      <c r="DB249" t="str">
        <f>""</f>
        <v/>
      </c>
      <c r="DC249" t="str">
        <f>""</f>
        <v/>
      </c>
      <c r="DD249" t="str">
        <f>""</f>
        <v/>
      </c>
      <c r="DE249" t="str">
        <f>""</f>
        <v/>
      </c>
      <c r="DF249" t="str">
        <f>""</f>
        <v/>
      </c>
      <c r="DG249" t="str">
        <f>""</f>
        <v/>
      </c>
      <c r="DH249" t="str">
        <f>""</f>
        <v/>
      </c>
      <c r="DI249" t="str">
        <f>""</f>
        <v/>
      </c>
      <c r="DJ249" t="str">
        <f>""</f>
        <v/>
      </c>
      <c r="DK249" t="str">
        <f>""</f>
        <v/>
      </c>
      <c r="DL249" t="str">
        <f>""</f>
        <v/>
      </c>
      <c r="DM249" t="str">
        <f>""</f>
        <v/>
      </c>
      <c r="DN249" t="str">
        <f>""</f>
        <v/>
      </c>
      <c r="DO249" t="str">
        <f>""</f>
        <v/>
      </c>
      <c r="DP249" t="str">
        <f>""</f>
        <v/>
      </c>
      <c r="DQ249" t="str">
        <f>""</f>
        <v/>
      </c>
      <c r="DR249" t="str">
        <f>""</f>
        <v/>
      </c>
      <c r="DS249" t="str">
        <f>""</f>
        <v/>
      </c>
      <c r="DT249" t="str">
        <f>""</f>
        <v/>
      </c>
      <c r="DU249" t="str">
        <f>""</f>
        <v/>
      </c>
      <c r="DV249" t="str">
        <f>""</f>
        <v/>
      </c>
      <c r="DW249" t="str">
        <f>""</f>
        <v/>
      </c>
      <c r="DX249" t="str">
        <f>""</f>
        <v/>
      </c>
      <c r="DY249" t="str">
        <f>""</f>
        <v/>
      </c>
      <c r="DZ249" t="str">
        <f>""</f>
        <v/>
      </c>
      <c r="EA249" t="str">
        <f>""</f>
        <v/>
      </c>
      <c r="EB249" t="str">
        <f>""</f>
        <v/>
      </c>
      <c r="EC249" t="str">
        <f>""</f>
        <v/>
      </c>
      <c r="ED249" t="str">
        <f>""</f>
        <v/>
      </c>
      <c r="EE249" t="str">
        <f>""</f>
        <v/>
      </c>
      <c r="EF249" t="str">
        <f>""</f>
        <v/>
      </c>
      <c r="EG249" t="str">
        <f>""</f>
        <v/>
      </c>
      <c r="EH249" t="str">
        <f>""</f>
        <v/>
      </c>
      <c r="EI249" t="str">
        <f>""</f>
        <v/>
      </c>
      <c r="EJ249" t="str">
        <f>""</f>
        <v/>
      </c>
      <c r="EK249" t="str">
        <f>""</f>
        <v/>
      </c>
      <c r="EL249" t="str">
        <f>""</f>
        <v/>
      </c>
      <c r="EM249" t="str">
        <f>""</f>
        <v/>
      </c>
      <c r="EN249" t="str">
        <f>""</f>
        <v/>
      </c>
      <c r="EO249" t="str">
        <f>""</f>
        <v/>
      </c>
      <c r="EP249" t="str">
        <f>""</f>
        <v/>
      </c>
      <c r="EQ249" t="str">
        <f>""</f>
        <v/>
      </c>
      <c r="ER249" t="str">
        <f>""</f>
        <v/>
      </c>
      <c r="ES249" t="str">
        <f>""</f>
        <v/>
      </c>
      <c r="ET249" t="str">
        <f>""</f>
        <v/>
      </c>
      <c r="EU249" t="str">
        <f>""</f>
        <v/>
      </c>
      <c r="EV249" t="str">
        <f>""</f>
        <v/>
      </c>
      <c r="EW249" t="str">
        <f>""</f>
        <v/>
      </c>
      <c r="EX249" t="str">
        <f>""</f>
        <v/>
      </c>
      <c r="EY249" t="str">
        <f>""</f>
        <v/>
      </c>
      <c r="EZ249" t="str">
        <f>""</f>
        <v/>
      </c>
      <c r="FA249" t="str">
        <f>""</f>
        <v/>
      </c>
      <c r="FB249" t="str">
        <f>""</f>
        <v/>
      </c>
      <c r="FC249" t="str">
        <f>""</f>
        <v/>
      </c>
      <c r="FD249" t="str">
        <f>""</f>
        <v/>
      </c>
      <c r="FE249" t="str">
        <f>""</f>
        <v/>
      </c>
      <c r="FF249" t="str">
        <f>""</f>
        <v/>
      </c>
      <c r="FG249" t="str">
        <f>""</f>
        <v/>
      </c>
      <c r="FH249" t="str">
        <f>""</f>
        <v/>
      </c>
      <c r="FI249" t="str">
        <f>""</f>
        <v/>
      </c>
      <c r="FJ249" t="str">
        <f>""</f>
        <v/>
      </c>
      <c r="FK249" t="str">
        <f>""</f>
        <v/>
      </c>
      <c r="FL249" t="str">
        <f>""</f>
        <v/>
      </c>
      <c r="FM249" t="str">
        <f>""</f>
        <v/>
      </c>
      <c r="FN249" t="str">
        <f>""</f>
        <v/>
      </c>
      <c r="FO249" t="str">
        <f>""</f>
        <v/>
      </c>
      <c r="FP249" t="str">
        <f>""</f>
        <v/>
      </c>
      <c r="FQ249" t="str">
        <f>""</f>
        <v/>
      </c>
    </row>
    <row r="250" spans="1:173">
      <c r="A250" t="str">
        <f>"起始日期"</f>
        <v>起始日期</v>
      </c>
      <c r="B250" t="str">
        <f>CONCATENATE("-",$B$249,$B$248)</f>
        <v>-84CM</v>
      </c>
      <c r="C250" t="str">
        <f>CONCATENATE("-",$B$249,$C$248)</f>
        <v>-84AM</v>
      </c>
      <c r="CL250" t="str">
        <f>""</f>
        <v/>
      </c>
      <c r="CM250" t="str">
        <f>""</f>
        <v/>
      </c>
      <c r="CN250" t="str">
        <f>""</f>
        <v/>
      </c>
      <c r="CO250" t="str">
        <f>""</f>
        <v/>
      </c>
      <c r="CP250" t="str">
        <f>""</f>
        <v/>
      </c>
      <c r="CQ250" t="str">
        <f>""</f>
        <v/>
      </c>
      <c r="CR250" t="str">
        <f>""</f>
        <v/>
      </c>
      <c r="CS250" t="str">
        <f>""</f>
        <v/>
      </c>
      <c r="CT250" t="str">
        <f>""</f>
        <v/>
      </c>
      <c r="CU250" t="str">
        <f>""</f>
        <v/>
      </c>
      <c r="CV250" t="str">
        <f>""</f>
        <v/>
      </c>
      <c r="CW250" t="str">
        <f>""</f>
        <v/>
      </c>
      <c r="CX250" t="str">
        <f>""</f>
        <v/>
      </c>
      <c r="CY250" t="str">
        <f>""</f>
        <v/>
      </c>
      <c r="CZ250" t="str">
        <f>""</f>
        <v/>
      </c>
      <c r="DA250" t="str">
        <f>""</f>
        <v/>
      </c>
      <c r="DB250" t="str">
        <f>""</f>
        <v/>
      </c>
      <c r="DC250" t="str">
        <f>""</f>
        <v/>
      </c>
      <c r="DD250" t="str">
        <f>""</f>
        <v/>
      </c>
      <c r="DE250" t="str">
        <f>""</f>
        <v/>
      </c>
      <c r="DF250" t="str">
        <f>""</f>
        <v/>
      </c>
      <c r="DG250" t="str">
        <f>""</f>
        <v/>
      </c>
      <c r="DH250" t="str">
        <f>""</f>
        <v/>
      </c>
      <c r="DI250" t="str">
        <f>""</f>
        <v/>
      </c>
      <c r="DJ250" t="str">
        <f>""</f>
        <v/>
      </c>
      <c r="DK250" t="str">
        <f>""</f>
        <v/>
      </c>
      <c r="DL250" t="str">
        <f>""</f>
        <v/>
      </c>
      <c r="DM250" t="str">
        <f>""</f>
        <v/>
      </c>
      <c r="DN250" t="str">
        <f>""</f>
        <v/>
      </c>
      <c r="DO250" t="str">
        <f>""</f>
        <v/>
      </c>
      <c r="DP250" t="str">
        <f>""</f>
        <v/>
      </c>
      <c r="DQ250" t="str">
        <f>""</f>
        <v/>
      </c>
      <c r="DR250" t="str">
        <f>""</f>
        <v/>
      </c>
      <c r="DS250" t="str">
        <f>""</f>
        <v/>
      </c>
      <c r="DT250" t="str">
        <f>""</f>
        <v/>
      </c>
      <c r="DU250" t="str">
        <f>""</f>
        <v/>
      </c>
      <c r="DV250" t="str">
        <f>""</f>
        <v/>
      </c>
      <c r="DW250" t="str">
        <f>""</f>
        <v/>
      </c>
      <c r="DX250" t="str">
        <f>""</f>
        <v/>
      </c>
      <c r="DY250" t="str">
        <f>""</f>
        <v/>
      </c>
      <c r="DZ250" t="str">
        <f>""</f>
        <v/>
      </c>
      <c r="EA250" t="str">
        <f>""</f>
        <v/>
      </c>
      <c r="EB250" t="str">
        <f>""</f>
        <v/>
      </c>
      <c r="EC250" t="str">
        <f>""</f>
        <v/>
      </c>
      <c r="ED250" t="str">
        <f>""</f>
        <v/>
      </c>
      <c r="EE250" t="str">
        <f>""</f>
        <v/>
      </c>
      <c r="EF250" t="str">
        <f>""</f>
        <v/>
      </c>
      <c r="EG250" t="str">
        <f>""</f>
        <v/>
      </c>
      <c r="EH250" t="str">
        <f>""</f>
        <v/>
      </c>
      <c r="EI250" t="str">
        <f>""</f>
        <v/>
      </c>
      <c r="EJ250" t="str">
        <f>""</f>
        <v/>
      </c>
      <c r="EK250" t="str">
        <f>""</f>
        <v/>
      </c>
      <c r="EL250" t="str">
        <f>""</f>
        <v/>
      </c>
      <c r="EM250" t="str">
        <f>""</f>
        <v/>
      </c>
      <c r="EN250" t="str">
        <f>""</f>
        <v/>
      </c>
      <c r="EO250" t="str">
        <f>""</f>
        <v/>
      </c>
      <c r="EP250" t="str">
        <f>""</f>
        <v/>
      </c>
      <c r="EQ250" t="str">
        <f>""</f>
        <v/>
      </c>
      <c r="ER250" t="str">
        <f>""</f>
        <v/>
      </c>
      <c r="ES250" t="str">
        <f>""</f>
        <v/>
      </c>
      <c r="ET250" t="str">
        <f>""</f>
        <v/>
      </c>
      <c r="EU250" t="str">
        <f>""</f>
        <v/>
      </c>
      <c r="EV250" t="str">
        <f>""</f>
        <v/>
      </c>
      <c r="EW250" t="str">
        <f>""</f>
        <v/>
      </c>
      <c r="EX250" t="str">
        <f>""</f>
        <v/>
      </c>
      <c r="EY250" t="str">
        <f>""</f>
        <v/>
      </c>
      <c r="EZ250" t="str">
        <f>""</f>
        <v/>
      </c>
      <c r="FA250" t="str">
        <f>""</f>
        <v/>
      </c>
      <c r="FB250" t="str">
        <f>""</f>
        <v/>
      </c>
      <c r="FC250" t="str">
        <f>""</f>
        <v/>
      </c>
      <c r="FD250" t="str">
        <f>""</f>
        <v/>
      </c>
      <c r="FE250" t="str">
        <f>""</f>
        <v/>
      </c>
      <c r="FF250" t="str">
        <f>""</f>
        <v/>
      </c>
      <c r="FG250" t="str">
        <f>""</f>
        <v/>
      </c>
      <c r="FH250" t="str">
        <f>""</f>
        <v/>
      </c>
      <c r="FI250" t="str">
        <f>""</f>
        <v/>
      </c>
      <c r="FJ250" t="str">
        <f>""</f>
        <v/>
      </c>
      <c r="FK250" t="str">
        <f>""</f>
        <v/>
      </c>
      <c r="FL250" t="str">
        <f>""</f>
        <v/>
      </c>
      <c r="FM250" t="str">
        <f>""</f>
        <v/>
      </c>
      <c r="FN250" t="str">
        <f>""</f>
        <v/>
      </c>
      <c r="FO250" t="str">
        <f>""</f>
        <v/>
      </c>
      <c r="FP250" t="str">
        <f>""</f>
        <v/>
      </c>
      <c r="FQ250" t="str">
        <f>""</f>
        <v/>
      </c>
    </row>
    <row r="251" spans="1:173">
      <c r="A251" t="str">
        <f>"End Date"</f>
        <v>End Date</v>
      </c>
      <c r="B251">
        <f ca="1">IF(TODAY()&lt;DATE(2018, 3,31),DATE(2018, 3,31),TODAY())</f>
        <v>43190</v>
      </c>
      <c r="CL251" t="str">
        <f>""</f>
        <v/>
      </c>
      <c r="CM251" t="str">
        <f>""</f>
        <v/>
      </c>
      <c r="CN251" t="str">
        <f>""</f>
        <v/>
      </c>
      <c r="CO251" t="str">
        <f>""</f>
        <v/>
      </c>
      <c r="CP251" t="str">
        <f>""</f>
        <v/>
      </c>
      <c r="CQ251" t="str">
        <f>""</f>
        <v/>
      </c>
      <c r="CR251" t="str">
        <f>""</f>
        <v/>
      </c>
      <c r="CS251" t="str">
        <f>""</f>
        <v/>
      </c>
      <c r="CT251" t="str">
        <f>""</f>
        <v/>
      </c>
      <c r="CU251" t="str">
        <f>""</f>
        <v/>
      </c>
      <c r="CV251" t="str">
        <f>""</f>
        <v/>
      </c>
      <c r="CW251" t="str">
        <f>""</f>
        <v/>
      </c>
      <c r="CX251" t="str">
        <f>""</f>
        <v/>
      </c>
      <c r="CY251" t="str">
        <f>""</f>
        <v/>
      </c>
      <c r="CZ251" t="str">
        <f>""</f>
        <v/>
      </c>
      <c r="DA251" t="str">
        <f>""</f>
        <v/>
      </c>
      <c r="DB251" t="str">
        <f>""</f>
        <v/>
      </c>
      <c r="DC251" t="str">
        <f>""</f>
        <v/>
      </c>
      <c r="DD251" t="str">
        <f>""</f>
        <v/>
      </c>
      <c r="DE251" t="str">
        <f>""</f>
        <v/>
      </c>
      <c r="DF251" t="str">
        <f>""</f>
        <v/>
      </c>
      <c r="DG251" t="str">
        <f>""</f>
        <v/>
      </c>
      <c r="DH251" t="str">
        <f>""</f>
        <v/>
      </c>
      <c r="DI251" t="str">
        <f>""</f>
        <v/>
      </c>
      <c r="DJ251" t="str">
        <f>""</f>
        <v/>
      </c>
      <c r="DK251" t="str">
        <f>""</f>
        <v/>
      </c>
      <c r="DL251" t="str">
        <f>""</f>
        <v/>
      </c>
      <c r="DM251" t="str">
        <f>""</f>
        <v/>
      </c>
      <c r="DN251" t="str">
        <f>""</f>
        <v/>
      </c>
      <c r="DO251" t="str">
        <f>""</f>
        <v/>
      </c>
      <c r="DP251" t="str">
        <f>""</f>
        <v/>
      </c>
      <c r="DQ251" t="str">
        <f>""</f>
        <v/>
      </c>
      <c r="DR251" t="str">
        <f>""</f>
        <v/>
      </c>
      <c r="DS251" t="str">
        <f>""</f>
        <v/>
      </c>
      <c r="DT251" t="str">
        <f>""</f>
        <v/>
      </c>
      <c r="DU251" t="str">
        <f>""</f>
        <v/>
      </c>
      <c r="DV251" t="str">
        <f>""</f>
        <v/>
      </c>
      <c r="DW251" t="str">
        <f>""</f>
        <v/>
      </c>
      <c r="DX251" t="str">
        <f>""</f>
        <v/>
      </c>
      <c r="DY251" t="str">
        <f>""</f>
        <v/>
      </c>
      <c r="DZ251" t="str">
        <f>""</f>
        <v/>
      </c>
      <c r="EA251" t="str">
        <f>""</f>
        <v/>
      </c>
      <c r="EB251" t="str">
        <f>""</f>
        <v/>
      </c>
      <c r="EC251" t="str">
        <f>""</f>
        <v/>
      </c>
      <c r="ED251" t="str">
        <f>""</f>
        <v/>
      </c>
      <c r="EE251" t="str">
        <f>""</f>
        <v/>
      </c>
      <c r="EF251" t="str">
        <f>""</f>
        <v/>
      </c>
      <c r="EG251" t="str">
        <f>""</f>
        <v/>
      </c>
      <c r="EH251" t="str">
        <f>""</f>
        <v/>
      </c>
      <c r="EI251" t="str">
        <f>""</f>
        <v/>
      </c>
      <c r="EJ251" t="str">
        <f>""</f>
        <v/>
      </c>
      <c r="EK251" t="str">
        <f>""</f>
        <v/>
      </c>
      <c r="EL251" t="str">
        <f>""</f>
        <v/>
      </c>
      <c r="EM251" t="str">
        <f>""</f>
        <v/>
      </c>
      <c r="EN251" t="str">
        <f>""</f>
        <v/>
      </c>
      <c r="EO251" t="str">
        <f>""</f>
        <v/>
      </c>
      <c r="EP251" t="str">
        <f>""</f>
        <v/>
      </c>
      <c r="EQ251" t="str">
        <f>""</f>
        <v/>
      </c>
      <c r="ER251" t="str">
        <f>""</f>
        <v/>
      </c>
      <c r="ES251" t="str">
        <f>""</f>
        <v/>
      </c>
      <c r="ET251" t="str">
        <f>""</f>
        <v/>
      </c>
      <c r="EU251" t="str">
        <f>""</f>
        <v/>
      </c>
      <c r="EV251" t="str">
        <f>""</f>
        <v/>
      </c>
      <c r="EW251" t="str">
        <f>""</f>
        <v/>
      </c>
      <c r="EX251" t="str">
        <f>""</f>
        <v/>
      </c>
      <c r="EY251" t="str">
        <f>""</f>
        <v/>
      </c>
      <c r="EZ251" t="str">
        <f>""</f>
        <v/>
      </c>
      <c r="FA251" t="str">
        <f>""</f>
        <v/>
      </c>
      <c r="FB251" t="str">
        <f>""</f>
        <v/>
      </c>
      <c r="FC251" t="str">
        <f>""</f>
        <v/>
      </c>
      <c r="FD251" t="str">
        <f>""</f>
        <v/>
      </c>
      <c r="FE251" t="str">
        <f>""</f>
        <v/>
      </c>
      <c r="FF251" t="str">
        <f>""</f>
        <v/>
      </c>
      <c r="FG251" t="str">
        <f>""</f>
        <v/>
      </c>
      <c r="FH251" t="str">
        <f>""</f>
        <v/>
      </c>
      <c r="FI251" t="str">
        <f>""</f>
        <v/>
      </c>
      <c r="FJ251" t="str">
        <f>""</f>
        <v/>
      </c>
      <c r="FK251" t="str">
        <f>""</f>
        <v/>
      </c>
      <c r="FL251" t="str">
        <f>""</f>
        <v/>
      </c>
      <c r="FM251" t="str">
        <f>""</f>
        <v/>
      </c>
      <c r="FN251" t="str">
        <f>""</f>
        <v/>
      </c>
      <c r="FO251" t="str">
        <f>""</f>
        <v/>
      </c>
      <c r="FP251" t="str">
        <f>""</f>
        <v/>
      </c>
      <c r="FQ251" t="str">
        <f>""</f>
        <v/>
      </c>
    </row>
    <row r="252" spans="1:173">
      <c r="A252" t="str">
        <f>"HeaderStatus"</f>
        <v>HeaderStatus</v>
      </c>
      <c r="B252">
        <f ca="1">$B$456*$B$464</f>
        <v>4</v>
      </c>
      <c r="CL252" t="str">
        <f>""</f>
        <v/>
      </c>
      <c r="CM252" t="str">
        <f>""</f>
        <v/>
      </c>
      <c r="CN252" t="str">
        <f>""</f>
        <v/>
      </c>
      <c r="CO252" t="str">
        <f>""</f>
        <v/>
      </c>
      <c r="CP252" t="str">
        <f>""</f>
        <v/>
      </c>
      <c r="CQ252" t="str">
        <f>""</f>
        <v/>
      </c>
      <c r="CR252" t="str">
        <f>""</f>
        <v/>
      </c>
      <c r="CS252" t="str">
        <f>""</f>
        <v/>
      </c>
      <c r="CT252" t="str">
        <f>""</f>
        <v/>
      </c>
      <c r="CU252" t="str">
        <f>""</f>
        <v/>
      </c>
      <c r="CV252" t="str">
        <f>""</f>
        <v/>
      </c>
      <c r="CW252" t="str">
        <f>""</f>
        <v/>
      </c>
      <c r="CX252" t="str">
        <f>""</f>
        <v/>
      </c>
      <c r="CY252" t="str">
        <f>""</f>
        <v/>
      </c>
      <c r="CZ252" t="str">
        <f>""</f>
        <v/>
      </c>
      <c r="DA252" t="str">
        <f>""</f>
        <v/>
      </c>
      <c r="DB252" t="str">
        <f>""</f>
        <v/>
      </c>
      <c r="DC252" t="str">
        <f>""</f>
        <v/>
      </c>
      <c r="DD252" t="str">
        <f>""</f>
        <v/>
      </c>
      <c r="DE252" t="str">
        <f>""</f>
        <v/>
      </c>
      <c r="DF252" t="str">
        <f>""</f>
        <v/>
      </c>
      <c r="DG252" t="str">
        <f>""</f>
        <v/>
      </c>
      <c r="DH252" t="str">
        <f>""</f>
        <v/>
      </c>
      <c r="DI252" t="str">
        <f>""</f>
        <v/>
      </c>
      <c r="DJ252" t="str">
        <f>""</f>
        <v/>
      </c>
      <c r="DK252" t="str">
        <f>""</f>
        <v/>
      </c>
      <c r="DL252" t="str">
        <f>""</f>
        <v/>
      </c>
      <c r="DM252" t="str">
        <f>""</f>
        <v/>
      </c>
      <c r="DN252" t="str">
        <f>""</f>
        <v/>
      </c>
      <c r="DO252" t="str">
        <f>""</f>
        <v/>
      </c>
      <c r="DP252" t="str">
        <f>""</f>
        <v/>
      </c>
      <c r="DQ252" t="str">
        <f>""</f>
        <v/>
      </c>
      <c r="DR252" t="str">
        <f>""</f>
        <v/>
      </c>
      <c r="DS252" t="str">
        <f>""</f>
        <v/>
      </c>
      <c r="DT252" t="str">
        <f>""</f>
        <v/>
      </c>
      <c r="DU252" t="str">
        <f>""</f>
        <v/>
      </c>
      <c r="DV252" t="str">
        <f>""</f>
        <v/>
      </c>
      <c r="DW252" t="str">
        <f>""</f>
        <v/>
      </c>
      <c r="DX252" t="str">
        <f>""</f>
        <v/>
      </c>
      <c r="DY252" t="str">
        <f>""</f>
        <v/>
      </c>
      <c r="DZ252" t="str">
        <f>""</f>
        <v/>
      </c>
      <c r="EA252" t="str">
        <f>""</f>
        <v/>
      </c>
      <c r="EB252" t="str">
        <f>""</f>
        <v/>
      </c>
      <c r="EC252" t="str">
        <f>""</f>
        <v/>
      </c>
      <c r="ED252" t="str">
        <f>""</f>
        <v/>
      </c>
      <c r="EE252" t="str">
        <f>""</f>
        <v/>
      </c>
      <c r="EF252" t="str">
        <f>""</f>
        <v/>
      </c>
      <c r="EG252" t="str">
        <f>""</f>
        <v/>
      </c>
      <c r="EH252" t="str">
        <f>""</f>
        <v/>
      </c>
      <c r="EI252" t="str">
        <f>""</f>
        <v/>
      </c>
      <c r="EJ252" t="str">
        <f>""</f>
        <v/>
      </c>
      <c r="EK252" t="str">
        <f>""</f>
        <v/>
      </c>
      <c r="EL252" t="str">
        <f>""</f>
        <v/>
      </c>
      <c r="EM252" t="str">
        <f>""</f>
        <v/>
      </c>
      <c r="EN252" t="str">
        <f>""</f>
        <v/>
      </c>
      <c r="EO252" t="str">
        <f>""</f>
        <v/>
      </c>
      <c r="EP252" t="str">
        <f>""</f>
        <v/>
      </c>
      <c r="EQ252" t="str">
        <f>""</f>
        <v/>
      </c>
      <c r="ER252" t="str">
        <f>""</f>
        <v/>
      </c>
      <c r="ES252" t="str">
        <f>""</f>
        <v/>
      </c>
      <c r="ET252" t="str">
        <f>""</f>
        <v/>
      </c>
      <c r="EU252" t="str">
        <f>""</f>
        <v/>
      </c>
      <c r="EV252" t="str">
        <f>""</f>
        <v/>
      </c>
      <c r="EW252" t="str">
        <f>""</f>
        <v/>
      </c>
      <c r="EX252" t="str">
        <f>""</f>
        <v/>
      </c>
      <c r="EY252" t="str">
        <f>""</f>
        <v/>
      </c>
      <c r="EZ252" t="str">
        <f>""</f>
        <v/>
      </c>
      <c r="FA252" t="str">
        <f>""</f>
        <v/>
      </c>
      <c r="FB252" t="str">
        <f>""</f>
        <v/>
      </c>
      <c r="FC252" t="str">
        <f>""</f>
        <v/>
      </c>
      <c r="FD252" t="str">
        <f>""</f>
        <v/>
      </c>
      <c r="FE252" t="str">
        <f>""</f>
        <v/>
      </c>
      <c r="FF252" t="str">
        <f>""</f>
        <v/>
      </c>
      <c r="FG252" t="str">
        <f>""</f>
        <v/>
      </c>
      <c r="FH252" t="str">
        <f>""</f>
        <v/>
      </c>
      <c r="FI252" t="str">
        <f>""</f>
        <v/>
      </c>
      <c r="FJ252" t="str">
        <f>""</f>
        <v/>
      </c>
      <c r="FK252" t="str">
        <f>""</f>
        <v/>
      </c>
      <c r="FL252" t="str">
        <f>""</f>
        <v/>
      </c>
      <c r="FM252" t="str">
        <f>""</f>
        <v/>
      </c>
      <c r="FN252" t="str">
        <f>""</f>
        <v/>
      </c>
      <c r="FO252" t="str">
        <f>""</f>
        <v/>
      </c>
      <c r="FP252" t="str">
        <f>""</f>
        <v/>
      </c>
      <c r="FQ252" t="str">
        <f>""</f>
        <v/>
      </c>
    </row>
    <row r="253" spans="1:173">
      <c r="CL253" t="str">
        <f>""</f>
        <v/>
      </c>
      <c r="CM253" t="str">
        <f>""</f>
        <v/>
      </c>
      <c r="CN253" t="str">
        <f>""</f>
        <v/>
      </c>
      <c r="CO253" t="str">
        <f>""</f>
        <v/>
      </c>
      <c r="CP253" t="str">
        <f>""</f>
        <v/>
      </c>
      <c r="CQ253" t="str">
        <f>""</f>
        <v/>
      </c>
      <c r="CR253" t="str">
        <f>""</f>
        <v/>
      </c>
      <c r="CS253" t="str">
        <f>""</f>
        <v/>
      </c>
      <c r="CT253" t="str">
        <f>""</f>
        <v/>
      </c>
      <c r="CU253" t="str">
        <f>""</f>
        <v/>
      </c>
      <c r="CV253" t="str">
        <f>""</f>
        <v/>
      </c>
      <c r="CW253" t="str">
        <f>""</f>
        <v/>
      </c>
      <c r="CX253" t="str">
        <f>""</f>
        <v/>
      </c>
      <c r="CY253" t="str">
        <f>""</f>
        <v/>
      </c>
      <c r="CZ253" t="str">
        <f>""</f>
        <v/>
      </c>
      <c r="DA253" t="str">
        <f>""</f>
        <v/>
      </c>
      <c r="DB253" t="str">
        <f>""</f>
        <v/>
      </c>
      <c r="DC253" t="str">
        <f>""</f>
        <v/>
      </c>
      <c r="DD253" t="str">
        <f>""</f>
        <v/>
      </c>
      <c r="DE253" t="str">
        <f>""</f>
        <v/>
      </c>
      <c r="DF253" t="str">
        <f>""</f>
        <v/>
      </c>
      <c r="DG253" t="str">
        <f>""</f>
        <v/>
      </c>
      <c r="DH253" t="str">
        <f>""</f>
        <v/>
      </c>
      <c r="DI253" t="str">
        <f>""</f>
        <v/>
      </c>
      <c r="DJ253" t="str">
        <f>""</f>
        <v/>
      </c>
      <c r="DK253" t="str">
        <f>""</f>
        <v/>
      </c>
      <c r="DL253" t="str">
        <f>""</f>
        <v/>
      </c>
      <c r="DM253" t="str">
        <f>""</f>
        <v/>
      </c>
      <c r="DN253" t="str">
        <f>""</f>
        <v/>
      </c>
      <c r="DO253" t="str">
        <f>""</f>
        <v/>
      </c>
      <c r="DP253" t="str">
        <f>""</f>
        <v/>
      </c>
      <c r="DQ253" t="str">
        <f>""</f>
        <v/>
      </c>
      <c r="DR253" t="str">
        <f>""</f>
        <v/>
      </c>
      <c r="DS253" t="str">
        <f>""</f>
        <v/>
      </c>
      <c r="DT253" t="str">
        <f>""</f>
        <v/>
      </c>
      <c r="DU253" t="str">
        <f>""</f>
        <v/>
      </c>
      <c r="DV253" t="str">
        <f>""</f>
        <v/>
      </c>
      <c r="DW253" t="str">
        <f>""</f>
        <v/>
      </c>
      <c r="DX253" t="str">
        <f>""</f>
        <v/>
      </c>
      <c r="DY253" t="str">
        <f>""</f>
        <v/>
      </c>
      <c r="DZ253" t="str">
        <f>""</f>
        <v/>
      </c>
      <c r="EA253" t="str">
        <f>""</f>
        <v/>
      </c>
      <c r="EB253" t="str">
        <f>""</f>
        <v/>
      </c>
      <c r="EC253" t="str">
        <f>""</f>
        <v/>
      </c>
      <c r="ED253" t="str">
        <f>""</f>
        <v/>
      </c>
      <c r="EE253" t="str">
        <f>""</f>
        <v/>
      </c>
      <c r="EF253" t="str">
        <f>""</f>
        <v/>
      </c>
      <c r="EG253" t="str">
        <f>""</f>
        <v/>
      </c>
      <c r="EH253" t="str">
        <f>""</f>
        <v/>
      </c>
      <c r="EI253" t="str">
        <f>""</f>
        <v/>
      </c>
      <c r="EJ253" t="str">
        <f>""</f>
        <v/>
      </c>
      <c r="EK253" t="str">
        <f>""</f>
        <v/>
      </c>
      <c r="EL253" t="str">
        <f>""</f>
        <v/>
      </c>
      <c r="EM253" t="str">
        <f>""</f>
        <v/>
      </c>
      <c r="EN253" t="str">
        <f>""</f>
        <v/>
      </c>
      <c r="EO253" t="str">
        <f>""</f>
        <v/>
      </c>
      <c r="EP253" t="str">
        <f>""</f>
        <v/>
      </c>
      <c r="EQ253" t="str">
        <f>""</f>
        <v/>
      </c>
      <c r="ER253" t="str">
        <f>""</f>
        <v/>
      </c>
      <c r="ES253" t="str">
        <f>""</f>
        <v/>
      </c>
      <c r="ET253" t="str">
        <f>""</f>
        <v/>
      </c>
      <c r="EU253" t="str">
        <f>""</f>
        <v/>
      </c>
      <c r="EV253" t="str">
        <f>""</f>
        <v/>
      </c>
      <c r="EW253" t="str">
        <f>""</f>
        <v/>
      </c>
      <c r="EX253" t="str">
        <f>""</f>
        <v/>
      </c>
      <c r="EY253" t="str">
        <f>""</f>
        <v/>
      </c>
      <c r="EZ253" t="str">
        <f>""</f>
        <v/>
      </c>
      <c r="FA253" t="str">
        <f>""</f>
        <v/>
      </c>
      <c r="FB253" t="str">
        <f>""</f>
        <v/>
      </c>
      <c r="FC253" t="str">
        <f>""</f>
        <v/>
      </c>
      <c r="FD253" t="str">
        <f>""</f>
        <v/>
      </c>
      <c r="FE253" t="str">
        <f>""</f>
        <v/>
      </c>
      <c r="FF253" t="str">
        <f>""</f>
        <v/>
      </c>
      <c r="FG253" t="str">
        <f>""</f>
        <v/>
      </c>
      <c r="FH253" t="str">
        <f>""</f>
        <v/>
      </c>
      <c r="FI253" t="str">
        <f>""</f>
        <v/>
      </c>
      <c r="FJ253" t="str">
        <f>""</f>
        <v/>
      </c>
      <c r="FK253" t="str">
        <f>""</f>
        <v/>
      </c>
      <c r="FL253" t="str">
        <f>""</f>
        <v/>
      </c>
      <c r="FM253" t="str">
        <f>""</f>
        <v/>
      </c>
      <c r="FN253" t="str">
        <f>""</f>
        <v/>
      </c>
      <c r="FO253" t="str">
        <f>""</f>
        <v/>
      </c>
      <c r="FP253" t="str">
        <f>""</f>
        <v/>
      </c>
      <c r="FQ253" t="str">
        <f>""</f>
        <v/>
      </c>
    </row>
    <row r="254" spans="1:173">
      <c r="A254" t="str">
        <f>$A$4</f>
        <v xml:space="preserve">    公寓投资与管理</v>
      </c>
      <c r="B254" t="str">
        <f>$B$4</f>
        <v>AIV US Equity</v>
      </c>
      <c r="C254" t="str">
        <f>$C$4</f>
        <v>RR857</v>
      </c>
      <c r="D254" t="str">
        <f>$D$4</f>
        <v>PX_TO_FFO_RATIO</v>
      </c>
      <c r="E254" t="str">
        <f>$E$4</f>
        <v>动态</v>
      </c>
      <c r="F254" t="str">
        <f ca="1">BDH($B$4,$C$4,$B$250,$B$251,CONCATENATE("Per=",$B$248),"Dts=H","Dir=H",CONCATENATE("Points=",$B$249),"Sort=R","Days=A","Fill=B",CONCATENATE("FX=", $B$247) )</f>
        <v>#N/A Authorization</v>
      </c>
      <c r="CL254" t="str">
        <f>""</f>
        <v/>
      </c>
      <c r="CM254" t="str">
        <f>""</f>
        <v/>
      </c>
      <c r="CN254" t="str">
        <f>""</f>
        <v/>
      </c>
      <c r="CO254" t="str">
        <f>""</f>
        <v/>
      </c>
      <c r="CP254" t="str">
        <f>""</f>
        <v/>
      </c>
      <c r="CQ254" t="str">
        <f>""</f>
        <v/>
      </c>
      <c r="CR254" t="str">
        <f>""</f>
        <v/>
      </c>
      <c r="CS254" t="str">
        <f>""</f>
        <v/>
      </c>
      <c r="CT254" t="str">
        <f>""</f>
        <v/>
      </c>
      <c r="CU254" t="str">
        <f>""</f>
        <v/>
      </c>
      <c r="CV254" t="str">
        <f>""</f>
        <v/>
      </c>
      <c r="CW254" t="str">
        <f>""</f>
        <v/>
      </c>
      <c r="CX254" t="str">
        <f>""</f>
        <v/>
      </c>
      <c r="CY254" t="str">
        <f>""</f>
        <v/>
      </c>
      <c r="CZ254" t="str">
        <f>""</f>
        <v/>
      </c>
      <c r="DA254" t="str">
        <f>""</f>
        <v/>
      </c>
      <c r="DB254" t="str">
        <f>""</f>
        <v/>
      </c>
      <c r="DC254" t="str">
        <f>""</f>
        <v/>
      </c>
      <c r="DD254" t="str">
        <f>""</f>
        <v/>
      </c>
      <c r="DE254" t="str">
        <f>""</f>
        <v/>
      </c>
      <c r="DF254" t="str">
        <f>""</f>
        <v/>
      </c>
      <c r="DG254" t="str">
        <f>""</f>
        <v/>
      </c>
      <c r="DH254" t="str">
        <f>""</f>
        <v/>
      </c>
      <c r="DI254" t="str">
        <f>""</f>
        <v/>
      </c>
      <c r="DJ254" t="str">
        <f>""</f>
        <v/>
      </c>
      <c r="DK254" t="str">
        <f>""</f>
        <v/>
      </c>
      <c r="DL254" t="str">
        <f>""</f>
        <v/>
      </c>
      <c r="DM254" t="str">
        <f>""</f>
        <v/>
      </c>
      <c r="DN254" t="str">
        <f>""</f>
        <v/>
      </c>
      <c r="DO254" t="str">
        <f>""</f>
        <v/>
      </c>
      <c r="DP254" t="str">
        <f>""</f>
        <v/>
      </c>
      <c r="DQ254" t="str">
        <f>""</f>
        <v/>
      </c>
      <c r="DR254" t="str">
        <f>""</f>
        <v/>
      </c>
      <c r="DS254" t="str">
        <f>""</f>
        <v/>
      </c>
      <c r="DT254" t="str">
        <f>""</f>
        <v/>
      </c>
      <c r="DU254" t="str">
        <f>""</f>
        <v/>
      </c>
      <c r="DV254" t="str">
        <f>""</f>
        <v/>
      </c>
      <c r="DW254" t="str">
        <f>""</f>
        <v/>
      </c>
      <c r="DX254" t="str">
        <f>""</f>
        <v/>
      </c>
      <c r="DY254" t="str">
        <f>""</f>
        <v/>
      </c>
      <c r="DZ254" t="str">
        <f>""</f>
        <v/>
      </c>
      <c r="EA254" t="str">
        <f>""</f>
        <v/>
      </c>
      <c r="EB254" t="str">
        <f>""</f>
        <v/>
      </c>
      <c r="EC254" t="str">
        <f>""</f>
        <v/>
      </c>
      <c r="ED254" t="str">
        <f>""</f>
        <v/>
      </c>
      <c r="EE254" t="str">
        <f>""</f>
        <v/>
      </c>
      <c r="EF254" t="str">
        <f>""</f>
        <v/>
      </c>
      <c r="EG254" t="str">
        <f>""</f>
        <v/>
      </c>
      <c r="EH254" t="str">
        <f>""</f>
        <v/>
      </c>
      <c r="EI254" t="str">
        <f>""</f>
        <v/>
      </c>
      <c r="EJ254" t="str">
        <f>""</f>
        <v/>
      </c>
      <c r="EK254" t="str">
        <f>""</f>
        <v/>
      </c>
      <c r="EL254" t="str">
        <f>""</f>
        <v/>
      </c>
      <c r="EM254" t="str">
        <f>""</f>
        <v/>
      </c>
      <c r="EN254" t="str">
        <f>""</f>
        <v/>
      </c>
      <c r="EO254" t="str">
        <f>""</f>
        <v/>
      </c>
      <c r="EP254" t="str">
        <f>""</f>
        <v/>
      </c>
      <c r="EQ254" t="str">
        <f>""</f>
        <v/>
      </c>
      <c r="ER254" t="str">
        <f>""</f>
        <v/>
      </c>
      <c r="ES254" t="str">
        <f>""</f>
        <v/>
      </c>
      <c r="ET254" t="str">
        <f>""</f>
        <v/>
      </c>
      <c r="EU254" t="str">
        <f>""</f>
        <v/>
      </c>
      <c r="EV254" t="str">
        <f>""</f>
        <v/>
      </c>
      <c r="EW254" t="str">
        <f>""</f>
        <v/>
      </c>
      <c r="EX254" t="str">
        <f>""</f>
        <v/>
      </c>
      <c r="EY254" t="str">
        <f>""</f>
        <v/>
      </c>
      <c r="EZ254" t="str">
        <f>""</f>
        <v/>
      </c>
      <c r="FA254" t="str">
        <f>""</f>
        <v/>
      </c>
      <c r="FB254" t="str">
        <f>""</f>
        <v/>
      </c>
      <c r="FC254" t="str">
        <f>""</f>
        <v/>
      </c>
      <c r="FD254" t="str">
        <f>""</f>
        <v/>
      </c>
      <c r="FE254" t="str">
        <f>""</f>
        <v/>
      </c>
      <c r="FF254" t="str">
        <f>""</f>
        <v/>
      </c>
      <c r="FG254" t="str">
        <f>""</f>
        <v/>
      </c>
      <c r="FH254" t="str">
        <f>""</f>
        <v/>
      </c>
      <c r="FI254" t="str">
        <f>""</f>
        <v/>
      </c>
      <c r="FJ254" t="str">
        <f>""</f>
        <v/>
      </c>
      <c r="FK254" t="str">
        <f>""</f>
        <v/>
      </c>
      <c r="FL254" t="str">
        <f>""</f>
        <v/>
      </c>
      <c r="FM254" t="str">
        <f>""</f>
        <v/>
      </c>
      <c r="FN254" t="str">
        <f>""</f>
        <v/>
      </c>
      <c r="FO254" t="str">
        <f>""</f>
        <v/>
      </c>
      <c r="FP254" t="str">
        <f>""</f>
        <v/>
      </c>
      <c r="FQ254" t="str">
        <f>""</f>
        <v/>
      </c>
    </row>
    <row r="255" spans="1:173">
      <c r="A255" t="str">
        <f>$A$5</f>
        <v xml:space="preserve">    AvalonBay社区股份有限公司</v>
      </c>
      <c r="B255" t="str">
        <f>$B$5</f>
        <v>AVB US Equity</v>
      </c>
      <c r="C255" t="str">
        <f>$C$5</f>
        <v>RR857</v>
      </c>
      <c r="D255" t="str">
        <f>$D$5</f>
        <v>PX_TO_FFO_RATIO</v>
      </c>
      <c r="E255" t="str">
        <f>$E$5</f>
        <v>动态</v>
      </c>
      <c r="F255" t="str">
        <f ca="1">BDH($B$5,$C$5,$B$250,$B$251,CONCATENATE("Per=",$B$248),"Dts=H","Dir=H",CONCATENATE("Points=",$B$249),"Sort=R","Days=A","Fill=B",CONCATENATE("FX=", $B$247) )</f>
        <v>#N/A Authorization</v>
      </c>
      <c r="CL255" t="str">
        <f>""</f>
        <v/>
      </c>
      <c r="CM255" t="str">
        <f>""</f>
        <v/>
      </c>
      <c r="CN255" t="str">
        <f>""</f>
        <v/>
      </c>
      <c r="CO255" t="str">
        <f>""</f>
        <v/>
      </c>
      <c r="CP255" t="str">
        <f>""</f>
        <v/>
      </c>
      <c r="CQ255" t="str">
        <f>""</f>
        <v/>
      </c>
      <c r="CR255" t="str">
        <f>""</f>
        <v/>
      </c>
      <c r="CS255" t="str">
        <f>""</f>
        <v/>
      </c>
      <c r="CT255" t="str">
        <f>""</f>
        <v/>
      </c>
      <c r="CU255" t="str">
        <f>""</f>
        <v/>
      </c>
      <c r="CV255" t="str">
        <f>""</f>
        <v/>
      </c>
      <c r="CW255" t="str">
        <f>""</f>
        <v/>
      </c>
      <c r="CX255" t="str">
        <f>""</f>
        <v/>
      </c>
      <c r="CY255" t="str">
        <f>""</f>
        <v/>
      </c>
      <c r="CZ255" t="str">
        <f>""</f>
        <v/>
      </c>
      <c r="DA255" t="str">
        <f>""</f>
        <v/>
      </c>
      <c r="DB255" t="str">
        <f>""</f>
        <v/>
      </c>
      <c r="DC255" t="str">
        <f>""</f>
        <v/>
      </c>
      <c r="DD255" t="str">
        <f>""</f>
        <v/>
      </c>
      <c r="DE255" t="str">
        <f>""</f>
        <v/>
      </c>
      <c r="DF255" t="str">
        <f>""</f>
        <v/>
      </c>
      <c r="DG255" t="str">
        <f>""</f>
        <v/>
      </c>
      <c r="DH255" t="str">
        <f>""</f>
        <v/>
      </c>
      <c r="DI255" t="str">
        <f>""</f>
        <v/>
      </c>
      <c r="DJ255" t="str">
        <f>""</f>
        <v/>
      </c>
      <c r="DK255" t="str">
        <f>""</f>
        <v/>
      </c>
      <c r="DL255" t="str">
        <f>""</f>
        <v/>
      </c>
      <c r="DM255" t="str">
        <f>""</f>
        <v/>
      </c>
      <c r="DN255" t="str">
        <f>""</f>
        <v/>
      </c>
      <c r="DO255" t="str">
        <f>""</f>
        <v/>
      </c>
      <c r="DP255" t="str">
        <f>""</f>
        <v/>
      </c>
      <c r="DQ255" t="str">
        <f>""</f>
        <v/>
      </c>
      <c r="DR255" t="str">
        <f>""</f>
        <v/>
      </c>
      <c r="DS255" t="str">
        <f>""</f>
        <v/>
      </c>
      <c r="DT255" t="str">
        <f>""</f>
        <v/>
      </c>
      <c r="DU255" t="str">
        <f>""</f>
        <v/>
      </c>
      <c r="DV255" t="str">
        <f>""</f>
        <v/>
      </c>
      <c r="DW255" t="str">
        <f>""</f>
        <v/>
      </c>
      <c r="DX255" t="str">
        <f>""</f>
        <v/>
      </c>
      <c r="DY255" t="str">
        <f>""</f>
        <v/>
      </c>
      <c r="DZ255" t="str">
        <f>""</f>
        <v/>
      </c>
      <c r="EA255" t="str">
        <f>""</f>
        <v/>
      </c>
      <c r="EB255" t="str">
        <f>""</f>
        <v/>
      </c>
      <c r="EC255" t="str">
        <f>""</f>
        <v/>
      </c>
      <c r="ED255" t="str">
        <f>""</f>
        <v/>
      </c>
      <c r="EE255" t="str">
        <f>""</f>
        <v/>
      </c>
      <c r="EF255" t="str">
        <f>""</f>
        <v/>
      </c>
      <c r="EG255" t="str">
        <f>""</f>
        <v/>
      </c>
      <c r="EH255" t="str">
        <f>""</f>
        <v/>
      </c>
      <c r="EI255" t="str">
        <f>""</f>
        <v/>
      </c>
      <c r="EJ255" t="str">
        <f>""</f>
        <v/>
      </c>
      <c r="EK255" t="str">
        <f>""</f>
        <v/>
      </c>
      <c r="EL255" t="str">
        <f>""</f>
        <v/>
      </c>
      <c r="EM255" t="str">
        <f>""</f>
        <v/>
      </c>
      <c r="EN255" t="str">
        <f>""</f>
        <v/>
      </c>
      <c r="EO255" t="str">
        <f>""</f>
        <v/>
      </c>
      <c r="EP255" t="str">
        <f>""</f>
        <v/>
      </c>
      <c r="EQ255" t="str">
        <f>""</f>
        <v/>
      </c>
      <c r="ER255" t="str">
        <f>""</f>
        <v/>
      </c>
      <c r="ES255" t="str">
        <f>""</f>
        <v/>
      </c>
      <c r="ET255" t="str">
        <f>""</f>
        <v/>
      </c>
      <c r="EU255" t="str">
        <f>""</f>
        <v/>
      </c>
      <c r="EV255" t="str">
        <f>""</f>
        <v/>
      </c>
      <c r="EW255" t="str">
        <f>""</f>
        <v/>
      </c>
      <c r="EX255" t="str">
        <f>""</f>
        <v/>
      </c>
      <c r="EY255" t="str">
        <f>""</f>
        <v/>
      </c>
      <c r="EZ255" t="str">
        <f>""</f>
        <v/>
      </c>
      <c r="FA255" t="str">
        <f>""</f>
        <v/>
      </c>
      <c r="FB255" t="str">
        <f>""</f>
        <v/>
      </c>
      <c r="FC255" t="str">
        <f>""</f>
        <v/>
      </c>
      <c r="FD255" t="str">
        <f>""</f>
        <v/>
      </c>
      <c r="FE255" t="str">
        <f>""</f>
        <v/>
      </c>
      <c r="FF255" t="str">
        <f>""</f>
        <v/>
      </c>
      <c r="FG255" t="str">
        <f>""</f>
        <v/>
      </c>
      <c r="FH255" t="str">
        <f>""</f>
        <v/>
      </c>
      <c r="FI255" t="str">
        <f>""</f>
        <v/>
      </c>
      <c r="FJ255" t="str">
        <f>""</f>
        <v/>
      </c>
      <c r="FK255" t="str">
        <f>""</f>
        <v/>
      </c>
      <c r="FL255" t="str">
        <f>""</f>
        <v/>
      </c>
      <c r="FM255" t="str">
        <f>""</f>
        <v/>
      </c>
      <c r="FN255" t="str">
        <f>""</f>
        <v/>
      </c>
      <c r="FO255" t="str">
        <f>""</f>
        <v/>
      </c>
      <c r="FP255" t="str">
        <f>""</f>
        <v/>
      </c>
      <c r="FQ255" t="str">
        <f>""</f>
        <v/>
      </c>
    </row>
    <row r="256" spans="1:173">
      <c r="A256" t="str">
        <f>$A$6</f>
        <v xml:space="preserve">    Camden 房地产信托公司</v>
      </c>
      <c r="B256" t="str">
        <f>$B$6</f>
        <v>CPT US Equity</v>
      </c>
      <c r="C256" t="str">
        <f>$C$6</f>
        <v>RR857</v>
      </c>
      <c r="D256" t="str">
        <f>$D$6</f>
        <v>PX_TO_FFO_RATIO</v>
      </c>
      <c r="E256" t="str">
        <f>$E$6</f>
        <v>动态</v>
      </c>
      <c r="F256" t="str">
        <f ca="1">BDH($B$6,$C$6,$B$250,$B$251,CONCATENATE("Per=",$B$248),"Dts=H","Dir=H",CONCATENATE("Points=",$B$249),"Sort=R","Days=A","Fill=B",CONCATENATE("FX=", $B$247) )</f>
        <v>#N/A Authorization</v>
      </c>
      <c r="CL256" t="str">
        <f>""</f>
        <v/>
      </c>
      <c r="CM256" t="str">
        <f>""</f>
        <v/>
      </c>
      <c r="CN256" t="str">
        <f>""</f>
        <v/>
      </c>
      <c r="CO256" t="str">
        <f>""</f>
        <v/>
      </c>
      <c r="CP256" t="str">
        <f>""</f>
        <v/>
      </c>
      <c r="CQ256" t="str">
        <f>""</f>
        <v/>
      </c>
      <c r="CR256" t="str">
        <f>""</f>
        <v/>
      </c>
      <c r="CS256" t="str">
        <f>""</f>
        <v/>
      </c>
      <c r="CT256" t="str">
        <f>""</f>
        <v/>
      </c>
      <c r="CU256" t="str">
        <f>""</f>
        <v/>
      </c>
      <c r="CV256" t="str">
        <f>""</f>
        <v/>
      </c>
      <c r="CW256" t="str">
        <f>""</f>
        <v/>
      </c>
      <c r="CX256" t="str">
        <f>""</f>
        <v/>
      </c>
      <c r="CY256" t="str">
        <f>""</f>
        <v/>
      </c>
      <c r="CZ256" t="str">
        <f>""</f>
        <v/>
      </c>
      <c r="DA256" t="str">
        <f>""</f>
        <v/>
      </c>
      <c r="DB256" t="str">
        <f>""</f>
        <v/>
      </c>
      <c r="DC256" t="str">
        <f>""</f>
        <v/>
      </c>
      <c r="DD256" t="str">
        <f>""</f>
        <v/>
      </c>
      <c r="DE256" t="str">
        <f>""</f>
        <v/>
      </c>
      <c r="DF256" t="str">
        <f>""</f>
        <v/>
      </c>
      <c r="DG256" t="str">
        <f>""</f>
        <v/>
      </c>
      <c r="DH256" t="str">
        <f>""</f>
        <v/>
      </c>
      <c r="DI256" t="str">
        <f>""</f>
        <v/>
      </c>
      <c r="DJ256" t="str">
        <f>""</f>
        <v/>
      </c>
      <c r="DK256" t="str">
        <f>""</f>
        <v/>
      </c>
      <c r="DL256" t="str">
        <f>""</f>
        <v/>
      </c>
      <c r="DM256" t="str">
        <f>""</f>
        <v/>
      </c>
      <c r="DN256" t="str">
        <f>""</f>
        <v/>
      </c>
      <c r="DO256" t="str">
        <f>""</f>
        <v/>
      </c>
      <c r="DP256" t="str">
        <f>""</f>
        <v/>
      </c>
      <c r="DQ256" t="str">
        <f>""</f>
        <v/>
      </c>
      <c r="DR256" t="str">
        <f>""</f>
        <v/>
      </c>
      <c r="DS256" t="str">
        <f>""</f>
        <v/>
      </c>
      <c r="DT256" t="str">
        <f>""</f>
        <v/>
      </c>
      <c r="DU256" t="str">
        <f>""</f>
        <v/>
      </c>
      <c r="DV256" t="str">
        <f>""</f>
        <v/>
      </c>
      <c r="DW256" t="str">
        <f>""</f>
        <v/>
      </c>
      <c r="DX256" t="str">
        <f>""</f>
        <v/>
      </c>
      <c r="DY256" t="str">
        <f>""</f>
        <v/>
      </c>
      <c r="DZ256" t="str">
        <f>""</f>
        <v/>
      </c>
      <c r="EA256" t="str">
        <f>""</f>
        <v/>
      </c>
      <c r="EB256" t="str">
        <f>""</f>
        <v/>
      </c>
      <c r="EC256" t="str">
        <f>""</f>
        <v/>
      </c>
      <c r="ED256" t="str">
        <f>""</f>
        <v/>
      </c>
      <c r="EE256" t="str">
        <f>""</f>
        <v/>
      </c>
      <c r="EF256" t="str">
        <f>""</f>
        <v/>
      </c>
      <c r="EG256" t="str">
        <f>""</f>
        <v/>
      </c>
      <c r="EH256" t="str">
        <f>""</f>
        <v/>
      </c>
      <c r="EI256" t="str">
        <f>""</f>
        <v/>
      </c>
      <c r="EJ256" t="str">
        <f>""</f>
        <v/>
      </c>
      <c r="EK256" t="str">
        <f>""</f>
        <v/>
      </c>
      <c r="EL256" t="str">
        <f>""</f>
        <v/>
      </c>
      <c r="EM256" t="str">
        <f>""</f>
        <v/>
      </c>
      <c r="EN256" t="str">
        <f>""</f>
        <v/>
      </c>
      <c r="EO256" t="str">
        <f>""</f>
        <v/>
      </c>
      <c r="EP256" t="str">
        <f>""</f>
        <v/>
      </c>
      <c r="EQ256" t="str">
        <f>""</f>
        <v/>
      </c>
      <c r="ER256" t="str">
        <f>""</f>
        <v/>
      </c>
      <c r="ES256" t="str">
        <f>""</f>
        <v/>
      </c>
      <c r="ET256" t="str">
        <f>""</f>
        <v/>
      </c>
      <c r="EU256" t="str">
        <f>""</f>
        <v/>
      </c>
      <c r="EV256" t="str">
        <f>""</f>
        <v/>
      </c>
      <c r="EW256" t="str">
        <f>""</f>
        <v/>
      </c>
      <c r="EX256" t="str">
        <f>""</f>
        <v/>
      </c>
      <c r="EY256" t="str">
        <f>""</f>
        <v/>
      </c>
      <c r="EZ256" t="str">
        <f>""</f>
        <v/>
      </c>
      <c r="FA256" t="str">
        <f>""</f>
        <v/>
      </c>
      <c r="FB256" t="str">
        <f>""</f>
        <v/>
      </c>
      <c r="FC256" t="str">
        <f>""</f>
        <v/>
      </c>
      <c r="FD256" t="str">
        <f>""</f>
        <v/>
      </c>
      <c r="FE256" t="str">
        <f>""</f>
        <v/>
      </c>
      <c r="FF256" t="str">
        <f>""</f>
        <v/>
      </c>
      <c r="FG256" t="str">
        <f>""</f>
        <v/>
      </c>
      <c r="FH256" t="str">
        <f>""</f>
        <v/>
      </c>
      <c r="FI256" t="str">
        <f>""</f>
        <v/>
      </c>
      <c r="FJ256" t="str">
        <f>""</f>
        <v/>
      </c>
      <c r="FK256" t="str">
        <f>""</f>
        <v/>
      </c>
      <c r="FL256" t="str">
        <f>""</f>
        <v/>
      </c>
      <c r="FM256" t="str">
        <f>""</f>
        <v/>
      </c>
      <c r="FN256" t="str">
        <f>""</f>
        <v/>
      </c>
      <c r="FO256" t="str">
        <f>""</f>
        <v/>
      </c>
      <c r="FP256" t="str">
        <f>""</f>
        <v/>
      </c>
      <c r="FQ256" t="str">
        <f>""</f>
        <v/>
      </c>
    </row>
    <row r="257" spans="1:173">
      <c r="A257" t="str">
        <f>$A$7</f>
        <v xml:space="preserve">    公寓物业权益信托</v>
      </c>
      <c r="B257" t="str">
        <f>$B$7</f>
        <v>EQR US Equity</v>
      </c>
      <c r="C257" t="str">
        <f>$C$7</f>
        <v>RR857</v>
      </c>
      <c r="D257" t="str">
        <f>$D$7</f>
        <v>PX_TO_FFO_RATIO</v>
      </c>
      <c r="E257" t="str">
        <f>$E$7</f>
        <v>动态</v>
      </c>
      <c r="F257" t="str">
        <f ca="1">BDH($B$7,$C$7,$B$250,$B$251,CONCATENATE("Per=",$B$248),"Dts=H","Dir=H",CONCATENATE("Points=",$B$249),"Sort=R","Days=A","Fill=B",CONCATENATE("FX=", $B$247) )</f>
        <v>#N/A Authorization</v>
      </c>
      <c r="CL257" t="str">
        <f>""</f>
        <v/>
      </c>
      <c r="CM257" t="str">
        <f>""</f>
        <v/>
      </c>
      <c r="CN257" t="str">
        <f>""</f>
        <v/>
      </c>
      <c r="CO257" t="str">
        <f>""</f>
        <v/>
      </c>
      <c r="CP257" t="str">
        <f>""</f>
        <v/>
      </c>
      <c r="CQ257" t="str">
        <f>""</f>
        <v/>
      </c>
      <c r="CR257" t="str">
        <f>""</f>
        <v/>
      </c>
      <c r="CS257" t="str">
        <f>""</f>
        <v/>
      </c>
      <c r="CT257" t="str">
        <f>""</f>
        <v/>
      </c>
      <c r="CU257" t="str">
        <f>""</f>
        <v/>
      </c>
      <c r="CV257" t="str">
        <f>""</f>
        <v/>
      </c>
      <c r="CW257" t="str">
        <f>""</f>
        <v/>
      </c>
      <c r="CX257" t="str">
        <f>""</f>
        <v/>
      </c>
      <c r="CY257" t="str">
        <f>""</f>
        <v/>
      </c>
      <c r="CZ257" t="str">
        <f>""</f>
        <v/>
      </c>
      <c r="DA257" t="str">
        <f>""</f>
        <v/>
      </c>
      <c r="DB257" t="str">
        <f>""</f>
        <v/>
      </c>
      <c r="DC257" t="str">
        <f>""</f>
        <v/>
      </c>
      <c r="DD257" t="str">
        <f>""</f>
        <v/>
      </c>
      <c r="DE257" t="str">
        <f>""</f>
        <v/>
      </c>
      <c r="DF257" t="str">
        <f>""</f>
        <v/>
      </c>
      <c r="DG257" t="str">
        <f>""</f>
        <v/>
      </c>
      <c r="DH257" t="str">
        <f>""</f>
        <v/>
      </c>
      <c r="DI257" t="str">
        <f>""</f>
        <v/>
      </c>
      <c r="DJ257" t="str">
        <f>""</f>
        <v/>
      </c>
      <c r="DK257" t="str">
        <f>""</f>
        <v/>
      </c>
      <c r="DL257" t="str">
        <f>""</f>
        <v/>
      </c>
      <c r="DM257" t="str">
        <f>""</f>
        <v/>
      </c>
      <c r="DN257" t="str">
        <f>""</f>
        <v/>
      </c>
      <c r="DO257" t="str">
        <f>""</f>
        <v/>
      </c>
      <c r="DP257" t="str">
        <f>""</f>
        <v/>
      </c>
      <c r="DQ257" t="str">
        <f>""</f>
        <v/>
      </c>
      <c r="DR257" t="str">
        <f>""</f>
        <v/>
      </c>
      <c r="DS257" t="str">
        <f>""</f>
        <v/>
      </c>
      <c r="DT257" t="str">
        <f>""</f>
        <v/>
      </c>
      <c r="DU257" t="str">
        <f>""</f>
        <v/>
      </c>
      <c r="DV257" t="str">
        <f>""</f>
        <v/>
      </c>
      <c r="DW257" t="str">
        <f>""</f>
        <v/>
      </c>
      <c r="DX257" t="str">
        <f>""</f>
        <v/>
      </c>
      <c r="DY257" t="str">
        <f>""</f>
        <v/>
      </c>
      <c r="DZ257" t="str">
        <f>""</f>
        <v/>
      </c>
      <c r="EA257" t="str">
        <f>""</f>
        <v/>
      </c>
      <c r="EB257" t="str">
        <f>""</f>
        <v/>
      </c>
      <c r="EC257" t="str">
        <f>""</f>
        <v/>
      </c>
      <c r="ED257" t="str">
        <f>""</f>
        <v/>
      </c>
      <c r="EE257" t="str">
        <f>""</f>
        <v/>
      </c>
      <c r="EF257" t="str">
        <f>""</f>
        <v/>
      </c>
      <c r="EG257" t="str">
        <f>""</f>
        <v/>
      </c>
      <c r="EH257" t="str">
        <f>""</f>
        <v/>
      </c>
      <c r="EI257" t="str">
        <f>""</f>
        <v/>
      </c>
      <c r="EJ257" t="str">
        <f>""</f>
        <v/>
      </c>
      <c r="EK257" t="str">
        <f>""</f>
        <v/>
      </c>
      <c r="EL257" t="str">
        <f>""</f>
        <v/>
      </c>
      <c r="EM257" t="str">
        <f>""</f>
        <v/>
      </c>
      <c r="EN257" t="str">
        <f>""</f>
        <v/>
      </c>
      <c r="EO257" t="str">
        <f>""</f>
        <v/>
      </c>
      <c r="EP257" t="str">
        <f>""</f>
        <v/>
      </c>
      <c r="EQ257" t="str">
        <f>""</f>
        <v/>
      </c>
      <c r="ER257" t="str">
        <f>""</f>
        <v/>
      </c>
      <c r="ES257" t="str">
        <f>""</f>
        <v/>
      </c>
      <c r="ET257" t="str">
        <f>""</f>
        <v/>
      </c>
      <c r="EU257" t="str">
        <f>""</f>
        <v/>
      </c>
      <c r="EV257" t="str">
        <f>""</f>
        <v/>
      </c>
      <c r="EW257" t="str">
        <f>""</f>
        <v/>
      </c>
      <c r="EX257" t="str">
        <f>""</f>
        <v/>
      </c>
      <c r="EY257" t="str">
        <f>""</f>
        <v/>
      </c>
      <c r="EZ257" t="str">
        <f>""</f>
        <v/>
      </c>
      <c r="FA257" t="str">
        <f>""</f>
        <v/>
      </c>
      <c r="FB257" t="str">
        <f>""</f>
        <v/>
      </c>
      <c r="FC257" t="str">
        <f>""</f>
        <v/>
      </c>
      <c r="FD257" t="str">
        <f>""</f>
        <v/>
      </c>
      <c r="FE257" t="str">
        <f>""</f>
        <v/>
      </c>
      <c r="FF257" t="str">
        <f>""</f>
        <v/>
      </c>
      <c r="FG257" t="str">
        <f>""</f>
        <v/>
      </c>
      <c r="FH257" t="str">
        <f>""</f>
        <v/>
      </c>
      <c r="FI257" t="str">
        <f>""</f>
        <v/>
      </c>
      <c r="FJ257" t="str">
        <f>""</f>
        <v/>
      </c>
      <c r="FK257" t="str">
        <f>""</f>
        <v/>
      </c>
      <c r="FL257" t="str">
        <f>""</f>
        <v/>
      </c>
      <c r="FM257" t="str">
        <f>""</f>
        <v/>
      </c>
      <c r="FN257" t="str">
        <f>""</f>
        <v/>
      </c>
      <c r="FO257" t="str">
        <f>""</f>
        <v/>
      </c>
      <c r="FP257" t="str">
        <f>""</f>
        <v/>
      </c>
      <c r="FQ257" t="str">
        <f>""</f>
        <v/>
      </c>
    </row>
    <row r="258" spans="1:173">
      <c r="A258" t="str">
        <f>$A$8</f>
        <v xml:space="preserve">    埃塞克斯房地产信托公司</v>
      </c>
      <c r="B258" t="str">
        <f>$B$8</f>
        <v>ESS US Equity</v>
      </c>
      <c r="C258" t="str">
        <f>$C$8</f>
        <v>RR857</v>
      </c>
      <c r="D258" t="str">
        <f>$D$8</f>
        <v>PX_TO_FFO_RATIO</v>
      </c>
      <c r="E258" t="str">
        <f>$E$8</f>
        <v>动态</v>
      </c>
      <c r="F258" t="str">
        <f ca="1">BDH($B$8,$C$8,$B$250,$B$251,CONCATENATE("Per=",$B$248),"Dts=H","Dir=H",CONCATENATE("Points=",$B$249),"Sort=R","Days=A","Fill=B",CONCATENATE("FX=", $B$247) )</f>
        <v>#N/A Authorization</v>
      </c>
      <c r="CL258" t="str">
        <f>""</f>
        <v/>
      </c>
      <c r="CM258" t="str">
        <f>""</f>
        <v/>
      </c>
      <c r="CN258" t="str">
        <f>""</f>
        <v/>
      </c>
      <c r="CO258" t="str">
        <f>""</f>
        <v/>
      </c>
      <c r="CP258" t="str">
        <f>""</f>
        <v/>
      </c>
      <c r="CQ258" t="str">
        <f>""</f>
        <v/>
      </c>
      <c r="CR258" t="str">
        <f>""</f>
        <v/>
      </c>
      <c r="CS258" t="str">
        <f>""</f>
        <v/>
      </c>
      <c r="CT258" t="str">
        <f>""</f>
        <v/>
      </c>
      <c r="CU258" t="str">
        <f>""</f>
        <v/>
      </c>
      <c r="CV258" t="str">
        <f>""</f>
        <v/>
      </c>
      <c r="CW258" t="str">
        <f>""</f>
        <v/>
      </c>
      <c r="CX258" t="str">
        <f>""</f>
        <v/>
      </c>
      <c r="CY258" t="str">
        <f>""</f>
        <v/>
      </c>
      <c r="CZ258" t="str">
        <f>""</f>
        <v/>
      </c>
      <c r="DA258" t="str">
        <f>""</f>
        <v/>
      </c>
      <c r="DB258" t="str">
        <f>""</f>
        <v/>
      </c>
      <c r="DC258" t="str">
        <f>""</f>
        <v/>
      </c>
      <c r="DD258" t="str">
        <f>""</f>
        <v/>
      </c>
      <c r="DE258" t="str">
        <f>""</f>
        <v/>
      </c>
      <c r="DF258" t="str">
        <f>""</f>
        <v/>
      </c>
      <c r="DG258" t="str">
        <f>""</f>
        <v/>
      </c>
      <c r="DH258" t="str">
        <f>""</f>
        <v/>
      </c>
      <c r="DI258" t="str">
        <f>""</f>
        <v/>
      </c>
      <c r="DJ258" t="str">
        <f>""</f>
        <v/>
      </c>
      <c r="DK258" t="str">
        <f>""</f>
        <v/>
      </c>
      <c r="DL258" t="str">
        <f>""</f>
        <v/>
      </c>
      <c r="DM258" t="str">
        <f>""</f>
        <v/>
      </c>
      <c r="DN258" t="str">
        <f>""</f>
        <v/>
      </c>
      <c r="DO258" t="str">
        <f>""</f>
        <v/>
      </c>
      <c r="DP258" t="str">
        <f>""</f>
        <v/>
      </c>
      <c r="DQ258" t="str">
        <f>""</f>
        <v/>
      </c>
      <c r="DR258" t="str">
        <f>""</f>
        <v/>
      </c>
      <c r="DS258" t="str">
        <f>""</f>
        <v/>
      </c>
      <c r="DT258" t="str">
        <f>""</f>
        <v/>
      </c>
      <c r="DU258" t="str">
        <f>""</f>
        <v/>
      </c>
      <c r="DV258" t="str">
        <f>""</f>
        <v/>
      </c>
      <c r="DW258" t="str">
        <f>""</f>
        <v/>
      </c>
      <c r="DX258" t="str">
        <f>""</f>
        <v/>
      </c>
      <c r="DY258" t="str">
        <f>""</f>
        <v/>
      </c>
      <c r="DZ258" t="str">
        <f>""</f>
        <v/>
      </c>
      <c r="EA258" t="str">
        <f>""</f>
        <v/>
      </c>
      <c r="EB258" t="str">
        <f>""</f>
        <v/>
      </c>
      <c r="EC258" t="str">
        <f>""</f>
        <v/>
      </c>
      <c r="ED258" t="str">
        <f>""</f>
        <v/>
      </c>
      <c r="EE258" t="str">
        <f>""</f>
        <v/>
      </c>
      <c r="EF258" t="str">
        <f>""</f>
        <v/>
      </c>
      <c r="EG258" t="str">
        <f>""</f>
        <v/>
      </c>
      <c r="EH258" t="str">
        <f>""</f>
        <v/>
      </c>
      <c r="EI258" t="str">
        <f>""</f>
        <v/>
      </c>
      <c r="EJ258" t="str">
        <f>""</f>
        <v/>
      </c>
      <c r="EK258" t="str">
        <f>""</f>
        <v/>
      </c>
      <c r="EL258" t="str">
        <f>""</f>
        <v/>
      </c>
      <c r="EM258" t="str">
        <f>""</f>
        <v/>
      </c>
      <c r="EN258" t="str">
        <f>""</f>
        <v/>
      </c>
      <c r="EO258" t="str">
        <f>""</f>
        <v/>
      </c>
      <c r="EP258" t="str">
        <f>""</f>
        <v/>
      </c>
      <c r="EQ258" t="str">
        <f>""</f>
        <v/>
      </c>
      <c r="ER258" t="str">
        <f>""</f>
        <v/>
      </c>
      <c r="ES258" t="str">
        <f>""</f>
        <v/>
      </c>
      <c r="ET258" t="str">
        <f>""</f>
        <v/>
      </c>
      <c r="EU258" t="str">
        <f>""</f>
        <v/>
      </c>
      <c r="EV258" t="str">
        <f>""</f>
        <v/>
      </c>
      <c r="EW258" t="str">
        <f>""</f>
        <v/>
      </c>
      <c r="EX258" t="str">
        <f>""</f>
        <v/>
      </c>
      <c r="EY258" t="str">
        <f>""</f>
        <v/>
      </c>
      <c r="EZ258" t="str">
        <f>""</f>
        <v/>
      </c>
      <c r="FA258" t="str">
        <f>""</f>
        <v/>
      </c>
      <c r="FB258" t="str">
        <f>""</f>
        <v/>
      </c>
      <c r="FC258" t="str">
        <f>""</f>
        <v/>
      </c>
      <c r="FD258" t="str">
        <f>""</f>
        <v/>
      </c>
      <c r="FE258" t="str">
        <f>""</f>
        <v/>
      </c>
      <c r="FF258" t="str">
        <f>""</f>
        <v/>
      </c>
      <c r="FG258" t="str">
        <f>""</f>
        <v/>
      </c>
      <c r="FH258" t="str">
        <f>""</f>
        <v/>
      </c>
      <c r="FI258" t="str">
        <f>""</f>
        <v/>
      </c>
      <c r="FJ258" t="str">
        <f>""</f>
        <v/>
      </c>
      <c r="FK258" t="str">
        <f>""</f>
        <v/>
      </c>
      <c r="FL258" t="str">
        <f>""</f>
        <v/>
      </c>
      <c r="FM258" t="str">
        <f>""</f>
        <v/>
      </c>
      <c r="FN258" t="str">
        <f>""</f>
        <v/>
      </c>
      <c r="FO258" t="str">
        <f>""</f>
        <v/>
      </c>
      <c r="FP258" t="str">
        <f>""</f>
        <v/>
      </c>
      <c r="FQ258" t="str">
        <f>""</f>
        <v/>
      </c>
    </row>
    <row r="259" spans="1:173">
      <c r="A259" t="str">
        <f>$A$9</f>
        <v xml:space="preserve">    Mid-America Apartment Communities股份有限公司</v>
      </c>
      <c r="B259" t="str">
        <f>$B$9</f>
        <v>MAA US Equity</v>
      </c>
      <c r="C259" t="str">
        <f>$C$9</f>
        <v>RR857</v>
      </c>
      <c r="D259" t="str">
        <f>$D$9</f>
        <v>PX_TO_FFO_RATIO</v>
      </c>
      <c r="E259" t="str">
        <f>$E$9</f>
        <v>动态</v>
      </c>
      <c r="F259" t="str">
        <f ca="1">BDH($B$9,$C$9,$B$250,$B$251,CONCATENATE("Per=",$B$248),"Dts=H","Dir=H",CONCATENATE("Points=",$B$249),"Sort=R","Days=A","Fill=B",CONCATENATE("FX=", $B$247) )</f>
        <v>#N/A Authorization</v>
      </c>
      <c r="CL259" t="str">
        <f>""</f>
        <v/>
      </c>
      <c r="CM259" t="str">
        <f>""</f>
        <v/>
      </c>
      <c r="CN259" t="str">
        <f>""</f>
        <v/>
      </c>
      <c r="CO259" t="str">
        <f>""</f>
        <v/>
      </c>
      <c r="CP259" t="str">
        <f>""</f>
        <v/>
      </c>
      <c r="CQ259" t="str">
        <f>""</f>
        <v/>
      </c>
      <c r="CR259" t="str">
        <f>""</f>
        <v/>
      </c>
      <c r="CS259" t="str">
        <f>""</f>
        <v/>
      </c>
      <c r="CT259" t="str">
        <f>""</f>
        <v/>
      </c>
      <c r="CU259" t="str">
        <f>""</f>
        <v/>
      </c>
      <c r="CV259" t="str">
        <f>""</f>
        <v/>
      </c>
      <c r="CW259" t="str">
        <f>""</f>
        <v/>
      </c>
      <c r="CX259" t="str">
        <f>""</f>
        <v/>
      </c>
      <c r="CY259" t="str">
        <f>""</f>
        <v/>
      </c>
      <c r="CZ259" t="str">
        <f>""</f>
        <v/>
      </c>
      <c r="DA259" t="str">
        <f>""</f>
        <v/>
      </c>
      <c r="DB259" t="str">
        <f>""</f>
        <v/>
      </c>
      <c r="DC259" t="str">
        <f>""</f>
        <v/>
      </c>
      <c r="DD259" t="str">
        <f>""</f>
        <v/>
      </c>
      <c r="DE259" t="str">
        <f>""</f>
        <v/>
      </c>
      <c r="DF259" t="str">
        <f>""</f>
        <v/>
      </c>
      <c r="DG259" t="str">
        <f>""</f>
        <v/>
      </c>
      <c r="DH259" t="str">
        <f>""</f>
        <v/>
      </c>
      <c r="DI259" t="str">
        <f>""</f>
        <v/>
      </c>
      <c r="DJ259" t="str">
        <f>""</f>
        <v/>
      </c>
      <c r="DK259" t="str">
        <f>""</f>
        <v/>
      </c>
      <c r="DL259" t="str">
        <f>""</f>
        <v/>
      </c>
      <c r="DM259" t="str">
        <f>""</f>
        <v/>
      </c>
      <c r="DN259" t="str">
        <f>""</f>
        <v/>
      </c>
      <c r="DO259" t="str">
        <f>""</f>
        <v/>
      </c>
      <c r="DP259" t="str">
        <f>""</f>
        <v/>
      </c>
      <c r="DQ259" t="str">
        <f>""</f>
        <v/>
      </c>
      <c r="DR259" t="str">
        <f>""</f>
        <v/>
      </c>
      <c r="DS259" t="str">
        <f>""</f>
        <v/>
      </c>
      <c r="DT259" t="str">
        <f>""</f>
        <v/>
      </c>
      <c r="DU259" t="str">
        <f>""</f>
        <v/>
      </c>
      <c r="DV259" t="str">
        <f>""</f>
        <v/>
      </c>
      <c r="DW259" t="str">
        <f>""</f>
        <v/>
      </c>
      <c r="DX259" t="str">
        <f>""</f>
        <v/>
      </c>
      <c r="DY259" t="str">
        <f>""</f>
        <v/>
      </c>
      <c r="DZ259" t="str">
        <f>""</f>
        <v/>
      </c>
      <c r="EA259" t="str">
        <f>""</f>
        <v/>
      </c>
      <c r="EB259" t="str">
        <f>""</f>
        <v/>
      </c>
      <c r="EC259" t="str">
        <f>""</f>
        <v/>
      </c>
      <c r="ED259" t="str">
        <f>""</f>
        <v/>
      </c>
      <c r="EE259" t="str">
        <f>""</f>
        <v/>
      </c>
      <c r="EF259" t="str">
        <f>""</f>
        <v/>
      </c>
      <c r="EG259" t="str">
        <f>""</f>
        <v/>
      </c>
      <c r="EH259" t="str">
        <f>""</f>
        <v/>
      </c>
      <c r="EI259" t="str">
        <f>""</f>
        <v/>
      </c>
      <c r="EJ259" t="str">
        <f>""</f>
        <v/>
      </c>
      <c r="EK259" t="str">
        <f>""</f>
        <v/>
      </c>
      <c r="EL259" t="str">
        <f>""</f>
        <v/>
      </c>
      <c r="EM259" t="str">
        <f>""</f>
        <v/>
      </c>
      <c r="EN259" t="str">
        <f>""</f>
        <v/>
      </c>
      <c r="EO259" t="str">
        <f>""</f>
        <v/>
      </c>
      <c r="EP259" t="str">
        <f>""</f>
        <v/>
      </c>
      <c r="EQ259" t="str">
        <f>""</f>
        <v/>
      </c>
      <c r="ER259" t="str">
        <f>""</f>
        <v/>
      </c>
      <c r="ES259" t="str">
        <f>""</f>
        <v/>
      </c>
      <c r="ET259" t="str">
        <f>""</f>
        <v/>
      </c>
      <c r="EU259" t="str">
        <f>""</f>
        <v/>
      </c>
      <c r="EV259" t="str">
        <f>""</f>
        <v/>
      </c>
      <c r="EW259" t="str">
        <f>""</f>
        <v/>
      </c>
      <c r="EX259" t="str">
        <f>""</f>
        <v/>
      </c>
      <c r="EY259" t="str">
        <f>""</f>
        <v/>
      </c>
      <c r="EZ259" t="str">
        <f>""</f>
        <v/>
      </c>
      <c r="FA259" t="str">
        <f>""</f>
        <v/>
      </c>
      <c r="FB259" t="str">
        <f>""</f>
        <v/>
      </c>
      <c r="FC259" t="str">
        <f>""</f>
        <v/>
      </c>
      <c r="FD259" t="str">
        <f>""</f>
        <v/>
      </c>
      <c r="FE259" t="str">
        <f>""</f>
        <v/>
      </c>
      <c r="FF259" t="str">
        <f>""</f>
        <v/>
      </c>
      <c r="FG259" t="str">
        <f>""</f>
        <v/>
      </c>
      <c r="FH259" t="str">
        <f>""</f>
        <v/>
      </c>
      <c r="FI259" t="str">
        <f>""</f>
        <v/>
      </c>
      <c r="FJ259" t="str">
        <f>""</f>
        <v/>
      </c>
      <c r="FK259" t="str">
        <f>""</f>
        <v/>
      </c>
      <c r="FL259" t="str">
        <f>""</f>
        <v/>
      </c>
      <c r="FM259" t="str">
        <f>""</f>
        <v/>
      </c>
      <c r="FN259" t="str">
        <f>""</f>
        <v/>
      </c>
      <c r="FO259" t="str">
        <f>""</f>
        <v/>
      </c>
      <c r="FP259" t="str">
        <f>""</f>
        <v/>
      </c>
      <c r="FQ259" t="str">
        <f>""</f>
        <v/>
      </c>
    </row>
    <row r="260" spans="1:173">
      <c r="A260" t="str">
        <f>$A$10</f>
        <v xml:space="preserve">    UDR 公司</v>
      </c>
      <c r="B260" t="str">
        <f>$B$10</f>
        <v>UDR US Equity</v>
      </c>
      <c r="C260" t="str">
        <f>$C$10</f>
        <v>RR857</v>
      </c>
      <c r="D260" t="str">
        <f>$D$10</f>
        <v>PX_TO_FFO_RATIO</v>
      </c>
      <c r="E260" t="str">
        <f>$E$10</f>
        <v>动态</v>
      </c>
      <c r="F260" t="str">
        <f ca="1">BDH($B$10,$C$10,$B$250,$B$251,CONCATENATE("Per=",$B$248),"Dts=H","Dir=H",CONCATENATE("Points=",$B$249),"Sort=R","Days=A","Fill=B",CONCATENATE("FX=", $B$247) )</f>
        <v>#N/A Authorization</v>
      </c>
      <c r="CL260" t="str">
        <f>""</f>
        <v/>
      </c>
      <c r="CM260" t="str">
        <f>""</f>
        <v/>
      </c>
      <c r="CN260" t="str">
        <f>""</f>
        <v/>
      </c>
      <c r="CO260" t="str">
        <f>""</f>
        <v/>
      </c>
      <c r="CP260" t="str">
        <f>""</f>
        <v/>
      </c>
      <c r="CQ260" t="str">
        <f>""</f>
        <v/>
      </c>
      <c r="CR260" t="str">
        <f>""</f>
        <v/>
      </c>
      <c r="CS260" t="str">
        <f>""</f>
        <v/>
      </c>
      <c r="CT260" t="str">
        <f>""</f>
        <v/>
      </c>
      <c r="CU260" t="str">
        <f>""</f>
        <v/>
      </c>
      <c r="CV260" t="str">
        <f>""</f>
        <v/>
      </c>
      <c r="CW260" t="str">
        <f>""</f>
        <v/>
      </c>
      <c r="CX260" t="str">
        <f>""</f>
        <v/>
      </c>
      <c r="CY260" t="str">
        <f>""</f>
        <v/>
      </c>
      <c r="CZ260" t="str">
        <f>""</f>
        <v/>
      </c>
      <c r="DA260" t="str">
        <f>""</f>
        <v/>
      </c>
      <c r="DB260" t="str">
        <f>""</f>
        <v/>
      </c>
      <c r="DC260" t="str">
        <f>""</f>
        <v/>
      </c>
      <c r="DD260" t="str">
        <f>""</f>
        <v/>
      </c>
      <c r="DE260" t="str">
        <f>""</f>
        <v/>
      </c>
      <c r="DF260" t="str">
        <f>""</f>
        <v/>
      </c>
      <c r="DG260" t="str">
        <f>""</f>
        <v/>
      </c>
      <c r="DH260" t="str">
        <f>""</f>
        <v/>
      </c>
      <c r="DI260" t="str">
        <f>""</f>
        <v/>
      </c>
      <c r="DJ260" t="str">
        <f>""</f>
        <v/>
      </c>
      <c r="DK260" t="str">
        <f>""</f>
        <v/>
      </c>
      <c r="DL260" t="str">
        <f>""</f>
        <v/>
      </c>
      <c r="DM260" t="str">
        <f>""</f>
        <v/>
      </c>
      <c r="DN260" t="str">
        <f>""</f>
        <v/>
      </c>
      <c r="DO260" t="str">
        <f>""</f>
        <v/>
      </c>
      <c r="DP260" t="str">
        <f>""</f>
        <v/>
      </c>
      <c r="DQ260" t="str">
        <f>""</f>
        <v/>
      </c>
      <c r="DR260" t="str">
        <f>""</f>
        <v/>
      </c>
      <c r="DS260" t="str">
        <f>""</f>
        <v/>
      </c>
      <c r="DT260" t="str">
        <f>""</f>
        <v/>
      </c>
      <c r="DU260" t="str">
        <f>""</f>
        <v/>
      </c>
      <c r="DV260" t="str">
        <f>""</f>
        <v/>
      </c>
      <c r="DW260" t="str">
        <f>""</f>
        <v/>
      </c>
      <c r="DX260" t="str">
        <f>""</f>
        <v/>
      </c>
      <c r="DY260" t="str">
        <f>""</f>
        <v/>
      </c>
      <c r="DZ260" t="str">
        <f>""</f>
        <v/>
      </c>
      <c r="EA260" t="str">
        <f>""</f>
        <v/>
      </c>
      <c r="EB260" t="str">
        <f>""</f>
        <v/>
      </c>
      <c r="EC260" t="str">
        <f>""</f>
        <v/>
      </c>
      <c r="ED260" t="str">
        <f>""</f>
        <v/>
      </c>
      <c r="EE260" t="str">
        <f>""</f>
        <v/>
      </c>
      <c r="EF260" t="str">
        <f>""</f>
        <v/>
      </c>
      <c r="EG260" t="str">
        <f>""</f>
        <v/>
      </c>
      <c r="EH260" t="str">
        <f>""</f>
        <v/>
      </c>
      <c r="EI260" t="str">
        <f>""</f>
        <v/>
      </c>
      <c r="EJ260" t="str">
        <f>""</f>
        <v/>
      </c>
      <c r="EK260" t="str">
        <f>""</f>
        <v/>
      </c>
      <c r="EL260" t="str">
        <f>""</f>
        <v/>
      </c>
      <c r="EM260" t="str">
        <f>""</f>
        <v/>
      </c>
      <c r="EN260" t="str">
        <f>""</f>
        <v/>
      </c>
      <c r="EO260" t="str">
        <f>""</f>
        <v/>
      </c>
      <c r="EP260" t="str">
        <f>""</f>
        <v/>
      </c>
      <c r="EQ260" t="str">
        <f>""</f>
        <v/>
      </c>
      <c r="ER260" t="str">
        <f>""</f>
        <v/>
      </c>
      <c r="ES260" t="str">
        <f>""</f>
        <v/>
      </c>
      <c r="ET260" t="str">
        <f>""</f>
        <v/>
      </c>
      <c r="EU260" t="str">
        <f>""</f>
        <v/>
      </c>
      <c r="EV260" t="str">
        <f>""</f>
        <v/>
      </c>
      <c r="EW260" t="str">
        <f>""</f>
        <v/>
      </c>
      <c r="EX260" t="str">
        <f>""</f>
        <v/>
      </c>
      <c r="EY260" t="str">
        <f>""</f>
        <v/>
      </c>
      <c r="EZ260" t="str">
        <f>""</f>
        <v/>
      </c>
      <c r="FA260" t="str">
        <f>""</f>
        <v/>
      </c>
      <c r="FB260" t="str">
        <f>""</f>
        <v/>
      </c>
      <c r="FC260" t="str">
        <f>""</f>
        <v/>
      </c>
      <c r="FD260" t="str">
        <f>""</f>
        <v/>
      </c>
      <c r="FE260" t="str">
        <f>""</f>
        <v/>
      </c>
      <c r="FF260" t="str">
        <f>""</f>
        <v/>
      </c>
      <c r="FG260" t="str">
        <f>""</f>
        <v/>
      </c>
      <c r="FH260" t="str">
        <f>""</f>
        <v/>
      </c>
      <c r="FI260" t="str">
        <f>""</f>
        <v/>
      </c>
      <c r="FJ260" t="str">
        <f>""</f>
        <v/>
      </c>
      <c r="FK260" t="str">
        <f>""</f>
        <v/>
      </c>
      <c r="FL260" t="str">
        <f>""</f>
        <v/>
      </c>
      <c r="FM260" t="str">
        <f>""</f>
        <v/>
      </c>
      <c r="FN260" t="str">
        <f>""</f>
        <v/>
      </c>
      <c r="FO260" t="str">
        <f>""</f>
        <v/>
      </c>
      <c r="FP260" t="str">
        <f>""</f>
        <v/>
      </c>
      <c r="FQ260" t="str">
        <f>""</f>
        <v/>
      </c>
    </row>
    <row r="261" spans="1:173">
      <c r="A261" t="str">
        <f>$A$12</f>
        <v xml:space="preserve">    公寓投资与管理</v>
      </c>
      <c r="B261" t="str">
        <f>$B$12</f>
        <v>AIV US Equity</v>
      </c>
      <c r="C261" t="str">
        <f>$C$12</f>
        <v>BE249</v>
      </c>
      <c r="D261" t="str">
        <f>$D$12</f>
        <v>BEST_PRICE_FFO_RATIO</v>
      </c>
      <c r="E261" t="str">
        <f>$E$12</f>
        <v>动态</v>
      </c>
      <c r="F261" t="str">
        <f ca="1">BDH($B$12,$C$12,$B$250,$B$251,CONCATENATE("Per=",$B$248),"Dts=H","Dir=H",CONCATENATE("Points=",$B$249),"Sort=R","Days=A","Fill=B","BE997=1BF",CONCATENATE("FX=", $B$247) )</f>
        <v>#N/A Authorization</v>
      </c>
      <c r="CL261" t="str">
        <f>""</f>
        <v/>
      </c>
      <c r="CM261" t="str">
        <f>""</f>
        <v/>
      </c>
      <c r="CN261" t="str">
        <f>""</f>
        <v/>
      </c>
      <c r="CO261" t="str">
        <f>""</f>
        <v/>
      </c>
      <c r="CP261" t="str">
        <f>""</f>
        <v/>
      </c>
      <c r="CQ261" t="str">
        <f>""</f>
        <v/>
      </c>
      <c r="CR261" t="str">
        <f>""</f>
        <v/>
      </c>
      <c r="CS261" t="str">
        <f>""</f>
        <v/>
      </c>
      <c r="CT261" t="str">
        <f>""</f>
        <v/>
      </c>
      <c r="CU261" t="str">
        <f>""</f>
        <v/>
      </c>
      <c r="CV261" t="str">
        <f>""</f>
        <v/>
      </c>
      <c r="CW261" t="str">
        <f>""</f>
        <v/>
      </c>
      <c r="CX261" t="str">
        <f>""</f>
        <v/>
      </c>
      <c r="CY261" t="str">
        <f>""</f>
        <v/>
      </c>
      <c r="CZ261" t="str">
        <f>""</f>
        <v/>
      </c>
      <c r="DA261" t="str">
        <f>""</f>
        <v/>
      </c>
      <c r="DB261" t="str">
        <f>""</f>
        <v/>
      </c>
      <c r="DC261" t="str">
        <f>""</f>
        <v/>
      </c>
      <c r="DD261" t="str">
        <f>""</f>
        <v/>
      </c>
      <c r="DE261" t="str">
        <f>""</f>
        <v/>
      </c>
      <c r="DF261" t="str">
        <f>""</f>
        <v/>
      </c>
      <c r="DG261" t="str">
        <f>""</f>
        <v/>
      </c>
      <c r="DH261" t="str">
        <f>""</f>
        <v/>
      </c>
      <c r="DI261" t="str">
        <f>""</f>
        <v/>
      </c>
      <c r="DJ261" t="str">
        <f>""</f>
        <v/>
      </c>
      <c r="DK261" t="str">
        <f>""</f>
        <v/>
      </c>
      <c r="DL261" t="str">
        <f>""</f>
        <v/>
      </c>
      <c r="DM261" t="str">
        <f>""</f>
        <v/>
      </c>
      <c r="DN261" t="str">
        <f>""</f>
        <v/>
      </c>
      <c r="DO261" t="str">
        <f>""</f>
        <v/>
      </c>
      <c r="DP261" t="str">
        <f>""</f>
        <v/>
      </c>
      <c r="DQ261" t="str">
        <f>""</f>
        <v/>
      </c>
      <c r="DR261" t="str">
        <f>""</f>
        <v/>
      </c>
      <c r="DS261" t="str">
        <f>""</f>
        <v/>
      </c>
      <c r="DT261" t="str">
        <f>""</f>
        <v/>
      </c>
      <c r="DU261" t="str">
        <f>""</f>
        <v/>
      </c>
      <c r="DV261" t="str">
        <f>""</f>
        <v/>
      </c>
      <c r="DW261" t="str">
        <f>""</f>
        <v/>
      </c>
      <c r="DX261" t="str">
        <f>""</f>
        <v/>
      </c>
      <c r="DY261" t="str">
        <f>""</f>
        <v/>
      </c>
      <c r="DZ261" t="str">
        <f>""</f>
        <v/>
      </c>
      <c r="EA261" t="str">
        <f>""</f>
        <v/>
      </c>
      <c r="EB261" t="str">
        <f>""</f>
        <v/>
      </c>
      <c r="EC261" t="str">
        <f>""</f>
        <v/>
      </c>
      <c r="ED261" t="str">
        <f>""</f>
        <v/>
      </c>
      <c r="EE261" t="str">
        <f>""</f>
        <v/>
      </c>
      <c r="EF261" t="str">
        <f>""</f>
        <v/>
      </c>
      <c r="EG261" t="str">
        <f>""</f>
        <v/>
      </c>
      <c r="EH261" t="str">
        <f>""</f>
        <v/>
      </c>
      <c r="EI261" t="str">
        <f>""</f>
        <v/>
      </c>
      <c r="EJ261" t="str">
        <f>""</f>
        <v/>
      </c>
      <c r="EK261" t="str">
        <f>""</f>
        <v/>
      </c>
      <c r="EL261" t="str">
        <f>""</f>
        <v/>
      </c>
      <c r="EM261" t="str">
        <f>""</f>
        <v/>
      </c>
      <c r="EN261" t="str">
        <f>""</f>
        <v/>
      </c>
      <c r="EO261" t="str">
        <f>""</f>
        <v/>
      </c>
      <c r="EP261" t="str">
        <f>""</f>
        <v/>
      </c>
      <c r="EQ261" t="str">
        <f>""</f>
        <v/>
      </c>
      <c r="ER261" t="str">
        <f>""</f>
        <v/>
      </c>
      <c r="ES261" t="str">
        <f>""</f>
        <v/>
      </c>
      <c r="ET261" t="str">
        <f>""</f>
        <v/>
      </c>
      <c r="EU261" t="str">
        <f>""</f>
        <v/>
      </c>
      <c r="EV261" t="str">
        <f>""</f>
        <v/>
      </c>
      <c r="EW261" t="str">
        <f>""</f>
        <v/>
      </c>
      <c r="EX261" t="str">
        <f>""</f>
        <v/>
      </c>
      <c r="EY261" t="str">
        <f>""</f>
        <v/>
      </c>
      <c r="EZ261" t="str">
        <f>""</f>
        <v/>
      </c>
      <c r="FA261" t="str">
        <f>""</f>
        <v/>
      </c>
      <c r="FB261" t="str">
        <f>""</f>
        <v/>
      </c>
      <c r="FC261" t="str">
        <f>""</f>
        <v/>
      </c>
      <c r="FD261" t="str">
        <f>""</f>
        <v/>
      </c>
      <c r="FE261" t="str">
        <f>""</f>
        <v/>
      </c>
      <c r="FF261" t="str">
        <f>""</f>
        <v/>
      </c>
      <c r="FG261" t="str">
        <f>""</f>
        <v/>
      </c>
      <c r="FH261" t="str">
        <f>""</f>
        <v/>
      </c>
      <c r="FI261" t="str">
        <f>""</f>
        <v/>
      </c>
      <c r="FJ261" t="str">
        <f>""</f>
        <v/>
      </c>
      <c r="FK261" t="str">
        <f>""</f>
        <v/>
      </c>
      <c r="FL261" t="str">
        <f>""</f>
        <v/>
      </c>
      <c r="FM261" t="str">
        <f>""</f>
        <v/>
      </c>
      <c r="FN261" t="str">
        <f>""</f>
        <v/>
      </c>
      <c r="FO261" t="str">
        <f>""</f>
        <v/>
      </c>
      <c r="FP261" t="str">
        <f>""</f>
        <v/>
      </c>
      <c r="FQ261" t="str">
        <f>""</f>
        <v/>
      </c>
    </row>
    <row r="262" spans="1:173">
      <c r="A262" t="str">
        <f>$A$13</f>
        <v xml:space="preserve">    AvalonBay社区股份有限公司</v>
      </c>
      <c r="B262" t="str">
        <f>$B$13</f>
        <v>AVB US Equity</v>
      </c>
      <c r="C262" t="str">
        <f>$C$13</f>
        <v>BE249</v>
      </c>
      <c r="D262" t="str">
        <f>$D$13</f>
        <v>BEST_PRICE_FFO_RATIO</v>
      </c>
      <c r="E262" t="str">
        <f>$E$13</f>
        <v>动态</v>
      </c>
      <c r="F262" t="str">
        <f ca="1">BDH($B$13,$C$13,$B$250,$B$251,CONCATENATE("Per=",$B$248),"Dts=H","Dir=H",CONCATENATE("Points=",$B$249),"Sort=R","Days=A","Fill=B","BE997=1BF",CONCATENATE("FX=", $B$247) )</f>
        <v>#N/A Authorization</v>
      </c>
      <c r="CL262" t="str">
        <f>""</f>
        <v/>
      </c>
      <c r="CM262" t="str">
        <f>""</f>
        <v/>
      </c>
      <c r="CN262" t="str">
        <f>""</f>
        <v/>
      </c>
      <c r="CO262" t="str">
        <f>""</f>
        <v/>
      </c>
      <c r="CP262" t="str">
        <f>""</f>
        <v/>
      </c>
      <c r="CQ262" t="str">
        <f>""</f>
        <v/>
      </c>
      <c r="CR262" t="str">
        <f>""</f>
        <v/>
      </c>
      <c r="CS262" t="str">
        <f>""</f>
        <v/>
      </c>
      <c r="CT262" t="str">
        <f>""</f>
        <v/>
      </c>
      <c r="CU262" t="str">
        <f>""</f>
        <v/>
      </c>
      <c r="CV262" t="str">
        <f>""</f>
        <v/>
      </c>
      <c r="CW262" t="str">
        <f>""</f>
        <v/>
      </c>
      <c r="CX262" t="str">
        <f>""</f>
        <v/>
      </c>
      <c r="CY262" t="str">
        <f>""</f>
        <v/>
      </c>
      <c r="CZ262" t="str">
        <f>""</f>
        <v/>
      </c>
      <c r="DA262" t="str">
        <f>""</f>
        <v/>
      </c>
      <c r="DB262" t="str">
        <f>""</f>
        <v/>
      </c>
      <c r="DC262" t="str">
        <f>""</f>
        <v/>
      </c>
      <c r="DD262" t="str">
        <f>""</f>
        <v/>
      </c>
      <c r="DE262" t="str">
        <f>""</f>
        <v/>
      </c>
      <c r="DF262" t="str">
        <f>""</f>
        <v/>
      </c>
      <c r="DG262" t="str">
        <f>""</f>
        <v/>
      </c>
      <c r="DH262" t="str">
        <f>""</f>
        <v/>
      </c>
      <c r="DI262" t="str">
        <f>""</f>
        <v/>
      </c>
      <c r="DJ262" t="str">
        <f>""</f>
        <v/>
      </c>
      <c r="DK262" t="str">
        <f>""</f>
        <v/>
      </c>
      <c r="DL262" t="str">
        <f>""</f>
        <v/>
      </c>
      <c r="DM262" t="str">
        <f>""</f>
        <v/>
      </c>
      <c r="DN262" t="str">
        <f>""</f>
        <v/>
      </c>
      <c r="DO262" t="str">
        <f>""</f>
        <v/>
      </c>
      <c r="DP262" t="str">
        <f>""</f>
        <v/>
      </c>
      <c r="DQ262" t="str">
        <f>""</f>
        <v/>
      </c>
      <c r="DR262" t="str">
        <f>""</f>
        <v/>
      </c>
      <c r="DS262" t="str">
        <f>""</f>
        <v/>
      </c>
      <c r="DT262" t="str">
        <f>""</f>
        <v/>
      </c>
      <c r="DU262" t="str">
        <f>""</f>
        <v/>
      </c>
      <c r="DV262" t="str">
        <f>""</f>
        <v/>
      </c>
      <c r="DW262" t="str">
        <f>""</f>
        <v/>
      </c>
      <c r="DX262" t="str">
        <f>""</f>
        <v/>
      </c>
      <c r="DY262" t="str">
        <f>""</f>
        <v/>
      </c>
      <c r="DZ262" t="str">
        <f>""</f>
        <v/>
      </c>
      <c r="EA262" t="str">
        <f>""</f>
        <v/>
      </c>
      <c r="EB262" t="str">
        <f>""</f>
        <v/>
      </c>
      <c r="EC262" t="str">
        <f>""</f>
        <v/>
      </c>
      <c r="ED262" t="str">
        <f>""</f>
        <v/>
      </c>
      <c r="EE262" t="str">
        <f>""</f>
        <v/>
      </c>
      <c r="EF262" t="str">
        <f>""</f>
        <v/>
      </c>
      <c r="EG262" t="str">
        <f>""</f>
        <v/>
      </c>
      <c r="EH262" t="str">
        <f>""</f>
        <v/>
      </c>
      <c r="EI262" t="str">
        <f>""</f>
        <v/>
      </c>
      <c r="EJ262" t="str">
        <f>""</f>
        <v/>
      </c>
      <c r="EK262" t="str">
        <f>""</f>
        <v/>
      </c>
      <c r="EL262" t="str">
        <f>""</f>
        <v/>
      </c>
      <c r="EM262" t="str">
        <f>""</f>
        <v/>
      </c>
      <c r="EN262" t="str">
        <f>""</f>
        <v/>
      </c>
      <c r="EO262" t="str">
        <f>""</f>
        <v/>
      </c>
      <c r="EP262" t="str">
        <f>""</f>
        <v/>
      </c>
      <c r="EQ262" t="str">
        <f>""</f>
        <v/>
      </c>
      <c r="ER262" t="str">
        <f>""</f>
        <v/>
      </c>
      <c r="ES262" t="str">
        <f>""</f>
        <v/>
      </c>
      <c r="ET262" t="str">
        <f>""</f>
        <v/>
      </c>
      <c r="EU262" t="str">
        <f>""</f>
        <v/>
      </c>
      <c r="EV262" t="str">
        <f>""</f>
        <v/>
      </c>
      <c r="EW262" t="str">
        <f>""</f>
        <v/>
      </c>
      <c r="EX262" t="str">
        <f>""</f>
        <v/>
      </c>
      <c r="EY262" t="str">
        <f>""</f>
        <v/>
      </c>
      <c r="EZ262" t="str">
        <f>""</f>
        <v/>
      </c>
      <c r="FA262" t="str">
        <f>""</f>
        <v/>
      </c>
      <c r="FB262" t="str">
        <f>""</f>
        <v/>
      </c>
      <c r="FC262" t="str">
        <f>""</f>
        <v/>
      </c>
      <c r="FD262" t="str">
        <f>""</f>
        <v/>
      </c>
      <c r="FE262" t="str">
        <f>""</f>
        <v/>
      </c>
      <c r="FF262" t="str">
        <f>""</f>
        <v/>
      </c>
      <c r="FG262" t="str">
        <f>""</f>
        <v/>
      </c>
      <c r="FH262" t="str">
        <f>""</f>
        <v/>
      </c>
      <c r="FI262" t="str">
        <f>""</f>
        <v/>
      </c>
      <c r="FJ262" t="str">
        <f>""</f>
        <v/>
      </c>
      <c r="FK262" t="str">
        <f>""</f>
        <v/>
      </c>
      <c r="FL262" t="str">
        <f>""</f>
        <v/>
      </c>
      <c r="FM262" t="str">
        <f>""</f>
        <v/>
      </c>
      <c r="FN262" t="str">
        <f>""</f>
        <v/>
      </c>
      <c r="FO262" t="str">
        <f>""</f>
        <v/>
      </c>
      <c r="FP262" t="str">
        <f>""</f>
        <v/>
      </c>
      <c r="FQ262" t="str">
        <f>""</f>
        <v/>
      </c>
    </row>
    <row r="263" spans="1:173">
      <c r="A263" t="str">
        <f>$A$14</f>
        <v xml:space="preserve">    Camden 房地产信托公司</v>
      </c>
      <c r="B263" t="str">
        <f>$B$14</f>
        <v>CPT US Equity</v>
      </c>
      <c r="C263" t="str">
        <f>$C$14</f>
        <v>BE249</v>
      </c>
      <c r="D263" t="str">
        <f>$D$14</f>
        <v>BEST_PRICE_FFO_RATIO</v>
      </c>
      <c r="E263" t="str">
        <f>$E$14</f>
        <v>动态</v>
      </c>
      <c r="F263" t="str">
        <f ca="1">BDH($B$14,$C$14,$B$250,$B$251,CONCATENATE("Per=",$B$248),"Dts=H","Dir=H",CONCATENATE("Points=",$B$249),"Sort=R","Days=A","Fill=B","BE997=1BF",CONCATENATE("FX=", $B$247) )</f>
        <v>#N/A Authorization</v>
      </c>
      <c r="CL263" t="str">
        <f>""</f>
        <v/>
      </c>
      <c r="CM263" t="str">
        <f>""</f>
        <v/>
      </c>
      <c r="CN263" t="str">
        <f>""</f>
        <v/>
      </c>
      <c r="CO263" t="str">
        <f>""</f>
        <v/>
      </c>
      <c r="CP263" t="str">
        <f>""</f>
        <v/>
      </c>
      <c r="CQ263" t="str">
        <f>""</f>
        <v/>
      </c>
      <c r="CR263" t="str">
        <f>""</f>
        <v/>
      </c>
      <c r="CS263" t="str">
        <f>""</f>
        <v/>
      </c>
      <c r="CT263" t="str">
        <f>""</f>
        <v/>
      </c>
      <c r="CU263" t="str">
        <f>""</f>
        <v/>
      </c>
      <c r="CV263" t="str">
        <f>""</f>
        <v/>
      </c>
      <c r="CW263" t="str">
        <f>""</f>
        <v/>
      </c>
      <c r="CX263" t="str">
        <f>""</f>
        <v/>
      </c>
      <c r="CY263" t="str">
        <f>""</f>
        <v/>
      </c>
      <c r="CZ263" t="str">
        <f>""</f>
        <v/>
      </c>
      <c r="DA263" t="str">
        <f>""</f>
        <v/>
      </c>
      <c r="DB263" t="str">
        <f>""</f>
        <v/>
      </c>
      <c r="DC263" t="str">
        <f>""</f>
        <v/>
      </c>
      <c r="DD263" t="str">
        <f>""</f>
        <v/>
      </c>
      <c r="DE263" t="str">
        <f>""</f>
        <v/>
      </c>
      <c r="DF263" t="str">
        <f>""</f>
        <v/>
      </c>
      <c r="DG263" t="str">
        <f>""</f>
        <v/>
      </c>
      <c r="DH263" t="str">
        <f>""</f>
        <v/>
      </c>
      <c r="DI263" t="str">
        <f>""</f>
        <v/>
      </c>
      <c r="DJ263" t="str">
        <f>""</f>
        <v/>
      </c>
      <c r="DK263" t="str">
        <f>""</f>
        <v/>
      </c>
      <c r="DL263" t="str">
        <f>""</f>
        <v/>
      </c>
      <c r="DM263" t="str">
        <f>""</f>
        <v/>
      </c>
      <c r="DN263" t="str">
        <f>""</f>
        <v/>
      </c>
      <c r="DO263" t="str">
        <f>""</f>
        <v/>
      </c>
      <c r="DP263" t="str">
        <f>""</f>
        <v/>
      </c>
      <c r="DQ263" t="str">
        <f>""</f>
        <v/>
      </c>
      <c r="DR263" t="str">
        <f>""</f>
        <v/>
      </c>
      <c r="DS263" t="str">
        <f>""</f>
        <v/>
      </c>
      <c r="DT263" t="str">
        <f>""</f>
        <v/>
      </c>
      <c r="DU263" t="str">
        <f>""</f>
        <v/>
      </c>
      <c r="DV263" t="str">
        <f>""</f>
        <v/>
      </c>
      <c r="DW263" t="str">
        <f>""</f>
        <v/>
      </c>
      <c r="DX263" t="str">
        <f>""</f>
        <v/>
      </c>
      <c r="DY263" t="str">
        <f>""</f>
        <v/>
      </c>
      <c r="DZ263" t="str">
        <f>""</f>
        <v/>
      </c>
      <c r="EA263" t="str">
        <f>""</f>
        <v/>
      </c>
      <c r="EB263" t="str">
        <f>""</f>
        <v/>
      </c>
      <c r="EC263" t="str">
        <f>""</f>
        <v/>
      </c>
      <c r="ED263" t="str">
        <f>""</f>
        <v/>
      </c>
      <c r="EE263" t="str">
        <f>""</f>
        <v/>
      </c>
      <c r="EF263" t="str">
        <f>""</f>
        <v/>
      </c>
      <c r="EG263" t="str">
        <f>""</f>
        <v/>
      </c>
      <c r="EH263" t="str">
        <f>""</f>
        <v/>
      </c>
      <c r="EI263" t="str">
        <f>""</f>
        <v/>
      </c>
      <c r="EJ263" t="str">
        <f>""</f>
        <v/>
      </c>
      <c r="EK263" t="str">
        <f>""</f>
        <v/>
      </c>
      <c r="EL263" t="str">
        <f>""</f>
        <v/>
      </c>
      <c r="EM263" t="str">
        <f>""</f>
        <v/>
      </c>
      <c r="EN263" t="str">
        <f>""</f>
        <v/>
      </c>
      <c r="EO263" t="str">
        <f>""</f>
        <v/>
      </c>
      <c r="EP263" t="str">
        <f>""</f>
        <v/>
      </c>
      <c r="EQ263" t="str">
        <f>""</f>
        <v/>
      </c>
      <c r="ER263" t="str">
        <f>""</f>
        <v/>
      </c>
      <c r="ES263" t="str">
        <f>""</f>
        <v/>
      </c>
      <c r="ET263" t="str">
        <f>""</f>
        <v/>
      </c>
      <c r="EU263" t="str">
        <f>""</f>
        <v/>
      </c>
      <c r="EV263" t="str">
        <f>""</f>
        <v/>
      </c>
      <c r="EW263" t="str">
        <f>""</f>
        <v/>
      </c>
      <c r="EX263" t="str">
        <f>""</f>
        <v/>
      </c>
      <c r="EY263" t="str">
        <f>""</f>
        <v/>
      </c>
      <c r="EZ263" t="str">
        <f>""</f>
        <v/>
      </c>
      <c r="FA263" t="str">
        <f>""</f>
        <v/>
      </c>
      <c r="FB263" t="str">
        <f>""</f>
        <v/>
      </c>
      <c r="FC263" t="str">
        <f>""</f>
        <v/>
      </c>
      <c r="FD263" t="str">
        <f>""</f>
        <v/>
      </c>
      <c r="FE263" t="str">
        <f>""</f>
        <v/>
      </c>
      <c r="FF263" t="str">
        <f>""</f>
        <v/>
      </c>
      <c r="FG263" t="str">
        <f>""</f>
        <v/>
      </c>
      <c r="FH263" t="str">
        <f>""</f>
        <v/>
      </c>
      <c r="FI263" t="str">
        <f>""</f>
        <v/>
      </c>
      <c r="FJ263" t="str">
        <f>""</f>
        <v/>
      </c>
      <c r="FK263" t="str">
        <f>""</f>
        <v/>
      </c>
      <c r="FL263" t="str">
        <f>""</f>
        <v/>
      </c>
      <c r="FM263" t="str">
        <f>""</f>
        <v/>
      </c>
      <c r="FN263" t="str">
        <f>""</f>
        <v/>
      </c>
      <c r="FO263" t="str">
        <f>""</f>
        <v/>
      </c>
      <c r="FP263" t="str">
        <f>""</f>
        <v/>
      </c>
      <c r="FQ263" t="str">
        <f>""</f>
        <v/>
      </c>
    </row>
    <row r="264" spans="1:173">
      <c r="A264" t="str">
        <f>$A$15</f>
        <v xml:space="preserve">    公寓物业权益信托</v>
      </c>
      <c r="B264" t="str">
        <f>$B$15</f>
        <v>EQR US Equity</v>
      </c>
      <c r="C264" t="str">
        <f>$C$15</f>
        <v>BE249</v>
      </c>
      <c r="D264" t="str">
        <f>$D$15</f>
        <v>BEST_PRICE_FFO_RATIO</v>
      </c>
      <c r="E264" t="str">
        <f>$E$15</f>
        <v>动态</v>
      </c>
      <c r="F264" t="str">
        <f ca="1">BDH($B$15,$C$15,$B$250,$B$251,CONCATENATE("Per=",$B$248),"Dts=H","Dir=H",CONCATENATE("Points=",$B$249),"Sort=R","Days=A","Fill=B","BE997=1BF",CONCATENATE("FX=", $B$247) )</f>
        <v>#N/A Authorization</v>
      </c>
      <c r="CL264" t="str">
        <f>""</f>
        <v/>
      </c>
      <c r="CM264" t="str">
        <f>""</f>
        <v/>
      </c>
      <c r="CN264" t="str">
        <f>""</f>
        <v/>
      </c>
      <c r="CO264" t="str">
        <f>""</f>
        <v/>
      </c>
      <c r="CP264" t="str">
        <f>""</f>
        <v/>
      </c>
      <c r="CQ264" t="str">
        <f>""</f>
        <v/>
      </c>
      <c r="CR264" t="str">
        <f>""</f>
        <v/>
      </c>
      <c r="CS264" t="str">
        <f>""</f>
        <v/>
      </c>
      <c r="CT264" t="str">
        <f>""</f>
        <v/>
      </c>
      <c r="CU264" t="str">
        <f>""</f>
        <v/>
      </c>
      <c r="CV264" t="str">
        <f>""</f>
        <v/>
      </c>
      <c r="CW264" t="str">
        <f>""</f>
        <v/>
      </c>
      <c r="CX264" t="str">
        <f>""</f>
        <v/>
      </c>
      <c r="CY264" t="str">
        <f>""</f>
        <v/>
      </c>
      <c r="CZ264" t="str">
        <f>""</f>
        <v/>
      </c>
      <c r="DA264" t="str">
        <f>""</f>
        <v/>
      </c>
      <c r="DB264" t="str">
        <f>""</f>
        <v/>
      </c>
      <c r="DC264" t="str">
        <f>""</f>
        <v/>
      </c>
      <c r="DD264" t="str">
        <f>""</f>
        <v/>
      </c>
      <c r="DE264" t="str">
        <f>""</f>
        <v/>
      </c>
      <c r="DF264" t="str">
        <f>""</f>
        <v/>
      </c>
      <c r="DG264" t="str">
        <f>""</f>
        <v/>
      </c>
      <c r="DH264" t="str">
        <f>""</f>
        <v/>
      </c>
      <c r="DI264" t="str">
        <f>""</f>
        <v/>
      </c>
      <c r="DJ264" t="str">
        <f>""</f>
        <v/>
      </c>
      <c r="DK264" t="str">
        <f>""</f>
        <v/>
      </c>
      <c r="DL264" t="str">
        <f>""</f>
        <v/>
      </c>
      <c r="DM264" t="str">
        <f>""</f>
        <v/>
      </c>
      <c r="DN264" t="str">
        <f>""</f>
        <v/>
      </c>
      <c r="DO264" t="str">
        <f>""</f>
        <v/>
      </c>
      <c r="DP264" t="str">
        <f>""</f>
        <v/>
      </c>
      <c r="DQ264" t="str">
        <f>""</f>
        <v/>
      </c>
      <c r="DR264" t="str">
        <f>""</f>
        <v/>
      </c>
      <c r="DS264" t="str">
        <f>""</f>
        <v/>
      </c>
      <c r="DT264" t="str">
        <f>""</f>
        <v/>
      </c>
      <c r="DU264" t="str">
        <f>""</f>
        <v/>
      </c>
      <c r="DV264" t="str">
        <f>""</f>
        <v/>
      </c>
      <c r="DW264" t="str">
        <f>""</f>
        <v/>
      </c>
      <c r="DX264" t="str">
        <f>""</f>
        <v/>
      </c>
      <c r="DY264" t="str">
        <f>""</f>
        <v/>
      </c>
      <c r="DZ264" t="str">
        <f>""</f>
        <v/>
      </c>
      <c r="EA264" t="str">
        <f>""</f>
        <v/>
      </c>
      <c r="EB264" t="str">
        <f>""</f>
        <v/>
      </c>
      <c r="EC264" t="str">
        <f>""</f>
        <v/>
      </c>
      <c r="ED264" t="str">
        <f>""</f>
        <v/>
      </c>
      <c r="EE264" t="str">
        <f>""</f>
        <v/>
      </c>
      <c r="EF264" t="str">
        <f>""</f>
        <v/>
      </c>
      <c r="EG264" t="str">
        <f>""</f>
        <v/>
      </c>
      <c r="EH264" t="str">
        <f>""</f>
        <v/>
      </c>
      <c r="EI264" t="str">
        <f>""</f>
        <v/>
      </c>
      <c r="EJ264" t="str">
        <f>""</f>
        <v/>
      </c>
      <c r="EK264" t="str">
        <f>""</f>
        <v/>
      </c>
      <c r="EL264" t="str">
        <f>""</f>
        <v/>
      </c>
      <c r="EM264" t="str">
        <f>""</f>
        <v/>
      </c>
      <c r="EN264" t="str">
        <f>""</f>
        <v/>
      </c>
      <c r="EO264" t="str">
        <f>""</f>
        <v/>
      </c>
      <c r="EP264" t="str">
        <f>""</f>
        <v/>
      </c>
      <c r="EQ264" t="str">
        <f>""</f>
        <v/>
      </c>
      <c r="ER264" t="str">
        <f>""</f>
        <v/>
      </c>
      <c r="ES264" t="str">
        <f>""</f>
        <v/>
      </c>
      <c r="ET264" t="str">
        <f>""</f>
        <v/>
      </c>
      <c r="EU264" t="str">
        <f>""</f>
        <v/>
      </c>
      <c r="EV264" t="str">
        <f>""</f>
        <v/>
      </c>
      <c r="EW264" t="str">
        <f>""</f>
        <v/>
      </c>
      <c r="EX264" t="str">
        <f>""</f>
        <v/>
      </c>
      <c r="EY264" t="str">
        <f>""</f>
        <v/>
      </c>
      <c r="EZ264" t="str">
        <f>""</f>
        <v/>
      </c>
      <c r="FA264" t="str">
        <f>""</f>
        <v/>
      </c>
      <c r="FB264" t="str">
        <f>""</f>
        <v/>
      </c>
      <c r="FC264" t="str">
        <f>""</f>
        <v/>
      </c>
      <c r="FD264" t="str">
        <f>""</f>
        <v/>
      </c>
      <c r="FE264" t="str">
        <f>""</f>
        <v/>
      </c>
      <c r="FF264" t="str">
        <f>""</f>
        <v/>
      </c>
      <c r="FG264" t="str">
        <f>""</f>
        <v/>
      </c>
      <c r="FH264" t="str">
        <f>""</f>
        <v/>
      </c>
      <c r="FI264" t="str">
        <f>""</f>
        <v/>
      </c>
      <c r="FJ264" t="str">
        <f>""</f>
        <v/>
      </c>
      <c r="FK264" t="str">
        <f>""</f>
        <v/>
      </c>
      <c r="FL264" t="str">
        <f>""</f>
        <v/>
      </c>
      <c r="FM264" t="str">
        <f>""</f>
        <v/>
      </c>
      <c r="FN264" t="str">
        <f>""</f>
        <v/>
      </c>
      <c r="FO264" t="str">
        <f>""</f>
        <v/>
      </c>
      <c r="FP264" t="str">
        <f>""</f>
        <v/>
      </c>
      <c r="FQ264" t="str">
        <f>""</f>
        <v/>
      </c>
    </row>
    <row r="265" spans="1:173">
      <c r="A265" t="str">
        <f>$A$16</f>
        <v xml:space="preserve">    埃塞克斯房地产信托公司</v>
      </c>
      <c r="B265" t="str">
        <f>$B$16</f>
        <v>ESS US Equity</v>
      </c>
      <c r="C265" t="str">
        <f>$C$16</f>
        <v>BE249</v>
      </c>
      <c r="D265" t="str">
        <f>$D$16</f>
        <v>BEST_PRICE_FFO_RATIO</v>
      </c>
      <c r="E265" t="str">
        <f>$E$16</f>
        <v>动态</v>
      </c>
      <c r="F265" t="str">
        <f ca="1">BDH($B$16,$C$16,$B$250,$B$251,CONCATENATE("Per=",$B$248),"Dts=H","Dir=H",CONCATENATE("Points=",$B$249),"Sort=R","Days=A","Fill=B","BE997=1BF",CONCATENATE("FX=", $B$247) )</f>
        <v>#N/A Authorization</v>
      </c>
      <c r="CL265" t="str">
        <f>""</f>
        <v/>
      </c>
      <c r="CM265" t="str">
        <f>""</f>
        <v/>
      </c>
      <c r="CN265" t="str">
        <f>""</f>
        <v/>
      </c>
      <c r="CO265" t="str">
        <f>""</f>
        <v/>
      </c>
      <c r="CP265" t="str">
        <f>""</f>
        <v/>
      </c>
      <c r="CQ265" t="str">
        <f>""</f>
        <v/>
      </c>
      <c r="CR265" t="str">
        <f>""</f>
        <v/>
      </c>
      <c r="CS265" t="str">
        <f>""</f>
        <v/>
      </c>
      <c r="CT265" t="str">
        <f>""</f>
        <v/>
      </c>
      <c r="CU265" t="str">
        <f>""</f>
        <v/>
      </c>
      <c r="CV265" t="str">
        <f>""</f>
        <v/>
      </c>
      <c r="CW265" t="str">
        <f>""</f>
        <v/>
      </c>
      <c r="CX265" t="str">
        <f>""</f>
        <v/>
      </c>
      <c r="CY265" t="str">
        <f>""</f>
        <v/>
      </c>
      <c r="CZ265" t="str">
        <f>""</f>
        <v/>
      </c>
      <c r="DA265" t="str">
        <f>""</f>
        <v/>
      </c>
      <c r="DB265" t="str">
        <f>""</f>
        <v/>
      </c>
      <c r="DC265" t="str">
        <f>""</f>
        <v/>
      </c>
      <c r="DD265" t="str">
        <f>""</f>
        <v/>
      </c>
      <c r="DE265" t="str">
        <f>""</f>
        <v/>
      </c>
      <c r="DF265" t="str">
        <f>""</f>
        <v/>
      </c>
      <c r="DG265" t="str">
        <f>""</f>
        <v/>
      </c>
      <c r="DH265" t="str">
        <f>""</f>
        <v/>
      </c>
      <c r="DI265" t="str">
        <f>""</f>
        <v/>
      </c>
      <c r="DJ265" t="str">
        <f>""</f>
        <v/>
      </c>
      <c r="DK265" t="str">
        <f>""</f>
        <v/>
      </c>
      <c r="DL265" t="str">
        <f>""</f>
        <v/>
      </c>
      <c r="DM265" t="str">
        <f>""</f>
        <v/>
      </c>
      <c r="DN265" t="str">
        <f>""</f>
        <v/>
      </c>
      <c r="DO265" t="str">
        <f>""</f>
        <v/>
      </c>
      <c r="DP265" t="str">
        <f>""</f>
        <v/>
      </c>
      <c r="DQ265" t="str">
        <f>""</f>
        <v/>
      </c>
      <c r="DR265" t="str">
        <f>""</f>
        <v/>
      </c>
      <c r="DS265" t="str">
        <f>""</f>
        <v/>
      </c>
      <c r="DT265" t="str">
        <f>""</f>
        <v/>
      </c>
      <c r="DU265" t="str">
        <f>""</f>
        <v/>
      </c>
      <c r="DV265" t="str">
        <f>""</f>
        <v/>
      </c>
      <c r="DW265" t="str">
        <f>""</f>
        <v/>
      </c>
      <c r="DX265" t="str">
        <f>""</f>
        <v/>
      </c>
      <c r="DY265" t="str">
        <f>""</f>
        <v/>
      </c>
      <c r="DZ265" t="str">
        <f>""</f>
        <v/>
      </c>
      <c r="EA265" t="str">
        <f>""</f>
        <v/>
      </c>
      <c r="EB265" t="str">
        <f>""</f>
        <v/>
      </c>
      <c r="EC265" t="str">
        <f>""</f>
        <v/>
      </c>
      <c r="ED265" t="str">
        <f>""</f>
        <v/>
      </c>
      <c r="EE265" t="str">
        <f>""</f>
        <v/>
      </c>
      <c r="EF265" t="str">
        <f>""</f>
        <v/>
      </c>
      <c r="EG265" t="str">
        <f>""</f>
        <v/>
      </c>
      <c r="EH265" t="str">
        <f>""</f>
        <v/>
      </c>
      <c r="EI265" t="str">
        <f>""</f>
        <v/>
      </c>
      <c r="EJ265" t="str">
        <f>""</f>
        <v/>
      </c>
      <c r="EK265" t="str">
        <f>""</f>
        <v/>
      </c>
      <c r="EL265" t="str">
        <f>""</f>
        <v/>
      </c>
      <c r="EM265" t="str">
        <f>""</f>
        <v/>
      </c>
      <c r="EN265" t="str">
        <f>""</f>
        <v/>
      </c>
      <c r="EO265" t="str">
        <f>""</f>
        <v/>
      </c>
      <c r="EP265" t="str">
        <f>""</f>
        <v/>
      </c>
      <c r="EQ265" t="str">
        <f>""</f>
        <v/>
      </c>
      <c r="ER265" t="str">
        <f>""</f>
        <v/>
      </c>
      <c r="ES265" t="str">
        <f>""</f>
        <v/>
      </c>
      <c r="ET265" t="str">
        <f>""</f>
        <v/>
      </c>
      <c r="EU265" t="str">
        <f>""</f>
        <v/>
      </c>
      <c r="EV265" t="str">
        <f>""</f>
        <v/>
      </c>
      <c r="EW265" t="str">
        <f>""</f>
        <v/>
      </c>
      <c r="EX265" t="str">
        <f>""</f>
        <v/>
      </c>
      <c r="EY265" t="str">
        <f>""</f>
        <v/>
      </c>
      <c r="EZ265" t="str">
        <f>""</f>
        <v/>
      </c>
      <c r="FA265" t="str">
        <f>""</f>
        <v/>
      </c>
      <c r="FB265" t="str">
        <f>""</f>
        <v/>
      </c>
      <c r="FC265" t="str">
        <f>""</f>
        <v/>
      </c>
      <c r="FD265" t="str">
        <f>""</f>
        <v/>
      </c>
      <c r="FE265" t="str">
        <f>""</f>
        <v/>
      </c>
      <c r="FF265" t="str">
        <f>""</f>
        <v/>
      </c>
      <c r="FG265" t="str">
        <f>""</f>
        <v/>
      </c>
      <c r="FH265" t="str">
        <f>""</f>
        <v/>
      </c>
      <c r="FI265" t="str">
        <f>""</f>
        <v/>
      </c>
      <c r="FJ265" t="str">
        <f>""</f>
        <v/>
      </c>
      <c r="FK265" t="str">
        <f>""</f>
        <v/>
      </c>
      <c r="FL265" t="str">
        <f>""</f>
        <v/>
      </c>
      <c r="FM265" t="str">
        <f>""</f>
        <v/>
      </c>
      <c r="FN265" t="str">
        <f>""</f>
        <v/>
      </c>
      <c r="FO265" t="str">
        <f>""</f>
        <v/>
      </c>
      <c r="FP265" t="str">
        <f>""</f>
        <v/>
      </c>
      <c r="FQ265" t="str">
        <f>""</f>
        <v/>
      </c>
    </row>
    <row r="266" spans="1:173">
      <c r="A266" t="str">
        <f>$A$17</f>
        <v xml:space="preserve">    Mid-America Apartment Communities股份有限公司</v>
      </c>
      <c r="B266" t="str">
        <f>$B$17</f>
        <v>MAA US Equity</v>
      </c>
      <c r="C266" t="str">
        <f>$C$17</f>
        <v>BE249</v>
      </c>
      <c r="D266" t="str">
        <f>$D$17</f>
        <v>BEST_PRICE_FFO_RATIO</v>
      </c>
      <c r="E266" t="str">
        <f>$E$17</f>
        <v>动态</v>
      </c>
      <c r="F266" t="str">
        <f ca="1">BDH($B$17,$C$17,$B$250,$B$251,CONCATENATE("Per=",$B$248),"Dts=H","Dir=H",CONCATENATE("Points=",$B$249),"Sort=R","Days=A","Fill=B","BE997=1BF",CONCATENATE("FX=", $B$247) )</f>
        <v>#N/A Authorization</v>
      </c>
      <c r="CL266" t="str">
        <f>""</f>
        <v/>
      </c>
      <c r="CM266" t="str">
        <f>""</f>
        <v/>
      </c>
      <c r="CN266" t="str">
        <f>""</f>
        <v/>
      </c>
      <c r="CO266" t="str">
        <f>""</f>
        <v/>
      </c>
      <c r="CP266" t="str">
        <f>""</f>
        <v/>
      </c>
      <c r="CQ266" t="str">
        <f>""</f>
        <v/>
      </c>
      <c r="CR266" t="str">
        <f>""</f>
        <v/>
      </c>
      <c r="CS266" t="str">
        <f>""</f>
        <v/>
      </c>
      <c r="CT266" t="str">
        <f>""</f>
        <v/>
      </c>
      <c r="CU266" t="str">
        <f>""</f>
        <v/>
      </c>
      <c r="CV266" t="str">
        <f>""</f>
        <v/>
      </c>
      <c r="CW266" t="str">
        <f>""</f>
        <v/>
      </c>
      <c r="CX266" t="str">
        <f>""</f>
        <v/>
      </c>
      <c r="CY266" t="str">
        <f>""</f>
        <v/>
      </c>
      <c r="CZ266" t="str">
        <f>""</f>
        <v/>
      </c>
      <c r="DA266" t="str">
        <f>""</f>
        <v/>
      </c>
      <c r="DB266" t="str">
        <f>""</f>
        <v/>
      </c>
      <c r="DC266" t="str">
        <f>""</f>
        <v/>
      </c>
      <c r="DD266" t="str">
        <f>""</f>
        <v/>
      </c>
      <c r="DE266" t="str">
        <f>""</f>
        <v/>
      </c>
      <c r="DF266" t="str">
        <f>""</f>
        <v/>
      </c>
      <c r="DG266" t="str">
        <f>""</f>
        <v/>
      </c>
      <c r="DH266" t="str">
        <f>""</f>
        <v/>
      </c>
      <c r="DI266" t="str">
        <f>""</f>
        <v/>
      </c>
      <c r="DJ266" t="str">
        <f>""</f>
        <v/>
      </c>
      <c r="DK266" t="str">
        <f>""</f>
        <v/>
      </c>
      <c r="DL266" t="str">
        <f>""</f>
        <v/>
      </c>
      <c r="DM266" t="str">
        <f>""</f>
        <v/>
      </c>
      <c r="DN266" t="str">
        <f>""</f>
        <v/>
      </c>
      <c r="DO266" t="str">
        <f>""</f>
        <v/>
      </c>
      <c r="DP266" t="str">
        <f>""</f>
        <v/>
      </c>
      <c r="DQ266" t="str">
        <f>""</f>
        <v/>
      </c>
      <c r="DR266" t="str">
        <f>""</f>
        <v/>
      </c>
      <c r="DS266" t="str">
        <f>""</f>
        <v/>
      </c>
      <c r="DT266" t="str">
        <f>""</f>
        <v/>
      </c>
      <c r="DU266" t="str">
        <f>""</f>
        <v/>
      </c>
      <c r="DV266" t="str">
        <f>""</f>
        <v/>
      </c>
      <c r="DW266" t="str">
        <f>""</f>
        <v/>
      </c>
      <c r="DX266" t="str">
        <f>""</f>
        <v/>
      </c>
      <c r="DY266" t="str">
        <f>""</f>
        <v/>
      </c>
      <c r="DZ266" t="str">
        <f>""</f>
        <v/>
      </c>
      <c r="EA266" t="str">
        <f>""</f>
        <v/>
      </c>
      <c r="EB266" t="str">
        <f>""</f>
        <v/>
      </c>
      <c r="EC266" t="str">
        <f>""</f>
        <v/>
      </c>
      <c r="ED266" t="str">
        <f>""</f>
        <v/>
      </c>
      <c r="EE266" t="str">
        <f>""</f>
        <v/>
      </c>
      <c r="EF266" t="str">
        <f>""</f>
        <v/>
      </c>
      <c r="EG266" t="str">
        <f>""</f>
        <v/>
      </c>
      <c r="EH266" t="str">
        <f>""</f>
        <v/>
      </c>
      <c r="EI266" t="str">
        <f>""</f>
        <v/>
      </c>
      <c r="EJ266" t="str">
        <f>""</f>
        <v/>
      </c>
      <c r="EK266" t="str">
        <f>""</f>
        <v/>
      </c>
      <c r="EL266" t="str">
        <f>""</f>
        <v/>
      </c>
      <c r="EM266" t="str">
        <f>""</f>
        <v/>
      </c>
      <c r="EN266" t="str">
        <f>""</f>
        <v/>
      </c>
      <c r="EO266" t="str">
        <f>""</f>
        <v/>
      </c>
      <c r="EP266" t="str">
        <f>""</f>
        <v/>
      </c>
      <c r="EQ266" t="str">
        <f>""</f>
        <v/>
      </c>
      <c r="ER266" t="str">
        <f>""</f>
        <v/>
      </c>
      <c r="ES266" t="str">
        <f>""</f>
        <v/>
      </c>
      <c r="ET266" t="str">
        <f>""</f>
        <v/>
      </c>
      <c r="EU266" t="str">
        <f>""</f>
        <v/>
      </c>
      <c r="EV266" t="str">
        <f>""</f>
        <v/>
      </c>
      <c r="EW266" t="str">
        <f>""</f>
        <v/>
      </c>
      <c r="EX266" t="str">
        <f>""</f>
        <v/>
      </c>
      <c r="EY266" t="str">
        <f>""</f>
        <v/>
      </c>
      <c r="EZ266" t="str">
        <f>""</f>
        <v/>
      </c>
      <c r="FA266" t="str">
        <f>""</f>
        <v/>
      </c>
      <c r="FB266" t="str">
        <f>""</f>
        <v/>
      </c>
      <c r="FC266" t="str">
        <f>""</f>
        <v/>
      </c>
      <c r="FD266" t="str">
        <f>""</f>
        <v/>
      </c>
      <c r="FE266" t="str">
        <f>""</f>
        <v/>
      </c>
      <c r="FF266" t="str">
        <f>""</f>
        <v/>
      </c>
      <c r="FG266" t="str">
        <f>""</f>
        <v/>
      </c>
      <c r="FH266" t="str">
        <f>""</f>
        <v/>
      </c>
      <c r="FI266" t="str">
        <f>""</f>
        <v/>
      </c>
      <c r="FJ266" t="str">
        <f>""</f>
        <v/>
      </c>
      <c r="FK266" t="str">
        <f>""</f>
        <v/>
      </c>
      <c r="FL266" t="str">
        <f>""</f>
        <v/>
      </c>
      <c r="FM266" t="str">
        <f>""</f>
        <v/>
      </c>
      <c r="FN266" t="str">
        <f>""</f>
        <v/>
      </c>
      <c r="FO266" t="str">
        <f>""</f>
        <v/>
      </c>
      <c r="FP266" t="str">
        <f>""</f>
        <v/>
      </c>
      <c r="FQ266" t="str">
        <f>""</f>
        <v/>
      </c>
    </row>
    <row r="267" spans="1:173">
      <c r="A267" t="str">
        <f>$A$18</f>
        <v xml:space="preserve">    UDR 公司</v>
      </c>
      <c r="B267" t="str">
        <f>$B$18</f>
        <v>UDR US Equity</v>
      </c>
      <c r="C267" t="str">
        <f>$C$18</f>
        <v>BE249</v>
      </c>
      <c r="D267" t="str">
        <f>$D$18</f>
        <v>BEST_PRICE_FFO_RATIO</v>
      </c>
      <c r="E267" t="str">
        <f>$E$18</f>
        <v>动态</v>
      </c>
      <c r="F267" t="str">
        <f ca="1">BDH($B$18,$C$18,$B$250,$B$251,CONCATENATE("Per=",$B$248),"Dts=H","Dir=H",CONCATENATE("Points=",$B$249),"Sort=R","Days=A","Fill=B","BE997=1BF",CONCATENATE("FX=", $B$247) )</f>
        <v>#N/A Authorization</v>
      </c>
      <c r="CL267" t="str">
        <f>""</f>
        <v/>
      </c>
      <c r="CM267" t="str">
        <f>""</f>
        <v/>
      </c>
      <c r="CN267" t="str">
        <f>""</f>
        <v/>
      </c>
      <c r="CO267" t="str">
        <f>""</f>
        <v/>
      </c>
      <c r="CP267" t="str">
        <f>""</f>
        <v/>
      </c>
      <c r="CQ267" t="str">
        <f>""</f>
        <v/>
      </c>
      <c r="CR267" t="str">
        <f>""</f>
        <v/>
      </c>
      <c r="CS267" t="str">
        <f>""</f>
        <v/>
      </c>
      <c r="CT267" t="str">
        <f>""</f>
        <v/>
      </c>
      <c r="CU267" t="str">
        <f>""</f>
        <v/>
      </c>
      <c r="CV267" t="str">
        <f>""</f>
        <v/>
      </c>
      <c r="CW267" t="str">
        <f>""</f>
        <v/>
      </c>
      <c r="CX267" t="str">
        <f>""</f>
        <v/>
      </c>
      <c r="CY267" t="str">
        <f>""</f>
        <v/>
      </c>
      <c r="CZ267" t="str">
        <f>""</f>
        <v/>
      </c>
      <c r="DA267" t="str">
        <f>""</f>
        <v/>
      </c>
      <c r="DB267" t="str">
        <f>""</f>
        <v/>
      </c>
      <c r="DC267" t="str">
        <f>""</f>
        <v/>
      </c>
      <c r="DD267" t="str">
        <f>""</f>
        <v/>
      </c>
      <c r="DE267" t="str">
        <f>""</f>
        <v/>
      </c>
      <c r="DF267" t="str">
        <f>""</f>
        <v/>
      </c>
      <c r="DG267" t="str">
        <f>""</f>
        <v/>
      </c>
      <c r="DH267" t="str">
        <f>""</f>
        <v/>
      </c>
      <c r="DI267" t="str">
        <f>""</f>
        <v/>
      </c>
      <c r="DJ267" t="str">
        <f>""</f>
        <v/>
      </c>
      <c r="DK267" t="str">
        <f>""</f>
        <v/>
      </c>
      <c r="DL267" t="str">
        <f>""</f>
        <v/>
      </c>
      <c r="DM267" t="str">
        <f>""</f>
        <v/>
      </c>
      <c r="DN267" t="str">
        <f>""</f>
        <v/>
      </c>
      <c r="DO267" t="str">
        <f>""</f>
        <v/>
      </c>
      <c r="DP267" t="str">
        <f>""</f>
        <v/>
      </c>
      <c r="DQ267" t="str">
        <f>""</f>
        <v/>
      </c>
      <c r="DR267" t="str">
        <f>""</f>
        <v/>
      </c>
      <c r="DS267" t="str">
        <f>""</f>
        <v/>
      </c>
      <c r="DT267" t="str">
        <f>""</f>
        <v/>
      </c>
      <c r="DU267" t="str">
        <f>""</f>
        <v/>
      </c>
      <c r="DV267" t="str">
        <f>""</f>
        <v/>
      </c>
      <c r="DW267" t="str">
        <f>""</f>
        <v/>
      </c>
      <c r="DX267" t="str">
        <f>""</f>
        <v/>
      </c>
      <c r="DY267" t="str">
        <f>""</f>
        <v/>
      </c>
      <c r="DZ267" t="str">
        <f>""</f>
        <v/>
      </c>
      <c r="EA267" t="str">
        <f>""</f>
        <v/>
      </c>
      <c r="EB267" t="str">
        <f>""</f>
        <v/>
      </c>
      <c r="EC267" t="str">
        <f>""</f>
        <v/>
      </c>
      <c r="ED267" t="str">
        <f>""</f>
        <v/>
      </c>
      <c r="EE267" t="str">
        <f>""</f>
        <v/>
      </c>
      <c r="EF267" t="str">
        <f>""</f>
        <v/>
      </c>
      <c r="EG267" t="str">
        <f>""</f>
        <v/>
      </c>
      <c r="EH267" t="str">
        <f>""</f>
        <v/>
      </c>
      <c r="EI267" t="str">
        <f>""</f>
        <v/>
      </c>
      <c r="EJ267" t="str">
        <f>""</f>
        <v/>
      </c>
      <c r="EK267" t="str">
        <f>""</f>
        <v/>
      </c>
      <c r="EL267" t="str">
        <f>""</f>
        <v/>
      </c>
      <c r="EM267" t="str">
        <f>""</f>
        <v/>
      </c>
      <c r="EN267" t="str">
        <f>""</f>
        <v/>
      </c>
      <c r="EO267" t="str">
        <f>""</f>
        <v/>
      </c>
      <c r="EP267" t="str">
        <f>""</f>
        <v/>
      </c>
      <c r="EQ267" t="str">
        <f>""</f>
        <v/>
      </c>
      <c r="ER267" t="str">
        <f>""</f>
        <v/>
      </c>
      <c r="ES267" t="str">
        <f>""</f>
        <v/>
      </c>
      <c r="ET267" t="str">
        <f>""</f>
        <v/>
      </c>
      <c r="EU267" t="str">
        <f>""</f>
        <v/>
      </c>
      <c r="EV267" t="str">
        <f>""</f>
        <v/>
      </c>
      <c r="EW267" t="str">
        <f>""</f>
        <v/>
      </c>
      <c r="EX267" t="str">
        <f>""</f>
        <v/>
      </c>
      <c r="EY267" t="str">
        <f>""</f>
        <v/>
      </c>
      <c r="EZ267" t="str">
        <f>""</f>
        <v/>
      </c>
      <c r="FA267" t="str">
        <f>""</f>
        <v/>
      </c>
      <c r="FB267" t="str">
        <f>""</f>
        <v/>
      </c>
      <c r="FC267" t="str">
        <f>""</f>
        <v/>
      </c>
      <c r="FD267" t="str">
        <f>""</f>
        <v/>
      </c>
      <c r="FE267" t="str">
        <f>""</f>
        <v/>
      </c>
      <c r="FF267" t="str">
        <f>""</f>
        <v/>
      </c>
      <c r="FG267" t="str">
        <f>""</f>
        <v/>
      </c>
      <c r="FH267" t="str">
        <f>""</f>
        <v/>
      </c>
      <c r="FI267" t="str">
        <f>""</f>
        <v/>
      </c>
      <c r="FJ267" t="str">
        <f>""</f>
        <v/>
      </c>
      <c r="FK267" t="str">
        <f>""</f>
        <v/>
      </c>
      <c r="FL267" t="str">
        <f>""</f>
        <v/>
      </c>
      <c r="FM267" t="str">
        <f>""</f>
        <v/>
      </c>
      <c r="FN267" t="str">
        <f>""</f>
        <v/>
      </c>
      <c r="FO267" t="str">
        <f>""</f>
        <v/>
      </c>
      <c r="FP267" t="str">
        <f>""</f>
        <v/>
      </c>
      <c r="FQ267" t="str">
        <f>""</f>
        <v/>
      </c>
    </row>
    <row r="268" spans="1:173">
      <c r="A268" t="str">
        <f>$A$20</f>
        <v xml:space="preserve">    公寓投资与管理</v>
      </c>
      <c r="B268" t="str">
        <f>$B$20</f>
        <v>AIV US Equity</v>
      </c>
      <c r="C268" t="str">
        <f>$C$20</f>
        <v>BE249</v>
      </c>
      <c r="D268" t="str">
        <f>$D$20</f>
        <v>BEST_PRICE_FFO_RATIO</v>
      </c>
      <c r="E268" t="str">
        <f>$E$20</f>
        <v>动态</v>
      </c>
      <c r="F268" t="str">
        <f ca="1">BDH($B$20,$C$20,$B$250,$B$251,CONCATENATE("Per=",$B$248),"Dts=H","Dir=H",CONCATENATE("Points=",$B$249),"Sort=R","Days=A","Fill=B","BE997=17Y",CONCATENATE("FX=", $B$247) )</f>
        <v>#N/A Authorization</v>
      </c>
      <c r="CL268" t="str">
        <f>""</f>
        <v/>
      </c>
      <c r="CM268" t="str">
        <f>""</f>
        <v/>
      </c>
      <c r="CN268" t="str">
        <f>""</f>
        <v/>
      </c>
      <c r="CO268" t="str">
        <f>""</f>
        <v/>
      </c>
      <c r="CP268" t="str">
        <f>""</f>
        <v/>
      </c>
      <c r="CQ268" t="str">
        <f>""</f>
        <v/>
      </c>
      <c r="CR268" t="str">
        <f>""</f>
        <v/>
      </c>
      <c r="CS268" t="str">
        <f>""</f>
        <v/>
      </c>
      <c r="CT268" t="str">
        <f>""</f>
        <v/>
      </c>
      <c r="CU268" t="str">
        <f>""</f>
        <v/>
      </c>
      <c r="CV268" t="str">
        <f>""</f>
        <v/>
      </c>
      <c r="CW268" t="str">
        <f>""</f>
        <v/>
      </c>
      <c r="CX268" t="str">
        <f>""</f>
        <v/>
      </c>
      <c r="CY268" t="str">
        <f>""</f>
        <v/>
      </c>
      <c r="CZ268" t="str">
        <f>""</f>
        <v/>
      </c>
      <c r="DA268" t="str">
        <f>""</f>
        <v/>
      </c>
      <c r="DB268" t="str">
        <f>""</f>
        <v/>
      </c>
      <c r="DC268" t="str">
        <f>""</f>
        <v/>
      </c>
      <c r="DD268" t="str">
        <f>""</f>
        <v/>
      </c>
      <c r="DE268" t="str">
        <f>""</f>
        <v/>
      </c>
      <c r="DF268" t="str">
        <f>""</f>
        <v/>
      </c>
      <c r="DG268" t="str">
        <f>""</f>
        <v/>
      </c>
      <c r="DH268" t="str">
        <f>""</f>
        <v/>
      </c>
      <c r="DI268" t="str">
        <f>""</f>
        <v/>
      </c>
      <c r="DJ268" t="str">
        <f>""</f>
        <v/>
      </c>
      <c r="DK268" t="str">
        <f>""</f>
        <v/>
      </c>
      <c r="DL268" t="str">
        <f>""</f>
        <v/>
      </c>
      <c r="DM268" t="str">
        <f>""</f>
        <v/>
      </c>
      <c r="DN268" t="str">
        <f>""</f>
        <v/>
      </c>
      <c r="DO268" t="str">
        <f>""</f>
        <v/>
      </c>
      <c r="DP268" t="str">
        <f>""</f>
        <v/>
      </c>
      <c r="DQ268" t="str">
        <f>""</f>
        <v/>
      </c>
      <c r="DR268" t="str">
        <f>""</f>
        <v/>
      </c>
      <c r="DS268" t="str">
        <f>""</f>
        <v/>
      </c>
      <c r="DT268" t="str">
        <f>""</f>
        <v/>
      </c>
      <c r="DU268" t="str">
        <f>""</f>
        <v/>
      </c>
      <c r="DV268" t="str">
        <f>""</f>
        <v/>
      </c>
      <c r="DW268" t="str">
        <f>""</f>
        <v/>
      </c>
      <c r="DX268" t="str">
        <f>""</f>
        <v/>
      </c>
      <c r="DY268" t="str">
        <f>""</f>
        <v/>
      </c>
      <c r="DZ268" t="str">
        <f>""</f>
        <v/>
      </c>
      <c r="EA268" t="str">
        <f>""</f>
        <v/>
      </c>
      <c r="EB268" t="str">
        <f>""</f>
        <v/>
      </c>
      <c r="EC268" t="str">
        <f>""</f>
        <v/>
      </c>
      <c r="ED268" t="str">
        <f>""</f>
        <v/>
      </c>
      <c r="EE268" t="str">
        <f>""</f>
        <v/>
      </c>
      <c r="EF268" t="str">
        <f>""</f>
        <v/>
      </c>
      <c r="EG268" t="str">
        <f>""</f>
        <v/>
      </c>
      <c r="EH268" t="str">
        <f>""</f>
        <v/>
      </c>
      <c r="EI268" t="str">
        <f>""</f>
        <v/>
      </c>
      <c r="EJ268" t="str">
        <f>""</f>
        <v/>
      </c>
      <c r="EK268" t="str">
        <f>""</f>
        <v/>
      </c>
      <c r="EL268" t="str">
        <f>""</f>
        <v/>
      </c>
      <c r="EM268" t="str">
        <f>""</f>
        <v/>
      </c>
      <c r="EN268" t="str">
        <f>""</f>
        <v/>
      </c>
      <c r="EO268" t="str">
        <f>""</f>
        <v/>
      </c>
      <c r="EP268" t="str">
        <f>""</f>
        <v/>
      </c>
      <c r="EQ268" t="str">
        <f>""</f>
        <v/>
      </c>
      <c r="ER268" t="str">
        <f>""</f>
        <v/>
      </c>
      <c r="ES268" t="str">
        <f>""</f>
        <v/>
      </c>
      <c r="ET268" t="str">
        <f>""</f>
        <v/>
      </c>
      <c r="EU268" t="str">
        <f>""</f>
        <v/>
      </c>
      <c r="EV268" t="str">
        <f>""</f>
        <v/>
      </c>
      <c r="EW268" t="str">
        <f>""</f>
        <v/>
      </c>
      <c r="EX268" t="str">
        <f>""</f>
        <v/>
      </c>
      <c r="EY268" t="str">
        <f>""</f>
        <v/>
      </c>
      <c r="EZ268" t="str">
        <f>""</f>
        <v/>
      </c>
      <c r="FA268" t="str">
        <f>""</f>
        <v/>
      </c>
      <c r="FB268" t="str">
        <f>""</f>
        <v/>
      </c>
      <c r="FC268" t="str">
        <f>""</f>
        <v/>
      </c>
      <c r="FD268" t="str">
        <f>""</f>
        <v/>
      </c>
      <c r="FE268" t="str">
        <f>""</f>
        <v/>
      </c>
      <c r="FF268" t="str">
        <f>""</f>
        <v/>
      </c>
      <c r="FG268" t="str">
        <f>""</f>
        <v/>
      </c>
      <c r="FH268" t="str">
        <f>""</f>
        <v/>
      </c>
      <c r="FI268" t="str">
        <f>""</f>
        <v/>
      </c>
      <c r="FJ268" t="str">
        <f>""</f>
        <v/>
      </c>
      <c r="FK268" t="str">
        <f>""</f>
        <v/>
      </c>
      <c r="FL268" t="str">
        <f>""</f>
        <v/>
      </c>
      <c r="FM268" t="str">
        <f>""</f>
        <v/>
      </c>
      <c r="FN268" t="str">
        <f>""</f>
        <v/>
      </c>
      <c r="FO268" t="str">
        <f>""</f>
        <v/>
      </c>
      <c r="FP268" t="str">
        <f>""</f>
        <v/>
      </c>
      <c r="FQ268" t="str">
        <f>""</f>
        <v/>
      </c>
    </row>
    <row r="269" spans="1:173">
      <c r="A269" t="str">
        <f>$A$21</f>
        <v xml:space="preserve">    AvalonBay社区股份有限公司</v>
      </c>
      <c r="B269" t="str">
        <f>$B$21</f>
        <v>AVB US Equity</v>
      </c>
      <c r="C269" t="str">
        <f>$C$21</f>
        <v>BE249</v>
      </c>
      <c r="D269" t="str">
        <f>$D$21</f>
        <v>BEST_PRICE_FFO_RATIO</v>
      </c>
      <c r="E269" t="str">
        <f>$E$21</f>
        <v>动态</v>
      </c>
      <c r="F269" t="str">
        <f ca="1">BDH($B$21,$C$21,$B$250,$B$251,CONCATENATE("Per=",$B$248),"Dts=H","Dir=H",CONCATENATE("Points=",$B$249),"Sort=R","Days=A","Fill=B","BE997=17Y",CONCATENATE("FX=", $B$247) )</f>
        <v>#N/A Authorization</v>
      </c>
      <c r="CL269" t="str">
        <f>""</f>
        <v/>
      </c>
      <c r="CM269" t="str">
        <f>""</f>
        <v/>
      </c>
      <c r="CN269" t="str">
        <f>""</f>
        <v/>
      </c>
      <c r="CO269" t="str">
        <f>""</f>
        <v/>
      </c>
      <c r="CP269" t="str">
        <f>""</f>
        <v/>
      </c>
      <c r="CQ269" t="str">
        <f>""</f>
        <v/>
      </c>
      <c r="CR269" t="str">
        <f>""</f>
        <v/>
      </c>
      <c r="CS269" t="str">
        <f>""</f>
        <v/>
      </c>
      <c r="CT269" t="str">
        <f>""</f>
        <v/>
      </c>
      <c r="CU269" t="str">
        <f>""</f>
        <v/>
      </c>
      <c r="CV269" t="str">
        <f>""</f>
        <v/>
      </c>
      <c r="CW269" t="str">
        <f>""</f>
        <v/>
      </c>
      <c r="CX269" t="str">
        <f>""</f>
        <v/>
      </c>
      <c r="CY269" t="str">
        <f>""</f>
        <v/>
      </c>
      <c r="CZ269" t="str">
        <f>""</f>
        <v/>
      </c>
      <c r="DA269" t="str">
        <f>""</f>
        <v/>
      </c>
      <c r="DB269" t="str">
        <f>""</f>
        <v/>
      </c>
      <c r="DC269" t="str">
        <f>""</f>
        <v/>
      </c>
      <c r="DD269" t="str">
        <f>""</f>
        <v/>
      </c>
      <c r="DE269" t="str">
        <f>""</f>
        <v/>
      </c>
      <c r="DF269" t="str">
        <f>""</f>
        <v/>
      </c>
      <c r="DG269" t="str">
        <f>""</f>
        <v/>
      </c>
      <c r="DH269" t="str">
        <f>""</f>
        <v/>
      </c>
      <c r="DI269" t="str">
        <f>""</f>
        <v/>
      </c>
      <c r="DJ269" t="str">
        <f>""</f>
        <v/>
      </c>
      <c r="DK269" t="str">
        <f>""</f>
        <v/>
      </c>
      <c r="DL269" t="str">
        <f>""</f>
        <v/>
      </c>
      <c r="DM269" t="str">
        <f>""</f>
        <v/>
      </c>
      <c r="DN269" t="str">
        <f>""</f>
        <v/>
      </c>
      <c r="DO269" t="str">
        <f>""</f>
        <v/>
      </c>
      <c r="DP269" t="str">
        <f>""</f>
        <v/>
      </c>
      <c r="DQ269" t="str">
        <f>""</f>
        <v/>
      </c>
      <c r="DR269" t="str">
        <f>""</f>
        <v/>
      </c>
      <c r="DS269" t="str">
        <f>""</f>
        <v/>
      </c>
      <c r="DT269" t="str">
        <f>""</f>
        <v/>
      </c>
      <c r="DU269" t="str">
        <f>""</f>
        <v/>
      </c>
      <c r="DV269" t="str">
        <f>""</f>
        <v/>
      </c>
      <c r="DW269" t="str">
        <f>""</f>
        <v/>
      </c>
      <c r="DX269" t="str">
        <f>""</f>
        <v/>
      </c>
      <c r="DY269" t="str">
        <f>""</f>
        <v/>
      </c>
      <c r="DZ269" t="str">
        <f>""</f>
        <v/>
      </c>
      <c r="EA269" t="str">
        <f>""</f>
        <v/>
      </c>
      <c r="EB269" t="str">
        <f>""</f>
        <v/>
      </c>
      <c r="EC269" t="str">
        <f>""</f>
        <v/>
      </c>
      <c r="ED269" t="str">
        <f>""</f>
        <v/>
      </c>
      <c r="EE269" t="str">
        <f>""</f>
        <v/>
      </c>
      <c r="EF269" t="str">
        <f>""</f>
        <v/>
      </c>
      <c r="EG269" t="str">
        <f>""</f>
        <v/>
      </c>
      <c r="EH269" t="str">
        <f>""</f>
        <v/>
      </c>
      <c r="EI269" t="str">
        <f>""</f>
        <v/>
      </c>
      <c r="EJ269" t="str">
        <f>""</f>
        <v/>
      </c>
      <c r="EK269" t="str">
        <f>""</f>
        <v/>
      </c>
      <c r="EL269" t="str">
        <f>""</f>
        <v/>
      </c>
      <c r="EM269" t="str">
        <f>""</f>
        <v/>
      </c>
      <c r="EN269" t="str">
        <f>""</f>
        <v/>
      </c>
      <c r="EO269" t="str">
        <f>""</f>
        <v/>
      </c>
      <c r="EP269" t="str">
        <f>""</f>
        <v/>
      </c>
      <c r="EQ269" t="str">
        <f>""</f>
        <v/>
      </c>
      <c r="ER269" t="str">
        <f>""</f>
        <v/>
      </c>
      <c r="ES269" t="str">
        <f>""</f>
        <v/>
      </c>
      <c r="ET269" t="str">
        <f>""</f>
        <v/>
      </c>
      <c r="EU269" t="str">
        <f>""</f>
        <v/>
      </c>
      <c r="EV269" t="str">
        <f>""</f>
        <v/>
      </c>
      <c r="EW269" t="str">
        <f>""</f>
        <v/>
      </c>
      <c r="EX269" t="str">
        <f>""</f>
        <v/>
      </c>
      <c r="EY269" t="str">
        <f>""</f>
        <v/>
      </c>
      <c r="EZ269" t="str">
        <f>""</f>
        <v/>
      </c>
      <c r="FA269" t="str">
        <f>""</f>
        <v/>
      </c>
      <c r="FB269" t="str">
        <f>""</f>
        <v/>
      </c>
      <c r="FC269" t="str">
        <f>""</f>
        <v/>
      </c>
      <c r="FD269" t="str">
        <f>""</f>
        <v/>
      </c>
      <c r="FE269" t="str">
        <f>""</f>
        <v/>
      </c>
      <c r="FF269" t="str">
        <f>""</f>
        <v/>
      </c>
      <c r="FG269" t="str">
        <f>""</f>
        <v/>
      </c>
      <c r="FH269" t="str">
        <f>""</f>
        <v/>
      </c>
      <c r="FI269" t="str">
        <f>""</f>
        <v/>
      </c>
      <c r="FJ269" t="str">
        <f>""</f>
        <v/>
      </c>
      <c r="FK269" t="str">
        <f>""</f>
        <v/>
      </c>
      <c r="FL269" t="str">
        <f>""</f>
        <v/>
      </c>
      <c r="FM269" t="str">
        <f>""</f>
        <v/>
      </c>
      <c r="FN269" t="str">
        <f>""</f>
        <v/>
      </c>
      <c r="FO269" t="str">
        <f>""</f>
        <v/>
      </c>
      <c r="FP269" t="str">
        <f>""</f>
        <v/>
      </c>
      <c r="FQ269" t="str">
        <f>""</f>
        <v/>
      </c>
    </row>
    <row r="270" spans="1:173">
      <c r="A270" t="str">
        <f>$A$22</f>
        <v xml:space="preserve">    Camden 房地产信托公司</v>
      </c>
      <c r="B270" t="str">
        <f>$B$22</f>
        <v>CPT US Equity</v>
      </c>
      <c r="C270" t="str">
        <f>$C$22</f>
        <v>BE249</v>
      </c>
      <c r="D270" t="str">
        <f>$D$22</f>
        <v>BEST_PRICE_FFO_RATIO</v>
      </c>
      <c r="E270" t="str">
        <f>$E$22</f>
        <v>动态</v>
      </c>
      <c r="F270" t="str">
        <f ca="1">BDH($B$22,$C$22,$B$250,$B$251,CONCATENATE("Per=",$B$248),"Dts=H","Dir=H",CONCATENATE("Points=",$B$249),"Sort=R","Days=A","Fill=B","BE997=17Y",CONCATENATE("FX=", $B$247) )</f>
        <v>#N/A Authorization</v>
      </c>
      <c r="CL270" t="str">
        <f>""</f>
        <v/>
      </c>
      <c r="CM270" t="str">
        <f>""</f>
        <v/>
      </c>
      <c r="CN270" t="str">
        <f>""</f>
        <v/>
      </c>
      <c r="CO270" t="str">
        <f>""</f>
        <v/>
      </c>
      <c r="CP270" t="str">
        <f>""</f>
        <v/>
      </c>
      <c r="CQ270" t="str">
        <f>""</f>
        <v/>
      </c>
      <c r="CR270" t="str">
        <f>""</f>
        <v/>
      </c>
      <c r="CS270" t="str">
        <f>""</f>
        <v/>
      </c>
      <c r="CT270" t="str">
        <f>""</f>
        <v/>
      </c>
      <c r="CU270" t="str">
        <f>""</f>
        <v/>
      </c>
      <c r="CV270" t="str">
        <f>""</f>
        <v/>
      </c>
      <c r="CW270" t="str">
        <f>""</f>
        <v/>
      </c>
      <c r="CX270" t="str">
        <f>""</f>
        <v/>
      </c>
      <c r="CY270" t="str">
        <f>""</f>
        <v/>
      </c>
      <c r="CZ270" t="str">
        <f>""</f>
        <v/>
      </c>
      <c r="DA270" t="str">
        <f>""</f>
        <v/>
      </c>
      <c r="DB270" t="str">
        <f>""</f>
        <v/>
      </c>
      <c r="DC270" t="str">
        <f>""</f>
        <v/>
      </c>
      <c r="DD270" t="str">
        <f>""</f>
        <v/>
      </c>
      <c r="DE270" t="str">
        <f>""</f>
        <v/>
      </c>
      <c r="DF270" t="str">
        <f>""</f>
        <v/>
      </c>
      <c r="DG270" t="str">
        <f>""</f>
        <v/>
      </c>
      <c r="DH270" t="str">
        <f>""</f>
        <v/>
      </c>
      <c r="DI270" t="str">
        <f>""</f>
        <v/>
      </c>
      <c r="DJ270" t="str">
        <f>""</f>
        <v/>
      </c>
      <c r="DK270" t="str">
        <f>""</f>
        <v/>
      </c>
      <c r="DL270" t="str">
        <f>""</f>
        <v/>
      </c>
      <c r="DM270" t="str">
        <f>""</f>
        <v/>
      </c>
      <c r="DN270" t="str">
        <f>""</f>
        <v/>
      </c>
      <c r="DO270" t="str">
        <f>""</f>
        <v/>
      </c>
      <c r="DP270" t="str">
        <f>""</f>
        <v/>
      </c>
      <c r="DQ270" t="str">
        <f>""</f>
        <v/>
      </c>
      <c r="DR270" t="str">
        <f>""</f>
        <v/>
      </c>
      <c r="DS270" t="str">
        <f>""</f>
        <v/>
      </c>
      <c r="DT270" t="str">
        <f>""</f>
        <v/>
      </c>
      <c r="DU270" t="str">
        <f>""</f>
        <v/>
      </c>
      <c r="DV270" t="str">
        <f>""</f>
        <v/>
      </c>
      <c r="DW270" t="str">
        <f>""</f>
        <v/>
      </c>
      <c r="DX270" t="str">
        <f>""</f>
        <v/>
      </c>
      <c r="DY270" t="str">
        <f>""</f>
        <v/>
      </c>
      <c r="DZ270" t="str">
        <f>""</f>
        <v/>
      </c>
      <c r="EA270" t="str">
        <f>""</f>
        <v/>
      </c>
      <c r="EB270" t="str">
        <f>""</f>
        <v/>
      </c>
      <c r="EC270" t="str">
        <f>""</f>
        <v/>
      </c>
      <c r="ED270" t="str">
        <f>""</f>
        <v/>
      </c>
      <c r="EE270" t="str">
        <f>""</f>
        <v/>
      </c>
      <c r="EF270" t="str">
        <f>""</f>
        <v/>
      </c>
      <c r="EG270" t="str">
        <f>""</f>
        <v/>
      </c>
      <c r="EH270" t="str">
        <f>""</f>
        <v/>
      </c>
      <c r="EI270" t="str">
        <f>""</f>
        <v/>
      </c>
      <c r="EJ270" t="str">
        <f>""</f>
        <v/>
      </c>
      <c r="EK270" t="str">
        <f>""</f>
        <v/>
      </c>
      <c r="EL270" t="str">
        <f>""</f>
        <v/>
      </c>
      <c r="EM270" t="str">
        <f>""</f>
        <v/>
      </c>
      <c r="EN270" t="str">
        <f>""</f>
        <v/>
      </c>
      <c r="EO270" t="str">
        <f>""</f>
        <v/>
      </c>
      <c r="EP270" t="str">
        <f>""</f>
        <v/>
      </c>
      <c r="EQ270" t="str">
        <f>""</f>
        <v/>
      </c>
      <c r="ER270" t="str">
        <f>""</f>
        <v/>
      </c>
      <c r="ES270" t="str">
        <f>""</f>
        <v/>
      </c>
      <c r="ET270" t="str">
        <f>""</f>
        <v/>
      </c>
      <c r="EU270" t="str">
        <f>""</f>
        <v/>
      </c>
      <c r="EV270" t="str">
        <f>""</f>
        <v/>
      </c>
      <c r="EW270" t="str">
        <f>""</f>
        <v/>
      </c>
      <c r="EX270" t="str">
        <f>""</f>
        <v/>
      </c>
      <c r="EY270" t="str">
        <f>""</f>
        <v/>
      </c>
      <c r="EZ270" t="str">
        <f>""</f>
        <v/>
      </c>
      <c r="FA270" t="str">
        <f>""</f>
        <v/>
      </c>
      <c r="FB270" t="str">
        <f>""</f>
        <v/>
      </c>
      <c r="FC270" t="str">
        <f>""</f>
        <v/>
      </c>
      <c r="FD270" t="str">
        <f>""</f>
        <v/>
      </c>
      <c r="FE270" t="str">
        <f>""</f>
        <v/>
      </c>
      <c r="FF270" t="str">
        <f>""</f>
        <v/>
      </c>
      <c r="FG270" t="str">
        <f>""</f>
        <v/>
      </c>
      <c r="FH270" t="str">
        <f>""</f>
        <v/>
      </c>
      <c r="FI270" t="str">
        <f>""</f>
        <v/>
      </c>
      <c r="FJ270" t="str">
        <f>""</f>
        <v/>
      </c>
      <c r="FK270" t="str">
        <f>""</f>
        <v/>
      </c>
      <c r="FL270" t="str">
        <f>""</f>
        <v/>
      </c>
      <c r="FM270" t="str">
        <f>""</f>
        <v/>
      </c>
      <c r="FN270" t="str">
        <f>""</f>
        <v/>
      </c>
      <c r="FO270" t="str">
        <f>""</f>
        <v/>
      </c>
      <c r="FP270" t="str">
        <f>""</f>
        <v/>
      </c>
      <c r="FQ270" t="str">
        <f>""</f>
        <v/>
      </c>
    </row>
    <row r="271" spans="1:173">
      <c r="A271" t="str">
        <f>$A$23</f>
        <v xml:space="preserve">    公寓物业权益信托</v>
      </c>
      <c r="B271" t="str">
        <f>$B$23</f>
        <v>EQR US Equity</v>
      </c>
      <c r="C271" t="str">
        <f>$C$23</f>
        <v>BE249</v>
      </c>
      <c r="D271" t="str">
        <f>$D$23</f>
        <v>BEST_PRICE_FFO_RATIO</v>
      </c>
      <c r="E271" t="str">
        <f>$E$23</f>
        <v>动态</v>
      </c>
      <c r="F271" t="str">
        <f ca="1">BDH($B$23,$C$23,$B$250,$B$251,CONCATENATE("Per=",$B$248),"Dts=H","Dir=H",CONCATENATE("Points=",$B$249),"Sort=R","Days=A","Fill=B","BE997=17Y",CONCATENATE("FX=", $B$247) )</f>
        <v>#N/A Authorization</v>
      </c>
      <c r="CL271" t="str">
        <f>""</f>
        <v/>
      </c>
      <c r="CM271" t="str">
        <f>""</f>
        <v/>
      </c>
      <c r="CN271" t="str">
        <f>""</f>
        <v/>
      </c>
      <c r="CO271" t="str">
        <f>""</f>
        <v/>
      </c>
      <c r="CP271" t="str">
        <f>""</f>
        <v/>
      </c>
      <c r="CQ271" t="str">
        <f>""</f>
        <v/>
      </c>
      <c r="CR271" t="str">
        <f>""</f>
        <v/>
      </c>
      <c r="CS271" t="str">
        <f>""</f>
        <v/>
      </c>
      <c r="CT271" t="str">
        <f>""</f>
        <v/>
      </c>
      <c r="CU271" t="str">
        <f>""</f>
        <v/>
      </c>
      <c r="CV271" t="str">
        <f>""</f>
        <v/>
      </c>
      <c r="CW271" t="str">
        <f>""</f>
        <v/>
      </c>
      <c r="CX271" t="str">
        <f>""</f>
        <v/>
      </c>
      <c r="CY271" t="str">
        <f>""</f>
        <v/>
      </c>
      <c r="CZ271" t="str">
        <f>""</f>
        <v/>
      </c>
      <c r="DA271" t="str">
        <f>""</f>
        <v/>
      </c>
      <c r="DB271" t="str">
        <f>""</f>
        <v/>
      </c>
      <c r="DC271" t="str">
        <f>""</f>
        <v/>
      </c>
      <c r="DD271" t="str">
        <f>""</f>
        <v/>
      </c>
      <c r="DE271" t="str">
        <f>""</f>
        <v/>
      </c>
      <c r="DF271" t="str">
        <f>""</f>
        <v/>
      </c>
      <c r="DG271" t="str">
        <f>""</f>
        <v/>
      </c>
      <c r="DH271" t="str">
        <f>""</f>
        <v/>
      </c>
      <c r="DI271" t="str">
        <f>""</f>
        <v/>
      </c>
      <c r="DJ271" t="str">
        <f>""</f>
        <v/>
      </c>
      <c r="DK271" t="str">
        <f>""</f>
        <v/>
      </c>
      <c r="DL271" t="str">
        <f>""</f>
        <v/>
      </c>
      <c r="DM271" t="str">
        <f>""</f>
        <v/>
      </c>
      <c r="DN271" t="str">
        <f>""</f>
        <v/>
      </c>
      <c r="DO271" t="str">
        <f>""</f>
        <v/>
      </c>
      <c r="DP271" t="str">
        <f>""</f>
        <v/>
      </c>
      <c r="DQ271" t="str">
        <f>""</f>
        <v/>
      </c>
      <c r="DR271" t="str">
        <f>""</f>
        <v/>
      </c>
      <c r="DS271" t="str">
        <f>""</f>
        <v/>
      </c>
      <c r="DT271" t="str">
        <f>""</f>
        <v/>
      </c>
      <c r="DU271" t="str">
        <f>""</f>
        <v/>
      </c>
      <c r="DV271" t="str">
        <f>""</f>
        <v/>
      </c>
      <c r="DW271" t="str">
        <f>""</f>
        <v/>
      </c>
      <c r="DX271" t="str">
        <f>""</f>
        <v/>
      </c>
      <c r="DY271" t="str">
        <f>""</f>
        <v/>
      </c>
      <c r="DZ271" t="str">
        <f>""</f>
        <v/>
      </c>
      <c r="EA271" t="str">
        <f>""</f>
        <v/>
      </c>
      <c r="EB271" t="str">
        <f>""</f>
        <v/>
      </c>
      <c r="EC271" t="str">
        <f>""</f>
        <v/>
      </c>
      <c r="ED271" t="str">
        <f>""</f>
        <v/>
      </c>
      <c r="EE271" t="str">
        <f>""</f>
        <v/>
      </c>
      <c r="EF271" t="str">
        <f>""</f>
        <v/>
      </c>
      <c r="EG271" t="str">
        <f>""</f>
        <v/>
      </c>
      <c r="EH271" t="str">
        <f>""</f>
        <v/>
      </c>
      <c r="EI271" t="str">
        <f>""</f>
        <v/>
      </c>
      <c r="EJ271" t="str">
        <f>""</f>
        <v/>
      </c>
      <c r="EK271" t="str">
        <f>""</f>
        <v/>
      </c>
      <c r="EL271" t="str">
        <f>""</f>
        <v/>
      </c>
      <c r="EM271" t="str">
        <f>""</f>
        <v/>
      </c>
      <c r="EN271" t="str">
        <f>""</f>
        <v/>
      </c>
      <c r="EO271" t="str">
        <f>""</f>
        <v/>
      </c>
      <c r="EP271" t="str">
        <f>""</f>
        <v/>
      </c>
      <c r="EQ271" t="str">
        <f>""</f>
        <v/>
      </c>
      <c r="ER271" t="str">
        <f>""</f>
        <v/>
      </c>
      <c r="ES271" t="str">
        <f>""</f>
        <v/>
      </c>
      <c r="ET271" t="str">
        <f>""</f>
        <v/>
      </c>
      <c r="EU271" t="str">
        <f>""</f>
        <v/>
      </c>
      <c r="EV271" t="str">
        <f>""</f>
        <v/>
      </c>
      <c r="EW271" t="str">
        <f>""</f>
        <v/>
      </c>
      <c r="EX271" t="str">
        <f>""</f>
        <v/>
      </c>
      <c r="EY271" t="str">
        <f>""</f>
        <v/>
      </c>
      <c r="EZ271" t="str">
        <f>""</f>
        <v/>
      </c>
      <c r="FA271" t="str">
        <f>""</f>
        <v/>
      </c>
      <c r="FB271" t="str">
        <f>""</f>
        <v/>
      </c>
      <c r="FC271" t="str">
        <f>""</f>
        <v/>
      </c>
      <c r="FD271" t="str">
        <f>""</f>
        <v/>
      </c>
      <c r="FE271" t="str">
        <f>""</f>
        <v/>
      </c>
      <c r="FF271" t="str">
        <f>""</f>
        <v/>
      </c>
      <c r="FG271" t="str">
        <f>""</f>
        <v/>
      </c>
      <c r="FH271" t="str">
        <f>""</f>
        <v/>
      </c>
      <c r="FI271" t="str">
        <f>""</f>
        <v/>
      </c>
      <c r="FJ271" t="str">
        <f>""</f>
        <v/>
      </c>
      <c r="FK271" t="str">
        <f>""</f>
        <v/>
      </c>
      <c r="FL271" t="str">
        <f>""</f>
        <v/>
      </c>
      <c r="FM271" t="str">
        <f>""</f>
        <v/>
      </c>
      <c r="FN271" t="str">
        <f>""</f>
        <v/>
      </c>
      <c r="FO271" t="str">
        <f>""</f>
        <v/>
      </c>
      <c r="FP271" t="str">
        <f>""</f>
        <v/>
      </c>
      <c r="FQ271" t="str">
        <f>""</f>
        <v/>
      </c>
    </row>
    <row r="272" spans="1:173">
      <c r="A272" t="str">
        <f>$A$24</f>
        <v xml:space="preserve">    埃塞克斯房地产信托公司</v>
      </c>
      <c r="B272" t="str">
        <f>$B$24</f>
        <v>ESS US Equity</v>
      </c>
      <c r="C272" t="str">
        <f>$C$24</f>
        <v>BE249</v>
      </c>
      <c r="D272" t="str">
        <f>$D$24</f>
        <v>BEST_PRICE_FFO_RATIO</v>
      </c>
      <c r="E272" t="str">
        <f>$E$24</f>
        <v>动态</v>
      </c>
      <c r="F272" t="str">
        <f ca="1">BDH($B$24,$C$24,$B$250,$B$251,CONCATENATE("Per=",$B$248),"Dts=H","Dir=H",CONCATENATE("Points=",$B$249),"Sort=R","Days=A","Fill=B","BE997=17Y",CONCATENATE("FX=", $B$247) )</f>
        <v>#N/A Authorization</v>
      </c>
      <c r="CL272" t="str">
        <f>""</f>
        <v/>
      </c>
      <c r="CM272" t="str">
        <f>""</f>
        <v/>
      </c>
      <c r="CN272" t="str">
        <f>""</f>
        <v/>
      </c>
      <c r="CO272" t="str">
        <f>""</f>
        <v/>
      </c>
      <c r="CP272" t="str">
        <f>""</f>
        <v/>
      </c>
      <c r="CQ272" t="str">
        <f>""</f>
        <v/>
      </c>
      <c r="CR272" t="str">
        <f>""</f>
        <v/>
      </c>
      <c r="CS272" t="str">
        <f>""</f>
        <v/>
      </c>
      <c r="CT272" t="str">
        <f>""</f>
        <v/>
      </c>
      <c r="CU272" t="str">
        <f>""</f>
        <v/>
      </c>
      <c r="CV272" t="str">
        <f>""</f>
        <v/>
      </c>
      <c r="CW272" t="str">
        <f>""</f>
        <v/>
      </c>
      <c r="CX272" t="str">
        <f>""</f>
        <v/>
      </c>
      <c r="CY272" t="str">
        <f>""</f>
        <v/>
      </c>
      <c r="CZ272" t="str">
        <f>""</f>
        <v/>
      </c>
      <c r="DA272" t="str">
        <f>""</f>
        <v/>
      </c>
      <c r="DB272" t="str">
        <f>""</f>
        <v/>
      </c>
      <c r="DC272" t="str">
        <f>""</f>
        <v/>
      </c>
      <c r="DD272" t="str">
        <f>""</f>
        <v/>
      </c>
      <c r="DE272" t="str">
        <f>""</f>
        <v/>
      </c>
      <c r="DF272" t="str">
        <f>""</f>
        <v/>
      </c>
      <c r="DG272" t="str">
        <f>""</f>
        <v/>
      </c>
      <c r="DH272" t="str">
        <f>""</f>
        <v/>
      </c>
      <c r="DI272" t="str">
        <f>""</f>
        <v/>
      </c>
      <c r="DJ272" t="str">
        <f>""</f>
        <v/>
      </c>
      <c r="DK272" t="str">
        <f>""</f>
        <v/>
      </c>
      <c r="DL272" t="str">
        <f>""</f>
        <v/>
      </c>
      <c r="DM272" t="str">
        <f>""</f>
        <v/>
      </c>
      <c r="DN272" t="str">
        <f>""</f>
        <v/>
      </c>
      <c r="DO272" t="str">
        <f>""</f>
        <v/>
      </c>
      <c r="DP272" t="str">
        <f>""</f>
        <v/>
      </c>
      <c r="DQ272" t="str">
        <f>""</f>
        <v/>
      </c>
      <c r="DR272" t="str">
        <f>""</f>
        <v/>
      </c>
      <c r="DS272" t="str">
        <f>""</f>
        <v/>
      </c>
      <c r="DT272" t="str">
        <f>""</f>
        <v/>
      </c>
      <c r="DU272" t="str">
        <f>""</f>
        <v/>
      </c>
      <c r="DV272" t="str">
        <f>""</f>
        <v/>
      </c>
      <c r="DW272" t="str">
        <f>""</f>
        <v/>
      </c>
      <c r="DX272" t="str">
        <f>""</f>
        <v/>
      </c>
      <c r="DY272" t="str">
        <f>""</f>
        <v/>
      </c>
      <c r="DZ272" t="str">
        <f>""</f>
        <v/>
      </c>
      <c r="EA272" t="str">
        <f>""</f>
        <v/>
      </c>
      <c r="EB272" t="str">
        <f>""</f>
        <v/>
      </c>
      <c r="EC272" t="str">
        <f>""</f>
        <v/>
      </c>
      <c r="ED272" t="str">
        <f>""</f>
        <v/>
      </c>
      <c r="EE272" t="str">
        <f>""</f>
        <v/>
      </c>
      <c r="EF272" t="str">
        <f>""</f>
        <v/>
      </c>
      <c r="EG272" t="str">
        <f>""</f>
        <v/>
      </c>
      <c r="EH272" t="str">
        <f>""</f>
        <v/>
      </c>
      <c r="EI272" t="str">
        <f>""</f>
        <v/>
      </c>
      <c r="EJ272" t="str">
        <f>""</f>
        <v/>
      </c>
      <c r="EK272" t="str">
        <f>""</f>
        <v/>
      </c>
      <c r="EL272" t="str">
        <f>""</f>
        <v/>
      </c>
      <c r="EM272" t="str">
        <f>""</f>
        <v/>
      </c>
      <c r="EN272" t="str">
        <f>""</f>
        <v/>
      </c>
      <c r="EO272" t="str">
        <f>""</f>
        <v/>
      </c>
      <c r="EP272" t="str">
        <f>""</f>
        <v/>
      </c>
      <c r="EQ272" t="str">
        <f>""</f>
        <v/>
      </c>
      <c r="ER272" t="str">
        <f>""</f>
        <v/>
      </c>
      <c r="ES272" t="str">
        <f>""</f>
        <v/>
      </c>
      <c r="ET272" t="str">
        <f>""</f>
        <v/>
      </c>
      <c r="EU272" t="str">
        <f>""</f>
        <v/>
      </c>
      <c r="EV272" t="str">
        <f>""</f>
        <v/>
      </c>
      <c r="EW272" t="str">
        <f>""</f>
        <v/>
      </c>
      <c r="EX272" t="str">
        <f>""</f>
        <v/>
      </c>
      <c r="EY272" t="str">
        <f>""</f>
        <v/>
      </c>
      <c r="EZ272" t="str">
        <f>""</f>
        <v/>
      </c>
      <c r="FA272" t="str">
        <f>""</f>
        <v/>
      </c>
      <c r="FB272" t="str">
        <f>""</f>
        <v/>
      </c>
      <c r="FC272" t="str">
        <f>""</f>
        <v/>
      </c>
      <c r="FD272" t="str">
        <f>""</f>
        <v/>
      </c>
      <c r="FE272" t="str">
        <f>""</f>
        <v/>
      </c>
      <c r="FF272" t="str">
        <f>""</f>
        <v/>
      </c>
      <c r="FG272" t="str">
        <f>""</f>
        <v/>
      </c>
      <c r="FH272" t="str">
        <f>""</f>
        <v/>
      </c>
      <c r="FI272" t="str">
        <f>""</f>
        <v/>
      </c>
      <c r="FJ272" t="str">
        <f>""</f>
        <v/>
      </c>
      <c r="FK272" t="str">
        <f>""</f>
        <v/>
      </c>
      <c r="FL272" t="str">
        <f>""</f>
        <v/>
      </c>
      <c r="FM272" t="str">
        <f>""</f>
        <v/>
      </c>
      <c r="FN272" t="str">
        <f>""</f>
        <v/>
      </c>
      <c r="FO272" t="str">
        <f>""</f>
        <v/>
      </c>
      <c r="FP272" t="str">
        <f>""</f>
        <v/>
      </c>
      <c r="FQ272" t="str">
        <f>""</f>
        <v/>
      </c>
    </row>
    <row r="273" spans="1:173">
      <c r="A273" t="str">
        <f>$A$25</f>
        <v xml:space="preserve">    Mid-America Apartment Communities股份有限公司</v>
      </c>
      <c r="B273" t="str">
        <f>$B$25</f>
        <v>MAA US Equity</v>
      </c>
      <c r="C273" t="str">
        <f>$C$25</f>
        <v>BE249</v>
      </c>
      <c r="D273" t="str">
        <f>$D$25</f>
        <v>BEST_PRICE_FFO_RATIO</v>
      </c>
      <c r="E273" t="str">
        <f>$E$25</f>
        <v>动态</v>
      </c>
      <c r="F273" t="str">
        <f ca="1">BDH($B$25,$C$25,$B$250,$B$251,CONCATENATE("Per=",$B$248),"Dts=H","Dir=H",CONCATENATE("Points=",$B$249),"Sort=R","Days=A","Fill=B","BE997=17Y",CONCATENATE("FX=", $B$247) )</f>
        <v>#N/A Authorization</v>
      </c>
      <c r="CL273" t="str">
        <f>""</f>
        <v/>
      </c>
      <c r="CM273" t="str">
        <f>""</f>
        <v/>
      </c>
      <c r="CN273" t="str">
        <f>""</f>
        <v/>
      </c>
      <c r="CO273" t="str">
        <f>""</f>
        <v/>
      </c>
      <c r="CP273" t="str">
        <f>""</f>
        <v/>
      </c>
      <c r="CQ273" t="str">
        <f>""</f>
        <v/>
      </c>
      <c r="CR273" t="str">
        <f>""</f>
        <v/>
      </c>
      <c r="CS273" t="str">
        <f>""</f>
        <v/>
      </c>
      <c r="CT273" t="str">
        <f>""</f>
        <v/>
      </c>
      <c r="CU273" t="str">
        <f>""</f>
        <v/>
      </c>
      <c r="CV273" t="str">
        <f>""</f>
        <v/>
      </c>
      <c r="CW273" t="str">
        <f>""</f>
        <v/>
      </c>
      <c r="CX273" t="str">
        <f>""</f>
        <v/>
      </c>
      <c r="CY273" t="str">
        <f>""</f>
        <v/>
      </c>
      <c r="CZ273" t="str">
        <f>""</f>
        <v/>
      </c>
      <c r="DA273" t="str">
        <f>""</f>
        <v/>
      </c>
      <c r="DB273" t="str">
        <f>""</f>
        <v/>
      </c>
      <c r="DC273" t="str">
        <f>""</f>
        <v/>
      </c>
      <c r="DD273" t="str">
        <f>""</f>
        <v/>
      </c>
      <c r="DE273" t="str">
        <f>""</f>
        <v/>
      </c>
      <c r="DF273" t="str">
        <f>""</f>
        <v/>
      </c>
      <c r="DG273" t="str">
        <f>""</f>
        <v/>
      </c>
      <c r="DH273" t="str">
        <f>""</f>
        <v/>
      </c>
      <c r="DI273" t="str">
        <f>""</f>
        <v/>
      </c>
      <c r="DJ273" t="str">
        <f>""</f>
        <v/>
      </c>
      <c r="DK273" t="str">
        <f>""</f>
        <v/>
      </c>
      <c r="DL273" t="str">
        <f>""</f>
        <v/>
      </c>
      <c r="DM273" t="str">
        <f>""</f>
        <v/>
      </c>
      <c r="DN273" t="str">
        <f>""</f>
        <v/>
      </c>
      <c r="DO273" t="str">
        <f>""</f>
        <v/>
      </c>
      <c r="DP273" t="str">
        <f>""</f>
        <v/>
      </c>
      <c r="DQ273" t="str">
        <f>""</f>
        <v/>
      </c>
      <c r="DR273" t="str">
        <f>""</f>
        <v/>
      </c>
      <c r="DS273" t="str">
        <f>""</f>
        <v/>
      </c>
      <c r="DT273" t="str">
        <f>""</f>
        <v/>
      </c>
      <c r="DU273" t="str">
        <f>""</f>
        <v/>
      </c>
      <c r="DV273" t="str">
        <f>""</f>
        <v/>
      </c>
      <c r="DW273" t="str">
        <f>""</f>
        <v/>
      </c>
      <c r="DX273" t="str">
        <f>""</f>
        <v/>
      </c>
      <c r="DY273" t="str">
        <f>""</f>
        <v/>
      </c>
      <c r="DZ273" t="str">
        <f>""</f>
        <v/>
      </c>
      <c r="EA273" t="str">
        <f>""</f>
        <v/>
      </c>
      <c r="EB273" t="str">
        <f>""</f>
        <v/>
      </c>
      <c r="EC273" t="str">
        <f>""</f>
        <v/>
      </c>
      <c r="ED273" t="str">
        <f>""</f>
        <v/>
      </c>
      <c r="EE273" t="str">
        <f>""</f>
        <v/>
      </c>
      <c r="EF273" t="str">
        <f>""</f>
        <v/>
      </c>
      <c r="EG273" t="str">
        <f>""</f>
        <v/>
      </c>
      <c r="EH273" t="str">
        <f>""</f>
        <v/>
      </c>
      <c r="EI273" t="str">
        <f>""</f>
        <v/>
      </c>
      <c r="EJ273" t="str">
        <f>""</f>
        <v/>
      </c>
      <c r="EK273" t="str">
        <f>""</f>
        <v/>
      </c>
      <c r="EL273" t="str">
        <f>""</f>
        <v/>
      </c>
      <c r="EM273" t="str">
        <f>""</f>
        <v/>
      </c>
      <c r="EN273" t="str">
        <f>""</f>
        <v/>
      </c>
      <c r="EO273" t="str">
        <f>""</f>
        <v/>
      </c>
      <c r="EP273" t="str">
        <f>""</f>
        <v/>
      </c>
      <c r="EQ273" t="str">
        <f>""</f>
        <v/>
      </c>
      <c r="ER273" t="str">
        <f>""</f>
        <v/>
      </c>
      <c r="ES273" t="str">
        <f>""</f>
        <v/>
      </c>
      <c r="ET273" t="str">
        <f>""</f>
        <v/>
      </c>
      <c r="EU273" t="str">
        <f>""</f>
        <v/>
      </c>
      <c r="EV273" t="str">
        <f>""</f>
        <v/>
      </c>
      <c r="EW273" t="str">
        <f>""</f>
        <v/>
      </c>
      <c r="EX273" t="str">
        <f>""</f>
        <v/>
      </c>
      <c r="EY273" t="str">
        <f>""</f>
        <v/>
      </c>
      <c r="EZ273" t="str">
        <f>""</f>
        <v/>
      </c>
      <c r="FA273" t="str">
        <f>""</f>
        <v/>
      </c>
      <c r="FB273" t="str">
        <f>""</f>
        <v/>
      </c>
      <c r="FC273" t="str">
        <f>""</f>
        <v/>
      </c>
      <c r="FD273" t="str">
        <f>""</f>
        <v/>
      </c>
      <c r="FE273" t="str">
        <f>""</f>
        <v/>
      </c>
      <c r="FF273" t="str">
        <f>""</f>
        <v/>
      </c>
      <c r="FG273" t="str">
        <f>""</f>
        <v/>
      </c>
      <c r="FH273" t="str">
        <f>""</f>
        <v/>
      </c>
      <c r="FI273" t="str">
        <f>""</f>
        <v/>
      </c>
      <c r="FJ273" t="str">
        <f>""</f>
        <v/>
      </c>
      <c r="FK273" t="str">
        <f>""</f>
        <v/>
      </c>
      <c r="FL273" t="str">
        <f>""</f>
        <v/>
      </c>
      <c r="FM273" t="str">
        <f>""</f>
        <v/>
      </c>
      <c r="FN273" t="str">
        <f>""</f>
        <v/>
      </c>
      <c r="FO273" t="str">
        <f>""</f>
        <v/>
      </c>
      <c r="FP273" t="str">
        <f>""</f>
        <v/>
      </c>
      <c r="FQ273" t="str">
        <f>""</f>
        <v/>
      </c>
    </row>
    <row r="274" spans="1:173">
      <c r="A274" t="str">
        <f>$A$26</f>
        <v xml:space="preserve">    UDR 公司</v>
      </c>
      <c r="B274" t="str">
        <f>$B$26</f>
        <v>UDR US Equity</v>
      </c>
      <c r="C274" t="str">
        <f>$C$26</f>
        <v>BE249</v>
      </c>
      <c r="D274" t="str">
        <f>$D$26</f>
        <v>BEST_PRICE_FFO_RATIO</v>
      </c>
      <c r="E274" t="str">
        <f>$E$26</f>
        <v>动态</v>
      </c>
      <c r="F274" t="str">
        <f ca="1">BDH($B$26,$C$26,$B$250,$B$251,CONCATENATE("Per=",$B$248),"Dts=H","Dir=H",CONCATENATE("Points=",$B$249),"Sort=R","Days=A","Fill=B","BE997=17Y",CONCATENATE("FX=", $B$247) )</f>
        <v>#N/A Authorization</v>
      </c>
      <c r="CL274" t="str">
        <f>""</f>
        <v/>
      </c>
      <c r="CM274" t="str">
        <f>""</f>
        <v/>
      </c>
      <c r="CN274" t="str">
        <f>""</f>
        <v/>
      </c>
      <c r="CO274" t="str">
        <f>""</f>
        <v/>
      </c>
      <c r="CP274" t="str">
        <f>""</f>
        <v/>
      </c>
      <c r="CQ274" t="str">
        <f>""</f>
        <v/>
      </c>
      <c r="CR274" t="str">
        <f>""</f>
        <v/>
      </c>
      <c r="CS274" t="str">
        <f>""</f>
        <v/>
      </c>
      <c r="CT274" t="str">
        <f>""</f>
        <v/>
      </c>
      <c r="CU274" t="str">
        <f>""</f>
        <v/>
      </c>
      <c r="CV274" t="str">
        <f>""</f>
        <v/>
      </c>
      <c r="CW274" t="str">
        <f>""</f>
        <v/>
      </c>
      <c r="CX274" t="str">
        <f>""</f>
        <v/>
      </c>
      <c r="CY274" t="str">
        <f>""</f>
        <v/>
      </c>
      <c r="CZ274" t="str">
        <f>""</f>
        <v/>
      </c>
      <c r="DA274" t="str">
        <f>""</f>
        <v/>
      </c>
      <c r="DB274" t="str">
        <f>""</f>
        <v/>
      </c>
      <c r="DC274" t="str">
        <f>""</f>
        <v/>
      </c>
      <c r="DD274" t="str">
        <f>""</f>
        <v/>
      </c>
      <c r="DE274" t="str">
        <f>""</f>
        <v/>
      </c>
      <c r="DF274" t="str">
        <f>""</f>
        <v/>
      </c>
      <c r="DG274" t="str">
        <f>""</f>
        <v/>
      </c>
      <c r="DH274" t="str">
        <f>""</f>
        <v/>
      </c>
      <c r="DI274" t="str">
        <f>""</f>
        <v/>
      </c>
      <c r="DJ274" t="str">
        <f>""</f>
        <v/>
      </c>
      <c r="DK274" t="str">
        <f>""</f>
        <v/>
      </c>
      <c r="DL274" t="str">
        <f>""</f>
        <v/>
      </c>
      <c r="DM274" t="str">
        <f>""</f>
        <v/>
      </c>
      <c r="DN274" t="str">
        <f>""</f>
        <v/>
      </c>
      <c r="DO274" t="str">
        <f>""</f>
        <v/>
      </c>
      <c r="DP274" t="str">
        <f>""</f>
        <v/>
      </c>
      <c r="DQ274" t="str">
        <f>""</f>
        <v/>
      </c>
      <c r="DR274" t="str">
        <f>""</f>
        <v/>
      </c>
      <c r="DS274" t="str">
        <f>""</f>
        <v/>
      </c>
      <c r="DT274" t="str">
        <f>""</f>
        <v/>
      </c>
      <c r="DU274" t="str">
        <f>""</f>
        <v/>
      </c>
      <c r="DV274" t="str">
        <f>""</f>
        <v/>
      </c>
      <c r="DW274" t="str">
        <f>""</f>
        <v/>
      </c>
      <c r="DX274" t="str">
        <f>""</f>
        <v/>
      </c>
      <c r="DY274" t="str">
        <f>""</f>
        <v/>
      </c>
      <c r="DZ274" t="str">
        <f>""</f>
        <v/>
      </c>
      <c r="EA274" t="str">
        <f>""</f>
        <v/>
      </c>
      <c r="EB274" t="str">
        <f>""</f>
        <v/>
      </c>
      <c r="EC274" t="str">
        <f>""</f>
        <v/>
      </c>
      <c r="ED274" t="str">
        <f>""</f>
        <v/>
      </c>
      <c r="EE274" t="str">
        <f>""</f>
        <v/>
      </c>
      <c r="EF274" t="str">
        <f>""</f>
        <v/>
      </c>
      <c r="EG274" t="str">
        <f>""</f>
        <v/>
      </c>
      <c r="EH274" t="str">
        <f>""</f>
        <v/>
      </c>
      <c r="EI274" t="str">
        <f>""</f>
        <v/>
      </c>
      <c r="EJ274" t="str">
        <f>""</f>
        <v/>
      </c>
      <c r="EK274" t="str">
        <f>""</f>
        <v/>
      </c>
      <c r="EL274" t="str">
        <f>""</f>
        <v/>
      </c>
      <c r="EM274" t="str">
        <f>""</f>
        <v/>
      </c>
      <c r="EN274" t="str">
        <f>""</f>
        <v/>
      </c>
      <c r="EO274" t="str">
        <f>""</f>
        <v/>
      </c>
      <c r="EP274" t="str">
        <f>""</f>
        <v/>
      </c>
      <c r="EQ274" t="str">
        <f>""</f>
        <v/>
      </c>
      <c r="ER274" t="str">
        <f>""</f>
        <v/>
      </c>
      <c r="ES274" t="str">
        <f>""</f>
        <v/>
      </c>
      <c r="ET274" t="str">
        <f>""</f>
        <v/>
      </c>
      <c r="EU274" t="str">
        <f>""</f>
        <v/>
      </c>
      <c r="EV274" t="str">
        <f>""</f>
        <v/>
      </c>
      <c r="EW274" t="str">
        <f>""</f>
        <v/>
      </c>
      <c r="EX274" t="str">
        <f>""</f>
        <v/>
      </c>
      <c r="EY274" t="str">
        <f>""</f>
        <v/>
      </c>
      <c r="EZ274" t="str">
        <f>""</f>
        <v/>
      </c>
      <c r="FA274" t="str">
        <f>""</f>
        <v/>
      </c>
      <c r="FB274" t="str">
        <f>""</f>
        <v/>
      </c>
      <c r="FC274" t="str">
        <f>""</f>
        <v/>
      </c>
      <c r="FD274" t="str">
        <f>""</f>
        <v/>
      </c>
      <c r="FE274" t="str">
        <f>""</f>
        <v/>
      </c>
      <c r="FF274" t="str">
        <f>""</f>
        <v/>
      </c>
      <c r="FG274" t="str">
        <f>""</f>
        <v/>
      </c>
      <c r="FH274" t="str">
        <f>""</f>
        <v/>
      </c>
      <c r="FI274" t="str">
        <f>""</f>
        <v/>
      </c>
      <c r="FJ274" t="str">
        <f>""</f>
        <v/>
      </c>
      <c r="FK274" t="str">
        <f>""</f>
        <v/>
      </c>
      <c r="FL274" t="str">
        <f>""</f>
        <v/>
      </c>
      <c r="FM274" t="str">
        <f>""</f>
        <v/>
      </c>
      <c r="FN274" t="str">
        <f>""</f>
        <v/>
      </c>
      <c r="FO274" t="str">
        <f>""</f>
        <v/>
      </c>
      <c r="FP274" t="str">
        <f>""</f>
        <v/>
      </c>
      <c r="FQ274" t="str">
        <f>""</f>
        <v/>
      </c>
    </row>
    <row r="275" spans="1:173">
      <c r="A275" t="str">
        <f>$A$28</f>
        <v xml:space="preserve">    公寓投资与管理</v>
      </c>
      <c r="B275" t="str">
        <f>$B$28</f>
        <v>AIV US Equity</v>
      </c>
      <c r="C275" t="str">
        <f>$C$28</f>
        <v>BE249</v>
      </c>
      <c r="D275" t="str">
        <f>$D$28</f>
        <v>BEST_PRICE_FFO_RATIO</v>
      </c>
      <c r="E275" t="str">
        <f>$E$28</f>
        <v>动态</v>
      </c>
      <c r="F275" t="str">
        <f ca="1">BDH($B$28,$C$28,$B$250,$B$251,CONCATENATE("Per=",$B$248),"Dts=H","Dir=H",CONCATENATE("Points=",$B$249),"Sort=R","Days=A","Fill=B","BE997=18Y",CONCATENATE("FX=", $B$247) )</f>
        <v>#N/A Authorization</v>
      </c>
      <c r="CL275" t="str">
        <f>""</f>
        <v/>
      </c>
      <c r="CM275" t="str">
        <f>""</f>
        <v/>
      </c>
      <c r="CN275" t="str">
        <f>""</f>
        <v/>
      </c>
      <c r="CO275" t="str">
        <f>""</f>
        <v/>
      </c>
      <c r="CP275" t="str">
        <f>""</f>
        <v/>
      </c>
      <c r="CQ275" t="str">
        <f>""</f>
        <v/>
      </c>
      <c r="CR275" t="str">
        <f>""</f>
        <v/>
      </c>
      <c r="CS275" t="str">
        <f>""</f>
        <v/>
      </c>
      <c r="CT275" t="str">
        <f>""</f>
        <v/>
      </c>
      <c r="CU275" t="str">
        <f>""</f>
        <v/>
      </c>
      <c r="CV275" t="str">
        <f>""</f>
        <v/>
      </c>
      <c r="CW275" t="str">
        <f>""</f>
        <v/>
      </c>
      <c r="CX275" t="str">
        <f>""</f>
        <v/>
      </c>
      <c r="CY275" t="str">
        <f>""</f>
        <v/>
      </c>
      <c r="CZ275" t="str">
        <f>""</f>
        <v/>
      </c>
      <c r="DA275" t="str">
        <f>""</f>
        <v/>
      </c>
      <c r="DB275" t="str">
        <f>""</f>
        <v/>
      </c>
      <c r="DC275" t="str">
        <f>""</f>
        <v/>
      </c>
      <c r="DD275" t="str">
        <f>""</f>
        <v/>
      </c>
      <c r="DE275" t="str">
        <f>""</f>
        <v/>
      </c>
      <c r="DF275" t="str">
        <f>""</f>
        <v/>
      </c>
      <c r="DG275" t="str">
        <f>""</f>
        <v/>
      </c>
      <c r="DH275" t="str">
        <f>""</f>
        <v/>
      </c>
      <c r="DI275" t="str">
        <f>""</f>
        <v/>
      </c>
      <c r="DJ275" t="str">
        <f>""</f>
        <v/>
      </c>
      <c r="DK275" t="str">
        <f>""</f>
        <v/>
      </c>
      <c r="DL275" t="str">
        <f>""</f>
        <v/>
      </c>
      <c r="DM275" t="str">
        <f>""</f>
        <v/>
      </c>
      <c r="DN275" t="str">
        <f>""</f>
        <v/>
      </c>
      <c r="DO275" t="str">
        <f>""</f>
        <v/>
      </c>
      <c r="DP275" t="str">
        <f>""</f>
        <v/>
      </c>
      <c r="DQ275" t="str">
        <f>""</f>
        <v/>
      </c>
      <c r="DR275" t="str">
        <f>""</f>
        <v/>
      </c>
      <c r="DS275" t="str">
        <f>""</f>
        <v/>
      </c>
      <c r="DT275" t="str">
        <f>""</f>
        <v/>
      </c>
      <c r="DU275" t="str">
        <f>""</f>
        <v/>
      </c>
      <c r="DV275" t="str">
        <f>""</f>
        <v/>
      </c>
      <c r="DW275" t="str">
        <f>""</f>
        <v/>
      </c>
      <c r="DX275" t="str">
        <f>""</f>
        <v/>
      </c>
      <c r="DY275" t="str">
        <f>""</f>
        <v/>
      </c>
      <c r="DZ275" t="str">
        <f>""</f>
        <v/>
      </c>
      <c r="EA275" t="str">
        <f>""</f>
        <v/>
      </c>
      <c r="EB275" t="str">
        <f>""</f>
        <v/>
      </c>
      <c r="EC275" t="str">
        <f>""</f>
        <v/>
      </c>
      <c r="ED275" t="str">
        <f>""</f>
        <v/>
      </c>
      <c r="EE275" t="str">
        <f>""</f>
        <v/>
      </c>
      <c r="EF275" t="str">
        <f>""</f>
        <v/>
      </c>
      <c r="EG275" t="str">
        <f>""</f>
        <v/>
      </c>
      <c r="EH275" t="str">
        <f>""</f>
        <v/>
      </c>
      <c r="EI275" t="str">
        <f>""</f>
        <v/>
      </c>
      <c r="EJ275" t="str">
        <f>""</f>
        <v/>
      </c>
      <c r="EK275" t="str">
        <f>""</f>
        <v/>
      </c>
      <c r="EL275" t="str">
        <f>""</f>
        <v/>
      </c>
      <c r="EM275" t="str">
        <f>""</f>
        <v/>
      </c>
      <c r="EN275" t="str">
        <f>""</f>
        <v/>
      </c>
      <c r="EO275" t="str">
        <f>""</f>
        <v/>
      </c>
      <c r="EP275" t="str">
        <f>""</f>
        <v/>
      </c>
      <c r="EQ275" t="str">
        <f>""</f>
        <v/>
      </c>
      <c r="ER275" t="str">
        <f>""</f>
        <v/>
      </c>
      <c r="ES275" t="str">
        <f>""</f>
        <v/>
      </c>
      <c r="ET275" t="str">
        <f>""</f>
        <v/>
      </c>
      <c r="EU275" t="str">
        <f>""</f>
        <v/>
      </c>
      <c r="EV275" t="str">
        <f>""</f>
        <v/>
      </c>
      <c r="EW275" t="str">
        <f>""</f>
        <v/>
      </c>
      <c r="EX275" t="str">
        <f>""</f>
        <v/>
      </c>
      <c r="EY275" t="str">
        <f>""</f>
        <v/>
      </c>
      <c r="EZ275" t="str">
        <f>""</f>
        <v/>
      </c>
      <c r="FA275" t="str">
        <f>""</f>
        <v/>
      </c>
      <c r="FB275" t="str">
        <f>""</f>
        <v/>
      </c>
      <c r="FC275" t="str">
        <f>""</f>
        <v/>
      </c>
      <c r="FD275" t="str">
        <f>""</f>
        <v/>
      </c>
      <c r="FE275" t="str">
        <f>""</f>
        <v/>
      </c>
      <c r="FF275" t="str">
        <f>""</f>
        <v/>
      </c>
      <c r="FG275" t="str">
        <f>""</f>
        <v/>
      </c>
      <c r="FH275" t="str">
        <f>""</f>
        <v/>
      </c>
      <c r="FI275" t="str">
        <f>""</f>
        <v/>
      </c>
      <c r="FJ275" t="str">
        <f>""</f>
        <v/>
      </c>
      <c r="FK275" t="str">
        <f>""</f>
        <v/>
      </c>
      <c r="FL275" t="str">
        <f>""</f>
        <v/>
      </c>
      <c r="FM275" t="str">
        <f>""</f>
        <v/>
      </c>
      <c r="FN275" t="str">
        <f>""</f>
        <v/>
      </c>
      <c r="FO275" t="str">
        <f>""</f>
        <v/>
      </c>
      <c r="FP275" t="str">
        <f>""</f>
        <v/>
      </c>
      <c r="FQ275" t="str">
        <f>""</f>
        <v/>
      </c>
    </row>
    <row r="276" spans="1:173">
      <c r="A276" t="str">
        <f>$A$29</f>
        <v xml:space="preserve">    AvalonBay社区股份有限公司</v>
      </c>
      <c r="B276" t="str">
        <f>$B$29</f>
        <v>AVB US Equity</v>
      </c>
      <c r="C276" t="str">
        <f>$C$29</f>
        <v>BE249</v>
      </c>
      <c r="D276" t="str">
        <f>$D$29</f>
        <v>BEST_PRICE_FFO_RATIO</v>
      </c>
      <c r="E276" t="str">
        <f>$E$29</f>
        <v>动态</v>
      </c>
      <c r="F276" t="str">
        <f ca="1">BDH($B$29,$C$29,$B$250,$B$251,CONCATENATE("Per=",$B$248),"Dts=H","Dir=H",CONCATENATE("Points=",$B$249),"Sort=R","Days=A","Fill=B","BE997=18Y",CONCATENATE("FX=", $B$247) )</f>
        <v>#N/A Authorization</v>
      </c>
      <c r="CL276" t="str">
        <f>""</f>
        <v/>
      </c>
      <c r="CM276" t="str">
        <f>""</f>
        <v/>
      </c>
      <c r="CN276" t="str">
        <f>""</f>
        <v/>
      </c>
      <c r="CO276" t="str">
        <f>""</f>
        <v/>
      </c>
      <c r="CP276" t="str">
        <f>""</f>
        <v/>
      </c>
      <c r="CQ276" t="str">
        <f>""</f>
        <v/>
      </c>
      <c r="CR276" t="str">
        <f>""</f>
        <v/>
      </c>
      <c r="CS276" t="str">
        <f>""</f>
        <v/>
      </c>
      <c r="CT276" t="str">
        <f>""</f>
        <v/>
      </c>
      <c r="CU276" t="str">
        <f>""</f>
        <v/>
      </c>
      <c r="CV276" t="str">
        <f>""</f>
        <v/>
      </c>
      <c r="CW276" t="str">
        <f>""</f>
        <v/>
      </c>
      <c r="CX276" t="str">
        <f>""</f>
        <v/>
      </c>
      <c r="CY276" t="str">
        <f>""</f>
        <v/>
      </c>
      <c r="CZ276" t="str">
        <f>""</f>
        <v/>
      </c>
      <c r="DA276" t="str">
        <f>""</f>
        <v/>
      </c>
      <c r="DB276" t="str">
        <f>""</f>
        <v/>
      </c>
      <c r="DC276" t="str">
        <f>""</f>
        <v/>
      </c>
      <c r="DD276" t="str">
        <f>""</f>
        <v/>
      </c>
      <c r="DE276" t="str">
        <f>""</f>
        <v/>
      </c>
      <c r="DF276" t="str">
        <f>""</f>
        <v/>
      </c>
      <c r="DG276" t="str">
        <f>""</f>
        <v/>
      </c>
      <c r="DH276" t="str">
        <f>""</f>
        <v/>
      </c>
      <c r="DI276" t="str">
        <f>""</f>
        <v/>
      </c>
      <c r="DJ276" t="str">
        <f>""</f>
        <v/>
      </c>
      <c r="DK276" t="str">
        <f>""</f>
        <v/>
      </c>
      <c r="DL276" t="str">
        <f>""</f>
        <v/>
      </c>
      <c r="DM276" t="str">
        <f>""</f>
        <v/>
      </c>
      <c r="DN276" t="str">
        <f>""</f>
        <v/>
      </c>
      <c r="DO276" t="str">
        <f>""</f>
        <v/>
      </c>
      <c r="DP276" t="str">
        <f>""</f>
        <v/>
      </c>
      <c r="DQ276" t="str">
        <f>""</f>
        <v/>
      </c>
      <c r="DR276" t="str">
        <f>""</f>
        <v/>
      </c>
      <c r="DS276" t="str">
        <f>""</f>
        <v/>
      </c>
      <c r="DT276" t="str">
        <f>""</f>
        <v/>
      </c>
      <c r="DU276" t="str">
        <f>""</f>
        <v/>
      </c>
      <c r="DV276" t="str">
        <f>""</f>
        <v/>
      </c>
      <c r="DW276" t="str">
        <f>""</f>
        <v/>
      </c>
      <c r="DX276" t="str">
        <f>""</f>
        <v/>
      </c>
      <c r="DY276" t="str">
        <f>""</f>
        <v/>
      </c>
      <c r="DZ276" t="str">
        <f>""</f>
        <v/>
      </c>
      <c r="EA276" t="str">
        <f>""</f>
        <v/>
      </c>
      <c r="EB276" t="str">
        <f>""</f>
        <v/>
      </c>
      <c r="EC276" t="str">
        <f>""</f>
        <v/>
      </c>
      <c r="ED276" t="str">
        <f>""</f>
        <v/>
      </c>
      <c r="EE276" t="str">
        <f>""</f>
        <v/>
      </c>
      <c r="EF276" t="str">
        <f>""</f>
        <v/>
      </c>
      <c r="EG276" t="str">
        <f>""</f>
        <v/>
      </c>
      <c r="EH276" t="str">
        <f>""</f>
        <v/>
      </c>
      <c r="EI276" t="str">
        <f>""</f>
        <v/>
      </c>
      <c r="EJ276" t="str">
        <f>""</f>
        <v/>
      </c>
      <c r="EK276" t="str">
        <f>""</f>
        <v/>
      </c>
      <c r="EL276" t="str">
        <f>""</f>
        <v/>
      </c>
      <c r="EM276" t="str">
        <f>""</f>
        <v/>
      </c>
      <c r="EN276" t="str">
        <f>""</f>
        <v/>
      </c>
      <c r="EO276" t="str">
        <f>""</f>
        <v/>
      </c>
      <c r="EP276" t="str">
        <f>""</f>
        <v/>
      </c>
      <c r="EQ276" t="str">
        <f>""</f>
        <v/>
      </c>
      <c r="ER276" t="str">
        <f>""</f>
        <v/>
      </c>
      <c r="ES276" t="str">
        <f>""</f>
        <v/>
      </c>
      <c r="ET276" t="str">
        <f>""</f>
        <v/>
      </c>
      <c r="EU276" t="str">
        <f>""</f>
        <v/>
      </c>
      <c r="EV276" t="str">
        <f>""</f>
        <v/>
      </c>
      <c r="EW276" t="str">
        <f>""</f>
        <v/>
      </c>
      <c r="EX276" t="str">
        <f>""</f>
        <v/>
      </c>
      <c r="EY276" t="str">
        <f>""</f>
        <v/>
      </c>
      <c r="EZ276" t="str">
        <f>""</f>
        <v/>
      </c>
      <c r="FA276" t="str">
        <f>""</f>
        <v/>
      </c>
      <c r="FB276" t="str">
        <f>""</f>
        <v/>
      </c>
      <c r="FC276" t="str">
        <f>""</f>
        <v/>
      </c>
      <c r="FD276" t="str">
        <f>""</f>
        <v/>
      </c>
      <c r="FE276" t="str">
        <f>""</f>
        <v/>
      </c>
      <c r="FF276" t="str">
        <f>""</f>
        <v/>
      </c>
      <c r="FG276" t="str">
        <f>""</f>
        <v/>
      </c>
      <c r="FH276" t="str">
        <f>""</f>
        <v/>
      </c>
      <c r="FI276" t="str">
        <f>""</f>
        <v/>
      </c>
      <c r="FJ276" t="str">
        <f>""</f>
        <v/>
      </c>
      <c r="FK276" t="str">
        <f>""</f>
        <v/>
      </c>
      <c r="FL276" t="str">
        <f>""</f>
        <v/>
      </c>
      <c r="FM276" t="str">
        <f>""</f>
        <v/>
      </c>
      <c r="FN276" t="str">
        <f>""</f>
        <v/>
      </c>
      <c r="FO276" t="str">
        <f>""</f>
        <v/>
      </c>
      <c r="FP276" t="str">
        <f>""</f>
        <v/>
      </c>
      <c r="FQ276" t="str">
        <f>""</f>
        <v/>
      </c>
    </row>
    <row r="277" spans="1:173">
      <c r="A277" t="str">
        <f>$A$30</f>
        <v xml:space="preserve">    Camden 房地产信托公司</v>
      </c>
      <c r="B277" t="str">
        <f>$B$30</f>
        <v>CPT US Equity</v>
      </c>
      <c r="C277" t="str">
        <f>$C$30</f>
        <v>BE249</v>
      </c>
      <c r="D277" t="str">
        <f>$D$30</f>
        <v>BEST_PRICE_FFO_RATIO</v>
      </c>
      <c r="E277" t="str">
        <f>$E$30</f>
        <v>动态</v>
      </c>
      <c r="F277" t="str">
        <f ca="1">BDH($B$30,$C$30,$B$250,$B$251,CONCATENATE("Per=",$B$248),"Dts=H","Dir=H",CONCATENATE("Points=",$B$249),"Sort=R","Days=A","Fill=B","BE997=18Y",CONCATENATE("FX=", $B$247) )</f>
        <v>#N/A Authorization</v>
      </c>
      <c r="CL277" t="str">
        <f>""</f>
        <v/>
      </c>
      <c r="CM277" t="str">
        <f>""</f>
        <v/>
      </c>
      <c r="CN277" t="str">
        <f>""</f>
        <v/>
      </c>
      <c r="CO277" t="str">
        <f>""</f>
        <v/>
      </c>
      <c r="CP277" t="str">
        <f>""</f>
        <v/>
      </c>
      <c r="CQ277" t="str">
        <f>""</f>
        <v/>
      </c>
      <c r="CR277" t="str">
        <f>""</f>
        <v/>
      </c>
      <c r="CS277" t="str">
        <f>""</f>
        <v/>
      </c>
      <c r="CT277" t="str">
        <f>""</f>
        <v/>
      </c>
      <c r="CU277" t="str">
        <f>""</f>
        <v/>
      </c>
      <c r="CV277" t="str">
        <f>""</f>
        <v/>
      </c>
      <c r="CW277" t="str">
        <f>""</f>
        <v/>
      </c>
      <c r="CX277" t="str">
        <f>""</f>
        <v/>
      </c>
      <c r="CY277" t="str">
        <f>""</f>
        <v/>
      </c>
      <c r="CZ277" t="str">
        <f>""</f>
        <v/>
      </c>
      <c r="DA277" t="str">
        <f>""</f>
        <v/>
      </c>
      <c r="DB277" t="str">
        <f>""</f>
        <v/>
      </c>
      <c r="DC277" t="str">
        <f>""</f>
        <v/>
      </c>
      <c r="DD277" t="str">
        <f>""</f>
        <v/>
      </c>
      <c r="DE277" t="str">
        <f>""</f>
        <v/>
      </c>
      <c r="DF277" t="str">
        <f>""</f>
        <v/>
      </c>
      <c r="DG277" t="str">
        <f>""</f>
        <v/>
      </c>
      <c r="DH277" t="str">
        <f>""</f>
        <v/>
      </c>
      <c r="DI277" t="str">
        <f>""</f>
        <v/>
      </c>
      <c r="DJ277" t="str">
        <f>""</f>
        <v/>
      </c>
      <c r="DK277" t="str">
        <f>""</f>
        <v/>
      </c>
      <c r="DL277" t="str">
        <f>""</f>
        <v/>
      </c>
      <c r="DM277" t="str">
        <f>""</f>
        <v/>
      </c>
      <c r="DN277" t="str">
        <f>""</f>
        <v/>
      </c>
      <c r="DO277" t="str">
        <f>""</f>
        <v/>
      </c>
      <c r="DP277" t="str">
        <f>""</f>
        <v/>
      </c>
      <c r="DQ277" t="str">
        <f>""</f>
        <v/>
      </c>
      <c r="DR277" t="str">
        <f>""</f>
        <v/>
      </c>
      <c r="DS277" t="str">
        <f>""</f>
        <v/>
      </c>
      <c r="DT277" t="str">
        <f>""</f>
        <v/>
      </c>
      <c r="DU277" t="str">
        <f>""</f>
        <v/>
      </c>
      <c r="DV277" t="str">
        <f>""</f>
        <v/>
      </c>
      <c r="DW277" t="str">
        <f>""</f>
        <v/>
      </c>
      <c r="DX277" t="str">
        <f>""</f>
        <v/>
      </c>
      <c r="DY277" t="str">
        <f>""</f>
        <v/>
      </c>
      <c r="DZ277" t="str">
        <f>""</f>
        <v/>
      </c>
      <c r="EA277" t="str">
        <f>""</f>
        <v/>
      </c>
      <c r="EB277" t="str">
        <f>""</f>
        <v/>
      </c>
      <c r="EC277" t="str">
        <f>""</f>
        <v/>
      </c>
      <c r="ED277" t="str">
        <f>""</f>
        <v/>
      </c>
      <c r="EE277" t="str">
        <f>""</f>
        <v/>
      </c>
      <c r="EF277" t="str">
        <f>""</f>
        <v/>
      </c>
      <c r="EG277" t="str">
        <f>""</f>
        <v/>
      </c>
      <c r="EH277" t="str">
        <f>""</f>
        <v/>
      </c>
      <c r="EI277" t="str">
        <f>""</f>
        <v/>
      </c>
      <c r="EJ277" t="str">
        <f>""</f>
        <v/>
      </c>
      <c r="EK277" t="str">
        <f>""</f>
        <v/>
      </c>
      <c r="EL277" t="str">
        <f>""</f>
        <v/>
      </c>
      <c r="EM277" t="str">
        <f>""</f>
        <v/>
      </c>
      <c r="EN277" t="str">
        <f>""</f>
        <v/>
      </c>
      <c r="EO277" t="str">
        <f>""</f>
        <v/>
      </c>
      <c r="EP277" t="str">
        <f>""</f>
        <v/>
      </c>
      <c r="EQ277" t="str">
        <f>""</f>
        <v/>
      </c>
      <c r="ER277" t="str">
        <f>""</f>
        <v/>
      </c>
      <c r="ES277" t="str">
        <f>""</f>
        <v/>
      </c>
      <c r="ET277" t="str">
        <f>""</f>
        <v/>
      </c>
      <c r="EU277" t="str">
        <f>""</f>
        <v/>
      </c>
      <c r="EV277" t="str">
        <f>""</f>
        <v/>
      </c>
      <c r="EW277" t="str">
        <f>""</f>
        <v/>
      </c>
      <c r="EX277" t="str">
        <f>""</f>
        <v/>
      </c>
      <c r="EY277" t="str">
        <f>""</f>
        <v/>
      </c>
      <c r="EZ277" t="str">
        <f>""</f>
        <v/>
      </c>
      <c r="FA277" t="str">
        <f>""</f>
        <v/>
      </c>
      <c r="FB277" t="str">
        <f>""</f>
        <v/>
      </c>
      <c r="FC277" t="str">
        <f>""</f>
        <v/>
      </c>
      <c r="FD277" t="str">
        <f>""</f>
        <v/>
      </c>
      <c r="FE277" t="str">
        <f>""</f>
        <v/>
      </c>
      <c r="FF277" t="str">
        <f>""</f>
        <v/>
      </c>
      <c r="FG277" t="str">
        <f>""</f>
        <v/>
      </c>
      <c r="FH277" t="str">
        <f>""</f>
        <v/>
      </c>
      <c r="FI277" t="str">
        <f>""</f>
        <v/>
      </c>
      <c r="FJ277" t="str">
        <f>""</f>
        <v/>
      </c>
      <c r="FK277" t="str">
        <f>""</f>
        <v/>
      </c>
      <c r="FL277" t="str">
        <f>""</f>
        <v/>
      </c>
      <c r="FM277" t="str">
        <f>""</f>
        <v/>
      </c>
      <c r="FN277" t="str">
        <f>""</f>
        <v/>
      </c>
      <c r="FO277" t="str">
        <f>""</f>
        <v/>
      </c>
      <c r="FP277" t="str">
        <f>""</f>
        <v/>
      </c>
      <c r="FQ277" t="str">
        <f>""</f>
        <v/>
      </c>
    </row>
    <row r="278" spans="1:173">
      <c r="A278" t="str">
        <f>$A$31</f>
        <v xml:space="preserve">    公寓物业权益信托</v>
      </c>
      <c r="B278" t="str">
        <f>$B$31</f>
        <v>EQR US Equity</v>
      </c>
      <c r="C278" t="str">
        <f>$C$31</f>
        <v>BE249</v>
      </c>
      <c r="D278" t="str">
        <f>$D$31</f>
        <v>BEST_PRICE_FFO_RATIO</v>
      </c>
      <c r="E278" t="str">
        <f>$E$31</f>
        <v>动态</v>
      </c>
      <c r="F278" t="str">
        <f ca="1">BDH($B$31,$C$31,$B$250,$B$251,CONCATENATE("Per=",$B$248),"Dts=H","Dir=H",CONCATENATE("Points=",$B$249),"Sort=R","Days=A","Fill=B","BE997=18Y",CONCATENATE("FX=", $B$247) )</f>
        <v>#N/A Authorization</v>
      </c>
      <c r="CL278" t="str">
        <f>""</f>
        <v/>
      </c>
      <c r="CM278" t="str">
        <f>""</f>
        <v/>
      </c>
      <c r="CN278" t="str">
        <f>""</f>
        <v/>
      </c>
      <c r="CO278" t="str">
        <f>""</f>
        <v/>
      </c>
      <c r="CP278" t="str">
        <f>""</f>
        <v/>
      </c>
      <c r="CQ278" t="str">
        <f>""</f>
        <v/>
      </c>
      <c r="CR278" t="str">
        <f>""</f>
        <v/>
      </c>
      <c r="CS278" t="str">
        <f>""</f>
        <v/>
      </c>
      <c r="CT278" t="str">
        <f>""</f>
        <v/>
      </c>
      <c r="CU278" t="str">
        <f>""</f>
        <v/>
      </c>
      <c r="CV278" t="str">
        <f>""</f>
        <v/>
      </c>
      <c r="CW278" t="str">
        <f>""</f>
        <v/>
      </c>
      <c r="CX278" t="str">
        <f>""</f>
        <v/>
      </c>
      <c r="CY278" t="str">
        <f>""</f>
        <v/>
      </c>
      <c r="CZ278" t="str">
        <f>""</f>
        <v/>
      </c>
      <c r="DA278" t="str">
        <f>""</f>
        <v/>
      </c>
      <c r="DB278" t="str">
        <f>""</f>
        <v/>
      </c>
      <c r="DC278" t="str">
        <f>""</f>
        <v/>
      </c>
      <c r="DD278" t="str">
        <f>""</f>
        <v/>
      </c>
      <c r="DE278" t="str">
        <f>""</f>
        <v/>
      </c>
      <c r="DF278" t="str">
        <f>""</f>
        <v/>
      </c>
      <c r="DG278" t="str">
        <f>""</f>
        <v/>
      </c>
      <c r="DH278" t="str">
        <f>""</f>
        <v/>
      </c>
      <c r="DI278" t="str">
        <f>""</f>
        <v/>
      </c>
      <c r="DJ278" t="str">
        <f>""</f>
        <v/>
      </c>
      <c r="DK278" t="str">
        <f>""</f>
        <v/>
      </c>
      <c r="DL278" t="str">
        <f>""</f>
        <v/>
      </c>
      <c r="DM278" t="str">
        <f>""</f>
        <v/>
      </c>
      <c r="DN278" t="str">
        <f>""</f>
        <v/>
      </c>
      <c r="DO278" t="str">
        <f>""</f>
        <v/>
      </c>
      <c r="DP278" t="str">
        <f>""</f>
        <v/>
      </c>
      <c r="DQ278" t="str">
        <f>""</f>
        <v/>
      </c>
      <c r="DR278" t="str">
        <f>""</f>
        <v/>
      </c>
      <c r="DS278" t="str">
        <f>""</f>
        <v/>
      </c>
      <c r="DT278" t="str">
        <f>""</f>
        <v/>
      </c>
      <c r="DU278" t="str">
        <f>""</f>
        <v/>
      </c>
      <c r="DV278" t="str">
        <f>""</f>
        <v/>
      </c>
      <c r="DW278" t="str">
        <f>""</f>
        <v/>
      </c>
      <c r="DX278" t="str">
        <f>""</f>
        <v/>
      </c>
      <c r="DY278" t="str">
        <f>""</f>
        <v/>
      </c>
      <c r="DZ278" t="str">
        <f>""</f>
        <v/>
      </c>
      <c r="EA278" t="str">
        <f>""</f>
        <v/>
      </c>
      <c r="EB278" t="str">
        <f>""</f>
        <v/>
      </c>
      <c r="EC278" t="str">
        <f>""</f>
        <v/>
      </c>
      <c r="ED278" t="str">
        <f>""</f>
        <v/>
      </c>
      <c r="EE278" t="str">
        <f>""</f>
        <v/>
      </c>
      <c r="EF278" t="str">
        <f>""</f>
        <v/>
      </c>
      <c r="EG278" t="str">
        <f>""</f>
        <v/>
      </c>
      <c r="EH278" t="str">
        <f>""</f>
        <v/>
      </c>
      <c r="EI278" t="str">
        <f>""</f>
        <v/>
      </c>
      <c r="EJ278" t="str">
        <f>""</f>
        <v/>
      </c>
      <c r="EK278" t="str">
        <f>""</f>
        <v/>
      </c>
      <c r="EL278" t="str">
        <f>""</f>
        <v/>
      </c>
      <c r="EM278" t="str">
        <f>""</f>
        <v/>
      </c>
      <c r="EN278" t="str">
        <f>""</f>
        <v/>
      </c>
      <c r="EO278" t="str">
        <f>""</f>
        <v/>
      </c>
      <c r="EP278" t="str">
        <f>""</f>
        <v/>
      </c>
      <c r="EQ278" t="str">
        <f>""</f>
        <v/>
      </c>
      <c r="ER278" t="str">
        <f>""</f>
        <v/>
      </c>
      <c r="ES278" t="str">
        <f>""</f>
        <v/>
      </c>
      <c r="ET278" t="str">
        <f>""</f>
        <v/>
      </c>
      <c r="EU278" t="str">
        <f>""</f>
        <v/>
      </c>
      <c r="EV278" t="str">
        <f>""</f>
        <v/>
      </c>
      <c r="EW278" t="str">
        <f>""</f>
        <v/>
      </c>
      <c r="EX278" t="str">
        <f>""</f>
        <v/>
      </c>
      <c r="EY278" t="str">
        <f>""</f>
        <v/>
      </c>
      <c r="EZ278" t="str">
        <f>""</f>
        <v/>
      </c>
      <c r="FA278" t="str">
        <f>""</f>
        <v/>
      </c>
      <c r="FB278" t="str">
        <f>""</f>
        <v/>
      </c>
      <c r="FC278" t="str">
        <f>""</f>
        <v/>
      </c>
      <c r="FD278" t="str">
        <f>""</f>
        <v/>
      </c>
      <c r="FE278" t="str">
        <f>""</f>
        <v/>
      </c>
      <c r="FF278" t="str">
        <f>""</f>
        <v/>
      </c>
      <c r="FG278" t="str">
        <f>""</f>
        <v/>
      </c>
      <c r="FH278" t="str">
        <f>""</f>
        <v/>
      </c>
      <c r="FI278" t="str">
        <f>""</f>
        <v/>
      </c>
      <c r="FJ278" t="str">
        <f>""</f>
        <v/>
      </c>
      <c r="FK278" t="str">
        <f>""</f>
        <v/>
      </c>
      <c r="FL278" t="str">
        <f>""</f>
        <v/>
      </c>
      <c r="FM278" t="str">
        <f>""</f>
        <v/>
      </c>
      <c r="FN278" t="str">
        <f>""</f>
        <v/>
      </c>
      <c r="FO278" t="str">
        <f>""</f>
        <v/>
      </c>
      <c r="FP278" t="str">
        <f>""</f>
        <v/>
      </c>
      <c r="FQ278" t="str">
        <f>""</f>
        <v/>
      </c>
    </row>
    <row r="279" spans="1:173">
      <c r="A279" t="str">
        <f>$A$32</f>
        <v xml:space="preserve">    埃塞克斯房地产信托公司</v>
      </c>
      <c r="B279" t="str">
        <f>$B$32</f>
        <v>ESS US Equity</v>
      </c>
      <c r="C279" t="str">
        <f>$C$32</f>
        <v>BE249</v>
      </c>
      <c r="D279" t="str">
        <f>$D$32</f>
        <v>BEST_PRICE_FFO_RATIO</v>
      </c>
      <c r="E279" t="str">
        <f>$E$32</f>
        <v>动态</v>
      </c>
      <c r="F279" t="str">
        <f ca="1">BDH($B$32,$C$32,$B$250,$B$251,CONCATENATE("Per=",$B$248),"Dts=H","Dir=H",CONCATENATE("Points=",$B$249),"Sort=R","Days=A","Fill=B","BE997=18Y",CONCATENATE("FX=", $B$247) )</f>
        <v>#N/A Authorization</v>
      </c>
      <c r="CL279" t="str">
        <f>""</f>
        <v/>
      </c>
      <c r="CM279" t="str">
        <f>""</f>
        <v/>
      </c>
      <c r="CN279" t="str">
        <f>""</f>
        <v/>
      </c>
      <c r="CO279" t="str">
        <f>""</f>
        <v/>
      </c>
      <c r="CP279" t="str">
        <f>""</f>
        <v/>
      </c>
      <c r="CQ279" t="str">
        <f>""</f>
        <v/>
      </c>
      <c r="CR279" t="str">
        <f>""</f>
        <v/>
      </c>
      <c r="CS279" t="str">
        <f>""</f>
        <v/>
      </c>
      <c r="CT279" t="str">
        <f>""</f>
        <v/>
      </c>
      <c r="CU279" t="str">
        <f>""</f>
        <v/>
      </c>
      <c r="CV279" t="str">
        <f>""</f>
        <v/>
      </c>
      <c r="CW279" t="str">
        <f>""</f>
        <v/>
      </c>
      <c r="CX279" t="str">
        <f>""</f>
        <v/>
      </c>
      <c r="CY279" t="str">
        <f>""</f>
        <v/>
      </c>
      <c r="CZ279" t="str">
        <f>""</f>
        <v/>
      </c>
      <c r="DA279" t="str">
        <f>""</f>
        <v/>
      </c>
      <c r="DB279" t="str">
        <f>""</f>
        <v/>
      </c>
      <c r="DC279" t="str">
        <f>""</f>
        <v/>
      </c>
      <c r="DD279" t="str">
        <f>""</f>
        <v/>
      </c>
      <c r="DE279" t="str">
        <f>""</f>
        <v/>
      </c>
      <c r="DF279" t="str">
        <f>""</f>
        <v/>
      </c>
      <c r="DG279" t="str">
        <f>""</f>
        <v/>
      </c>
      <c r="DH279" t="str">
        <f>""</f>
        <v/>
      </c>
      <c r="DI279" t="str">
        <f>""</f>
        <v/>
      </c>
      <c r="DJ279" t="str">
        <f>""</f>
        <v/>
      </c>
      <c r="DK279" t="str">
        <f>""</f>
        <v/>
      </c>
      <c r="DL279" t="str">
        <f>""</f>
        <v/>
      </c>
      <c r="DM279" t="str">
        <f>""</f>
        <v/>
      </c>
      <c r="DN279" t="str">
        <f>""</f>
        <v/>
      </c>
      <c r="DO279" t="str">
        <f>""</f>
        <v/>
      </c>
      <c r="DP279" t="str">
        <f>""</f>
        <v/>
      </c>
      <c r="DQ279" t="str">
        <f>""</f>
        <v/>
      </c>
      <c r="DR279" t="str">
        <f>""</f>
        <v/>
      </c>
      <c r="DS279" t="str">
        <f>""</f>
        <v/>
      </c>
      <c r="DT279" t="str">
        <f>""</f>
        <v/>
      </c>
      <c r="DU279" t="str">
        <f>""</f>
        <v/>
      </c>
      <c r="DV279" t="str">
        <f>""</f>
        <v/>
      </c>
      <c r="DW279" t="str">
        <f>""</f>
        <v/>
      </c>
      <c r="DX279" t="str">
        <f>""</f>
        <v/>
      </c>
      <c r="DY279" t="str">
        <f>""</f>
        <v/>
      </c>
      <c r="DZ279" t="str">
        <f>""</f>
        <v/>
      </c>
      <c r="EA279" t="str">
        <f>""</f>
        <v/>
      </c>
      <c r="EB279" t="str">
        <f>""</f>
        <v/>
      </c>
      <c r="EC279" t="str">
        <f>""</f>
        <v/>
      </c>
      <c r="ED279" t="str">
        <f>""</f>
        <v/>
      </c>
      <c r="EE279" t="str">
        <f>""</f>
        <v/>
      </c>
      <c r="EF279" t="str">
        <f>""</f>
        <v/>
      </c>
      <c r="EG279" t="str">
        <f>""</f>
        <v/>
      </c>
      <c r="EH279" t="str">
        <f>""</f>
        <v/>
      </c>
      <c r="EI279" t="str">
        <f>""</f>
        <v/>
      </c>
      <c r="EJ279" t="str">
        <f>""</f>
        <v/>
      </c>
      <c r="EK279" t="str">
        <f>""</f>
        <v/>
      </c>
      <c r="EL279" t="str">
        <f>""</f>
        <v/>
      </c>
      <c r="EM279" t="str">
        <f>""</f>
        <v/>
      </c>
      <c r="EN279" t="str">
        <f>""</f>
        <v/>
      </c>
      <c r="EO279" t="str">
        <f>""</f>
        <v/>
      </c>
      <c r="EP279" t="str">
        <f>""</f>
        <v/>
      </c>
      <c r="EQ279" t="str">
        <f>""</f>
        <v/>
      </c>
      <c r="ER279" t="str">
        <f>""</f>
        <v/>
      </c>
      <c r="ES279" t="str">
        <f>""</f>
        <v/>
      </c>
      <c r="ET279" t="str">
        <f>""</f>
        <v/>
      </c>
      <c r="EU279" t="str">
        <f>""</f>
        <v/>
      </c>
      <c r="EV279" t="str">
        <f>""</f>
        <v/>
      </c>
      <c r="EW279" t="str">
        <f>""</f>
        <v/>
      </c>
      <c r="EX279" t="str">
        <f>""</f>
        <v/>
      </c>
      <c r="EY279" t="str">
        <f>""</f>
        <v/>
      </c>
      <c r="EZ279" t="str">
        <f>""</f>
        <v/>
      </c>
      <c r="FA279" t="str">
        <f>""</f>
        <v/>
      </c>
      <c r="FB279" t="str">
        <f>""</f>
        <v/>
      </c>
      <c r="FC279" t="str">
        <f>""</f>
        <v/>
      </c>
      <c r="FD279" t="str">
        <f>""</f>
        <v/>
      </c>
      <c r="FE279" t="str">
        <f>""</f>
        <v/>
      </c>
      <c r="FF279" t="str">
        <f>""</f>
        <v/>
      </c>
      <c r="FG279" t="str">
        <f>""</f>
        <v/>
      </c>
      <c r="FH279" t="str">
        <f>""</f>
        <v/>
      </c>
      <c r="FI279" t="str">
        <f>""</f>
        <v/>
      </c>
      <c r="FJ279" t="str">
        <f>""</f>
        <v/>
      </c>
      <c r="FK279" t="str">
        <f>""</f>
        <v/>
      </c>
      <c r="FL279" t="str">
        <f>""</f>
        <v/>
      </c>
      <c r="FM279" t="str">
        <f>""</f>
        <v/>
      </c>
      <c r="FN279" t="str">
        <f>""</f>
        <v/>
      </c>
      <c r="FO279" t="str">
        <f>""</f>
        <v/>
      </c>
      <c r="FP279" t="str">
        <f>""</f>
        <v/>
      </c>
      <c r="FQ279" t="str">
        <f>""</f>
        <v/>
      </c>
    </row>
    <row r="280" spans="1:173">
      <c r="A280" t="str">
        <f>$A$33</f>
        <v xml:space="preserve">    Mid-America Apartment Communities股份有限公司</v>
      </c>
      <c r="B280" t="str">
        <f>$B$33</f>
        <v>MAA US Equity</v>
      </c>
      <c r="C280" t="str">
        <f>$C$33</f>
        <v>BE249</v>
      </c>
      <c r="D280" t="str">
        <f>$D$33</f>
        <v>BEST_PRICE_FFO_RATIO</v>
      </c>
      <c r="E280" t="str">
        <f>$E$33</f>
        <v>动态</v>
      </c>
      <c r="F280" t="str">
        <f ca="1">BDH($B$33,$C$33,$B$250,$B$251,CONCATENATE("Per=",$B$248),"Dts=H","Dir=H",CONCATENATE("Points=",$B$249),"Sort=R","Days=A","Fill=B","BE997=18Y",CONCATENATE("FX=", $B$247) )</f>
        <v>#N/A Authorization</v>
      </c>
      <c r="CL280" t="str">
        <f>""</f>
        <v/>
      </c>
      <c r="CM280" t="str">
        <f>""</f>
        <v/>
      </c>
      <c r="CN280" t="str">
        <f>""</f>
        <v/>
      </c>
      <c r="CO280" t="str">
        <f>""</f>
        <v/>
      </c>
      <c r="CP280" t="str">
        <f>""</f>
        <v/>
      </c>
      <c r="CQ280" t="str">
        <f>""</f>
        <v/>
      </c>
      <c r="CR280" t="str">
        <f>""</f>
        <v/>
      </c>
      <c r="CS280" t="str">
        <f>""</f>
        <v/>
      </c>
      <c r="CT280" t="str">
        <f>""</f>
        <v/>
      </c>
      <c r="CU280" t="str">
        <f>""</f>
        <v/>
      </c>
      <c r="CV280" t="str">
        <f>""</f>
        <v/>
      </c>
      <c r="CW280" t="str">
        <f>""</f>
        <v/>
      </c>
      <c r="CX280" t="str">
        <f>""</f>
        <v/>
      </c>
      <c r="CY280" t="str">
        <f>""</f>
        <v/>
      </c>
      <c r="CZ280" t="str">
        <f>""</f>
        <v/>
      </c>
      <c r="DA280" t="str">
        <f>""</f>
        <v/>
      </c>
      <c r="DB280" t="str">
        <f>""</f>
        <v/>
      </c>
      <c r="DC280" t="str">
        <f>""</f>
        <v/>
      </c>
      <c r="DD280" t="str">
        <f>""</f>
        <v/>
      </c>
      <c r="DE280" t="str">
        <f>""</f>
        <v/>
      </c>
      <c r="DF280" t="str">
        <f>""</f>
        <v/>
      </c>
      <c r="DG280" t="str">
        <f>""</f>
        <v/>
      </c>
      <c r="DH280" t="str">
        <f>""</f>
        <v/>
      </c>
      <c r="DI280" t="str">
        <f>""</f>
        <v/>
      </c>
      <c r="DJ280" t="str">
        <f>""</f>
        <v/>
      </c>
      <c r="DK280" t="str">
        <f>""</f>
        <v/>
      </c>
      <c r="DL280" t="str">
        <f>""</f>
        <v/>
      </c>
      <c r="DM280" t="str">
        <f>""</f>
        <v/>
      </c>
      <c r="DN280" t="str">
        <f>""</f>
        <v/>
      </c>
      <c r="DO280" t="str">
        <f>""</f>
        <v/>
      </c>
      <c r="DP280" t="str">
        <f>""</f>
        <v/>
      </c>
      <c r="DQ280" t="str">
        <f>""</f>
        <v/>
      </c>
      <c r="DR280" t="str">
        <f>""</f>
        <v/>
      </c>
      <c r="DS280" t="str">
        <f>""</f>
        <v/>
      </c>
      <c r="DT280" t="str">
        <f>""</f>
        <v/>
      </c>
      <c r="DU280" t="str">
        <f>""</f>
        <v/>
      </c>
      <c r="DV280" t="str">
        <f>""</f>
        <v/>
      </c>
      <c r="DW280" t="str">
        <f>""</f>
        <v/>
      </c>
      <c r="DX280" t="str">
        <f>""</f>
        <v/>
      </c>
      <c r="DY280" t="str">
        <f>""</f>
        <v/>
      </c>
      <c r="DZ280" t="str">
        <f>""</f>
        <v/>
      </c>
      <c r="EA280" t="str">
        <f>""</f>
        <v/>
      </c>
      <c r="EB280" t="str">
        <f>""</f>
        <v/>
      </c>
      <c r="EC280" t="str">
        <f>""</f>
        <v/>
      </c>
      <c r="ED280" t="str">
        <f>""</f>
        <v/>
      </c>
      <c r="EE280" t="str">
        <f>""</f>
        <v/>
      </c>
      <c r="EF280" t="str">
        <f>""</f>
        <v/>
      </c>
      <c r="EG280" t="str">
        <f>""</f>
        <v/>
      </c>
      <c r="EH280" t="str">
        <f>""</f>
        <v/>
      </c>
      <c r="EI280" t="str">
        <f>""</f>
        <v/>
      </c>
      <c r="EJ280" t="str">
        <f>""</f>
        <v/>
      </c>
      <c r="EK280" t="str">
        <f>""</f>
        <v/>
      </c>
      <c r="EL280" t="str">
        <f>""</f>
        <v/>
      </c>
      <c r="EM280" t="str">
        <f>""</f>
        <v/>
      </c>
      <c r="EN280" t="str">
        <f>""</f>
        <v/>
      </c>
      <c r="EO280" t="str">
        <f>""</f>
        <v/>
      </c>
      <c r="EP280" t="str">
        <f>""</f>
        <v/>
      </c>
      <c r="EQ280" t="str">
        <f>""</f>
        <v/>
      </c>
      <c r="ER280" t="str">
        <f>""</f>
        <v/>
      </c>
      <c r="ES280" t="str">
        <f>""</f>
        <v/>
      </c>
      <c r="ET280" t="str">
        <f>""</f>
        <v/>
      </c>
      <c r="EU280" t="str">
        <f>""</f>
        <v/>
      </c>
      <c r="EV280" t="str">
        <f>""</f>
        <v/>
      </c>
      <c r="EW280" t="str">
        <f>""</f>
        <v/>
      </c>
      <c r="EX280" t="str">
        <f>""</f>
        <v/>
      </c>
      <c r="EY280" t="str">
        <f>""</f>
        <v/>
      </c>
      <c r="EZ280" t="str">
        <f>""</f>
        <v/>
      </c>
      <c r="FA280" t="str">
        <f>""</f>
        <v/>
      </c>
      <c r="FB280" t="str">
        <f>""</f>
        <v/>
      </c>
      <c r="FC280" t="str">
        <f>""</f>
        <v/>
      </c>
      <c r="FD280" t="str">
        <f>""</f>
        <v/>
      </c>
      <c r="FE280" t="str">
        <f>""</f>
        <v/>
      </c>
      <c r="FF280" t="str">
        <f>""</f>
        <v/>
      </c>
      <c r="FG280" t="str">
        <f>""</f>
        <v/>
      </c>
      <c r="FH280" t="str">
        <f>""</f>
        <v/>
      </c>
      <c r="FI280" t="str">
        <f>""</f>
        <v/>
      </c>
      <c r="FJ280" t="str">
        <f>""</f>
        <v/>
      </c>
      <c r="FK280" t="str">
        <f>""</f>
        <v/>
      </c>
      <c r="FL280" t="str">
        <f>""</f>
        <v/>
      </c>
      <c r="FM280" t="str">
        <f>""</f>
        <v/>
      </c>
      <c r="FN280" t="str">
        <f>""</f>
        <v/>
      </c>
      <c r="FO280" t="str">
        <f>""</f>
        <v/>
      </c>
      <c r="FP280" t="str">
        <f>""</f>
        <v/>
      </c>
      <c r="FQ280" t="str">
        <f>""</f>
        <v/>
      </c>
    </row>
    <row r="281" spans="1:173">
      <c r="A281" t="str">
        <f>$A$34</f>
        <v xml:space="preserve">    UDR 公司</v>
      </c>
      <c r="B281" t="str">
        <f>$B$34</f>
        <v>UDR US Equity</v>
      </c>
      <c r="C281" t="str">
        <f>$C$34</f>
        <v>BE249</v>
      </c>
      <c r="D281" t="str">
        <f>$D$34</f>
        <v>BEST_PRICE_FFO_RATIO</v>
      </c>
      <c r="E281" t="str">
        <f>$E$34</f>
        <v>动态</v>
      </c>
      <c r="F281" t="str">
        <f ca="1">BDH($B$34,$C$34,$B$250,$B$251,CONCATENATE("Per=",$B$248),"Dts=H","Dir=H",CONCATENATE("Points=",$B$249),"Sort=R","Days=A","Fill=B","BE997=18Y",CONCATENATE("FX=", $B$247) )</f>
        <v>#N/A Authorization</v>
      </c>
      <c r="CL281" t="str">
        <f>""</f>
        <v/>
      </c>
      <c r="CM281" t="str">
        <f>""</f>
        <v/>
      </c>
      <c r="CN281" t="str">
        <f>""</f>
        <v/>
      </c>
      <c r="CO281" t="str">
        <f>""</f>
        <v/>
      </c>
      <c r="CP281" t="str">
        <f>""</f>
        <v/>
      </c>
      <c r="CQ281" t="str">
        <f>""</f>
        <v/>
      </c>
      <c r="CR281" t="str">
        <f>""</f>
        <v/>
      </c>
      <c r="CS281" t="str">
        <f>""</f>
        <v/>
      </c>
      <c r="CT281" t="str">
        <f>""</f>
        <v/>
      </c>
      <c r="CU281" t="str">
        <f>""</f>
        <v/>
      </c>
      <c r="CV281" t="str">
        <f>""</f>
        <v/>
      </c>
      <c r="CW281" t="str">
        <f>""</f>
        <v/>
      </c>
      <c r="CX281" t="str">
        <f>""</f>
        <v/>
      </c>
      <c r="CY281" t="str">
        <f>""</f>
        <v/>
      </c>
      <c r="CZ281" t="str">
        <f>""</f>
        <v/>
      </c>
      <c r="DA281" t="str">
        <f>""</f>
        <v/>
      </c>
      <c r="DB281" t="str">
        <f>""</f>
        <v/>
      </c>
      <c r="DC281" t="str">
        <f>""</f>
        <v/>
      </c>
      <c r="DD281" t="str">
        <f>""</f>
        <v/>
      </c>
      <c r="DE281" t="str">
        <f>""</f>
        <v/>
      </c>
      <c r="DF281" t="str">
        <f>""</f>
        <v/>
      </c>
      <c r="DG281" t="str">
        <f>""</f>
        <v/>
      </c>
      <c r="DH281" t="str">
        <f>""</f>
        <v/>
      </c>
      <c r="DI281" t="str">
        <f>""</f>
        <v/>
      </c>
      <c r="DJ281" t="str">
        <f>""</f>
        <v/>
      </c>
      <c r="DK281" t="str">
        <f>""</f>
        <v/>
      </c>
      <c r="DL281" t="str">
        <f>""</f>
        <v/>
      </c>
      <c r="DM281" t="str">
        <f>""</f>
        <v/>
      </c>
      <c r="DN281" t="str">
        <f>""</f>
        <v/>
      </c>
      <c r="DO281" t="str">
        <f>""</f>
        <v/>
      </c>
      <c r="DP281" t="str">
        <f>""</f>
        <v/>
      </c>
      <c r="DQ281" t="str">
        <f>""</f>
        <v/>
      </c>
      <c r="DR281" t="str">
        <f>""</f>
        <v/>
      </c>
      <c r="DS281" t="str">
        <f>""</f>
        <v/>
      </c>
      <c r="DT281" t="str">
        <f>""</f>
        <v/>
      </c>
      <c r="DU281" t="str">
        <f>""</f>
        <v/>
      </c>
      <c r="DV281" t="str">
        <f>""</f>
        <v/>
      </c>
      <c r="DW281" t="str">
        <f>""</f>
        <v/>
      </c>
      <c r="DX281" t="str">
        <f>""</f>
        <v/>
      </c>
      <c r="DY281" t="str">
        <f>""</f>
        <v/>
      </c>
      <c r="DZ281" t="str">
        <f>""</f>
        <v/>
      </c>
      <c r="EA281" t="str">
        <f>""</f>
        <v/>
      </c>
      <c r="EB281" t="str">
        <f>""</f>
        <v/>
      </c>
      <c r="EC281" t="str">
        <f>""</f>
        <v/>
      </c>
      <c r="ED281" t="str">
        <f>""</f>
        <v/>
      </c>
      <c r="EE281" t="str">
        <f>""</f>
        <v/>
      </c>
      <c r="EF281" t="str">
        <f>""</f>
        <v/>
      </c>
      <c r="EG281" t="str">
        <f>""</f>
        <v/>
      </c>
      <c r="EH281" t="str">
        <f>""</f>
        <v/>
      </c>
      <c r="EI281" t="str">
        <f>""</f>
        <v/>
      </c>
      <c r="EJ281" t="str">
        <f>""</f>
        <v/>
      </c>
      <c r="EK281" t="str">
        <f>""</f>
        <v/>
      </c>
      <c r="EL281" t="str">
        <f>""</f>
        <v/>
      </c>
      <c r="EM281" t="str">
        <f>""</f>
        <v/>
      </c>
      <c r="EN281" t="str">
        <f>""</f>
        <v/>
      </c>
      <c r="EO281" t="str">
        <f>""</f>
        <v/>
      </c>
      <c r="EP281" t="str">
        <f>""</f>
        <v/>
      </c>
      <c r="EQ281" t="str">
        <f>""</f>
        <v/>
      </c>
      <c r="ER281" t="str">
        <f>""</f>
        <v/>
      </c>
      <c r="ES281" t="str">
        <f>""</f>
        <v/>
      </c>
      <c r="ET281" t="str">
        <f>""</f>
        <v/>
      </c>
      <c r="EU281" t="str">
        <f>""</f>
        <v/>
      </c>
      <c r="EV281" t="str">
        <f>""</f>
        <v/>
      </c>
      <c r="EW281" t="str">
        <f>""</f>
        <v/>
      </c>
      <c r="EX281" t="str">
        <f>""</f>
        <v/>
      </c>
      <c r="EY281" t="str">
        <f>""</f>
        <v/>
      </c>
      <c r="EZ281" t="str">
        <f>""</f>
        <v/>
      </c>
      <c r="FA281" t="str">
        <f>""</f>
        <v/>
      </c>
      <c r="FB281" t="str">
        <f>""</f>
        <v/>
      </c>
      <c r="FC281" t="str">
        <f>""</f>
        <v/>
      </c>
      <c r="FD281" t="str">
        <f>""</f>
        <v/>
      </c>
      <c r="FE281" t="str">
        <f>""</f>
        <v/>
      </c>
      <c r="FF281" t="str">
        <f>""</f>
        <v/>
      </c>
      <c r="FG281" t="str">
        <f>""</f>
        <v/>
      </c>
      <c r="FH281" t="str">
        <f>""</f>
        <v/>
      </c>
      <c r="FI281" t="str">
        <f>""</f>
        <v/>
      </c>
      <c r="FJ281" t="str">
        <f>""</f>
        <v/>
      </c>
      <c r="FK281" t="str">
        <f>""</f>
        <v/>
      </c>
      <c r="FL281" t="str">
        <f>""</f>
        <v/>
      </c>
      <c r="FM281" t="str">
        <f>""</f>
        <v/>
      </c>
      <c r="FN281" t="str">
        <f>""</f>
        <v/>
      </c>
      <c r="FO281" t="str">
        <f>""</f>
        <v/>
      </c>
      <c r="FP281" t="str">
        <f>""</f>
        <v/>
      </c>
      <c r="FQ281" t="str">
        <f>""</f>
        <v/>
      </c>
    </row>
    <row r="282" spans="1:173">
      <c r="A282" t="str">
        <f>$A$36</f>
        <v xml:space="preserve">    公寓投资与管理</v>
      </c>
      <c r="B282" t="str">
        <f>$B$36</f>
        <v>AIV US Equity</v>
      </c>
      <c r="C282" t="str">
        <f>$C$36</f>
        <v>CF065</v>
      </c>
      <c r="D282" t="str">
        <f>$D$36</f>
        <v>CF_FFO_PER_SH_DILUTED</v>
      </c>
      <c r="E282" t="str">
        <f>$E$36</f>
        <v>动态</v>
      </c>
      <c r="F282" t="str">
        <f ca="1">BDH($B$36,$C$36,$B$250,$B$251,CONCATENATE("Per=",$B$248),"Dts=H","Dir=H",CONCATENATE("Points=",$B$249),"Sort=R","Days=A","Fill=B",CONCATENATE("FX=", $B$247) )</f>
        <v>#N/A Authorization</v>
      </c>
      <c r="CL282" t="str">
        <f>""</f>
        <v/>
      </c>
      <c r="CM282" t="str">
        <f>""</f>
        <v/>
      </c>
      <c r="CN282" t="str">
        <f>""</f>
        <v/>
      </c>
      <c r="CO282" t="str">
        <f>""</f>
        <v/>
      </c>
      <c r="CP282" t="str">
        <f>""</f>
        <v/>
      </c>
      <c r="CQ282" t="str">
        <f>""</f>
        <v/>
      </c>
      <c r="CR282" t="str">
        <f>""</f>
        <v/>
      </c>
      <c r="CS282" t="str">
        <f>""</f>
        <v/>
      </c>
      <c r="CT282" t="str">
        <f>""</f>
        <v/>
      </c>
      <c r="CU282" t="str">
        <f>""</f>
        <v/>
      </c>
      <c r="CV282" t="str">
        <f>""</f>
        <v/>
      </c>
      <c r="CW282" t="str">
        <f>""</f>
        <v/>
      </c>
      <c r="CX282" t="str">
        <f>""</f>
        <v/>
      </c>
      <c r="CY282" t="str">
        <f>""</f>
        <v/>
      </c>
      <c r="CZ282" t="str">
        <f>""</f>
        <v/>
      </c>
      <c r="DA282" t="str">
        <f>""</f>
        <v/>
      </c>
      <c r="DB282" t="str">
        <f>""</f>
        <v/>
      </c>
      <c r="DC282" t="str">
        <f>""</f>
        <v/>
      </c>
      <c r="DD282" t="str">
        <f>""</f>
        <v/>
      </c>
      <c r="DE282" t="str">
        <f>""</f>
        <v/>
      </c>
      <c r="DF282" t="str">
        <f>""</f>
        <v/>
      </c>
      <c r="DG282" t="str">
        <f>""</f>
        <v/>
      </c>
      <c r="DH282" t="str">
        <f>""</f>
        <v/>
      </c>
      <c r="DI282" t="str">
        <f>""</f>
        <v/>
      </c>
      <c r="DJ282" t="str">
        <f>""</f>
        <v/>
      </c>
      <c r="DK282" t="str">
        <f>""</f>
        <v/>
      </c>
      <c r="DL282" t="str">
        <f>""</f>
        <v/>
      </c>
      <c r="DM282" t="str">
        <f>""</f>
        <v/>
      </c>
      <c r="DN282" t="str">
        <f>""</f>
        <v/>
      </c>
      <c r="DO282" t="str">
        <f>""</f>
        <v/>
      </c>
      <c r="DP282" t="str">
        <f>""</f>
        <v/>
      </c>
      <c r="DQ282" t="str">
        <f>""</f>
        <v/>
      </c>
      <c r="DR282" t="str">
        <f>""</f>
        <v/>
      </c>
      <c r="DS282" t="str">
        <f>""</f>
        <v/>
      </c>
      <c r="DT282" t="str">
        <f>""</f>
        <v/>
      </c>
      <c r="DU282" t="str">
        <f>""</f>
        <v/>
      </c>
      <c r="DV282" t="str">
        <f>""</f>
        <v/>
      </c>
      <c r="DW282" t="str">
        <f>""</f>
        <v/>
      </c>
      <c r="DX282" t="str">
        <f>""</f>
        <v/>
      </c>
      <c r="DY282" t="str">
        <f>""</f>
        <v/>
      </c>
      <c r="DZ282" t="str">
        <f>""</f>
        <v/>
      </c>
      <c r="EA282" t="str">
        <f>""</f>
        <v/>
      </c>
      <c r="EB282" t="str">
        <f>""</f>
        <v/>
      </c>
      <c r="EC282" t="str">
        <f>""</f>
        <v/>
      </c>
      <c r="ED282" t="str">
        <f>""</f>
        <v/>
      </c>
      <c r="EE282" t="str">
        <f>""</f>
        <v/>
      </c>
      <c r="EF282" t="str">
        <f>""</f>
        <v/>
      </c>
      <c r="EG282" t="str">
        <f>""</f>
        <v/>
      </c>
      <c r="EH282" t="str">
        <f>""</f>
        <v/>
      </c>
      <c r="EI282" t="str">
        <f>""</f>
        <v/>
      </c>
      <c r="EJ282" t="str">
        <f>""</f>
        <v/>
      </c>
      <c r="EK282" t="str">
        <f>""</f>
        <v/>
      </c>
      <c r="EL282" t="str">
        <f>""</f>
        <v/>
      </c>
      <c r="EM282" t="str">
        <f>""</f>
        <v/>
      </c>
      <c r="EN282" t="str">
        <f>""</f>
        <v/>
      </c>
      <c r="EO282" t="str">
        <f>""</f>
        <v/>
      </c>
      <c r="EP282" t="str">
        <f>""</f>
        <v/>
      </c>
      <c r="EQ282" t="str">
        <f>""</f>
        <v/>
      </c>
      <c r="ER282" t="str">
        <f>""</f>
        <v/>
      </c>
      <c r="ES282" t="str">
        <f>""</f>
        <v/>
      </c>
      <c r="ET282" t="str">
        <f>""</f>
        <v/>
      </c>
      <c r="EU282" t="str">
        <f>""</f>
        <v/>
      </c>
      <c r="EV282" t="str">
        <f>""</f>
        <v/>
      </c>
      <c r="EW282" t="str">
        <f>""</f>
        <v/>
      </c>
      <c r="EX282" t="str">
        <f>""</f>
        <v/>
      </c>
      <c r="EY282" t="str">
        <f>""</f>
        <v/>
      </c>
      <c r="EZ282" t="str">
        <f>""</f>
        <v/>
      </c>
      <c r="FA282" t="str">
        <f>""</f>
        <v/>
      </c>
      <c r="FB282" t="str">
        <f>""</f>
        <v/>
      </c>
      <c r="FC282" t="str">
        <f>""</f>
        <v/>
      </c>
      <c r="FD282" t="str">
        <f>""</f>
        <v/>
      </c>
      <c r="FE282" t="str">
        <f>""</f>
        <v/>
      </c>
      <c r="FF282" t="str">
        <f>""</f>
        <v/>
      </c>
      <c r="FG282" t="str">
        <f>""</f>
        <v/>
      </c>
      <c r="FH282" t="str">
        <f>""</f>
        <v/>
      </c>
      <c r="FI282" t="str">
        <f>""</f>
        <v/>
      </c>
      <c r="FJ282" t="str">
        <f>""</f>
        <v/>
      </c>
      <c r="FK282" t="str">
        <f>""</f>
        <v/>
      </c>
      <c r="FL282" t="str">
        <f>""</f>
        <v/>
      </c>
      <c r="FM282" t="str">
        <f>""</f>
        <v/>
      </c>
      <c r="FN282" t="str">
        <f>""</f>
        <v/>
      </c>
      <c r="FO282" t="str">
        <f>""</f>
        <v/>
      </c>
      <c r="FP282" t="str">
        <f>""</f>
        <v/>
      </c>
      <c r="FQ282" t="str">
        <f>""</f>
        <v/>
      </c>
    </row>
    <row r="283" spans="1:173">
      <c r="A283" t="str">
        <f>$A$37</f>
        <v xml:space="preserve">    AvalonBay社区股份有限公司</v>
      </c>
      <c r="B283" t="str">
        <f>$B$37</f>
        <v>AVB US Equity</v>
      </c>
      <c r="C283" t="str">
        <f>$C$37</f>
        <v>CF065</v>
      </c>
      <c r="D283" t="str">
        <f>$D$37</f>
        <v>CF_FFO_PER_SH_DILUTED</v>
      </c>
      <c r="E283" t="str">
        <f>$E$37</f>
        <v>动态</v>
      </c>
      <c r="F283" t="str">
        <f ca="1">BDH($B$37,$C$37,$B$250,$B$251,CONCATENATE("Per=",$B$248),"Dts=H","Dir=H",CONCATENATE("Points=",$B$249),"Sort=R","Days=A","Fill=B",CONCATENATE("FX=", $B$247) )</f>
        <v>#N/A Authorization</v>
      </c>
      <c r="CL283" t="str">
        <f>""</f>
        <v/>
      </c>
      <c r="CM283" t="str">
        <f>""</f>
        <v/>
      </c>
      <c r="CN283" t="str">
        <f>""</f>
        <v/>
      </c>
      <c r="CO283" t="str">
        <f>""</f>
        <v/>
      </c>
      <c r="CP283" t="str">
        <f>""</f>
        <v/>
      </c>
      <c r="CQ283" t="str">
        <f>""</f>
        <v/>
      </c>
      <c r="CR283" t="str">
        <f>""</f>
        <v/>
      </c>
      <c r="CS283" t="str">
        <f>""</f>
        <v/>
      </c>
      <c r="CT283" t="str">
        <f>""</f>
        <v/>
      </c>
      <c r="CU283" t="str">
        <f>""</f>
        <v/>
      </c>
      <c r="CV283" t="str">
        <f>""</f>
        <v/>
      </c>
      <c r="CW283" t="str">
        <f>""</f>
        <v/>
      </c>
      <c r="CX283" t="str">
        <f>""</f>
        <v/>
      </c>
      <c r="CY283" t="str">
        <f>""</f>
        <v/>
      </c>
      <c r="CZ283" t="str">
        <f>""</f>
        <v/>
      </c>
      <c r="DA283" t="str">
        <f>""</f>
        <v/>
      </c>
      <c r="DB283" t="str">
        <f>""</f>
        <v/>
      </c>
      <c r="DC283" t="str">
        <f>""</f>
        <v/>
      </c>
      <c r="DD283" t="str">
        <f>""</f>
        <v/>
      </c>
      <c r="DE283" t="str">
        <f>""</f>
        <v/>
      </c>
      <c r="DF283" t="str">
        <f>""</f>
        <v/>
      </c>
      <c r="DG283" t="str">
        <f>""</f>
        <v/>
      </c>
      <c r="DH283" t="str">
        <f>""</f>
        <v/>
      </c>
      <c r="DI283" t="str">
        <f>""</f>
        <v/>
      </c>
      <c r="DJ283" t="str">
        <f>""</f>
        <v/>
      </c>
      <c r="DK283" t="str">
        <f>""</f>
        <v/>
      </c>
      <c r="DL283" t="str">
        <f>""</f>
        <v/>
      </c>
      <c r="DM283" t="str">
        <f>""</f>
        <v/>
      </c>
      <c r="DN283" t="str">
        <f>""</f>
        <v/>
      </c>
      <c r="DO283" t="str">
        <f>""</f>
        <v/>
      </c>
      <c r="DP283" t="str">
        <f>""</f>
        <v/>
      </c>
      <c r="DQ283" t="str">
        <f>""</f>
        <v/>
      </c>
      <c r="DR283" t="str">
        <f>""</f>
        <v/>
      </c>
      <c r="DS283" t="str">
        <f>""</f>
        <v/>
      </c>
      <c r="DT283" t="str">
        <f>""</f>
        <v/>
      </c>
      <c r="DU283" t="str">
        <f>""</f>
        <v/>
      </c>
      <c r="DV283" t="str">
        <f>""</f>
        <v/>
      </c>
      <c r="DW283" t="str">
        <f>""</f>
        <v/>
      </c>
      <c r="DX283" t="str">
        <f>""</f>
        <v/>
      </c>
      <c r="DY283" t="str">
        <f>""</f>
        <v/>
      </c>
      <c r="DZ283" t="str">
        <f>""</f>
        <v/>
      </c>
      <c r="EA283" t="str">
        <f>""</f>
        <v/>
      </c>
      <c r="EB283" t="str">
        <f>""</f>
        <v/>
      </c>
      <c r="EC283" t="str">
        <f>""</f>
        <v/>
      </c>
      <c r="ED283" t="str">
        <f>""</f>
        <v/>
      </c>
      <c r="EE283" t="str">
        <f>""</f>
        <v/>
      </c>
      <c r="EF283" t="str">
        <f>""</f>
        <v/>
      </c>
      <c r="EG283" t="str">
        <f>""</f>
        <v/>
      </c>
      <c r="EH283" t="str">
        <f>""</f>
        <v/>
      </c>
      <c r="EI283" t="str">
        <f>""</f>
        <v/>
      </c>
      <c r="EJ283" t="str">
        <f>""</f>
        <v/>
      </c>
      <c r="EK283" t="str">
        <f>""</f>
        <v/>
      </c>
      <c r="EL283" t="str">
        <f>""</f>
        <v/>
      </c>
      <c r="EM283" t="str">
        <f>""</f>
        <v/>
      </c>
      <c r="EN283" t="str">
        <f>""</f>
        <v/>
      </c>
      <c r="EO283" t="str">
        <f>""</f>
        <v/>
      </c>
      <c r="EP283" t="str">
        <f>""</f>
        <v/>
      </c>
      <c r="EQ283" t="str">
        <f>""</f>
        <v/>
      </c>
      <c r="ER283" t="str">
        <f>""</f>
        <v/>
      </c>
      <c r="ES283" t="str">
        <f>""</f>
        <v/>
      </c>
      <c r="ET283" t="str">
        <f>""</f>
        <v/>
      </c>
      <c r="EU283" t="str">
        <f>""</f>
        <v/>
      </c>
      <c r="EV283" t="str">
        <f>""</f>
        <v/>
      </c>
      <c r="EW283" t="str">
        <f>""</f>
        <v/>
      </c>
      <c r="EX283" t="str">
        <f>""</f>
        <v/>
      </c>
      <c r="EY283" t="str">
        <f>""</f>
        <v/>
      </c>
      <c r="EZ283" t="str">
        <f>""</f>
        <v/>
      </c>
      <c r="FA283" t="str">
        <f>""</f>
        <v/>
      </c>
      <c r="FB283" t="str">
        <f>""</f>
        <v/>
      </c>
      <c r="FC283" t="str">
        <f>""</f>
        <v/>
      </c>
      <c r="FD283" t="str">
        <f>""</f>
        <v/>
      </c>
      <c r="FE283" t="str">
        <f>""</f>
        <v/>
      </c>
      <c r="FF283" t="str">
        <f>""</f>
        <v/>
      </c>
      <c r="FG283" t="str">
        <f>""</f>
        <v/>
      </c>
      <c r="FH283" t="str">
        <f>""</f>
        <v/>
      </c>
      <c r="FI283" t="str">
        <f>""</f>
        <v/>
      </c>
      <c r="FJ283" t="str">
        <f>""</f>
        <v/>
      </c>
      <c r="FK283" t="str">
        <f>""</f>
        <v/>
      </c>
      <c r="FL283" t="str">
        <f>""</f>
        <v/>
      </c>
      <c r="FM283" t="str">
        <f>""</f>
        <v/>
      </c>
      <c r="FN283" t="str">
        <f>""</f>
        <v/>
      </c>
      <c r="FO283" t="str">
        <f>""</f>
        <v/>
      </c>
      <c r="FP283" t="str">
        <f>""</f>
        <v/>
      </c>
      <c r="FQ283" t="str">
        <f>""</f>
        <v/>
      </c>
    </row>
    <row r="284" spans="1:173">
      <c r="A284" t="str">
        <f>$A$38</f>
        <v xml:space="preserve">    Camden 房地产信托公司</v>
      </c>
      <c r="B284" t="str">
        <f>$B$38</f>
        <v>CPT US Equity</v>
      </c>
      <c r="C284" t="str">
        <f>$C$38</f>
        <v>CF065</v>
      </c>
      <c r="D284" t="str">
        <f>$D$38</f>
        <v>CF_FFO_PER_SH_DILUTED</v>
      </c>
      <c r="E284" t="str">
        <f>$E$38</f>
        <v>动态</v>
      </c>
      <c r="F284" t="str">
        <f ca="1">BDH($B$38,$C$38,$B$250,$B$251,CONCATENATE("Per=",$B$248),"Dts=H","Dir=H",CONCATENATE("Points=",$B$249),"Sort=R","Days=A","Fill=B",CONCATENATE("FX=", $B$247) )</f>
        <v>#N/A Authorization</v>
      </c>
      <c r="CL284" t="str">
        <f>""</f>
        <v/>
      </c>
      <c r="CM284" t="str">
        <f>""</f>
        <v/>
      </c>
      <c r="CN284" t="str">
        <f>""</f>
        <v/>
      </c>
      <c r="CO284" t="str">
        <f>""</f>
        <v/>
      </c>
      <c r="CP284" t="str">
        <f>""</f>
        <v/>
      </c>
      <c r="CQ284" t="str">
        <f>""</f>
        <v/>
      </c>
      <c r="CR284" t="str">
        <f>""</f>
        <v/>
      </c>
      <c r="CS284" t="str">
        <f>""</f>
        <v/>
      </c>
      <c r="CT284" t="str">
        <f>""</f>
        <v/>
      </c>
      <c r="CU284" t="str">
        <f>""</f>
        <v/>
      </c>
      <c r="CV284" t="str">
        <f>""</f>
        <v/>
      </c>
      <c r="CW284" t="str">
        <f>""</f>
        <v/>
      </c>
      <c r="CX284" t="str">
        <f>""</f>
        <v/>
      </c>
      <c r="CY284" t="str">
        <f>""</f>
        <v/>
      </c>
      <c r="CZ284" t="str">
        <f>""</f>
        <v/>
      </c>
      <c r="DA284" t="str">
        <f>""</f>
        <v/>
      </c>
      <c r="DB284" t="str">
        <f>""</f>
        <v/>
      </c>
      <c r="DC284" t="str">
        <f>""</f>
        <v/>
      </c>
      <c r="DD284" t="str">
        <f>""</f>
        <v/>
      </c>
      <c r="DE284" t="str">
        <f>""</f>
        <v/>
      </c>
      <c r="DF284" t="str">
        <f>""</f>
        <v/>
      </c>
      <c r="DG284" t="str">
        <f>""</f>
        <v/>
      </c>
      <c r="DH284" t="str">
        <f>""</f>
        <v/>
      </c>
      <c r="DI284" t="str">
        <f>""</f>
        <v/>
      </c>
      <c r="DJ284" t="str">
        <f>""</f>
        <v/>
      </c>
      <c r="DK284" t="str">
        <f>""</f>
        <v/>
      </c>
      <c r="DL284" t="str">
        <f>""</f>
        <v/>
      </c>
      <c r="DM284" t="str">
        <f>""</f>
        <v/>
      </c>
      <c r="DN284" t="str">
        <f>""</f>
        <v/>
      </c>
      <c r="DO284" t="str">
        <f>""</f>
        <v/>
      </c>
      <c r="DP284" t="str">
        <f>""</f>
        <v/>
      </c>
      <c r="DQ284" t="str">
        <f>""</f>
        <v/>
      </c>
      <c r="DR284" t="str">
        <f>""</f>
        <v/>
      </c>
      <c r="DS284" t="str">
        <f>""</f>
        <v/>
      </c>
      <c r="DT284" t="str">
        <f>""</f>
        <v/>
      </c>
      <c r="DU284" t="str">
        <f>""</f>
        <v/>
      </c>
      <c r="DV284" t="str">
        <f>""</f>
        <v/>
      </c>
      <c r="DW284" t="str">
        <f>""</f>
        <v/>
      </c>
      <c r="DX284" t="str">
        <f>""</f>
        <v/>
      </c>
      <c r="DY284" t="str">
        <f>""</f>
        <v/>
      </c>
      <c r="DZ284" t="str">
        <f>""</f>
        <v/>
      </c>
      <c r="EA284" t="str">
        <f>""</f>
        <v/>
      </c>
      <c r="EB284" t="str">
        <f>""</f>
        <v/>
      </c>
      <c r="EC284" t="str">
        <f>""</f>
        <v/>
      </c>
      <c r="ED284" t="str">
        <f>""</f>
        <v/>
      </c>
      <c r="EE284" t="str">
        <f>""</f>
        <v/>
      </c>
      <c r="EF284" t="str">
        <f>""</f>
        <v/>
      </c>
      <c r="EG284" t="str">
        <f>""</f>
        <v/>
      </c>
      <c r="EH284" t="str">
        <f>""</f>
        <v/>
      </c>
      <c r="EI284" t="str">
        <f>""</f>
        <v/>
      </c>
      <c r="EJ284" t="str">
        <f>""</f>
        <v/>
      </c>
      <c r="EK284" t="str">
        <f>""</f>
        <v/>
      </c>
      <c r="EL284" t="str">
        <f>""</f>
        <v/>
      </c>
      <c r="EM284" t="str">
        <f>""</f>
        <v/>
      </c>
      <c r="EN284" t="str">
        <f>""</f>
        <v/>
      </c>
      <c r="EO284" t="str">
        <f>""</f>
        <v/>
      </c>
      <c r="EP284" t="str">
        <f>""</f>
        <v/>
      </c>
      <c r="EQ284" t="str">
        <f>""</f>
        <v/>
      </c>
      <c r="ER284" t="str">
        <f>""</f>
        <v/>
      </c>
      <c r="ES284" t="str">
        <f>""</f>
        <v/>
      </c>
      <c r="ET284" t="str">
        <f>""</f>
        <v/>
      </c>
      <c r="EU284" t="str">
        <f>""</f>
        <v/>
      </c>
      <c r="EV284" t="str">
        <f>""</f>
        <v/>
      </c>
      <c r="EW284" t="str">
        <f>""</f>
        <v/>
      </c>
      <c r="EX284" t="str">
        <f>""</f>
        <v/>
      </c>
      <c r="EY284" t="str">
        <f>""</f>
        <v/>
      </c>
      <c r="EZ284" t="str">
        <f>""</f>
        <v/>
      </c>
      <c r="FA284" t="str">
        <f>""</f>
        <v/>
      </c>
      <c r="FB284" t="str">
        <f>""</f>
        <v/>
      </c>
      <c r="FC284" t="str">
        <f>""</f>
        <v/>
      </c>
      <c r="FD284" t="str">
        <f>""</f>
        <v/>
      </c>
      <c r="FE284" t="str">
        <f>""</f>
        <v/>
      </c>
      <c r="FF284" t="str">
        <f>""</f>
        <v/>
      </c>
      <c r="FG284" t="str">
        <f>""</f>
        <v/>
      </c>
      <c r="FH284" t="str">
        <f>""</f>
        <v/>
      </c>
      <c r="FI284" t="str">
        <f>""</f>
        <v/>
      </c>
      <c r="FJ284" t="str">
        <f>""</f>
        <v/>
      </c>
      <c r="FK284" t="str">
        <f>""</f>
        <v/>
      </c>
      <c r="FL284" t="str">
        <f>""</f>
        <v/>
      </c>
      <c r="FM284" t="str">
        <f>""</f>
        <v/>
      </c>
      <c r="FN284" t="str">
        <f>""</f>
        <v/>
      </c>
      <c r="FO284" t="str">
        <f>""</f>
        <v/>
      </c>
      <c r="FP284" t="str">
        <f>""</f>
        <v/>
      </c>
      <c r="FQ284" t="str">
        <f>""</f>
        <v/>
      </c>
    </row>
    <row r="285" spans="1:173">
      <c r="A285" t="str">
        <f>$A$39</f>
        <v xml:space="preserve">    公寓物业权益信托</v>
      </c>
      <c r="B285" t="str">
        <f>$B$39</f>
        <v>EQR US Equity</v>
      </c>
      <c r="C285" t="str">
        <f>$C$39</f>
        <v>CF065</v>
      </c>
      <c r="D285" t="str">
        <f>$D$39</f>
        <v>CF_FFO_PER_SH_DILUTED</v>
      </c>
      <c r="E285" t="str">
        <f>$E$39</f>
        <v>动态</v>
      </c>
      <c r="F285" t="str">
        <f ca="1">BDH($B$39,$C$39,$B$250,$B$251,CONCATENATE("Per=",$B$248),"Dts=H","Dir=H",CONCATENATE("Points=",$B$249),"Sort=R","Days=A","Fill=B",CONCATENATE("FX=", $B$247) )</f>
        <v>#N/A Authorization</v>
      </c>
      <c r="CL285" t="str">
        <f>""</f>
        <v/>
      </c>
      <c r="CM285" t="str">
        <f>""</f>
        <v/>
      </c>
      <c r="CN285" t="str">
        <f>""</f>
        <v/>
      </c>
      <c r="CO285" t="str">
        <f>""</f>
        <v/>
      </c>
      <c r="CP285" t="str">
        <f>""</f>
        <v/>
      </c>
      <c r="CQ285" t="str">
        <f>""</f>
        <v/>
      </c>
      <c r="CR285" t="str">
        <f>""</f>
        <v/>
      </c>
      <c r="CS285" t="str">
        <f>""</f>
        <v/>
      </c>
      <c r="CT285" t="str">
        <f>""</f>
        <v/>
      </c>
      <c r="CU285" t="str">
        <f>""</f>
        <v/>
      </c>
      <c r="CV285" t="str">
        <f>""</f>
        <v/>
      </c>
      <c r="CW285" t="str">
        <f>""</f>
        <v/>
      </c>
      <c r="CX285" t="str">
        <f>""</f>
        <v/>
      </c>
      <c r="CY285" t="str">
        <f>""</f>
        <v/>
      </c>
      <c r="CZ285" t="str">
        <f>""</f>
        <v/>
      </c>
      <c r="DA285" t="str">
        <f>""</f>
        <v/>
      </c>
      <c r="DB285" t="str">
        <f>""</f>
        <v/>
      </c>
      <c r="DC285" t="str">
        <f>""</f>
        <v/>
      </c>
      <c r="DD285" t="str">
        <f>""</f>
        <v/>
      </c>
      <c r="DE285" t="str">
        <f>""</f>
        <v/>
      </c>
      <c r="DF285" t="str">
        <f>""</f>
        <v/>
      </c>
      <c r="DG285" t="str">
        <f>""</f>
        <v/>
      </c>
      <c r="DH285" t="str">
        <f>""</f>
        <v/>
      </c>
      <c r="DI285" t="str">
        <f>""</f>
        <v/>
      </c>
      <c r="DJ285" t="str">
        <f>""</f>
        <v/>
      </c>
      <c r="DK285" t="str">
        <f>""</f>
        <v/>
      </c>
      <c r="DL285" t="str">
        <f>""</f>
        <v/>
      </c>
      <c r="DM285" t="str">
        <f>""</f>
        <v/>
      </c>
      <c r="DN285" t="str">
        <f>""</f>
        <v/>
      </c>
      <c r="DO285" t="str">
        <f>""</f>
        <v/>
      </c>
      <c r="DP285" t="str">
        <f>""</f>
        <v/>
      </c>
      <c r="DQ285" t="str">
        <f>""</f>
        <v/>
      </c>
      <c r="DR285" t="str">
        <f>""</f>
        <v/>
      </c>
      <c r="DS285" t="str">
        <f>""</f>
        <v/>
      </c>
      <c r="DT285" t="str">
        <f>""</f>
        <v/>
      </c>
      <c r="DU285" t="str">
        <f>""</f>
        <v/>
      </c>
      <c r="DV285" t="str">
        <f>""</f>
        <v/>
      </c>
      <c r="DW285" t="str">
        <f>""</f>
        <v/>
      </c>
      <c r="DX285" t="str">
        <f>""</f>
        <v/>
      </c>
      <c r="DY285" t="str">
        <f>""</f>
        <v/>
      </c>
      <c r="DZ285" t="str">
        <f>""</f>
        <v/>
      </c>
      <c r="EA285" t="str">
        <f>""</f>
        <v/>
      </c>
      <c r="EB285" t="str">
        <f>""</f>
        <v/>
      </c>
      <c r="EC285" t="str">
        <f>""</f>
        <v/>
      </c>
      <c r="ED285" t="str">
        <f>""</f>
        <v/>
      </c>
      <c r="EE285" t="str">
        <f>""</f>
        <v/>
      </c>
      <c r="EF285" t="str">
        <f>""</f>
        <v/>
      </c>
      <c r="EG285" t="str">
        <f>""</f>
        <v/>
      </c>
      <c r="EH285" t="str">
        <f>""</f>
        <v/>
      </c>
      <c r="EI285" t="str">
        <f>""</f>
        <v/>
      </c>
      <c r="EJ285" t="str">
        <f>""</f>
        <v/>
      </c>
      <c r="EK285" t="str">
        <f>""</f>
        <v/>
      </c>
      <c r="EL285" t="str">
        <f>""</f>
        <v/>
      </c>
      <c r="EM285" t="str">
        <f>""</f>
        <v/>
      </c>
      <c r="EN285" t="str">
        <f>""</f>
        <v/>
      </c>
      <c r="EO285" t="str">
        <f>""</f>
        <v/>
      </c>
      <c r="EP285" t="str">
        <f>""</f>
        <v/>
      </c>
      <c r="EQ285" t="str">
        <f>""</f>
        <v/>
      </c>
      <c r="ER285" t="str">
        <f>""</f>
        <v/>
      </c>
      <c r="ES285" t="str">
        <f>""</f>
        <v/>
      </c>
      <c r="ET285" t="str">
        <f>""</f>
        <v/>
      </c>
      <c r="EU285" t="str">
        <f>""</f>
        <v/>
      </c>
      <c r="EV285" t="str">
        <f>""</f>
        <v/>
      </c>
      <c r="EW285" t="str">
        <f>""</f>
        <v/>
      </c>
      <c r="EX285" t="str">
        <f>""</f>
        <v/>
      </c>
      <c r="EY285" t="str">
        <f>""</f>
        <v/>
      </c>
      <c r="EZ285" t="str">
        <f>""</f>
        <v/>
      </c>
      <c r="FA285" t="str">
        <f>""</f>
        <v/>
      </c>
      <c r="FB285" t="str">
        <f>""</f>
        <v/>
      </c>
      <c r="FC285" t="str">
        <f>""</f>
        <v/>
      </c>
      <c r="FD285" t="str">
        <f>""</f>
        <v/>
      </c>
      <c r="FE285" t="str">
        <f>""</f>
        <v/>
      </c>
      <c r="FF285" t="str">
        <f>""</f>
        <v/>
      </c>
      <c r="FG285" t="str">
        <f>""</f>
        <v/>
      </c>
      <c r="FH285" t="str">
        <f>""</f>
        <v/>
      </c>
      <c r="FI285" t="str">
        <f>""</f>
        <v/>
      </c>
      <c r="FJ285" t="str">
        <f>""</f>
        <v/>
      </c>
      <c r="FK285" t="str">
        <f>""</f>
        <v/>
      </c>
      <c r="FL285" t="str">
        <f>""</f>
        <v/>
      </c>
      <c r="FM285" t="str">
        <f>""</f>
        <v/>
      </c>
      <c r="FN285" t="str">
        <f>""</f>
        <v/>
      </c>
      <c r="FO285" t="str">
        <f>""</f>
        <v/>
      </c>
      <c r="FP285" t="str">
        <f>""</f>
        <v/>
      </c>
      <c r="FQ285" t="str">
        <f>""</f>
        <v/>
      </c>
    </row>
    <row r="286" spans="1:173">
      <c r="A286" t="str">
        <f>$A$40</f>
        <v xml:space="preserve">    埃塞克斯房地产信托公司</v>
      </c>
      <c r="B286" t="str">
        <f>$B$40</f>
        <v>ESS US Equity</v>
      </c>
      <c r="C286" t="str">
        <f>$C$40</f>
        <v>CF065</v>
      </c>
      <c r="D286" t="str">
        <f>$D$40</f>
        <v>CF_FFO_PER_SH_DILUTED</v>
      </c>
      <c r="E286" t="str">
        <f>$E$40</f>
        <v>动态</v>
      </c>
      <c r="F286" t="str">
        <f ca="1">BDH($B$40,$C$40,$B$250,$B$251,CONCATENATE("Per=",$B$248),"Dts=H","Dir=H",CONCATENATE("Points=",$B$249),"Sort=R","Days=A","Fill=B",CONCATENATE("FX=", $B$247) )</f>
        <v>#N/A Authorization</v>
      </c>
      <c r="CL286" t="str">
        <f>""</f>
        <v/>
      </c>
      <c r="CM286" t="str">
        <f>""</f>
        <v/>
      </c>
      <c r="CN286" t="str">
        <f>""</f>
        <v/>
      </c>
      <c r="CO286" t="str">
        <f>""</f>
        <v/>
      </c>
      <c r="CP286" t="str">
        <f>""</f>
        <v/>
      </c>
      <c r="CQ286" t="str">
        <f>""</f>
        <v/>
      </c>
      <c r="CR286" t="str">
        <f>""</f>
        <v/>
      </c>
      <c r="CS286" t="str">
        <f>""</f>
        <v/>
      </c>
      <c r="CT286" t="str">
        <f>""</f>
        <v/>
      </c>
      <c r="CU286" t="str">
        <f>""</f>
        <v/>
      </c>
      <c r="CV286" t="str">
        <f>""</f>
        <v/>
      </c>
      <c r="CW286" t="str">
        <f>""</f>
        <v/>
      </c>
      <c r="CX286" t="str">
        <f>""</f>
        <v/>
      </c>
      <c r="CY286" t="str">
        <f>""</f>
        <v/>
      </c>
      <c r="CZ286" t="str">
        <f>""</f>
        <v/>
      </c>
      <c r="DA286" t="str">
        <f>""</f>
        <v/>
      </c>
      <c r="DB286" t="str">
        <f>""</f>
        <v/>
      </c>
      <c r="DC286" t="str">
        <f>""</f>
        <v/>
      </c>
      <c r="DD286" t="str">
        <f>""</f>
        <v/>
      </c>
      <c r="DE286" t="str">
        <f>""</f>
        <v/>
      </c>
      <c r="DF286" t="str">
        <f>""</f>
        <v/>
      </c>
      <c r="DG286" t="str">
        <f>""</f>
        <v/>
      </c>
      <c r="DH286" t="str">
        <f>""</f>
        <v/>
      </c>
      <c r="DI286" t="str">
        <f>""</f>
        <v/>
      </c>
      <c r="DJ286" t="str">
        <f>""</f>
        <v/>
      </c>
      <c r="DK286" t="str">
        <f>""</f>
        <v/>
      </c>
      <c r="DL286" t="str">
        <f>""</f>
        <v/>
      </c>
      <c r="DM286" t="str">
        <f>""</f>
        <v/>
      </c>
      <c r="DN286" t="str">
        <f>""</f>
        <v/>
      </c>
      <c r="DO286" t="str">
        <f>""</f>
        <v/>
      </c>
      <c r="DP286" t="str">
        <f>""</f>
        <v/>
      </c>
      <c r="DQ286" t="str">
        <f>""</f>
        <v/>
      </c>
      <c r="DR286" t="str">
        <f>""</f>
        <v/>
      </c>
      <c r="DS286" t="str">
        <f>""</f>
        <v/>
      </c>
      <c r="DT286" t="str">
        <f>""</f>
        <v/>
      </c>
      <c r="DU286" t="str">
        <f>""</f>
        <v/>
      </c>
      <c r="DV286" t="str">
        <f>""</f>
        <v/>
      </c>
      <c r="DW286" t="str">
        <f>""</f>
        <v/>
      </c>
      <c r="DX286" t="str">
        <f>""</f>
        <v/>
      </c>
      <c r="DY286" t="str">
        <f>""</f>
        <v/>
      </c>
      <c r="DZ286" t="str">
        <f>""</f>
        <v/>
      </c>
      <c r="EA286" t="str">
        <f>""</f>
        <v/>
      </c>
      <c r="EB286" t="str">
        <f>""</f>
        <v/>
      </c>
      <c r="EC286" t="str">
        <f>""</f>
        <v/>
      </c>
      <c r="ED286" t="str">
        <f>""</f>
        <v/>
      </c>
      <c r="EE286" t="str">
        <f>""</f>
        <v/>
      </c>
      <c r="EF286" t="str">
        <f>""</f>
        <v/>
      </c>
      <c r="EG286" t="str">
        <f>""</f>
        <v/>
      </c>
      <c r="EH286" t="str">
        <f>""</f>
        <v/>
      </c>
      <c r="EI286" t="str">
        <f>""</f>
        <v/>
      </c>
      <c r="EJ286" t="str">
        <f>""</f>
        <v/>
      </c>
      <c r="EK286" t="str">
        <f>""</f>
        <v/>
      </c>
      <c r="EL286" t="str">
        <f>""</f>
        <v/>
      </c>
      <c r="EM286" t="str">
        <f>""</f>
        <v/>
      </c>
      <c r="EN286" t="str">
        <f>""</f>
        <v/>
      </c>
      <c r="EO286" t="str">
        <f>""</f>
        <v/>
      </c>
      <c r="EP286" t="str">
        <f>""</f>
        <v/>
      </c>
      <c r="EQ286" t="str">
        <f>""</f>
        <v/>
      </c>
      <c r="ER286" t="str">
        <f>""</f>
        <v/>
      </c>
      <c r="ES286" t="str">
        <f>""</f>
        <v/>
      </c>
      <c r="ET286" t="str">
        <f>""</f>
        <v/>
      </c>
      <c r="EU286" t="str">
        <f>""</f>
        <v/>
      </c>
      <c r="EV286" t="str">
        <f>""</f>
        <v/>
      </c>
      <c r="EW286" t="str">
        <f>""</f>
        <v/>
      </c>
      <c r="EX286" t="str">
        <f>""</f>
        <v/>
      </c>
      <c r="EY286" t="str">
        <f>""</f>
        <v/>
      </c>
      <c r="EZ286" t="str">
        <f>""</f>
        <v/>
      </c>
      <c r="FA286" t="str">
        <f>""</f>
        <v/>
      </c>
      <c r="FB286" t="str">
        <f>""</f>
        <v/>
      </c>
      <c r="FC286" t="str">
        <f>""</f>
        <v/>
      </c>
      <c r="FD286" t="str">
        <f>""</f>
        <v/>
      </c>
      <c r="FE286" t="str">
        <f>""</f>
        <v/>
      </c>
      <c r="FF286" t="str">
        <f>""</f>
        <v/>
      </c>
      <c r="FG286" t="str">
        <f>""</f>
        <v/>
      </c>
      <c r="FH286" t="str">
        <f>""</f>
        <v/>
      </c>
      <c r="FI286" t="str">
        <f>""</f>
        <v/>
      </c>
      <c r="FJ286" t="str">
        <f>""</f>
        <v/>
      </c>
      <c r="FK286" t="str">
        <f>""</f>
        <v/>
      </c>
      <c r="FL286" t="str">
        <f>""</f>
        <v/>
      </c>
      <c r="FM286" t="str">
        <f>""</f>
        <v/>
      </c>
      <c r="FN286" t="str">
        <f>""</f>
        <v/>
      </c>
      <c r="FO286" t="str">
        <f>""</f>
        <v/>
      </c>
      <c r="FP286" t="str">
        <f>""</f>
        <v/>
      </c>
      <c r="FQ286" t="str">
        <f>""</f>
        <v/>
      </c>
    </row>
    <row r="287" spans="1:173">
      <c r="A287" t="str">
        <f>$A$41</f>
        <v xml:space="preserve">    Mid-America Apartment Communities股份有限公司</v>
      </c>
      <c r="B287" t="str">
        <f>$B$41</f>
        <v>MAA US Equity</v>
      </c>
      <c r="C287" t="str">
        <f>$C$41</f>
        <v>CF065</v>
      </c>
      <c r="D287" t="str">
        <f>$D$41</f>
        <v>CF_FFO_PER_SH_DILUTED</v>
      </c>
      <c r="E287" t="str">
        <f>$E$41</f>
        <v>动态</v>
      </c>
      <c r="F287" t="str">
        <f ca="1">BDH($B$41,$C$41,$B$250,$B$251,CONCATENATE("Per=",$B$248),"Dts=H","Dir=H",CONCATENATE("Points=",$B$249),"Sort=R","Days=A","Fill=B",CONCATENATE("FX=", $B$247) )</f>
        <v>#N/A Authorization</v>
      </c>
      <c r="CL287" t="str">
        <f>""</f>
        <v/>
      </c>
      <c r="CM287" t="str">
        <f>""</f>
        <v/>
      </c>
      <c r="CN287" t="str">
        <f>""</f>
        <v/>
      </c>
      <c r="CO287" t="str">
        <f>""</f>
        <v/>
      </c>
      <c r="CP287" t="str">
        <f>""</f>
        <v/>
      </c>
      <c r="CQ287" t="str">
        <f>""</f>
        <v/>
      </c>
      <c r="CR287" t="str">
        <f>""</f>
        <v/>
      </c>
      <c r="CS287" t="str">
        <f>""</f>
        <v/>
      </c>
      <c r="CT287" t="str">
        <f>""</f>
        <v/>
      </c>
      <c r="CU287" t="str">
        <f>""</f>
        <v/>
      </c>
      <c r="CV287" t="str">
        <f>""</f>
        <v/>
      </c>
      <c r="CW287" t="str">
        <f>""</f>
        <v/>
      </c>
      <c r="CX287" t="str">
        <f>""</f>
        <v/>
      </c>
      <c r="CY287" t="str">
        <f>""</f>
        <v/>
      </c>
      <c r="CZ287" t="str">
        <f>""</f>
        <v/>
      </c>
      <c r="DA287" t="str">
        <f>""</f>
        <v/>
      </c>
      <c r="DB287" t="str">
        <f>""</f>
        <v/>
      </c>
      <c r="DC287" t="str">
        <f>""</f>
        <v/>
      </c>
      <c r="DD287" t="str">
        <f>""</f>
        <v/>
      </c>
      <c r="DE287" t="str">
        <f>""</f>
        <v/>
      </c>
      <c r="DF287" t="str">
        <f>""</f>
        <v/>
      </c>
      <c r="DG287" t="str">
        <f>""</f>
        <v/>
      </c>
      <c r="DH287" t="str">
        <f>""</f>
        <v/>
      </c>
      <c r="DI287" t="str">
        <f>""</f>
        <v/>
      </c>
      <c r="DJ287" t="str">
        <f>""</f>
        <v/>
      </c>
      <c r="DK287" t="str">
        <f>""</f>
        <v/>
      </c>
      <c r="DL287" t="str">
        <f>""</f>
        <v/>
      </c>
      <c r="DM287" t="str">
        <f>""</f>
        <v/>
      </c>
      <c r="DN287" t="str">
        <f>""</f>
        <v/>
      </c>
      <c r="DO287" t="str">
        <f>""</f>
        <v/>
      </c>
      <c r="DP287" t="str">
        <f>""</f>
        <v/>
      </c>
      <c r="DQ287" t="str">
        <f>""</f>
        <v/>
      </c>
      <c r="DR287" t="str">
        <f>""</f>
        <v/>
      </c>
      <c r="DS287" t="str">
        <f>""</f>
        <v/>
      </c>
      <c r="DT287" t="str">
        <f>""</f>
        <v/>
      </c>
      <c r="DU287" t="str">
        <f>""</f>
        <v/>
      </c>
      <c r="DV287" t="str">
        <f>""</f>
        <v/>
      </c>
      <c r="DW287" t="str">
        <f>""</f>
        <v/>
      </c>
      <c r="DX287" t="str">
        <f>""</f>
        <v/>
      </c>
      <c r="DY287" t="str">
        <f>""</f>
        <v/>
      </c>
      <c r="DZ287" t="str">
        <f>""</f>
        <v/>
      </c>
      <c r="EA287" t="str">
        <f>""</f>
        <v/>
      </c>
      <c r="EB287" t="str">
        <f>""</f>
        <v/>
      </c>
      <c r="EC287" t="str">
        <f>""</f>
        <v/>
      </c>
      <c r="ED287" t="str">
        <f>""</f>
        <v/>
      </c>
      <c r="EE287" t="str">
        <f>""</f>
        <v/>
      </c>
      <c r="EF287" t="str">
        <f>""</f>
        <v/>
      </c>
      <c r="EG287" t="str">
        <f>""</f>
        <v/>
      </c>
      <c r="EH287" t="str">
        <f>""</f>
        <v/>
      </c>
      <c r="EI287" t="str">
        <f>""</f>
        <v/>
      </c>
      <c r="EJ287" t="str">
        <f>""</f>
        <v/>
      </c>
      <c r="EK287" t="str">
        <f>""</f>
        <v/>
      </c>
      <c r="EL287" t="str">
        <f>""</f>
        <v/>
      </c>
      <c r="EM287" t="str">
        <f>""</f>
        <v/>
      </c>
      <c r="EN287" t="str">
        <f>""</f>
        <v/>
      </c>
      <c r="EO287" t="str">
        <f>""</f>
        <v/>
      </c>
      <c r="EP287" t="str">
        <f>""</f>
        <v/>
      </c>
      <c r="EQ287" t="str">
        <f>""</f>
        <v/>
      </c>
      <c r="ER287" t="str">
        <f>""</f>
        <v/>
      </c>
      <c r="ES287" t="str">
        <f>""</f>
        <v/>
      </c>
      <c r="ET287" t="str">
        <f>""</f>
        <v/>
      </c>
      <c r="EU287" t="str">
        <f>""</f>
        <v/>
      </c>
      <c r="EV287" t="str">
        <f>""</f>
        <v/>
      </c>
      <c r="EW287" t="str">
        <f>""</f>
        <v/>
      </c>
      <c r="EX287" t="str">
        <f>""</f>
        <v/>
      </c>
      <c r="EY287" t="str">
        <f>""</f>
        <v/>
      </c>
      <c r="EZ287" t="str">
        <f>""</f>
        <v/>
      </c>
      <c r="FA287" t="str">
        <f>""</f>
        <v/>
      </c>
      <c r="FB287" t="str">
        <f>""</f>
        <v/>
      </c>
      <c r="FC287" t="str">
        <f>""</f>
        <v/>
      </c>
      <c r="FD287" t="str">
        <f>""</f>
        <v/>
      </c>
      <c r="FE287" t="str">
        <f>""</f>
        <v/>
      </c>
      <c r="FF287" t="str">
        <f>""</f>
        <v/>
      </c>
      <c r="FG287" t="str">
        <f>""</f>
        <v/>
      </c>
      <c r="FH287" t="str">
        <f>""</f>
        <v/>
      </c>
      <c r="FI287" t="str">
        <f>""</f>
        <v/>
      </c>
      <c r="FJ287" t="str">
        <f>""</f>
        <v/>
      </c>
      <c r="FK287" t="str">
        <f>""</f>
        <v/>
      </c>
      <c r="FL287" t="str">
        <f>""</f>
        <v/>
      </c>
      <c r="FM287" t="str">
        <f>""</f>
        <v/>
      </c>
      <c r="FN287" t="str">
        <f>""</f>
        <v/>
      </c>
      <c r="FO287" t="str">
        <f>""</f>
        <v/>
      </c>
      <c r="FP287" t="str">
        <f>""</f>
        <v/>
      </c>
      <c r="FQ287" t="str">
        <f>""</f>
        <v/>
      </c>
    </row>
    <row r="288" spans="1:173">
      <c r="A288" t="str">
        <f>$A$42</f>
        <v xml:space="preserve">    UDR 公司</v>
      </c>
      <c r="B288" t="str">
        <f>$B$42</f>
        <v>UDR US Equity</v>
      </c>
      <c r="C288" t="str">
        <f>$C$42</f>
        <v>CF065</v>
      </c>
      <c r="D288" t="str">
        <f>$D$42</f>
        <v>CF_FFO_PER_SH_DILUTED</v>
      </c>
      <c r="E288" t="str">
        <f>$E$42</f>
        <v>动态</v>
      </c>
      <c r="F288" t="str">
        <f ca="1">BDH($B$42,$C$42,$B$250,$B$251,CONCATENATE("Per=",$B$248),"Dts=H","Dir=H",CONCATENATE("Points=",$B$249),"Sort=R","Days=A","Fill=B",CONCATENATE("FX=", $B$247) )</f>
        <v>#N/A Authorization</v>
      </c>
      <c r="CL288" t="str">
        <f>""</f>
        <v/>
      </c>
      <c r="CM288" t="str">
        <f>""</f>
        <v/>
      </c>
      <c r="CN288" t="str">
        <f>""</f>
        <v/>
      </c>
      <c r="CO288" t="str">
        <f>""</f>
        <v/>
      </c>
      <c r="CP288" t="str">
        <f>""</f>
        <v/>
      </c>
      <c r="CQ288" t="str">
        <f>""</f>
        <v/>
      </c>
      <c r="CR288" t="str">
        <f>""</f>
        <v/>
      </c>
      <c r="CS288" t="str">
        <f>""</f>
        <v/>
      </c>
      <c r="CT288" t="str">
        <f>""</f>
        <v/>
      </c>
      <c r="CU288" t="str">
        <f>""</f>
        <v/>
      </c>
      <c r="CV288" t="str">
        <f>""</f>
        <v/>
      </c>
      <c r="CW288" t="str">
        <f>""</f>
        <v/>
      </c>
      <c r="CX288" t="str">
        <f>""</f>
        <v/>
      </c>
      <c r="CY288" t="str">
        <f>""</f>
        <v/>
      </c>
      <c r="CZ288" t="str">
        <f>""</f>
        <v/>
      </c>
      <c r="DA288" t="str">
        <f>""</f>
        <v/>
      </c>
      <c r="DB288" t="str">
        <f>""</f>
        <v/>
      </c>
      <c r="DC288" t="str">
        <f>""</f>
        <v/>
      </c>
      <c r="DD288" t="str">
        <f>""</f>
        <v/>
      </c>
      <c r="DE288" t="str">
        <f>""</f>
        <v/>
      </c>
      <c r="DF288" t="str">
        <f>""</f>
        <v/>
      </c>
      <c r="DG288" t="str">
        <f>""</f>
        <v/>
      </c>
      <c r="DH288" t="str">
        <f>""</f>
        <v/>
      </c>
      <c r="DI288" t="str">
        <f>""</f>
        <v/>
      </c>
      <c r="DJ288" t="str">
        <f>""</f>
        <v/>
      </c>
      <c r="DK288" t="str">
        <f>""</f>
        <v/>
      </c>
      <c r="DL288" t="str">
        <f>""</f>
        <v/>
      </c>
      <c r="DM288" t="str">
        <f>""</f>
        <v/>
      </c>
      <c r="DN288" t="str">
        <f>""</f>
        <v/>
      </c>
      <c r="DO288" t="str">
        <f>""</f>
        <v/>
      </c>
      <c r="DP288" t="str">
        <f>""</f>
        <v/>
      </c>
      <c r="DQ288" t="str">
        <f>""</f>
        <v/>
      </c>
      <c r="DR288" t="str">
        <f>""</f>
        <v/>
      </c>
      <c r="DS288" t="str">
        <f>""</f>
        <v/>
      </c>
      <c r="DT288" t="str">
        <f>""</f>
        <v/>
      </c>
      <c r="DU288" t="str">
        <f>""</f>
        <v/>
      </c>
      <c r="DV288" t="str">
        <f>""</f>
        <v/>
      </c>
      <c r="DW288" t="str">
        <f>""</f>
        <v/>
      </c>
      <c r="DX288" t="str">
        <f>""</f>
        <v/>
      </c>
      <c r="DY288" t="str">
        <f>""</f>
        <v/>
      </c>
      <c r="DZ288" t="str">
        <f>""</f>
        <v/>
      </c>
      <c r="EA288" t="str">
        <f>""</f>
        <v/>
      </c>
      <c r="EB288" t="str">
        <f>""</f>
        <v/>
      </c>
      <c r="EC288" t="str">
        <f>""</f>
        <v/>
      </c>
      <c r="ED288" t="str">
        <f>""</f>
        <v/>
      </c>
      <c r="EE288" t="str">
        <f>""</f>
        <v/>
      </c>
      <c r="EF288" t="str">
        <f>""</f>
        <v/>
      </c>
      <c r="EG288" t="str">
        <f>""</f>
        <v/>
      </c>
      <c r="EH288" t="str">
        <f>""</f>
        <v/>
      </c>
      <c r="EI288" t="str">
        <f>""</f>
        <v/>
      </c>
      <c r="EJ288" t="str">
        <f>""</f>
        <v/>
      </c>
      <c r="EK288" t="str">
        <f>""</f>
        <v/>
      </c>
      <c r="EL288" t="str">
        <f>""</f>
        <v/>
      </c>
      <c r="EM288" t="str">
        <f>""</f>
        <v/>
      </c>
      <c r="EN288" t="str">
        <f>""</f>
        <v/>
      </c>
      <c r="EO288" t="str">
        <f>""</f>
        <v/>
      </c>
      <c r="EP288" t="str">
        <f>""</f>
        <v/>
      </c>
      <c r="EQ288" t="str">
        <f>""</f>
        <v/>
      </c>
      <c r="ER288" t="str">
        <f>""</f>
        <v/>
      </c>
      <c r="ES288" t="str">
        <f>""</f>
        <v/>
      </c>
      <c r="ET288" t="str">
        <f>""</f>
        <v/>
      </c>
      <c r="EU288" t="str">
        <f>""</f>
        <v/>
      </c>
      <c r="EV288" t="str">
        <f>""</f>
        <v/>
      </c>
      <c r="EW288" t="str">
        <f>""</f>
        <v/>
      </c>
      <c r="EX288" t="str">
        <f>""</f>
        <v/>
      </c>
      <c r="EY288" t="str">
        <f>""</f>
        <v/>
      </c>
      <c r="EZ288" t="str">
        <f>""</f>
        <v/>
      </c>
      <c r="FA288" t="str">
        <f>""</f>
        <v/>
      </c>
      <c r="FB288" t="str">
        <f>""</f>
        <v/>
      </c>
      <c r="FC288" t="str">
        <f>""</f>
        <v/>
      </c>
      <c r="FD288" t="str">
        <f>""</f>
        <v/>
      </c>
      <c r="FE288" t="str">
        <f>""</f>
        <v/>
      </c>
      <c r="FF288" t="str">
        <f>""</f>
        <v/>
      </c>
      <c r="FG288" t="str">
        <f>""</f>
        <v/>
      </c>
      <c r="FH288" t="str">
        <f>""</f>
        <v/>
      </c>
      <c r="FI288" t="str">
        <f>""</f>
        <v/>
      </c>
      <c r="FJ288" t="str">
        <f>""</f>
        <v/>
      </c>
      <c r="FK288" t="str">
        <f>""</f>
        <v/>
      </c>
      <c r="FL288" t="str">
        <f>""</f>
        <v/>
      </c>
      <c r="FM288" t="str">
        <f>""</f>
        <v/>
      </c>
      <c r="FN288" t="str">
        <f>""</f>
        <v/>
      </c>
      <c r="FO288" t="str">
        <f>""</f>
        <v/>
      </c>
      <c r="FP288" t="str">
        <f>""</f>
        <v/>
      </c>
      <c r="FQ288" t="str">
        <f>""</f>
        <v/>
      </c>
    </row>
    <row r="289" spans="1:173">
      <c r="A289" t="str">
        <f>$A$44</f>
        <v xml:space="preserve">    公寓投资与管理</v>
      </c>
      <c r="B289" t="str">
        <f>$B$44</f>
        <v>AIV US Equity</v>
      </c>
      <c r="C289" t="str">
        <f>$C$44</f>
        <v>BE038</v>
      </c>
      <c r="D289" t="str">
        <f>$D$44</f>
        <v>BEST_FFOPS</v>
      </c>
      <c r="E289" t="str">
        <f>$E$44</f>
        <v>动态</v>
      </c>
      <c r="F289" t="str">
        <f ca="1">BDH($B$44,$C$44,$B$250,$B$251,CONCATENATE("Per=",$B$248),"Dts=H","Dir=H",CONCATENATE("Points=",$B$249),"Sort=R","Days=A","Fill=B","BE997=1BF",CONCATENATE("FX=", $B$247) )</f>
        <v>#N/A Authorization</v>
      </c>
      <c r="CL289" t="str">
        <f>""</f>
        <v/>
      </c>
      <c r="CM289" t="str">
        <f>""</f>
        <v/>
      </c>
      <c r="CN289" t="str">
        <f>""</f>
        <v/>
      </c>
      <c r="CO289" t="str">
        <f>""</f>
        <v/>
      </c>
      <c r="CP289" t="str">
        <f>""</f>
        <v/>
      </c>
      <c r="CQ289" t="str">
        <f>""</f>
        <v/>
      </c>
      <c r="CR289" t="str">
        <f>""</f>
        <v/>
      </c>
      <c r="CS289" t="str">
        <f>""</f>
        <v/>
      </c>
      <c r="CT289" t="str">
        <f>""</f>
        <v/>
      </c>
      <c r="CU289" t="str">
        <f>""</f>
        <v/>
      </c>
      <c r="CV289" t="str">
        <f>""</f>
        <v/>
      </c>
      <c r="CW289" t="str">
        <f>""</f>
        <v/>
      </c>
      <c r="CX289" t="str">
        <f>""</f>
        <v/>
      </c>
      <c r="CY289" t="str">
        <f>""</f>
        <v/>
      </c>
      <c r="CZ289" t="str">
        <f>""</f>
        <v/>
      </c>
      <c r="DA289" t="str">
        <f>""</f>
        <v/>
      </c>
      <c r="DB289" t="str">
        <f>""</f>
        <v/>
      </c>
      <c r="DC289" t="str">
        <f>""</f>
        <v/>
      </c>
      <c r="DD289" t="str">
        <f>""</f>
        <v/>
      </c>
      <c r="DE289" t="str">
        <f>""</f>
        <v/>
      </c>
      <c r="DF289" t="str">
        <f>""</f>
        <v/>
      </c>
      <c r="DG289" t="str">
        <f>""</f>
        <v/>
      </c>
      <c r="DH289" t="str">
        <f>""</f>
        <v/>
      </c>
      <c r="DI289" t="str">
        <f>""</f>
        <v/>
      </c>
      <c r="DJ289" t="str">
        <f>""</f>
        <v/>
      </c>
      <c r="DK289" t="str">
        <f>""</f>
        <v/>
      </c>
      <c r="DL289" t="str">
        <f>""</f>
        <v/>
      </c>
      <c r="DM289" t="str">
        <f>""</f>
        <v/>
      </c>
      <c r="DN289" t="str">
        <f>""</f>
        <v/>
      </c>
      <c r="DO289" t="str">
        <f>""</f>
        <v/>
      </c>
      <c r="DP289" t="str">
        <f>""</f>
        <v/>
      </c>
      <c r="DQ289" t="str">
        <f>""</f>
        <v/>
      </c>
      <c r="DR289" t="str">
        <f>""</f>
        <v/>
      </c>
      <c r="DS289" t="str">
        <f>""</f>
        <v/>
      </c>
      <c r="DT289" t="str">
        <f>""</f>
        <v/>
      </c>
      <c r="DU289" t="str">
        <f>""</f>
        <v/>
      </c>
      <c r="DV289" t="str">
        <f>""</f>
        <v/>
      </c>
      <c r="DW289" t="str">
        <f>""</f>
        <v/>
      </c>
      <c r="DX289" t="str">
        <f>""</f>
        <v/>
      </c>
      <c r="DY289" t="str">
        <f>""</f>
        <v/>
      </c>
      <c r="DZ289" t="str">
        <f>""</f>
        <v/>
      </c>
      <c r="EA289" t="str">
        <f>""</f>
        <v/>
      </c>
      <c r="EB289" t="str">
        <f>""</f>
        <v/>
      </c>
      <c r="EC289" t="str">
        <f>""</f>
        <v/>
      </c>
      <c r="ED289" t="str">
        <f>""</f>
        <v/>
      </c>
      <c r="EE289" t="str">
        <f>""</f>
        <v/>
      </c>
      <c r="EF289" t="str">
        <f>""</f>
        <v/>
      </c>
      <c r="EG289" t="str">
        <f>""</f>
        <v/>
      </c>
      <c r="EH289" t="str">
        <f>""</f>
        <v/>
      </c>
      <c r="EI289" t="str">
        <f>""</f>
        <v/>
      </c>
      <c r="EJ289" t="str">
        <f>""</f>
        <v/>
      </c>
      <c r="EK289" t="str">
        <f>""</f>
        <v/>
      </c>
      <c r="EL289" t="str">
        <f>""</f>
        <v/>
      </c>
      <c r="EM289" t="str">
        <f>""</f>
        <v/>
      </c>
      <c r="EN289" t="str">
        <f>""</f>
        <v/>
      </c>
      <c r="EO289" t="str">
        <f>""</f>
        <v/>
      </c>
      <c r="EP289" t="str">
        <f>""</f>
        <v/>
      </c>
      <c r="EQ289" t="str">
        <f>""</f>
        <v/>
      </c>
      <c r="ER289" t="str">
        <f>""</f>
        <v/>
      </c>
      <c r="ES289" t="str">
        <f>""</f>
        <v/>
      </c>
      <c r="ET289" t="str">
        <f>""</f>
        <v/>
      </c>
      <c r="EU289" t="str">
        <f>""</f>
        <v/>
      </c>
      <c r="EV289" t="str">
        <f>""</f>
        <v/>
      </c>
      <c r="EW289" t="str">
        <f>""</f>
        <v/>
      </c>
      <c r="EX289" t="str">
        <f>""</f>
        <v/>
      </c>
      <c r="EY289" t="str">
        <f>""</f>
        <v/>
      </c>
      <c r="EZ289" t="str">
        <f>""</f>
        <v/>
      </c>
      <c r="FA289" t="str">
        <f>""</f>
        <v/>
      </c>
      <c r="FB289" t="str">
        <f>""</f>
        <v/>
      </c>
      <c r="FC289" t="str">
        <f>""</f>
        <v/>
      </c>
      <c r="FD289" t="str">
        <f>""</f>
        <v/>
      </c>
      <c r="FE289" t="str">
        <f>""</f>
        <v/>
      </c>
      <c r="FF289" t="str">
        <f>""</f>
        <v/>
      </c>
      <c r="FG289" t="str">
        <f>""</f>
        <v/>
      </c>
      <c r="FH289" t="str">
        <f>""</f>
        <v/>
      </c>
      <c r="FI289" t="str">
        <f>""</f>
        <v/>
      </c>
      <c r="FJ289" t="str">
        <f>""</f>
        <v/>
      </c>
      <c r="FK289" t="str">
        <f>""</f>
        <v/>
      </c>
      <c r="FL289" t="str">
        <f>""</f>
        <v/>
      </c>
      <c r="FM289" t="str">
        <f>""</f>
        <v/>
      </c>
      <c r="FN289" t="str">
        <f>""</f>
        <v/>
      </c>
      <c r="FO289" t="str">
        <f>""</f>
        <v/>
      </c>
      <c r="FP289" t="str">
        <f>""</f>
        <v/>
      </c>
      <c r="FQ289" t="str">
        <f>""</f>
        <v/>
      </c>
    </row>
    <row r="290" spans="1:173">
      <c r="A290" t="str">
        <f>$A$45</f>
        <v xml:space="preserve">    AvalonBay社区股份有限公司</v>
      </c>
      <c r="B290" t="str">
        <f>$B$45</f>
        <v>AVB US Equity</v>
      </c>
      <c r="C290" t="str">
        <f>$C$45</f>
        <v>BE038</v>
      </c>
      <c r="D290" t="str">
        <f>$D$45</f>
        <v>BEST_FFOPS</v>
      </c>
      <c r="E290" t="str">
        <f>$E$45</f>
        <v>动态</v>
      </c>
      <c r="F290" t="str">
        <f ca="1">BDH($B$45,$C$45,$B$250,$B$251,CONCATENATE("Per=",$B$248),"Dts=H","Dir=H",CONCATENATE("Points=",$B$249),"Sort=R","Days=A","Fill=B","BE997=1BF",CONCATENATE("FX=", $B$247) )</f>
        <v>#N/A Authorization</v>
      </c>
      <c r="CL290" t="str">
        <f>""</f>
        <v/>
      </c>
      <c r="CM290" t="str">
        <f>""</f>
        <v/>
      </c>
      <c r="CN290" t="str">
        <f>""</f>
        <v/>
      </c>
      <c r="CO290" t="str">
        <f>""</f>
        <v/>
      </c>
      <c r="CP290" t="str">
        <f>""</f>
        <v/>
      </c>
      <c r="CQ290" t="str">
        <f>""</f>
        <v/>
      </c>
      <c r="CR290" t="str">
        <f>""</f>
        <v/>
      </c>
      <c r="CS290" t="str">
        <f>""</f>
        <v/>
      </c>
      <c r="CT290" t="str">
        <f>""</f>
        <v/>
      </c>
      <c r="CU290" t="str">
        <f>""</f>
        <v/>
      </c>
      <c r="CV290" t="str">
        <f>""</f>
        <v/>
      </c>
      <c r="CW290" t="str">
        <f>""</f>
        <v/>
      </c>
      <c r="CX290" t="str">
        <f>""</f>
        <v/>
      </c>
      <c r="CY290" t="str">
        <f>""</f>
        <v/>
      </c>
      <c r="CZ290" t="str">
        <f>""</f>
        <v/>
      </c>
      <c r="DA290" t="str">
        <f>""</f>
        <v/>
      </c>
      <c r="DB290" t="str">
        <f>""</f>
        <v/>
      </c>
      <c r="DC290" t="str">
        <f>""</f>
        <v/>
      </c>
      <c r="DD290" t="str">
        <f>""</f>
        <v/>
      </c>
      <c r="DE290" t="str">
        <f>""</f>
        <v/>
      </c>
      <c r="DF290" t="str">
        <f>""</f>
        <v/>
      </c>
      <c r="DG290" t="str">
        <f>""</f>
        <v/>
      </c>
      <c r="DH290" t="str">
        <f>""</f>
        <v/>
      </c>
      <c r="DI290" t="str">
        <f>""</f>
        <v/>
      </c>
      <c r="DJ290" t="str">
        <f>""</f>
        <v/>
      </c>
      <c r="DK290" t="str">
        <f>""</f>
        <v/>
      </c>
      <c r="DL290" t="str">
        <f>""</f>
        <v/>
      </c>
      <c r="DM290" t="str">
        <f>""</f>
        <v/>
      </c>
      <c r="DN290" t="str">
        <f>""</f>
        <v/>
      </c>
      <c r="DO290" t="str">
        <f>""</f>
        <v/>
      </c>
      <c r="DP290" t="str">
        <f>""</f>
        <v/>
      </c>
      <c r="DQ290" t="str">
        <f>""</f>
        <v/>
      </c>
      <c r="DR290" t="str">
        <f>""</f>
        <v/>
      </c>
      <c r="DS290" t="str">
        <f>""</f>
        <v/>
      </c>
      <c r="DT290" t="str">
        <f>""</f>
        <v/>
      </c>
      <c r="DU290" t="str">
        <f>""</f>
        <v/>
      </c>
      <c r="DV290" t="str">
        <f>""</f>
        <v/>
      </c>
      <c r="DW290" t="str">
        <f>""</f>
        <v/>
      </c>
      <c r="DX290" t="str">
        <f>""</f>
        <v/>
      </c>
      <c r="DY290" t="str">
        <f>""</f>
        <v/>
      </c>
      <c r="DZ290" t="str">
        <f>""</f>
        <v/>
      </c>
      <c r="EA290" t="str">
        <f>""</f>
        <v/>
      </c>
      <c r="EB290" t="str">
        <f>""</f>
        <v/>
      </c>
      <c r="EC290" t="str">
        <f>""</f>
        <v/>
      </c>
      <c r="ED290" t="str">
        <f>""</f>
        <v/>
      </c>
      <c r="EE290" t="str">
        <f>""</f>
        <v/>
      </c>
      <c r="EF290" t="str">
        <f>""</f>
        <v/>
      </c>
      <c r="EG290" t="str">
        <f>""</f>
        <v/>
      </c>
      <c r="EH290" t="str">
        <f>""</f>
        <v/>
      </c>
      <c r="EI290" t="str">
        <f>""</f>
        <v/>
      </c>
      <c r="EJ290" t="str">
        <f>""</f>
        <v/>
      </c>
      <c r="EK290" t="str">
        <f>""</f>
        <v/>
      </c>
      <c r="EL290" t="str">
        <f>""</f>
        <v/>
      </c>
      <c r="EM290" t="str">
        <f>""</f>
        <v/>
      </c>
      <c r="EN290" t="str">
        <f>""</f>
        <v/>
      </c>
      <c r="EO290" t="str">
        <f>""</f>
        <v/>
      </c>
      <c r="EP290" t="str">
        <f>""</f>
        <v/>
      </c>
      <c r="EQ290" t="str">
        <f>""</f>
        <v/>
      </c>
      <c r="ER290" t="str">
        <f>""</f>
        <v/>
      </c>
      <c r="ES290" t="str">
        <f>""</f>
        <v/>
      </c>
      <c r="ET290" t="str">
        <f>""</f>
        <v/>
      </c>
      <c r="EU290" t="str">
        <f>""</f>
        <v/>
      </c>
      <c r="EV290" t="str">
        <f>""</f>
        <v/>
      </c>
      <c r="EW290" t="str">
        <f>""</f>
        <v/>
      </c>
      <c r="EX290" t="str">
        <f>""</f>
        <v/>
      </c>
      <c r="EY290" t="str">
        <f>""</f>
        <v/>
      </c>
      <c r="EZ290" t="str">
        <f>""</f>
        <v/>
      </c>
      <c r="FA290" t="str">
        <f>""</f>
        <v/>
      </c>
      <c r="FB290" t="str">
        <f>""</f>
        <v/>
      </c>
      <c r="FC290" t="str">
        <f>""</f>
        <v/>
      </c>
      <c r="FD290" t="str">
        <f>""</f>
        <v/>
      </c>
      <c r="FE290" t="str">
        <f>""</f>
        <v/>
      </c>
      <c r="FF290" t="str">
        <f>""</f>
        <v/>
      </c>
      <c r="FG290" t="str">
        <f>""</f>
        <v/>
      </c>
      <c r="FH290" t="str">
        <f>""</f>
        <v/>
      </c>
      <c r="FI290" t="str">
        <f>""</f>
        <v/>
      </c>
      <c r="FJ290" t="str">
        <f>""</f>
        <v/>
      </c>
      <c r="FK290" t="str">
        <f>""</f>
        <v/>
      </c>
      <c r="FL290" t="str">
        <f>""</f>
        <v/>
      </c>
      <c r="FM290" t="str">
        <f>""</f>
        <v/>
      </c>
      <c r="FN290" t="str">
        <f>""</f>
        <v/>
      </c>
      <c r="FO290" t="str">
        <f>""</f>
        <v/>
      </c>
      <c r="FP290" t="str">
        <f>""</f>
        <v/>
      </c>
      <c r="FQ290" t="str">
        <f>""</f>
        <v/>
      </c>
    </row>
    <row r="291" spans="1:173">
      <c r="A291" t="str">
        <f>$A$46</f>
        <v xml:space="preserve">    Camden 房地产信托公司</v>
      </c>
      <c r="B291" t="str">
        <f>$B$46</f>
        <v>CPT US Equity</v>
      </c>
      <c r="C291" t="str">
        <f>$C$46</f>
        <v>BE038</v>
      </c>
      <c r="D291" t="str">
        <f>$D$46</f>
        <v>BEST_FFOPS</v>
      </c>
      <c r="E291" t="str">
        <f>$E$46</f>
        <v>动态</v>
      </c>
      <c r="F291" t="str">
        <f ca="1">BDH($B$46,$C$46,$B$250,$B$251,CONCATENATE("Per=",$B$248),"Dts=H","Dir=H",CONCATENATE("Points=",$B$249),"Sort=R","Days=A","Fill=B","BE997=1BF",CONCATENATE("FX=", $B$247) )</f>
        <v>#N/A Authorization</v>
      </c>
      <c r="CL291" t="str">
        <f>""</f>
        <v/>
      </c>
      <c r="CM291" t="str">
        <f>""</f>
        <v/>
      </c>
      <c r="CN291" t="str">
        <f>""</f>
        <v/>
      </c>
      <c r="CO291" t="str">
        <f>""</f>
        <v/>
      </c>
      <c r="CP291" t="str">
        <f>""</f>
        <v/>
      </c>
      <c r="CQ291" t="str">
        <f>""</f>
        <v/>
      </c>
      <c r="CR291" t="str">
        <f>""</f>
        <v/>
      </c>
      <c r="CS291" t="str">
        <f>""</f>
        <v/>
      </c>
      <c r="CT291" t="str">
        <f>""</f>
        <v/>
      </c>
      <c r="CU291" t="str">
        <f>""</f>
        <v/>
      </c>
      <c r="CV291" t="str">
        <f>""</f>
        <v/>
      </c>
      <c r="CW291" t="str">
        <f>""</f>
        <v/>
      </c>
      <c r="CX291" t="str">
        <f>""</f>
        <v/>
      </c>
      <c r="CY291" t="str">
        <f>""</f>
        <v/>
      </c>
      <c r="CZ291" t="str">
        <f>""</f>
        <v/>
      </c>
      <c r="DA291" t="str">
        <f>""</f>
        <v/>
      </c>
      <c r="DB291" t="str">
        <f>""</f>
        <v/>
      </c>
      <c r="DC291" t="str">
        <f>""</f>
        <v/>
      </c>
      <c r="DD291" t="str">
        <f>""</f>
        <v/>
      </c>
      <c r="DE291" t="str">
        <f>""</f>
        <v/>
      </c>
      <c r="DF291" t="str">
        <f>""</f>
        <v/>
      </c>
      <c r="DG291" t="str">
        <f>""</f>
        <v/>
      </c>
      <c r="DH291" t="str">
        <f>""</f>
        <v/>
      </c>
      <c r="DI291" t="str">
        <f>""</f>
        <v/>
      </c>
      <c r="DJ291" t="str">
        <f>""</f>
        <v/>
      </c>
      <c r="DK291" t="str">
        <f>""</f>
        <v/>
      </c>
      <c r="DL291" t="str">
        <f>""</f>
        <v/>
      </c>
      <c r="DM291" t="str">
        <f>""</f>
        <v/>
      </c>
      <c r="DN291" t="str">
        <f>""</f>
        <v/>
      </c>
      <c r="DO291" t="str">
        <f>""</f>
        <v/>
      </c>
      <c r="DP291" t="str">
        <f>""</f>
        <v/>
      </c>
      <c r="DQ291" t="str">
        <f>""</f>
        <v/>
      </c>
      <c r="DR291" t="str">
        <f>""</f>
        <v/>
      </c>
      <c r="DS291" t="str">
        <f>""</f>
        <v/>
      </c>
      <c r="DT291" t="str">
        <f>""</f>
        <v/>
      </c>
      <c r="DU291" t="str">
        <f>""</f>
        <v/>
      </c>
      <c r="DV291" t="str">
        <f>""</f>
        <v/>
      </c>
      <c r="DW291" t="str">
        <f>""</f>
        <v/>
      </c>
      <c r="DX291" t="str">
        <f>""</f>
        <v/>
      </c>
      <c r="DY291" t="str">
        <f>""</f>
        <v/>
      </c>
      <c r="DZ291" t="str">
        <f>""</f>
        <v/>
      </c>
      <c r="EA291" t="str">
        <f>""</f>
        <v/>
      </c>
      <c r="EB291" t="str">
        <f>""</f>
        <v/>
      </c>
      <c r="EC291" t="str">
        <f>""</f>
        <v/>
      </c>
      <c r="ED291" t="str">
        <f>""</f>
        <v/>
      </c>
      <c r="EE291" t="str">
        <f>""</f>
        <v/>
      </c>
      <c r="EF291" t="str">
        <f>""</f>
        <v/>
      </c>
      <c r="EG291" t="str">
        <f>""</f>
        <v/>
      </c>
      <c r="EH291" t="str">
        <f>""</f>
        <v/>
      </c>
      <c r="EI291" t="str">
        <f>""</f>
        <v/>
      </c>
      <c r="EJ291" t="str">
        <f>""</f>
        <v/>
      </c>
      <c r="EK291" t="str">
        <f>""</f>
        <v/>
      </c>
      <c r="EL291" t="str">
        <f>""</f>
        <v/>
      </c>
      <c r="EM291" t="str">
        <f>""</f>
        <v/>
      </c>
      <c r="EN291" t="str">
        <f>""</f>
        <v/>
      </c>
      <c r="EO291" t="str">
        <f>""</f>
        <v/>
      </c>
      <c r="EP291" t="str">
        <f>""</f>
        <v/>
      </c>
      <c r="EQ291" t="str">
        <f>""</f>
        <v/>
      </c>
      <c r="ER291" t="str">
        <f>""</f>
        <v/>
      </c>
      <c r="ES291" t="str">
        <f>""</f>
        <v/>
      </c>
      <c r="ET291" t="str">
        <f>""</f>
        <v/>
      </c>
      <c r="EU291" t="str">
        <f>""</f>
        <v/>
      </c>
      <c r="EV291" t="str">
        <f>""</f>
        <v/>
      </c>
      <c r="EW291" t="str">
        <f>""</f>
        <v/>
      </c>
      <c r="EX291" t="str">
        <f>""</f>
        <v/>
      </c>
      <c r="EY291" t="str">
        <f>""</f>
        <v/>
      </c>
      <c r="EZ291" t="str">
        <f>""</f>
        <v/>
      </c>
      <c r="FA291" t="str">
        <f>""</f>
        <v/>
      </c>
      <c r="FB291" t="str">
        <f>""</f>
        <v/>
      </c>
      <c r="FC291" t="str">
        <f>""</f>
        <v/>
      </c>
      <c r="FD291" t="str">
        <f>""</f>
        <v/>
      </c>
      <c r="FE291" t="str">
        <f>""</f>
        <v/>
      </c>
      <c r="FF291" t="str">
        <f>""</f>
        <v/>
      </c>
      <c r="FG291" t="str">
        <f>""</f>
        <v/>
      </c>
      <c r="FH291" t="str">
        <f>""</f>
        <v/>
      </c>
      <c r="FI291" t="str">
        <f>""</f>
        <v/>
      </c>
      <c r="FJ291" t="str">
        <f>""</f>
        <v/>
      </c>
      <c r="FK291" t="str">
        <f>""</f>
        <v/>
      </c>
      <c r="FL291" t="str">
        <f>""</f>
        <v/>
      </c>
      <c r="FM291" t="str">
        <f>""</f>
        <v/>
      </c>
      <c r="FN291" t="str">
        <f>""</f>
        <v/>
      </c>
      <c r="FO291" t="str">
        <f>""</f>
        <v/>
      </c>
      <c r="FP291" t="str">
        <f>""</f>
        <v/>
      </c>
      <c r="FQ291" t="str">
        <f>""</f>
        <v/>
      </c>
    </row>
    <row r="292" spans="1:173">
      <c r="A292" t="str">
        <f>$A$47</f>
        <v xml:space="preserve">    公寓物业权益信托</v>
      </c>
      <c r="B292" t="str">
        <f>$B$47</f>
        <v>EQR US Equity</v>
      </c>
      <c r="C292" t="str">
        <f>$C$47</f>
        <v>BE038</v>
      </c>
      <c r="D292" t="str">
        <f>$D$47</f>
        <v>BEST_FFOPS</v>
      </c>
      <c r="E292" t="str">
        <f>$E$47</f>
        <v>动态</v>
      </c>
      <c r="F292" t="str">
        <f ca="1">BDH($B$47,$C$47,$B$250,$B$251,CONCATENATE("Per=",$B$248),"Dts=H","Dir=H",CONCATENATE("Points=",$B$249),"Sort=R","Days=A","Fill=B","BE997=1BF",CONCATENATE("FX=", $B$247) )</f>
        <v>#N/A Authorization</v>
      </c>
      <c r="CL292" t="str">
        <f>""</f>
        <v/>
      </c>
      <c r="CM292" t="str">
        <f>""</f>
        <v/>
      </c>
      <c r="CN292" t="str">
        <f>""</f>
        <v/>
      </c>
      <c r="CO292" t="str">
        <f>""</f>
        <v/>
      </c>
      <c r="CP292" t="str">
        <f>""</f>
        <v/>
      </c>
      <c r="CQ292" t="str">
        <f>""</f>
        <v/>
      </c>
      <c r="CR292" t="str">
        <f>""</f>
        <v/>
      </c>
      <c r="CS292" t="str">
        <f>""</f>
        <v/>
      </c>
      <c r="CT292" t="str">
        <f>""</f>
        <v/>
      </c>
      <c r="CU292" t="str">
        <f>""</f>
        <v/>
      </c>
      <c r="CV292" t="str">
        <f>""</f>
        <v/>
      </c>
      <c r="CW292" t="str">
        <f>""</f>
        <v/>
      </c>
      <c r="CX292" t="str">
        <f>""</f>
        <v/>
      </c>
      <c r="CY292" t="str">
        <f>""</f>
        <v/>
      </c>
      <c r="CZ292" t="str">
        <f>""</f>
        <v/>
      </c>
      <c r="DA292" t="str">
        <f>""</f>
        <v/>
      </c>
      <c r="DB292" t="str">
        <f>""</f>
        <v/>
      </c>
      <c r="DC292" t="str">
        <f>""</f>
        <v/>
      </c>
      <c r="DD292" t="str">
        <f>""</f>
        <v/>
      </c>
      <c r="DE292" t="str">
        <f>""</f>
        <v/>
      </c>
      <c r="DF292" t="str">
        <f>""</f>
        <v/>
      </c>
      <c r="DG292" t="str">
        <f>""</f>
        <v/>
      </c>
      <c r="DH292" t="str">
        <f>""</f>
        <v/>
      </c>
      <c r="DI292" t="str">
        <f>""</f>
        <v/>
      </c>
      <c r="DJ292" t="str">
        <f>""</f>
        <v/>
      </c>
      <c r="DK292" t="str">
        <f>""</f>
        <v/>
      </c>
      <c r="DL292" t="str">
        <f>""</f>
        <v/>
      </c>
      <c r="DM292" t="str">
        <f>""</f>
        <v/>
      </c>
      <c r="DN292" t="str">
        <f>""</f>
        <v/>
      </c>
      <c r="DO292" t="str">
        <f>""</f>
        <v/>
      </c>
      <c r="DP292" t="str">
        <f>""</f>
        <v/>
      </c>
      <c r="DQ292" t="str">
        <f>""</f>
        <v/>
      </c>
      <c r="DR292" t="str">
        <f>""</f>
        <v/>
      </c>
      <c r="DS292" t="str">
        <f>""</f>
        <v/>
      </c>
      <c r="DT292" t="str">
        <f>""</f>
        <v/>
      </c>
      <c r="DU292" t="str">
        <f>""</f>
        <v/>
      </c>
      <c r="DV292" t="str">
        <f>""</f>
        <v/>
      </c>
      <c r="DW292" t="str">
        <f>""</f>
        <v/>
      </c>
      <c r="DX292" t="str">
        <f>""</f>
        <v/>
      </c>
      <c r="DY292" t="str">
        <f>""</f>
        <v/>
      </c>
      <c r="DZ292" t="str">
        <f>""</f>
        <v/>
      </c>
      <c r="EA292" t="str">
        <f>""</f>
        <v/>
      </c>
      <c r="EB292" t="str">
        <f>""</f>
        <v/>
      </c>
      <c r="EC292" t="str">
        <f>""</f>
        <v/>
      </c>
      <c r="ED292" t="str">
        <f>""</f>
        <v/>
      </c>
      <c r="EE292" t="str">
        <f>""</f>
        <v/>
      </c>
      <c r="EF292" t="str">
        <f>""</f>
        <v/>
      </c>
      <c r="EG292" t="str">
        <f>""</f>
        <v/>
      </c>
      <c r="EH292" t="str">
        <f>""</f>
        <v/>
      </c>
      <c r="EI292" t="str">
        <f>""</f>
        <v/>
      </c>
      <c r="EJ292" t="str">
        <f>""</f>
        <v/>
      </c>
      <c r="EK292" t="str">
        <f>""</f>
        <v/>
      </c>
      <c r="EL292" t="str">
        <f>""</f>
        <v/>
      </c>
      <c r="EM292" t="str">
        <f>""</f>
        <v/>
      </c>
      <c r="EN292" t="str">
        <f>""</f>
        <v/>
      </c>
      <c r="EO292" t="str">
        <f>""</f>
        <v/>
      </c>
      <c r="EP292" t="str">
        <f>""</f>
        <v/>
      </c>
      <c r="EQ292" t="str">
        <f>""</f>
        <v/>
      </c>
      <c r="ER292" t="str">
        <f>""</f>
        <v/>
      </c>
      <c r="ES292" t="str">
        <f>""</f>
        <v/>
      </c>
      <c r="ET292" t="str">
        <f>""</f>
        <v/>
      </c>
      <c r="EU292" t="str">
        <f>""</f>
        <v/>
      </c>
      <c r="EV292" t="str">
        <f>""</f>
        <v/>
      </c>
      <c r="EW292" t="str">
        <f>""</f>
        <v/>
      </c>
      <c r="EX292" t="str">
        <f>""</f>
        <v/>
      </c>
      <c r="EY292" t="str">
        <f>""</f>
        <v/>
      </c>
      <c r="EZ292" t="str">
        <f>""</f>
        <v/>
      </c>
      <c r="FA292" t="str">
        <f>""</f>
        <v/>
      </c>
      <c r="FB292" t="str">
        <f>""</f>
        <v/>
      </c>
      <c r="FC292" t="str">
        <f>""</f>
        <v/>
      </c>
      <c r="FD292" t="str">
        <f>""</f>
        <v/>
      </c>
      <c r="FE292" t="str">
        <f>""</f>
        <v/>
      </c>
      <c r="FF292" t="str">
        <f>""</f>
        <v/>
      </c>
      <c r="FG292" t="str">
        <f>""</f>
        <v/>
      </c>
      <c r="FH292" t="str">
        <f>""</f>
        <v/>
      </c>
      <c r="FI292" t="str">
        <f>""</f>
        <v/>
      </c>
      <c r="FJ292" t="str">
        <f>""</f>
        <v/>
      </c>
      <c r="FK292" t="str">
        <f>""</f>
        <v/>
      </c>
      <c r="FL292" t="str">
        <f>""</f>
        <v/>
      </c>
      <c r="FM292" t="str">
        <f>""</f>
        <v/>
      </c>
      <c r="FN292" t="str">
        <f>""</f>
        <v/>
      </c>
      <c r="FO292" t="str">
        <f>""</f>
        <v/>
      </c>
      <c r="FP292" t="str">
        <f>""</f>
        <v/>
      </c>
      <c r="FQ292" t="str">
        <f>""</f>
        <v/>
      </c>
    </row>
    <row r="293" spans="1:173">
      <c r="A293" t="str">
        <f>$A$48</f>
        <v xml:space="preserve">    埃塞克斯房地产信托公司</v>
      </c>
      <c r="B293" t="str">
        <f>$B$48</f>
        <v>ESS US Equity</v>
      </c>
      <c r="C293" t="str">
        <f>$C$48</f>
        <v>BE038</v>
      </c>
      <c r="D293" t="str">
        <f>$D$48</f>
        <v>BEST_FFOPS</v>
      </c>
      <c r="E293" t="str">
        <f>$E$48</f>
        <v>动态</v>
      </c>
      <c r="F293" t="str">
        <f ca="1">BDH($B$48,$C$48,$B$250,$B$251,CONCATENATE("Per=",$B$248),"Dts=H","Dir=H",CONCATENATE("Points=",$B$249),"Sort=R","Days=A","Fill=B","BE997=1BF",CONCATENATE("FX=", $B$247) )</f>
        <v>#N/A Authorization</v>
      </c>
      <c r="CL293" t="str">
        <f>""</f>
        <v/>
      </c>
      <c r="CM293" t="str">
        <f>""</f>
        <v/>
      </c>
      <c r="CN293" t="str">
        <f>""</f>
        <v/>
      </c>
      <c r="CO293" t="str">
        <f>""</f>
        <v/>
      </c>
      <c r="CP293" t="str">
        <f>""</f>
        <v/>
      </c>
      <c r="CQ293" t="str">
        <f>""</f>
        <v/>
      </c>
      <c r="CR293" t="str">
        <f>""</f>
        <v/>
      </c>
      <c r="CS293" t="str">
        <f>""</f>
        <v/>
      </c>
      <c r="CT293" t="str">
        <f>""</f>
        <v/>
      </c>
      <c r="CU293" t="str">
        <f>""</f>
        <v/>
      </c>
      <c r="CV293" t="str">
        <f>""</f>
        <v/>
      </c>
      <c r="CW293" t="str">
        <f>""</f>
        <v/>
      </c>
      <c r="CX293" t="str">
        <f>""</f>
        <v/>
      </c>
      <c r="CY293" t="str">
        <f>""</f>
        <v/>
      </c>
      <c r="CZ293" t="str">
        <f>""</f>
        <v/>
      </c>
      <c r="DA293" t="str">
        <f>""</f>
        <v/>
      </c>
      <c r="DB293" t="str">
        <f>""</f>
        <v/>
      </c>
      <c r="DC293" t="str">
        <f>""</f>
        <v/>
      </c>
      <c r="DD293" t="str">
        <f>""</f>
        <v/>
      </c>
      <c r="DE293" t="str">
        <f>""</f>
        <v/>
      </c>
      <c r="DF293" t="str">
        <f>""</f>
        <v/>
      </c>
      <c r="DG293" t="str">
        <f>""</f>
        <v/>
      </c>
      <c r="DH293" t="str">
        <f>""</f>
        <v/>
      </c>
      <c r="DI293" t="str">
        <f>""</f>
        <v/>
      </c>
      <c r="DJ293" t="str">
        <f>""</f>
        <v/>
      </c>
      <c r="DK293" t="str">
        <f>""</f>
        <v/>
      </c>
      <c r="DL293" t="str">
        <f>""</f>
        <v/>
      </c>
      <c r="DM293" t="str">
        <f>""</f>
        <v/>
      </c>
      <c r="DN293" t="str">
        <f>""</f>
        <v/>
      </c>
      <c r="DO293" t="str">
        <f>""</f>
        <v/>
      </c>
      <c r="DP293" t="str">
        <f>""</f>
        <v/>
      </c>
      <c r="DQ293" t="str">
        <f>""</f>
        <v/>
      </c>
      <c r="DR293" t="str">
        <f>""</f>
        <v/>
      </c>
      <c r="DS293" t="str">
        <f>""</f>
        <v/>
      </c>
      <c r="DT293" t="str">
        <f>""</f>
        <v/>
      </c>
      <c r="DU293" t="str">
        <f>""</f>
        <v/>
      </c>
      <c r="DV293" t="str">
        <f>""</f>
        <v/>
      </c>
      <c r="DW293" t="str">
        <f>""</f>
        <v/>
      </c>
      <c r="DX293" t="str">
        <f>""</f>
        <v/>
      </c>
      <c r="DY293" t="str">
        <f>""</f>
        <v/>
      </c>
      <c r="DZ293" t="str">
        <f>""</f>
        <v/>
      </c>
      <c r="EA293" t="str">
        <f>""</f>
        <v/>
      </c>
      <c r="EB293" t="str">
        <f>""</f>
        <v/>
      </c>
      <c r="EC293" t="str">
        <f>""</f>
        <v/>
      </c>
      <c r="ED293" t="str">
        <f>""</f>
        <v/>
      </c>
      <c r="EE293" t="str">
        <f>""</f>
        <v/>
      </c>
      <c r="EF293" t="str">
        <f>""</f>
        <v/>
      </c>
      <c r="EG293" t="str">
        <f>""</f>
        <v/>
      </c>
      <c r="EH293" t="str">
        <f>""</f>
        <v/>
      </c>
      <c r="EI293" t="str">
        <f>""</f>
        <v/>
      </c>
      <c r="EJ293" t="str">
        <f>""</f>
        <v/>
      </c>
      <c r="EK293" t="str">
        <f>""</f>
        <v/>
      </c>
      <c r="EL293" t="str">
        <f>""</f>
        <v/>
      </c>
      <c r="EM293" t="str">
        <f>""</f>
        <v/>
      </c>
      <c r="EN293" t="str">
        <f>""</f>
        <v/>
      </c>
      <c r="EO293" t="str">
        <f>""</f>
        <v/>
      </c>
      <c r="EP293" t="str">
        <f>""</f>
        <v/>
      </c>
      <c r="EQ293" t="str">
        <f>""</f>
        <v/>
      </c>
      <c r="ER293" t="str">
        <f>""</f>
        <v/>
      </c>
      <c r="ES293" t="str">
        <f>""</f>
        <v/>
      </c>
      <c r="ET293" t="str">
        <f>""</f>
        <v/>
      </c>
      <c r="EU293" t="str">
        <f>""</f>
        <v/>
      </c>
      <c r="EV293" t="str">
        <f>""</f>
        <v/>
      </c>
      <c r="EW293" t="str">
        <f>""</f>
        <v/>
      </c>
      <c r="EX293" t="str">
        <f>""</f>
        <v/>
      </c>
      <c r="EY293" t="str">
        <f>""</f>
        <v/>
      </c>
      <c r="EZ293" t="str">
        <f>""</f>
        <v/>
      </c>
      <c r="FA293" t="str">
        <f>""</f>
        <v/>
      </c>
      <c r="FB293" t="str">
        <f>""</f>
        <v/>
      </c>
      <c r="FC293" t="str">
        <f>""</f>
        <v/>
      </c>
      <c r="FD293" t="str">
        <f>""</f>
        <v/>
      </c>
      <c r="FE293" t="str">
        <f>""</f>
        <v/>
      </c>
      <c r="FF293" t="str">
        <f>""</f>
        <v/>
      </c>
      <c r="FG293" t="str">
        <f>""</f>
        <v/>
      </c>
      <c r="FH293" t="str">
        <f>""</f>
        <v/>
      </c>
      <c r="FI293" t="str">
        <f>""</f>
        <v/>
      </c>
      <c r="FJ293" t="str">
        <f>""</f>
        <v/>
      </c>
      <c r="FK293" t="str">
        <f>""</f>
        <v/>
      </c>
      <c r="FL293" t="str">
        <f>""</f>
        <v/>
      </c>
      <c r="FM293" t="str">
        <f>""</f>
        <v/>
      </c>
      <c r="FN293" t="str">
        <f>""</f>
        <v/>
      </c>
      <c r="FO293" t="str">
        <f>""</f>
        <v/>
      </c>
      <c r="FP293" t="str">
        <f>""</f>
        <v/>
      </c>
      <c r="FQ293" t="str">
        <f>""</f>
        <v/>
      </c>
    </row>
    <row r="294" spans="1:173">
      <c r="A294" t="str">
        <f>$A$49</f>
        <v xml:space="preserve">    Mid-America Apartment Communities股份有限公司</v>
      </c>
      <c r="B294" t="str">
        <f>$B$49</f>
        <v>MAA US Equity</v>
      </c>
      <c r="C294" t="str">
        <f>$C$49</f>
        <v>BE038</v>
      </c>
      <c r="D294" t="str">
        <f>$D$49</f>
        <v>BEST_FFOPS</v>
      </c>
      <c r="E294" t="str">
        <f>$E$49</f>
        <v>动态</v>
      </c>
      <c r="F294" t="str">
        <f ca="1">BDH($B$49,$C$49,$B$250,$B$251,CONCATENATE("Per=",$B$248),"Dts=H","Dir=H",CONCATENATE("Points=",$B$249),"Sort=R","Days=A","Fill=B","BE997=1BF",CONCATENATE("FX=", $B$247) )</f>
        <v>#N/A Authorization</v>
      </c>
      <c r="CL294" t="str">
        <f>""</f>
        <v/>
      </c>
      <c r="CM294" t="str">
        <f>""</f>
        <v/>
      </c>
      <c r="CN294" t="str">
        <f>""</f>
        <v/>
      </c>
      <c r="CO294" t="str">
        <f>""</f>
        <v/>
      </c>
      <c r="CP294" t="str">
        <f>""</f>
        <v/>
      </c>
      <c r="CQ294" t="str">
        <f>""</f>
        <v/>
      </c>
      <c r="CR294" t="str">
        <f>""</f>
        <v/>
      </c>
      <c r="CS294" t="str">
        <f>""</f>
        <v/>
      </c>
      <c r="CT294" t="str">
        <f>""</f>
        <v/>
      </c>
      <c r="CU294" t="str">
        <f>""</f>
        <v/>
      </c>
      <c r="CV294" t="str">
        <f>""</f>
        <v/>
      </c>
      <c r="CW294" t="str">
        <f>""</f>
        <v/>
      </c>
      <c r="CX294" t="str">
        <f>""</f>
        <v/>
      </c>
      <c r="CY294" t="str">
        <f>""</f>
        <v/>
      </c>
      <c r="CZ294" t="str">
        <f>""</f>
        <v/>
      </c>
      <c r="DA294" t="str">
        <f>""</f>
        <v/>
      </c>
      <c r="DB294" t="str">
        <f>""</f>
        <v/>
      </c>
      <c r="DC294" t="str">
        <f>""</f>
        <v/>
      </c>
      <c r="DD294" t="str">
        <f>""</f>
        <v/>
      </c>
      <c r="DE294" t="str">
        <f>""</f>
        <v/>
      </c>
      <c r="DF294" t="str">
        <f>""</f>
        <v/>
      </c>
      <c r="DG294" t="str">
        <f>""</f>
        <v/>
      </c>
      <c r="DH294" t="str">
        <f>""</f>
        <v/>
      </c>
      <c r="DI294" t="str">
        <f>""</f>
        <v/>
      </c>
      <c r="DJ294" t="str">
        <f>""</f>
        <v/>
      </c>
      <c r="DK294" t="str">
        <f>""</f>
        <v/>
      </c>
      <c r="DL294" t="str">
        <f>""</f>
        <v/>
      </c>
      <c r="DM294" t="str">
        <f>""</f>
        <v/>
      </c>
      <c r="DN294" t="str">
        <f>""</f>
        <v/>
      </c>
      <c r="DO294" t="str">
        <f>""</f>
        <v/>
      </c>
      <c r="DP294" t="str">
        <f>""</f>
        <v/>
      </c>
      <c r="DQ294" t="str">
        <f>""</f>
        <v/>
      </c>
      <c r="DR294" t="str">
        <f>""</f>
        <v/>
      </c>
      <c r="DS294" t="str">
        <f>""</f>
        <v/>
      </c>
      <c r="DT294" t="str">
        <f>""</f>
        <v/>
      </c>
      <c r="DU294" t="str">
        <f>""</f>
        <v/>
      </c>
      <c r="DV294" t="str">
        <f>""</f>
        <v/>
      </c>
      <c r="DW294" t="str">
        <f>""</f>
        <v/>
      </c>
      <c r="DX294" t="str">
        <f>""</f>
        <v/>
      </c>
      <c r="DY294" t="str">
        <f>""</f>
        <v/>
      </c>
      <c r="DZ294" t="str">
        <f>""</f>
        <v/>
      </c>
      <c r="EA294" t="str">
        <f>""</f>
        <v/>
      </c>
      <c r="EB294" t="str">
        <f>""</f>
        <v/>
      </c>
      <c r="EC294" t="str">
        <f>""</f>
        <v/>
      </c>
      <c r="ED294" t="str">
        <f>""</f>
        <v/>
      </c>
      <c r="EE294" t="str">
        <f>""</f>
        <v/>
      </c>
      <c r="EF294" t="str">
        <f>""</f>
        <v/>
      </c>
      <c r="EG294" t="str">
        <f>""</f>
        <v/>
      </c>
      <c r="EH294" t="str">
        <f>""</f>
        <v/>
      </c>
      <c r="EI294" t="str">
        <f>""</f>
        <v/>
      </c>
      <c r="EJ294" t="str">
        <f>""</f>
        <v/>
      </c>
      <c r="EK294" t="str">
        <f>""</f>
        <v/>
      </c>
      <c r="EL294" t="str">
        <f>""</f>
        <v/>
      </c>
      <c r="EM294" t="str">
        <f>""</f>
        <v/>
      </c>
      <c r="EN294" t="str">
        <f>""</f>
        <v/>
      </c>
      <c r="EO294" t="str">
        <f>""</f>
        <v/>
      </c>
      <c r="EP294" t="str">
        <f>""</f>
        <v/>
      </c>
      <c r="EQ294" t="str">
        <f>""</f>
        <v/>
      </c>
      <c r="ER294" t="str">
        <f>""</f>
        <v/>
      </c>
      <c r="ES294" t="str">
        <f>""</f>
        <v/>
      </c>
      <c r="ET294" t="str">
        <f>""</f>
        <v/>
      </c>
      <c r="EU294" t="str">
        <f>""</f>
        <v/>
      </c>
      <c r="EV294" t="str">
        <f>""</f>
        <v/>
      </c>
      <c r="EW294" t="str">
        <f>""</f>
        <v/>
      </c>
      <c r="EX294" t="str">
        <f>""</f>
        <v/>
      </c>
      <c r="EY294" t="str">
        <f>""</f>
        <v/>
      </c>
      <c r="EZ294" t="str">
        <f>""</f>
        <v/>
      </c>
      <c r="FA294" t="str">
        <f>""</f>
        <v/>
      </c>
      <c r="FB294" t="str">
        <f>""</f>
        <v/>
      </c>
      <c r="FC294" t="str">
        <f>""</f>
        <v/>
      </c>
      <c r="FD294" t="str">
        <f>""</f>
        <v/>
      </c>
      <c r="FE294" t="str">
        <f>""</f>
        <v/>
      </c>
      <c r="FF294" t="str">
        <f>""</f>
        <v/>
      </c>
      <c r="FG294" t="str">
        <f>""</f>
        <v/>
      </c>
      <c r="FH294" t="str">
        <f>""</f>
        <v/>
      </c>
      <c r="FI294" t="str">
        <f>""</f>
        <v/>
      </c>
      <c r="FJ294" t="str">
        <f>""</f>
        <v/>
      </c>
      <c r="FK294" t="str">
        <f>""</f>
        <v/>
      </c>
      <c r="FL294" t="str">
        <f>""</f>
        <v/>
      </c>
      <c r="FM294" t="str">
        <f>""</f>
        <v/>
      </c>
      <c r="FN294" t="str">
        <f>""</f>
        <v/>
      </c>
      <c r="FO294" t="str">
        <f>""</f>
        <v/>
      </c>
      <c r="FP294" t="str">
        <f>""</f>
        <v/>
      </c>
      <c r="FQ294" t="str">
        <f>""</f>
        <v/>
      </c>
    </row>
    <row r="295" spans="1:173">
      <c r="A295" t="str">
        <f>$A$50</f>
        <v xml:space="preserve">    UDR 公司</v>
      </c>
      <c r="B295" t="str">
        <f>$B$50</f>
        <v>UDR US Equity</v>
      </c>
      <c r="C295" t="str">
        <f>$C$50</f>
        <v>BE038</v>
      </c>
      <c r="D295" t="str">
        <f>$D$50</f>
        <v>BEST_FFOPS</v>
      </c>
      <c r="E295" t="str">
        <f>$E$50</f>
        <v>动态</v>
      </c>
      <c r="F295" t="str">
        <f ca="1">BDH($B$50,$C$50,$B$250,$B$251,CONCATENATE("Per=",$B$248),"Dts=H","Dir=H",CONCATENATE("Points=",$B$249),"Sort=R","Days=A","Fill=B","BE997=1BF",CONCATENATE("FX=", $B$247) )</f>
        <v>#N/A Authorization</v>
      </c>
      <c r="CL295" t="str">
        <f>""</f>
        <v/>
      </c>
      <c r="CM295" t="str">
        <f>""</f>
        <v/>
      </c>
      <c r="CN295" t="str">
        <f>""</f>
        <v/>
      </c>
      <c r="CO295" t="str">
        <f>""</f>
        <v/>
      </c>
      <c r="CP295" t="str">
        <f>""</f>
        <v/>
      </c>
      <c r="CQ295" t="str">
        <f>""</f>
        <v/>
      </c>
      <c r="CR295" t="str">
        <f>""</f>
        <v/>
      </c>
      <c r="CS295" t="str">
        <f>""</f>
        <v/>
      </c>
      <c r="CT295" t="str">
        <f>""</f>
        <v/>
      </c>
      <c r="CU295" t="str">
        <f>""</f>
        <v/>
      </c>
      <c r="CV295" t="str">
        <f>""</f>
        <v/>
      </c>
      <c r="CW295" t="str">
        <f>""</f>
        <v/>
      </c>
      <c r="CX295" t="str">
        <f>""</f>
        <v/>
      </c>
      <c r="CY295" t="str">
        <f>""</f>
        <v/>
      </c>
      <c r="CZ295" t="str">
        <f>""</f>
        <v/>
      </c>
      <c r="DA295" t="str">
        <f>""</f>
        <v/>
      </c>
      <c r="DB295" t="str">
        <f>""</f>
        <v/>
      </c>
      <c r="DC295" t="str">
        <f>""</f>
        <v/>
      </c>
      <c r="DD295" t="str">
        <f>""</f>
        <v/>
      </c>
      <c r="DE295" t="str">
        <f>""</f>
        <v/>
      </c>
      <c r="DF295" t="str">
        <f>""</f>
        <v/>
      </c>
      <c r="DG295" t="str">
        <f>""</f>
        <v/>
      </c>
      <c r="DH295" t="str">
        <f>""</f>
        <v/>
      </c>
      <c r="DI295" t="str">
        <f>""</f>
        <v/>
      </c>
      <c r="DJ295" t="str">
        <f>""</f>
        <v/>
      </c>
      <c r="DK295" t="str">
        <f>""</f>
        <v/>
      </c>
      <c r="DL295" t="str">
        <f>""</f>
        <v/>
      </c>
      <c r="DM295" t="str">
        <f>""</f>
        <v/>
      </c>
      <c r="DN295" t="str">
        <f>""</f>
        <v/>
      </c>
      <c r="DO295" t="str">
        <f>""</f>
        <v/>
      </c>
      <c r="DP295" t="str">
        <f>""</f>
        <v/>
      </c>
      <c r="DQ295" t="str">
        <f>""</f>
        <v/>
      </c>
      <c r="DR295" t="str">
        <f>""</f>
        <v/>
      </c>
      <c r="DS295" t="str">
        <f>""</f>
        <v/>
      </c>
      <c r="DT295" t="str">
        <f>""</f>
        <v/>
      </c>
      <c r="DU295" t="str">
        <f>""</f>
        <v/>
      </c>
      <c r="DV295" t="str">
        <f>""</f>
        <v/>
      </c>
      <c r="DW295" t="str">
        <f>""</f>
        <v/>
      </c>
      <c r="DX295" t="str">
        <f>""</f>
        <v/>
      </c>
      <c r="DY295" t="str">
        <f>""</f>
        <v/>
      </c>
      <c r="DZ295" t="str">
        <f>""</f>
        <v/>
      </c>
      <c r="EA295" t="str">
        <f>""</f>
        <v/>
      </c>
      <c r="EB295" t="str">
        <f>""</f>
        <v/>
      </c>
      <c r="EC295" t="str">
        <f>""</f>
        <v/>
      </c>
      <c r="ED295" t="str">
        <f>""</f>
        <v/>
      </c>
      <c r="EE295" t="str">
        <f>""</f>
        <v/>
      </c>
      <c r="EF295" t="str">
        <f>""</f>
        <v/>
      </c>
      <c r="EG295" t="str">
        <f>""</f>
        <v/>
      </c>
      <c r="EH295" t="str">
        <f>""</f>
        <v/>
      </c>
      <c r="EI295" t="str">
        <f>""</f>
        <v/>
      </c>
      <c r="EJ295" t="str">
        <f>""</f>
        <v/>
      </c>
      <c r="EK295" t="str">
        <f>""</f>
        <v/>
      </c>
      <c r="EL295" t="str">
        <f>""</f>
        <v/>
      </c>
      <c r="EM295" t="str">
        <f>""</f>
        <v/>
      </c>
      <c r="EN295" t="str">
        <f>""</f>
        <v/>
      </c>
      <c r="EO295" t="str">
        <f>""</f>
        <v/>
      </c>
      <c r="EP295" t="str">
        <f>""</f>
        <v/>
      </c>
      <c r="EQ295" t="str">
        <f>""</f>
        <v/>
      </c>
      <c r="ER295" t="str">
        <f>""</f>
        <v/>
      </c>
      <c r="ES295" t="str">
        <f>""</f>
        <v/>
      </c>
      <c r="ET295" t="str">
        <f>""</f>
        <v/>
      </c>
      <c r="EU295" t="str">
        <f>""</f>
        <v/>
      </c>
      <c r="EV295" t="str">
        <f>""</f>
        <v/>
      </c>
      <c r="EW295" t="str">
        <f>""</f>
        <v/>
      </c>
      <c r="EX295" t="str">
        <f>""</f>
        <v/>
      </c>
      <c r="EY295" t="str">
        <f>""</f>
        <v/>
      </c>
      <c r="EZ295" t="str">
        <f>""</f>
        <v/>
      </c>
      <c r="FA295" t="str">
        <f>""</f>
        <v/>
      </c>
      <c r="FB295" t="str">
        <f>""</f>
        <v/>
      </c>
      <c r="FC295" t="str">
        <f>""</f>
        <v/>
      </c>
      <c r="FD295" t="str">
        <f>""</f>
        <v/>
      </c>
      <c r="FE295" t="str">
        <f>""</f>
        <v/>
      </c>
      <c r="FF295" t="str">
        <f>""</f>
        <v/>
      </c>
      <c r="FG295" t="str">
        <f>""</f>
        <v/>
      </c>
      <c r="FH295" t="str">
        <f>""</f>
        <v/>
      </c>
      <c r="FI295" t="str">
        <f>""</f>
        <v/>
      </c>
      <c r="FJ295" t="str">
        <f>""</f>
        <v/>
      </c>
      <c r="FK295" t="str">
        <f>""</f>
        <v/>
      </c>
      <c r="FL295" t="str">
        <f>""</f>
        <v/>
      </c>
      <c r="FM295" t="str">
        <f>""</f>
        <v/>
      </c>
      <c r="FN295" t="str">
        <f>""</f>
        <v/>
      </c>
      <c r="FO295" t="str">
        <f>""</f>
        <v/>
      </c>
      <c r="FP295" t="str">
        <f>""</f>
        <v/>
      </c>
      <c r="FQ295" t="str">
        <f>""</f>
        <v/>
      </c>
    </row>
    <row r="296" spans="1:173">
      <c r="A296" t="str">
        <f>$A$52</f>
        <v xml:space="preserve">    公寓投资与管理</v>
      </c>
      <c r="B296" t="str">
        <f>$B$52</f>
        <v>AIV US Equity</v>
      </c>
      <c r="C296" t="str">
        <f>$C$52</f>
        <v>BE038</v>
      </c>
      <c r="D296" t="str">
        <f>$D$52</f>
        <v>BEST_FFOPS</v>
      </c>
      <c r="E296" t="str">
        <f>$E$52</f>
        <v>动态</v>
      </c>
      <c r="F296" t="str">
        <f ca="1">BDH($B$52,$C$52,$B$250,$B$251,CONCATENATE("Per=",$B$248),"Dts=H","Dir=H",CONCATENATE("Points=",$B$249),"Sort=R","Days=A","Fill=B","BE997=17Y",CONCATENATE("FX=", $B$247) )</f>
        <v>#N/A Authorization</v>
      </c>
      <c r="CL296" t="str">
        <f>""</f>
        <v/>
      </c>
      <c r="CM296" t="str">
        <f>""</f>
        <v/>
      </c>
      <c r="CN296" t="str">
        <f>""</f>
        <v/>
      </c>
      <c r="CO296" t="str">
        <f>""</f>
        <v/>
      </c>
      <c r="CP296" t="str">
        <f>""</f>
        <v/>
      </c>
      <c r="CQ296" t="str">
        <f>""</f>
        <v/>
      </c>
      <c r="CR296" t="str">
        <f>""</f>
        <v/>
      </c>
      <c r="CS296" t="str">
        <f>""</f>
        <v/>
      </c>
      <c r="CT296" t="str">
        <f>""</f>
        <v/>
      </c>
      <c r="CU296" t="str">
        <f>""</f>
        <v/>
      </c>
      <c r="CV296" t="str">
        <f>""</f>
        <v/>
      </c>
      <c r="CW296" t="str">
        <f>""</f>
        <v/>
      </c>
      <c r="CX296" t="str">
        <f>""</f>
        <v/>
      </c>
      <c r="CY296" t="str">
        <f>""</f>
        <v/>
      </c>
      <c r="CZ296" t="str">
        <f>""</f>
        <v/>
      </c>
      <c r="DA296" t="str">
        <f>""</f>
        <v/>
      </c>
      <c r="DB296" t="str">
        <f>""</f>
        <v/>
      </c>
      <c r="DC296" t="str">
        <f>""</f>
        <v/>
      </c>
      <c r="DD296" t="str">
        <f>""</f>
        <v/>
      </c>
      <c r="DE296" t="str">
        <f>""</f>
        <v/>
      </c>
      <c r="DF296" t="str">
        <f>""</f>
        <v/>
      </c>
      <c r="DG296" t="str">
        <f>""</f>
        <v/>
      </c>
      <c r="DH296" t="str">
        <f>""</f>
        <v/>
      </c>
      <c r="DI296" t="str">
        <f>""</f>
        <v/>
      </c>
      <c r="DJ296" t="str">
        <f>""</f>
        <v/>
      </c>
      <c r="DK296" t="str">
        <f>""</f>
        <v/>
      </c>
      <c r="DL296" t="str">
        <f>""</f>
        <v/>
      </c>
      <c r="DM296" t="str">
        <f>""</f>
        <v/>
      </c>
      <c r="DN296" t="str">
        <f>""</f>
        <v/>
      </c>
      <c r="DO296" t="str">
        <f>""</f>
        <v/>
      </c>
      <c r="DP296" t="str">
        <f>""</f>
        <v/>
      </c>
      <c r="DQ296" t="str">
        <f>""</f>
        <v/>
      </c>
      <c r="DR296" t="str">
        <f>""</f>
        <v/>
      </c>
      <c r="DS296" t="str">
        <f>""</f>
        <v/>
      </c>
      <c r="DT296" t="str">
        <f>""</f>
        <v/>
      </c>
      <c r="DU296" t="str">
        <f>""</f>
        <v/>
      </c>
      <c r="DV296" t="str">
        <f>""</f>
        <v/>
      </c>
      <c r="DW296" t="str">
        <f>""</f>
        <v/>
      </c>
      <c r="DX296" t="str">
        <f>""</f>
        <v/>
      </c>
      <c r="DY296" t="str">
        <f>""</f>
        <v/>
      </c>
      <c r="DZ296" t="str">
        <f>""</f>
        <v/>
      </c>
      <c r="EA296" t="str">
        <f>""</f>
        <v/>
      </c>
      <c r="EB296" t="str">
        <f>""</f>
        <v/>
      </c>
      <c r="EC296" t="str">
        <f>""</f>
        <v/>
      </c>
      <c r="ED296" t="str">
        <f>""</f>
        <v/>
      </c>
      <c r="EE296" t="str">
        <f>""</f>
        <v/>
      </c>
      <c r="EF296" t="str">
        <f>""</f>
        <v/>
      </c>
      <c r="EG296" t="str">
        <f>""</f>
        <v/>
      </c>
      <c r="EH296" t="str">
        <f>""</f>
        <v/>
      </c>
      <c r="EI296" t="str">
        <f>""</f>
        <v/>
      </c>
      <c r="EJ296" t="str">
        <f>""</f>
        <v/>
      </c>
      <c r="EK296" t="str">
        <f>""</f>
        <v/>
      </c>
      <c r="EL296" t="str">
        <f>""</f>
        <v/>
      </c>
      <c r="EM296" t="str">
        <f>""</f>
        <v/>
      </c>
      <c r="EN296" t="str">
        <f>""</f>
        <v/>
      </c>
      <c r="EO296" t="str">
        <f>""</f>
        <v/>
      </c>
      <c r="EP296" t="str">
        <f>""</f>
        <v/>
      </c>
      <c r="EQ296" t="str">
        <f>""</f>
        <v/>
      </c>
      <c r="ER296" t="str">
        <f>""</f>
        <v/>
      </c>
      <c r="ES296" t="str">
        <f>""</f>
        <v/>
      </c>
      <c r="ET296" t="str">
        <f>""</f>
        <v/>
      </c>
      <c r="EU296" t="str">
        <f>""</f>
        <v/>
      </c>
      <c r="EV296" t="str">
        <f>""</f>
        <v/>
      </c>
      <c r="EW296" t="str">
        <f>""</f>
        <v/>
      </c>
      <c r="EX296" t="str">
        <f>""</f>
        <v/>
      </c>
      <c r="EY296" t="str">
        <f>""</f>
        <v/>
      </c>
      <c r="EZ296" t="str">
        <f>""</f>
        <v/>
      </c>
      <c r="FA296" t="str">
        <f>""</f>
        <v/>
      </c>
      <c r="FB296" t="str">
        <f>""</f>
        <v/>
      </c>
      <c r="FC296" t="str">
        <f>""</f>
        <v/>
      </c>
      <c r="FD296" t="str">
        <f>""</f>
        <v/>
      </c>
      <c r="FE296" t="str">
        <f>""</f>
        <v/>
      </c>
      <c r="FF296" t="str">
        <f>""</f>
        <v/>
      </c>
      <c r="FG296" t="str">
        <f>""</f>
        <v/>
      </c>
      <c r="FH296" t="str">
        <f>""</f>
        <v/>
      </c>
      <c r="FI296" t="str">
        <f>""</f>
        <v/>
      </c>
      <c r="FJ296" t="str">
        <f>""</f>
        <v/>
      </c>
      <c r="FK296" t="str">
        <f>""</f>
        <v/>
      </c>
      <c r="FL296" t="str">
        <f>""</f>
        <v/>
      </c>
      <c r="FM296" t="str">
        <f>""</f>
        <v/>
      </c>
      <c r="FN296" t="str">
        <f>""</f>
        <v/>
      </c>
      <c r="FO296" t="str">
        <f>""</f>
        <v/>
      </c>
      <c r="FP296" t="str">
        <f>""</f>
        <v/>
      </c>
      <c r="FQ296" t="str">
        <f>""</f>
        <v/>
      </c>
    </row>
    <row r="297" spans="1:173">
      <c r="A297" t="str">
        <f>$A$53</f>
        <v xml:space="preserve">    AvalonBay社区股份有限公司</v>
      </c>
      <c r="B297" t="str">
        <f>$B$53</f>
        <v>AVB US Equity</v>
      </c>
      <c r="C297" t="str">
        <f>$C$53</f>
        <v>BE038</v>
      </c>
      <c r="D297" t="str">
        <f>$D$53</f>
        <v>BEST_FFOPS</v>
      </c>
      <c r="E297" t="str">
        <f>$E$53</f>
        <v>动态</v>
      </c>
      <c r="F297" t="str">
        <f ca="1">BDH($B$53,$C$53,$B$250,$B$251,CONCATENATE("Per=",$B$248),"Dts=H","Dir=H",CONCATENATE("Points=",$B$249),"Sort=R","Days=A","Fill=B","BE997=17Y",CONCATENATE("FX=", $B$247) )</f>
        <v>#N/A Authorization</v>
      </c>
      <c r="CL297" t="str">
        <f>""</f>
        <v/>
      </c>
      <c r="CM297" t="str">
        <f>""</f>
        <v/>
      </c>
      <c r="CN297" t="str">
        <f>""</f>
        <v/>
      </c>
      <c r="CO297" t="str">
        <f>""</f>
        <v/>
      </c>
      <c r="CP297" t="str">
        <f>""</f>
        <v/>
      </c>
      <c r="CQ297" t="str">
        <f>""</f>
        <v/>
      </c>
      <c r="CR297" t="str">
        <f>""</f>
        <v/>
      </c>
      <c r="CS297" t="str">
        <f>""</f>
        <v/>
      </c>
      <c r="CT297" t="str">
        <f>""</f>
        <v/>
      </c>
      <c r="CU297" t="str">
        <f>""</f>
        <v/>
      </c>
      <c r="CV297" t="str">
        <f>""</f>
        <v/>
      </c>
      <c r="CW297" t="str">
        <f>""</f>
        <v/>
      </c>
      <c r="CX297" t="str">
        <f>""</f>
        <v/>
      </c>
      <c r="CY297" t="str">
        <f>""</f>
        <v/>
      </c>
      <c r="CZ297" t="str">
        <f>""</f>
        <v/>
      </c>
      <c r="DA297" t="str">
        <f>""</f>
        <v/>
      </c>
      <c r="DB297" t="str">
        <f>""</f>
        <v/>
      </c>
      <c r="DC297" t="str">
        <f>""</f>
        <v/>
      </c>
      <c r="DD297" t="str">
        <f>""</f>
        <v/>
      </c>
      <c r="DE297" t="str">
        <f>""</f>
        <v/>
      </c>
      <c r="DF297" t="str">
        <f>""</f>
        <v/>
      </c>
      <c r="DG297" t="str">
        <f>""</f>
        <v/>
      </c>
      <c r="DH297" t="str">
        <f>""</f>
        <v/>
      </c>
      <c r="DI297" t="str">
        <f>""</f>
        <v/>
      </c>
      <c r="DJ297" t="str">
        <f>""</f>
        <v/>
      </c>
      <c r="DK297" t="str">
        <f>""</f>
        <v/>
      </c>
      <c r="DL297" t="str">
        <f>""</f>
        <v/>
      </c>
      <c r="DM297" t="str">
        <f>""</f>
        <v/>
      </c>
      <c r="DN297" t="str">
        <f>""</f>
        <v/>
      </c>
      <c r="DO297" t="str">
        <f>""</f>
        <v/>
      </c>
      <c r="DP297" t="str">
        <f>""</f>
        <v/>
      </c>
      <c r="DQ297" t="str">
        <f>""</f>
        <v/>
      </c>
      <c r="DR297" t="str">
        <f>""</f>
        <v/>
      </c>
      <c r="DS297" t="str">
        <f>""</f>
        <v/>
      </c>
      <c r="DT297" t="str">
        <f>""</f>
        <v/>
      </c>
      <c r="DU297" t="str">
        <f>""</f>
        <v/>
      </c>
      <c r="DV297" t="str">
        <f>""</f>
        <v/>
      </c>
      <c r="DW297" t="str">
        <f>""</f>
        <v/>
      </c>
      <c r="DX297" t="str">
        <f>""</f>
        <v/>
      </c>
      <c r="DY297" t="str">
        <f>""</f>
        <v/>
      </c>
      <c r="DZ297" t="str">
        <f>""</f>
        <v/>
      </c>
      <c r="EA297" t="str">
        <f>""</f>
        <v/>
      </c>
      <c r="EB297" t="str">
        <f>""</f>
        <v/>
      </c>
      <c r="EC297" t="str">
        <f>""</f>
        <v/>
      </c>
      <c r="ED297" t="str">
        <f>""</f>
        <v/>
      </c>
      <c r="EE297" t="str">
        <f>""</f>
        <v/>
      </c>
      <c r="EF297" t="str">
        <f>""</f>
        <v/>
      </c>
      <c r="EG297" t="str">
        <f>""</f>
        <v/>
      </c>
      <c r="EH297" t="str">
        <f>""</f>
        <v/>
      </c>
      <c r="EI297" t="str">
        <f>""</f>
        <v/>
      </c>
      <c r="EJ297" t="str">
        <f>""</f>
        <v/>
      </c>
      <c r="EK297" t="str">
        <f>""</f>
        <v/>
      </c>
      <c r="EL297" t="str">
        <f>""</f>
        <v/>
      </c>
      <c r="EM297" t="str">
        <f>""</f>
        <v/>
      </c>
      <c r="EN297" t="str">
        <f>""</f>
        <v/>
      </c>
      <c r="EO297" t="str">
        <f>""</f>
        <v/>
      </c>
      <c r="EP297" t="str">
        <f>""</f>
        <v/>
      </c>
      <c r="EQ297" t="str">
        <f>""</f>
        <v/>
      </c>
      <c r="ER297" t="str">
        <f>""</f>
        <v/>
      </c>
      <c r="ES297" t="str">
        <f>""</f>
        <v/>
      </c>
      <c r="ET297" t="str">
        <f>""</f>
        <v/>
      </c>
      <c r="EU297" t="str">
        <f>""</f>
        <v/>
      </c>
      <c r="EV297" t="str">
        <f>""</f>
        <v/>
      </c>
      <c r="EW297" t="str">
        <f>""</f>
        <v/>
      </c>
      <c r="EX297" t="str">
        <f>""</f>
        <v/>
      </c>
      <c r="EY297" t="str">
        <f>""</f>
        <v/>
      </c>
      <c r="EZ297" t="str">
        <f>""</f>
        <v/>
      </c>
      <c r="FA297" t="str">
        <f>""</f>
        <v/>
      </c>
      <c r="FB297" t="str">
        <f>""</f>
        <v/>
      </c>
      <c r="FC297" t="str">
        <f>""</f>
        <v/>
      </c>
      <c r="FD297" t="str">
        <f>""</f>
        <v/>
      </c>
      <c r="FE297" t="str">
        <f>""</f>
        <v/>
      </c>
      <c r="FF297" t="str">
        <f>""</f>
        <v/>
      </c>
      <c r="FG297" t="str">
        <f>""</f>
        <v/>
      </c>
      <c r="FH297" t="str">
        <f>""</f>
        <v/>
      </c>
      <c r="FI297" t="str">
        <f>""</f>
        <v/>
      </c>
      <c r="FJ297" t="str">
        <f>""</f>
        <v/>
      </c>
      <c r="FK297" t="str">
        <f>""</f>
        <v/>
      </c>
      <c r="FL297" t="str">
        <f>""</f>
        <v/>
      </c>
      <c r="FM297" t="str">
        <f>""</f>
        <v/>
      </c>
      <c r="FN297" t="str">
        <f>""</f>
        <v/>
      </c>
      <c r="FO297" t="str">
        <f>""</f>
        <v/>
      </c>
      <c r="FP297" t="str">
        <f>""</f>
        <v/>
      </c>
      <c r="FQ297" t="str">
        <f>""</f>
        <v/>
      </c>
    </row>
    <row r="298" spans="1:173">
      <c r="A298" t="str">
        <f>$A$54</f>
        <v xml:space="preserve">    Camden 房地产信托公司</v>
      </c>
      <c r="B298" t="str">
        <f>$B$54</f>
        <v>CPT US Equity</v>
      </c>
      <c r="C298" t="str">
        <f>$C$54</f>
        <v>BE038</v>
      </c>
      <c r="D298" t="str">
        <f>$D$54</f>
        <v>BEST_FFOPS</v>
      </c>
      <c r="E298" t="str">
        <f>$E$54</f>
        <v>动态</v>
      </c>
      <c r="F298" t="str">
        <f ca="1">BDH($B$54,$C$54,$B$250,$B$251,CONCATENATE("Per=",$B$248),"Dts=H","Dir=H",CONCATENATE("Points=",$B$249),"Sort=R","Days=A","Fill=B","BE997=17Y",CONCATENATE("FX=", $B$247) )</f>
        <v>#N/A Authorization</v>
      </c>
      <c r="CL298" t="str">
        <f>""</f>
        <v/>
      </c>
      <c r="CM298" t="str">
        <f>""</f>
        <v/>
      </c>
      <c r="CN298" t="str">
        <f>""</f>
        <v/>
      </c>
      <c r="CO298" t="str">
        <f>""</f>
        <v/>
      </c>
      <c r="CP298" t="str">
        <f>""</f>
        <v/>
      </c>
      <c r="CQ298" t="str">
        <f>""</f>
        <v/>
      </c>
      <c r="CR298" t="str">
        <f>""</f>
        <v/>
      </c>
      <c r="CS298" t="str">
        <f>""</f>
        <v/>
      </c>
      <c r="CT298" t="str">
        <f>""</f>
        <v/>
      </c>
      <c r="CU298" t="str">
        <f>""</f>
        <v/>
      </c>
      <c r="CV298" t="str">
        <f>""</f>
        <v/>
      </c>
      <c r="CW298" t="str">
        <f>""</f>
        <v/>
      </c>
      <c r="CX298" t="str">
        <f>""</f>
        <v/>
      </c>
      <c r="CY298" t="str">
        <f>""</f>
        <v/>
      </c>
      <c r="CZ298" t="str">
        <f>""</f>
        <v/>
      </c>
      <c r="DA298" t="str">
        <f>""</f>
        <v/>
      </c>
      <c r="DB298" t="str">
        <f>""</f>
        <v/>
      </c>
      <c r="DC298" t="str">
        <f>""</f>
        <v/>
      </c>
      <c r="DD298" t="str">
        <f>""</f>
        <v/>
      </c>
      <c r="DE298" t="str">
        <f>""</f>
        <v/>
      </c>
      <c r="DF298" t="str">
        <f>""</f>
        <v/>
      </c>
      <c r="DG298" t="str">
        <f>""</f>
        <v/>
      </c>
      <c r="DH298" t="str">
        <f>""</f>
        <v/>
      </c>
      <c r="DI298" t="str">
        <f>""</f>
        <v/>
      </c>
      <c r="DJ298" t="str">
        <f>""</f>
        <v/>
      </c>
      <c r="DK298" t="str">
        <f>""</f>
        <v/>
      </c>
      <c r="DL298" t="str">
        <f>""</f>
        <v/>
      </c>
      <c r="DM298" t="str">
        <f>""</f>
        <v/>
      </c>
      <c r="DN298" t="str">
        <f>""</f>
        <v/>
      </c>
      <c r="DO298" t="str">
        <f>""</f>
        <v/>
      </c>
      <c r="DP298" t="str">
        <f>""</f>
        <v/>
      </c>
      <c r="DQ298" t="str">
        <f>""</f>
        <v/>
      </c>
      <c r="DR298" t="str">
        <f>""</f>
        <v/>
      </c>
      <c r="DS298" t="str">
        <f>""</f>
        <v/>
      </c>
      <c r="DT298" t="str">
        <f>""</f>
        <v/>
      </c>
      <c r="DU298" t="str">
        <f>""</f>
        <v/>
      </c>
      <c r="DV298" t="str">
        <f>""</f>
        <v/>
      </c>
      <c r="DW298" t="str">
        <f>""</f>
        <v/>
      </c>
      <c r="DX298" t="str">
        <f>""</f>
        <v/>
      </c>
      <c r="DY298" t="str">
        <f>""</f>
        <v/>
      </c>
      <c r="DZ298" t="str">
        <f>""</f>
        <v/>
      </c>
      <c r="EA298" t="str">
        <f>""</f>
        <v/>
      </c>
      <c r="EB298" t="str">
        <f>""</f>
        <v/>
      </c>
      <c r="EC298" t="str">
        <f>""</f>
        <v/>
      </c>
      <c r="ED298" t="str">
        <f>""</f>
        <v/>
      </c>
      <c r="EE298" t="str">
        <f>""</f>
        <v/>
      </c>
      <c r="EF298" t="str">
        <f>""</f>
        <v/>
      </c>
      <c r="EG298" t="str">
        <f>""</f>
        <v/>
      </c>
      <c r="EH298" t="str">
        <f>""</f>
        <v/>
      </c>
      <c r="EI298" t="str">
        <f>""</f>
        <v/>
      </c>
      <c r="EJ298" t="str">
        <f>""</f>
        <v/>
      </c>
      <c r="EK298" t="str">
        <f>""</f>
        <v/>
      </c>
      <c r="EL298" t="str">
        <f>""</f>
        <v/>
      </c>
      <c r="EM298" t="str">
        <f>""</f>
        <v/>
      </c>
      <c r="EN298" t="str">
        <f>""</f>
        <v/>
      </c>
      <c r="EO298" t="str">
        <f>""</f>
        <v/>
      </c>
      <c r="EP298" t="str">
        <f>""</f>
        <v/>
      </c>
      <c r="EQ298" t="str">
        <f>""</f>
        <v/>
      </c>
      <c r="ER298" t="str">
        <f>""</f>
        <v/>
      </c>
      <c r="ES298" t="str">
        <f>""</f>
        <v/>
      </c>
      <c r="ET298" t="str">
        <f>""</f>
        <v/>
      </c>
      <c r="EU298" t="str">
        <f>""</f>
        <v/>
      </c>
      <c r="EV298" t="str">
        <f>""</f>
        <v/>
      </c>
      <c r="EW298" t="str">
        <f>""</f>
        <v/>
      </c>
      <c r="EX298" t="str">
        <f>""</f>
        <v/>
      </c>
      <c r="EY298" t="str">
        <f>""</f>
        <v/>
      </c>
      <c r="EZ298" t="str">
        <f>""</f>
        <v/>
      </c>
      <c r="FA298" t="str">
        <f>""</f>
        <v/>
      </c>
      <c r="FB298" t="str">
        <f>""</f>
        <v/>
      </c>
      <c r="FC298" t="str">
        <f>""</f>
        <v/>
      </c>
      <c r="FD298" t="str">
        <f>""</f>
        <v/>
      </c>
      <c r="FE298" t="str">
        <f>""</f>
        <v/>
      </c>
      <c r="FF298" t="str">
        <f>""</f>
        <v/>
      </c>
      <c r="FG298" t="str">
        <f>""</f>
        <v/>
      </c>
      <c r="FH298" t="str">
        <f>""</f>
        <v/>
      </c>
      <c r="FI298" t="str">
        <f>""</f>
        <v/>
      </c>
      <c r="FJ298" t="str">
        <f>""</f>
        <v/>
      </c>
      <c r="FK298" t="str">
        <f>""</f>
        <v/>
      </c>
      <c r="FL298" t="str">
        <f>""</f>
        <v/>
      </c>
      <c r="FM298" t="str">
        <f>""</f>
        <v/>
      </c>
      <c r="FN298" t="str">
        <f>""</f>
        <v/>
      </c>
      <c r="FO298" t="str">
        <f>""</f>
        <v/>
      </c>
      <c r="FP298" t="str">
        <f>""</f>
        <v/>
      </c>
      <c r="FQ298" t="str">
        <f>""</f>
        <v/>
      </c>
    </row>
    <row r="299" spans="1:173">
      <c r="A299" t="str">
        <f>$A$55</f>
        <v xml:space="preserve">    公寓物业权益信托</v>
      </c>
      <c r="B299" t="str">
        <f>$B$55</f>
        <v>EQR US Equity</v>
      </c>
      <c r="C299" t="str">
        <f>$C$55</f>
        <v>BE038</v>
      </c>
      <c r="D299" t="str">
        <f>$D$55</f>
        <v>BEST_FFOPS</v>
      </c>
      <c r="E299" t="str">
        <f>$E$55</f>
        <v>动态</v>
      </c>
      <c r="F299" t="str">
        <f ca="1">BDH($B$55,$C$55,$B$250,$B$251,CONCATENATE("Per=",$B$248),"Dts=H","Dir=H",CONCATENATE("Points=",$B$249),"Sort=R","Days=A","Fill=B","BE997=17Y",CONCATENATE("FX=", $B$247) )</f>
        <v>#N/A Authorization</v>
      </c>
      <c r="CL299" t="str">
        <f>""</f>
        <v/>
      </c>
      <c r="CM299" t="str">
        <f>""</f>
        <v/>
      </c>
      <c r="CN299" t="str">
        <f>""</f>
        <v/>
      </c>
      <c r="CO299" t="str">
        <f>""</f>
        <v/>
      </c>
      <c r="CP299" t="str">
        <f>""</f>
        <v/>
      </c>
      <c r="CQ299" t="str">
        <f>""</f>
        <v/>
      </c>
      <c r="CR299" t="str">
        <f>""</f>
        <v/>
      </c>
      <c r="CS299" t="str">
        <f>""</f>
        <v/>
      </c>
      <c r="CT299" t="str">
        <f>""</f>
        <v/>
      </c>
      <c r="CU299" t="str">
        <f>""</f>
        <v/>
      </c>
      <c r="CV299" t="str">
        <f>""</f>
        <v/>
      </c>
      <c r="CW299" t="str">
        <f>""</f>
        <v/>
      </c>
      <c r="CX299" t="str">
        <f>""</f>
        <v/>
      </c>
      <c r="CY299" t="str">
        <f>""</f>
        <v/>
      </c>
      <c r="CZ299" t="str">
        <f>""</f>
        <v/>
      </c>
      <c r="DA299" t="str">
        <f>""</f>
        <v/>
      </c>
      <c r="DB299" t="str">
        <f>""</f>
        <v/>
      </c>
      <c r="DC299" t="str">
        <f>""</f>
        <v/>
      </c>
      <c r="DD299" t="str">
        <f>""</f>
        <v/>
      </c>
      <c r="DE299" t="str">
        <f>""</f>
        <v/>
      </c>
      <c r="DF299" t="str">
        <f>""</f>
        <v/>
      </c>
      <c r="DG299" t="str">
        <f>""</f>
        <v/>
      </c>
      <c r="DH299" t="str">
        <f>""</f>
        <v/>
      </c>
      <c r="DI299" t="str">
        <f>""</f>
        <v/>
      </c>
      <c r="DJ299" t="str">
        <f>""</f>
        <v/>
      </c>
      <c r="DK299" t="str">
        <f>""</f>
        <v/>
      </c>
      <c r="DL299" t="str">
        <f>""</f>
        <v/>
      </c>
      <c r="DM299" t="str">
        <f>""</f>
        <v/>
      </c>
      <c r="DN299" t="str">
        <f>""</f>
        <v/>
      </c>
      <c r="DO299" t="str">
        <f>""</f>
        <v/>
      </c>
      <c r="DP299" t="str">
        <f>""</f>
        <v/>
      </c>
      <c r="DQ299" t="str">
        <f>""</f>
        <v/>
      </c>
      <c r="DR299" t="str">
        <f>""</f>
        <v/>
      </c>
      <c r="DS299" t="str">
        <f>""</f>
        <v/>
      </c>
      <c r="DT299" t="str">
        <f>""</f>
        <v/>
      </c>
      <c r="DU299" t="str">
        <f>""</f>
        <v/>
      </c>
      <c r="DV299" t="str">
        <f>""</f>
        <v/>
      </c>
      <c r="DW299" t="str">
        <f>""</f>
        <v/>
      </c>
      <c r="DX299" t="str">
        <f>""</f>
        <v/>
      </c>
      <c r="DY299" t="str">
        <f>""</f>
        <v/>
      </c>
      <c r="DZ299" t="str">
        <f>""</f>
        <v/>
      </c>
      <c r="EA299" t="str">
        <f>""</f>
        <v/>
      </c>
      <c r="EB299" t="str">
        <f>""</f>
        <v/>
      </c>
      <c r="EC299" t="str">
        <f>""</f>
        <v/>
      </c>
      <c r="ED299" t="str">
        <f>""</f>
        <v/>
      </c>
      <c r="EE299" t="str">
        <f>""</f>
        <v/>
      </c>
      <c r="EF299" t="str">
        <f>""</f>
        <v/>
      </c>
      <c r="EG299" t="str">
        <f>""</f>
        <v/>
      </c>
      <c r="EH299" t="str">
        <f>""</f>
        <v/>
      </c>
      <c r="EI299" t="str">
        <f>""</f>
        <v/>
      </c>
      <c r="EJ299" t="str">
        <f>""</f>
        <v/>
      </c>
      <c r="EK299" t="str">
        <f>""</f>
        <v/>
      </c>
      <c r="EL299" t="str">
        <f>""</f>
        <v/>
      </c>
      <c r="EM299" t="str">
        <f>""</f>
        <v/>
      </c>
      <c r="EN299" t="str">
        <f>""</f>
        <v/>
      </c>
      <c r="EO299" t="str">
        <f>""</f>
        <v/>
      </c>
      <c r="EP299" t="str">
        <f>""</f>
        <v/>
      </c>
      <c r="EQ299" t="str">
        <f>""</f>
        <v/>
      </c>
      <c r="ER299" t="str">
        <f>""</f>
        <v/>
      </c>
      <c r="ES299" t="str">
        <f>""</f>
        <v/>
      </c>
      <c r="ET299" t="str">
        <f>""</f>
        <v/>
      </c>
      <c r="EU299" t="str">
        <f>""</f>
        <v/>
      </c>
      <c r="EV299" t="str">
        <f>""</f>
        <v/>
      </c>
      <c r="EW299" t="str">
        <f>""</f>
        <v/>
      </c>
      <c r="EX299" t="str">
        <f>""</f>
        <v/>
      </c>
      <c r="EY299" t="str">
        <f>""</f>
        <v/>
      </c>
      <c r="EZ299" t="str">
        <f>""</f>
        <v/>
      </c>
      <c r="FA299" t="str">
        <f>""</f>
        <v/>
      </c>
      <c r="FB299" t="str">
        <f>""</f>
        <v/>
      </c>
      <c r="FC299" t="str">
        <f>""</f>
        <v/>
      </c>
      <c r="FD299" t="str">
        <f>""</f>
        <v/>
      </c>
      <c r="FE299" t="str">
        <f>""</f>
        <v/>
      </c>
      <c r="FF299" t="str">
        <f>""</f>
        <v/>
      </c>
      <c r="FG299" t="str">
        <f>""</f>
        <v/>
      </c>
      <c r="FH299" t="str">
        <f>""</f>
        <v/>
      </c>
      <c r="FI299" t="str">
        <f>""</f>
        <v/>
      </c>
      <c r="FJ299" t="str">
        <f>""</f>
        <v/>
      </c>
      <c r="FK299" t="str">
        <f>""</f>
        <v/>
      </c>
      <c r="FL299" t="str">
        <f>""</f>
        <v/>
      </c>
      <c r="FM299" t="str">
        <f>""</f>
        <v/>
      </c>
      <c r="FN299" t="str">
        <f>""</f>
        <v/>
      </c>
      <c r="FO299" t="str">
        <f>""</f>
        <v/>
      </c>
      <c r="FP299" t="str">
        <f>""</f>
        <v/>
      </c>
      <c r="FQ299" t="str">
        <f>""</f>
        <v/>
      </c>
    </row>
    <row r="300" spans="1:173">
      <c r="A300" t="str">
        <f>$A$56</f>
        <v xml:space="preserve">    埃塞克斯房地产信托公司</v>
      </c>
      <c r="B300" t="str">
        <f>$B$56</f>
        <v>ESS US Equity</v>
      </c>
      <c r="C300" t="str">
        <f>$C$56</f>
        <v>BE038</v>
      </c>
      <c r="D300" t="str">
        <f>$D$56</f>
        <v>BEST_FFOPS</v>
      </c>
      <c r="E300" t="str">
        <f>$E$56</f>
        <v>动态</v>
      </c>
      <c r="F300" t="str">
        <f ca="1">BDH($B$56,$C$56,$B$250,$B$251,CONCATENATE("Per=",$B$248),"Dts=H","Dir=H",CONCATENATE("Points=",$B$249),"Sort=R","Days=A","Fill=B","BE997=17Y",CONCATENATE("FX=", $B$247) )</f>
        <v>#N/A Authorization</v>
      </c>
      <c r="CL300" t="str">
        <f>""</f>
        <v/>
      </c>
      <c r="CM300" t="str">
        <f>""</f>
        <v/>
      </c>
      <c r="CN300" t="str">
        <f>""</f>
        <v/>
      </c>
      <c r="CO300" t="str">
        <f>""</f>
        <v/>
      </c>
      <c r="CP300" t="str">
        <f>""</f>
        <v/>
      </c>
      <c r="CQ300" t="str">
        <f>""</f>
        <v/>
      </c>
      <c r="CR300" t="str">
        <f>""</f>
        <v/>
      </c>
      <c r="CS300" t="str">
        <f>""</f>
        <v/>
      </c>
      <c r="CT300" t="str">
        <f>""</f>
        <v/>
      </c>
      <c r="CU300" t="str">
        <f>""</f>
        <v/>
      </c>
      <c r="CV300" t="str">
        <f>""</f>
        <v/>
      </c>
      <c r="CW300" t="str">
        <f>""</f>
        <v/>
      </c>
      <c r="CX300" t="str">
        <f>""</f>
        <v/>
      </c>
      <c r="CY300" t="str">
        <f>""</f>
        <v/>
      </c>
      <c r="CZ300" t="str">
        <f>""</f>
        <v/>
      </c>
      <c r="DA300" t="str">
        <f>""</f>
        <v/>
      </c>
      <c r="DB300" t="str">
        <f>""</f>
        <v/>
      </c>
      <c r="DC300" t="str">
        <f>""</f>
        <v/>
      </c>
      <c r="DD300" t="str">
        <f>""</f>
        <v/>
      </c>
      <c r="DE300" t="str">
        <f>""</f>
        <v/>
      </c>
      <c r="DF300" t="str">
        <f>""</f>
        <v/>
      </c>
      <c r="DG300" t="str">
        <f>""</f>
        <v/>
      </c>
      <c r="DH300" t="str">
        <f>""</f>
        <v/>
      </c>
      <c r="DI300" t="str">
        <f>""</f>
        <v/>
      </c>
      <c r="DJ300" t="str">
        <f>""</f>
        <v/>
      </c>
      <c r="DK300" t="str">
        <f>""</f>
        <v/>
      </c>
      <c r="DL300" t="str">
        <f>""</f>
        <v/>
      </c>
      <c r="DM300" t="str">
        <f>""</f>
        <v/>
      </c>
      <c r="DN300" t="str">
        <f>""</f>
        <v/>
      </c>
      <c r="DO300" t="str">
        <f>""</f>
        <v/>
      </c>
      <c r="DP300" t="str">
        <f>""</f>
        <v/>
      </c>
      <c r="DQ300" t="str">
        <f>""</f>
        <v/>
      </c>
      <c r="DR300" t="str">
        <f>""</f>
        <v/>
      </c>
      <c r="DS300" t="str">
        <f>""</f>
        <v/>
      </c>
      <c r="DT300" t="str">
        <f>""</f>
        <v/>
      </c>
      <c r="DU300" t="str">
        <f>""</f>
        <v/>
      </c>
      <c r="DV300" t="str">
        <f>""</f>
        <v/>
      </c>
      <c r="DW300" t="str">
        <f>""</f>
        <v/>
      </c>
      <c r="DX300" t="str">
        <f>""</f>
        <v/>
      </c>
      <c r="DY300" t="str">
        <f>""</f>
        <v/>
      </c>
      <c r="DZ300" t="str">
        <f>""</f>
        <v/>
      </c>
      <c r="EA300" t="str">
        <f>""</f>
        <v/>
      </c>
      <c r="EB300" t="str">
        <f>""</f>
        <v/>
      </c>
      <c r="EC300" t="str">
        <f>""</f>
        <v/>
      </c>
      <c r="ED300" t="str">
        <f>""</f>
        <v/>
      </c>
      <c r="EE300" t="str">
        <f>""</f>
        <v/>
      </c>
      <c r="EF300" t="str">
        <f>""</f>
        <v/>
      </c>
      <c r="EG300" t="str">
        <f>""</f>
        <v/>
      </c>
      <c r="EH300" t="str">
        <f>""</f>
        <v/>
      </c>
      <c r="EI300" t="str">
        <f>""</f>
        <v/>
      </c>
      <c r="EJ300" t="str">
        <f>""</f>
        <v/>
      </c>
      <c r="EK300" t="str">
        <f>""</f>
        <v/>
      </c>
      <c r="EL300" t="str">
        <f>""</f>
        <v/>
      </c>
      <c r="EM300" t="str">
        <f>""</f>
        <v/>
      </c>
      <c r="EN300" t="str">
        <f>""</f>
        <v/>
      </c>
      <c r="EO300" t="str">
        <f>""</f>
        <v/>
      </c>
      <c r="EP300" t="str">
        <f>""</f>
        <v/>
      </c>
      <c r="EQ300" t="str">
        <f>""</f>
        <v/>
      </c>
      <c r="ER300" t="str">
        <f>""</f>
        <v/>
      </c>
      <c r="ES300" t="str">
        <f>""</f>
        <v/>
      </c>
      <c r="ET300" t="str">
        <f>""</f>
        <v/>
      </c>
      <c r="EU300" t="str">
        <f>""</f>
        <v/>
      </c>
      <c r="EV300" t="str">
        <f>""</f>
        <v/>
      </c>
      <c r="EW300" t="str">
        <f>""</f>
        <v/>
      </c>
      <c r="EX300" t="str">
        <f>""</f>
        <v/>
      </c>
      <c r="EY300" t="str">
        <f>""</f>
        <v/>
      </c>
      <c r="EZ300" t="str">
        <f>""</f>
        <v/>
      </c>
      <c r="FA300" t="str">
        <f>""</f>
        <v/>
      </c>
      <c r="FB300" t="str">
        <f>""</f>
        <v/>
      </c>
      <c r="FC300" t="str">
        <f>""</f>
        <v/>
      </c>
      <c r="FD300" t="str">
        <f>""</f>
        <v/>
      </c>
      <c r="FE300" t="str">
        <f>""</f>
        <v/>
      </c>
      <c r="FF300" t="str">
        <f>""</f>
        <v/>
      </c>
      <c r="FG300" t="str">
        <f>""</f>
        <v/>
      </c>
      <c r="FH300" t="str">
        <f>""</f>
        <v/>
      </c>
      <c r="FI300" t="str">
        <f>""</f>
        <v/>
      </c>
      <c r="FJ300" t="str">
        <f>""</f>
        <v/>
      </c>
      <c r="FK300" t="str">
        <f>""</f>
        <v/>
      </c>
      <c r="FL300" t="str">
        <f>""</f>
        <v/>
      </c>
      <c r="FM300" t="str">
        <f>""</f>
        <v/>
      </c>
      <c r="FN300" t="str">
        <f>""</f>
        <v/>
      </c>
      <c r="FO300" t="str">
        <f>""</f>
        <v/>
      </c>
      <c r="FP300" t="str">
        <f>""</f>
        <v/>
      </c>
      <c r="FQ300" t="str">
        <f>""</f>
        <v/>
      </c>
    </row>
    <row r="301" spans="1:173">
      <c r="A301" t="str">
        <f>$A$57</f>
        <v xml:space="preserve">    Mid-America Apartment Communities股份有限公司</v>
      </c>
      <c r="B301" t="str">
        <f>$B$57</f>
        <v>MAA US Equity</v>
      </c>
      <c r="C301" t="str">
        <f>$C$57</f>
        <v>BE038</v>
      </c>
      <c r="D301" t="str">
        <f>$D$57</f>
        <v>BEST_FFOPS</v>
      </c>
      <c r="E301" t="str">
        <f>$E$57</f>
        <v>动态</v>
      </c>
      <c r="F301" t="str">
        <f ca="1">BDH($B$57,$C$57,$B$250,$B$251,CONCATENATE("Per=",$B$248),"Dts=H","Dir=H",CONCATENATE("Points=",$B$249),"Sort=R","Days=A","Fill=B","BE997=17Y",CONCATENATE("FX=", $B$247) )</f>
        <v>#N/A Authorization</v>
      </c>
      <c r="CL301" t="str">
        <f>""</f>
        <v/>
      </c>
      <c r="CM301" t="str">
        <f>""</f>
        <v/>
      </c>
      <c r="CN301" t="str">
        <f>""</f>
        <v/>
      </c>
      <c r="CO301" t="str">
        <f>""</f>
        <v/>
      </c>
      <c r="CP301" t="str">
        <f>""</f>
        <v/>
      </c>
      <c r="CQ301" t="str">
        <f>""</f>
        <v/>
      </c>
      <c r="CR301" t="str">
        <f>""</f>
        <v/>
      </c>
      <c r="CS301" t="str">
        <f>""</f>
        <v/>
      </c>
      <c r="CT301" t="str">
        <f>""</f>
        <v/>
      </c>
      <c r="CU301" t="str">
        <f>""</f>
        <v/>
      </c>
      <c r="CV301" t="str">
        <f>""</f>
        <v/>
      </c>
      <c r="CW301" t="str">
        <f>""</f>
        <v/>
      </c>
      <c r="CX301" t="str">
        <f>""</f>
        <v/>
      </c>
      <c r="CY301" t="str">
        <f>""</f>
        <v/>
      </c>
      <c r="CZ301" t="str">
        <f>""</f>
        <v/>
      </c>
      <c r="DA301" t="str">
        <f>""</f>
        <v/>
      </c>
      <c r="DB301" t="str">
        <f>""</f>
        <v/>
      </c>
      <c r="DC301" t="str">
        <f>""</f>
        <v/>
      </c>
      <c r="DD301" t="str">
        <f>""</f>
        <v/>
      </c>
      <c r="DE301" t="str">
        <f>""</f>
        <v/>
      </c>
      <c r="DF301" t="str">
        <f>""</f>
        <v/>
      </c>
      <c r="DG301" t="str">
        <f>""</f>
        <v/>
      </c>
      <c r="DH301" t="str">
        <f>""</f>
        <v/>
      </c>
      <c r="DI301" t="str">
        <f>""</f>
        <v/>
      </c>
      <c r="DJ301" t="str">
        <f>""</f>
        <v/>
      </c>
      <c r="DK301" t="str">
        <f>""</f>
        <v/>
      </c>
      <c r="DL301" t="str">
        <f>""</f>
        <v/>
      </c>
      <c r="DM301" t="str">
        <f>""</f>
        <v/>
      </c>
      <c r="DN301" t="str">
        <f>""</f>
        <v/>
      </c>
      <c r="DO301" t="str">
        <f>""</f>
        <v/>
      </c>
      <c r="DP301" t="str">
        <f>""</f>
        <v/>
      </c>
      <c r="DQ301" t="str">
        <f>""</f>
        <v/>
      </c>
      <c r="DR301" t="str">
        <f>""</f>
        <v/>
      </c>
      <c r="DS301" t="str">
        <f>""</f>
        <v/>
      </c>
      <c r="DT301" t="str">
        <f>""</f>
        <v/>
      </c>
      <c r="DU301" t="str">
        <f>""</f>
        <v/>
      </c>
      <c r="DV301" t="str">
        <f>""</f>
        <v/>
      </c>
      <c r="DW301" t="str">
        <f>""</f>
        <v/>
      </c>
      <c r="DX301" t="str">
        <f>""</f>
        <v/>
      </c>
      <c r="DY301" t="str">
        <f>""</f>
        <v/>
      </c>
      <c r="DZ301" t="str">
        <f>""</f>
        <v/>
      </c>
      <c r="EA301" t="str">
        <f>""</f>
        <v/>
      </c>
      <c r="EB301" t="str">
        <f>""</f>
        <v/>
      </c>
      <c r="EC301" t="str">
        <f>""</f>
        <v/>
      </c>
      <c r="ED301" t="str">
        <f>""</f>
        <v/>
      </c>
      <c r="EE301" t="str">
        <f>""</f>
        <v/>
      </c>
      <c r="EF301" t="str">
        <f>""</f>
        <v/>
      </c>
      <c r="EG301" t="str">
        <f>""</f>
        <v/>
      </c>
      <c r="EH301" t="str">
        <f>""</f>
        <v/>
      </c>
      <c r="EI301" t="str">
        <f>""</f>
        <v/>
      </c>
      <c r="EJ301" t="str">
        <f>""</f>
        <v/>
      </c>
      <c r="EK301" t="str">
        <f>""</f>
        <v/>
      </c>
      <c r="EL301" t="str">
        <f>""</f>
        <v/>
      </c>
      <c r="EM301" t="str">
        <f>""</f>
        <v/>
      </c>
      <c r="EN301" t="str">
        <f>""</f>
        <v/>
      </c>
      <c r="EO301" t="str">
        <f>""</f>
        <v/>
      </c>
      <c r="EP301" t="str">
        <f>""</f>
        <v/>
      </c>
      <c r="EQ301" t="str">
        <f>""</f>
        <v/>
      </c>
      <c r="ER301" t="str">
        <f>""</f>
        <v/>
      </c>
      <c r="ES301" t="str">
        <f>""</f>
        <v/>
      </c>
      <c r="ET301" t="str">
        <f>""</f>
        <v/>
      </c>
      <c r="EU301" t="str">
        <f>""</f>
        <v/>
      </c>
      <c r="EV301" t="str">
        <f>""</f>
        <v/>
      </c>
      <c r="EW301" t="str">
        <f>""</f>
        <v/>
      </c>
      <c r="EX301" t="str">
        <f>""</f>
        <v/>
      </c>
      <c r="EY301" t="str">
        <f>""</f>
        <v/>
      </c>
      <c r="EZ301" t="str">
        <f>""</f>
        <v/>
      </c>
      <c r="FA301" t="str">
        <f>""</f>
        <v/>
      </c>
      <c r="FB301" t="str">
        <f>""</f>
        <v/>
      </c>
      <c r="FC301" t="str">
        <f>""</f>
        <v/>
      </c>
      <c r="FD301" t="str">
        <f>""</f>
        <v/>
      </c>
      <c r="FE301" t="str">
        <f>""</f>
        <v/>
      </c>
      <c r="FF301" t="str">
        <f>""</f>
        <v/>
      </c>
      <c r="FG301" t="str">
        <f>""</f>
        <v/>
      </c>
      <c r="FH301" t="str">
        <f>""</f>
        <v/>
      </c>
      <c r="FI301" t="str">
        <f>""</f>
        <v/>
      </c>
      <c r="FJ301" t="str">
        <f>""</f>
        <v/>
      </c>
      <c r="FK301" t="str">
        <f>""</f>
        <v/>
      </c>
      <c r="FL301" t="str">
        <f>""</f>
        <v/>
      </c>
      <c r="FM301" t="str">
        <f>""</f>
        <v/>
      </c>
      <c r="FN301" t="str">
        <f>""</f>
        <v/>
      </c>
      <c r="FO301" t="str">
        <f>""</f>
        <v/>
      </c>
      <c r="FP301" t="str">
        <f>""</f>
        <v/>
      </c>
      <c r="FQ301" t="str">
        <f>""</f>
        <v/>
      </c>
    </row>
    <row r="302" spans="1:173">
      <c r="A302" t="str">
        <f>$A$58</f>
        <v xml:space="preserve">    UDR 公司</v>
      </c>
      <c r="B302" t="str">
        <f>$B$58</f>
        <v>UDR US Equity</v>
      </c>
      <c r="C302" t="str">
        <f>$C$58</f>
        <v>BE038</v>
      </c>
      <c r="D302" t="str">
        <f>$D$58</f>
        <v>BEST_FFOPS</v>
      </c>
      <c r="E302" t="str">
        <f>$E$58</f>
        <v>动态</v>
      </c>
      <c r="F302" t="str">
        <f ca="1">BDH($B$58,$C$58,$B$250,$B$251,CONCATENATE("Per=",$B$248),"Dts=H","Dir=H",CONCATENATE("Points=",$B$249),"Sort=R","Days=A","Fill=B","BE997=17Y",CONCATENATE("FX=", $B$247) )</f>
        <v>#N/A Authorization</v>
      </c>
      <c r="CL302" t="str">
        <f>""</f>
        <v/>
      </c>
      <c r="CM302" t="str">
        <f>""</f>
        <v/>
      </c>
      <c r="CN302" t="str">
        <f>""</f>
        <v/>
      </c>
      <c r="CO302" t="str">
        <f>""</f>
        <v/>
      </c>
      <c r="CP302" t="str">
        <f>""</f>
        <v/>
      </c>
      <c r="CQ302" t="str">
        <f>""</f>
        <v/>
      </c>
      <c r="CR302" t="str">
        <f>""</f>
        <v/>
      </c>
      <c r="CS302" t="str">
        <f>""</f>
        <v/>
      </c>
      <c r="CT302" t="str">
        <f>""</f>
        <v/>
      </c>
      <c r="CU302" t="str">
        <f>""</f>
        <v/>
      </c>
      <c r="CV302" t="str">
        <f>""</f>
        <v/>
      </c>
      <c r="CW302" t="str">
        <f>""</f>
        <v/>
      </c>
      <c r="CX302" t="str">
        <f>""</f>
        <v/>
      </c>
      <c r="CY302" t="str">
        <f>""</f>
        <v/>
      </c>
      <c r="CZ302" t="str">
        <f>""</f>
        <v/>
      </c>
      <c r="DA302" t="str">
        <f>""</f>
        <v/>
      </c>
      <c r="DB302" t="str">
        <f>""</f>
        <v/>
      </c>
      <c r="DC302" t="str">
        <f>""</f>
        <v/>
      </c>
      <c r="DD302" t="str">
        <f>""</f>
        <v/>
      </c>
      <c r="DE302" t="str">
        <f>""</f>
        <v/>
      </c>
      <c r="DF302" t="str">
        <f>""</f>
        <v/>
      </c>
      <c r="DG302" t="str">
        <f>""</f>
        <v/>
      </c>
      <c r="DH302" t="str">
        <f>""</f>
        <v/>
      </c>
      <c r="DI302" t="str">
        <f>""</f>
        <v/>
      </c>
      <c r="DJ302" t="str">
        <f>""</f>
        <v/>
      </c>
      <c r="DK302" t="str">
        <f>""</f>
        <v/>
      </c>
      <c r="DL302" t="str">
        <f>""</f>
        <v/>
      </c>
      <c r="DM302" t="str">
        <f>""</f>
        <v/>
      </c>
      <c r="DN302" t="str">
        <f>""</f>
        <v/>
      </c>
      <c r="DO302" t="str">
        <f>""</f>
        <v/>
      </c>
      <c r="DP302" t="str">
        <f>""</f>
        <v/>
      </c>
      <c r="DQ302" t="str">
        <f>""</f>
        <v/>
      </c>
      <c r="DR302" t="str">
        <f>""</f>
        <v/>
      </c>
      <c r="DS302" t="str">
        <f>""</f>
        <v/>
      </c>
      <c r="DT302" t="str">
        <f>""</f>
        <v/>
      </c>
      <c r="DU302" t="str">
        <f>""</f>
        <v/>
      </c>
      <c r="DV302" t="str">
        <f>""</f>
        <v/>
      </c>
      <c r="DW302" t="str">
        <f>""</f>
        <v/>
      </c>
      <c r="DX302" t="str">
        <f>""</f>
        <v/>
      </c>
      <c r="DY302" t="str">
        <f>""</f>
        <v/>
      </c>
      <c r="DZ302" t="str">
        <f>""</f>
        <v/>
      </c>
      <c r="EA302" t="str">
        <f>""</f>
        <v/>
      </c>
      <c r="EB302" t="str">
        <f>""</f>
        <v/>
      </c>
      <c r="EC302" t="str">
        <f>""</f>
        <v/>
      </c>
      <c r="ED302" t="str">
        <f>""</f>
        <v/>
      </c>
      <c r="EE302" t="str">
        <f>""</f>
        <v/>
      </c>
      <c r="EF302" t="str">
        <f>""</f>
        <v/>
      </c>
      <c r="EG302" t="str">
        <f>""</f>
        <v/>
      </c>
      <c r="EH302" t="str">
        <f>""</f>
        <v/>
      </c>
      <c r="EI302" t="str">
        <f>""</f>
        <v/>
      </c>
      <c r="EJ302" t="str">
        <f>""</f>
        <v/>
      </c>
      <c r="EK302" t="str">
        <f>""</f>
        <v/>
      </c>
      <c r="EL302" t="str">
        <f>""</f>
        <v/>
      </c>
      <c r="EM302" t="str">
        <f>""</f>
        <v/>
      </c>
      <c r="EN302" t="str">
        <f>""</f>
        <v/>
      </c>
      <c r="EO302" t="str">
        <f>""</f>
        <v/>
      </c>
      <c r="EP302" t="str">
        <f>""</f>
        <v/>
      </c>
      <c r="EQ302" t="str">
        <f>""</f>
        <v/>
      </c>
      <c r="ER302" t="str">
        <f>""</f>
        <v/>
      </c>
      <c r="ES302" t="str">
        <f>""</f>
        <v/>
      </c>
      <c r="ET302" t="str">
        <f>""</f>
        <v/>
      </c>
      <c r="EU302" t="str">
        <f>""</f>
        <v/>
      </c>
      <c r="EV302" t="str">
        <f>""</f>
        <v/>
      </c>
      <c r="EW302" t="str">
        <f>""</f>
        <v/>
      </c>
      <c r="EX302" t="str">
        <f>""</f>
        <v/>
      </c>
      <c r="EY302" t="str">
        <f>""</f>
        <v/>
      </c>
      <c r="EZ302" t="str">
        <f>""</f>
        <v/>
      </c>
      <c r="FA302" t="str">
        <f>""</f>
        <v/>
      </c>
      <c r="FB302" t="str">
        <f>""</f>
        <v/>
      </c>
      <c r="FC302" t="str">
        <f>""</f>
        <v/>
      </c>
      <c r="FD302" t="str">
        <f>""</f>
        <v/>
      </c>
      <c r="FE302" t="str">
        <f>""</f>
        <v/>
      </c>
      <c r="FF302" t="str">
        <f>""</f>
        <v/>
      </c>
      <c r="FG302" t="str">
        <f>""</f>
        <v/>
      </c>
      <c r="FH302" t="str">
        <f>""</f>
        <v/>
      </c>
      <c r="FI302" t="str">
        <f>""</f>
        <v/>
      </c>
      <c r="FJ302" t="str">
        <f>""</f>
        <v/>
      </c>
      <c r="FK302" t="str">
        <f>""</f>
        <v/>
      </c>
      <c r="FL302" t="str">
        <f>""</f>
        <v/>
      </c>
      <c r="FM302" t="str">
        <f>""</f>
        <v/>
      </c>
      <c r="FN302" t="str">
        <f>""</f>
        <v/>
      </c>
      <c r="FO302" t="str">
        <f>""</f>
        <v/>
      </c>
      <c r="FP302" t="str">
        <f>""</f>
        <v/>
      </c>
      <c r="FQ302" t="str">
        <f>""</f>
        <v/>
      </c>
    </row>
    <row r="303" spans="1:173">
      <c r="A303" t="str">
        <f>$A$60</f>
        <v xml:space="preserve">    公寓投资与管理</v>
      </c>
      <c r="B303" t="str">
        <f>$B$60</f>
        <v>AIV US Equity</v>
      </c>
      <c r="C303" t="str">
        <f>$C$60</f>
        <v>BE038</v>
      </c>
      <c r="D303" t="str">
        <f>$D$60</f>
        <v>BEST_FFOPS</v>
      </c>
      <c r="E303" t="str">
        <f>$E$60</f>
        <v>动态</v>
      </c>
      <c r="F303" t="str">
        <f ca="1">BDH($B$60,$C$60,$B$250,$B$251,CONCATENATE("Per=",$B$248),"Dts=H","Dir=H",CONCATENATE("Points=",$B$249),"Sort=R","Days=A","Fill=B","BE997=18Y",CONCATENATE("FX=", $B$247) )</f>
        <v>#N/A Authorization</v>
      </c>
      <c r="CL303" t="str">
        <f>""</f>
        <v/>
      </c>
      <c r="CM303" t="str">
        <f>""</f>
        <v/>
      </c>
      <c r="CN303" t="str">
        <f>""</f>
        <v/>
      </c>
      <c r="CO303" t="str">
        <f>""</f>
        <v/>
      </c>
      <c r="CP303" t="str">
        <f>""</f>
        <v/>
      </c>
      <c r="CQ303" t="str">
        <f>""</f>
        <v/>
      </c>
      <c r="CR303" t="str">
        <f>""</f>
        <v/>
      </c>
      <c r="CS303" t="str">
        <f>""</f>
        <v/>
      </c>
      <c r="CT303" t="str">
        <f>""</f>
        <v/>
      </c>
      <c r="CU303" t="str">
        <f>""</f>
        <v/>
      </c>
      <c r="CV303" t="str">
        <f>""</f>
        <v/>
      </c>
      <c r="CW303" t="str">
        <f>""</f>
        <v/>
      </c>
      <c r="CX303" t="str">
        <f>""</f>
        <v/>
      </c>
      <c r="CY303" t="str">
        <f>""</f>
        <v/>
      </c>
      <c r="CZ303" t="str">
        <f>""</f>
        <v/>
      </c>
      <c r="DA303" t="str">
        <f>""</f>
        <v/>
      </c>
      <c r="DB303" t="str">
        <f>""</f>
        <v/>
      </c>
      <c r="DC303" t="str">
        <f>""</f>
        <v/>
      </c>
      <c r="DD303" t="str">
        <f>""</f>
        <v/>
      </c>
      <c r="DE303" t="str">
        <f>""</f>
        <v/>
      </c>
      <c r="DF303" t="str">
        <f>""</f>
        <v/>
      </c>
      <c r="DG303" t="str">
        <f>""</f>
        <v/>
      </c>
      <c r="DH303" t="str">
        <f>""</f>
        <v/>
      </c>
      <c r="DI303" t="str">
        <f>""</f>
        <v/>
      </c>
      <c r="DJ303" t="str">
        <f>""</f>
        <v/>
      </c>
      <c r="DK303" t="str">
        <f>""</f>
        <v/>
      </c>
      <c r="DL303" t="str">
        <f>""</f>
        <v/>
      </c>
      <c r="DM303" t="str">
        <f>""</f>
        <v/>
      </c>
      <c r="DN303" t="str">
        <f>""</f>
        <v/>
      </c>
      <c r="DO303" t="str">
        <f>""</f>
        <v/>
      </c>
      <c r="DP303" t="str">
        <f>""</f>
        <v/>
      </c>
      <c r="DQ303" t="str">
        <f>""</f>
        <v/>
      </c>
      <c r="DR303" t="str">
        <f>""</f>
        <v/>
      </c>
      <c r="DS303" t="str">
        <f>""</f>
        <v/>
      </c>
      <c r="DT303" t="str">
        <f>""</f>
        <v/>
      </c>
      <c r="DU303" t="str">
        <f>""</f>
        <v/>
      </c>
      <c r="DV303" t="str">
        <f>""</f>
        <v/>
      </c>
      <c r="DW303" t="str">
        <f>""</f>
        <v/>
      </c>
      <c r="DX303" t="str">
        <f>""</f>
        <v/>
      </c>
      <c r="DY303" t="str">
        <f>""</f>
        <v/>
      </c>
      <c r="DZ303" t="str">
        <f>""</f>
        <v/>
      </c>
      <c r="EA303" t="str">
        <f>""</f>
        <v/>
      </c>
      <c r="EB303" t="str">
        <f>""</f>
        <v/>
      </c>
      <c r="EC303" t="str">
        <f>""</f>
        <v/>
      </c>
      <c r="ED303" t="str">
        <f>""</f>
        <v/>
      </c>
      <c r="EE303" t="str">
        <f>""</f>
        <v/>
      </c>
      <c r="EF303" t="str">
        <f>""</f>
        <v/>
      </c>
      <c r="EG303" t="str">
        <f>""</f>
        <v/>
      </c>
      <c r="EH303" t="str">
        <f>""</f>
        <v/>
      </c>
      <c r="EI303" t="str">
        <f>""</f>
        <v/>
      </c>
      <c r="EJ303" t="str">
        <f>""</f>
        <v/>
      </c>
      <c r="EK303" t="str">
        <f>""</f>
        <v/>
      </c>
      <c r="EL303" t="str">
        <f>""</f>
        <v/>
      </c>
      <c r="EM303" t="str">
        <f>""</f>
        <v/>
      </c>
      <c r="EN303" t="str">
        <f>""</f>
        <v/>
      </c>
      <c r="EO303" t="str">
        <f>""</f>
        <v/>
      </c>
      <c r="EP303" t="str">
        <f>""</f>
        <v/>
      </c>
      <c r="EQ303" t="str">
        <f>""</f>
        <v/>
      </c>
      <c r="ER303" t="str">
        <f>""</f>
        <v/>
      </c>
      <c r="ES303" t="str">
        <f>""</f>
        <v/>
      </c>
      <c r="ET303" t="str">
        <f>""</f>
        <v/>
      </c>
      <c r="EU303" t="str">
        <f>""</f>
        <v/>
      </c>
      <c r="EV303" t="str">
        <f>""</f>
        <v/>
      </c>
      <c r="EW303" t="str">
        <f>""</f>
        <v/>
      </c>
      <c r="EX303" t="str">
        <f>""</f>
        <v/>
      </c>
      <c r="EY303" t="str">
        <f>""</f>
        <v/>
      </c>
      <c r="EZ303" t="str">
        <f>""</f>
        <v/>
      </c>
      <c r="FA303" t="str">
        <f>""</f>
        <v/>
      </c>
      <c r="FB303" t="str">
        <f>""</f>
        <v/>
      </c>
      <c r="FC303" t="str">
        <f>""</f>
        <v/>
      </c>
      <c r="FD303" t="str">
        <f>""</f>
        <v/>
      </c>
      <c r="FE303" t="str">
        <f>""</f>
        <v/>
      </c>
      <c r="FF303" t="str">
        <f>""</f>
        <v/>
      </c>
      <c r="FG303" t="str">
        <f>""</f>
        <v/>
      </c>
      <c r="FH303" t="str">
        <f>""</f>
        <v/>
      </c>
      <c r="FI303" t="str">
        <f>""</f>
        <v/>
      </c>
      <c r="FJ303" t="str">
        <f>""</f>
        <v/>
      </c>
      <c r="FK303" t="str">
        <f>""</f>
        <v/>
      </c>
      <c r="FL303" t="str">
        <f>""</f>
        <v/>
      </c>
      <c r="FM303" t="str">
        <f>""</f>
        <v/>
      </c>
      <c r="FN303" t="str">
        <f>""</f>
        <v/>
      </c>
      <c r="FO303" t="str">
        <f>""</f>
        <v/>
      </c>
      <c r="FP303" t="str">
        <f>""</f>
        <v/>
      </c>
      <c r="FQ303" t="str">
        <f>""</f>
        <v/>
      </c>
    </row>
    <row r="304" spans="1:173">
      <c r="A304" t="str">
        <f>$A$61</f>
        <v xml:space="preserve">    AvalonBay社区股份有限公司</v>
      </c>
      <c r="B304" t="str">
        <f>$B$61</f>
        <v>AVB US Equity</v>
      </c>
      <c r="C304" t="str">
        <f>$C$61</f>
        <v>BE038</v>
      </c>
      <c r="D304" t="str">
        <f>$D$61</f>
        <v>BEST_FFOPS</v>
      </c>
      <c r="E304" t="str">
        <f>$E$61</f>
        <v>动态</v>
      </c>
      <c r="F304" t="str">
        <f ca="1">BDH($B$61,$C$61,$B$250,$B$251,CONCATENATE("Per=",$B$248),"Dts=H","Dir=H",CONCATENATE("Points=",$B$249),"Sort=R","Days=A","Fill=B","BE997=18Y",CONCATENATE("FX=", $B$247) )</f>
        <v>#N/A Authorization</v>
      </c>
      <c r="CL304" t="str">
        <f>""</f>
        <v/>
      </c>
      <c r="CM304" t="str">
        <f>""</f>
        <v/>
      </c>
      <c r="CN304" t="str">
        <f>""</f>
        <v/>
      </c>
      <c r="CO304" t="str">
        <f>""</f>
        <v/>
      </c>
      <c r="CP304" t="str">
        <f>""</f>
        <v/>
      </c>
      <c r="CQ304" t="str">
        <f>""</f>
        <v/>
      </c>
      <c r="CR304" t="str">
        <f>""</f>
        <v/>
      </c>
      <c r="CS304" t="str">
        <f>""</f>
        <v/>
      </c>
      <c r="CT304" t="str">
        <f>""</f>
        <v/>
      </c>
      <c r="CU304" t="str">
        <f>""</f>
        <v/>
      </c>
      <c r="CV304" t="str">
        <f>""</f>
        <v/>
      </c>
      <c r="CW304" t="str">
        <f>""</f>
        <v/>
      </c>
      <c r="CX304" t="str">
        <f>""</f>
        <v/>
      </c>
      <c r="CY304" t="str">
        <f>""</f>
        <v/>
      </c>
      <c r="CZ304" t="str">
        <f>""</f>
        <v/>
      </c>
      <c r="DA304" t="str">
        <f>""</f>
        <v/>
      </c>
      <c r="DB304" t="str">
        <f>""</f>
        <v/>
      </c>
      <c r="DC304" t="str">
        <f>""</f>
        <v/>
      </c>
      <c r="DD304" t="str">
        <f>""</f>
        <v/>
      </c>
      <c r="DE304" t="str">
        <f>""</f>
        <v/>
      </c>
      <c r="DF304" t="str">
        <f>""</f>
        <v/>
      </c>
      <c r="DG304" t="str">
        <f>""</f>
        <v/>
      </c>
      <c r="DH304" t="str">
        <f>""</f>
        <v/>
      </c>
      <c r="DI304" t="str">
        <f>""</f>
        <v/>
      </c>
      <c r="DJ304" t="str">
        <f>""</f>
        <v/>
      </c>
      <c r="DK304" t="str">
        <f>""</f>
        <v/>
      </c>
      <c r="DL304" t="str">
        <f>""</f>
        <v/>
      </c>
      <c r="DM304" t="str">
        <f>""</f>
        <v/>
      </c>
      <c r="DN304" t="str">
        <f>""</f>
        <v/>
      </c>
      <c r="DO304" t="str">
        <f>""</f>
        <v/>
      </c>
      <c r="DP304" t="str">
        <f>""</f>
        <v/>
      </c>
      <c r="DQ304" t="str">
        <f>""</f>
        <v/>
      </c>
      <c r="DR304" t="str">
        <f>""</f>
        <v/>
      </c>
      <c r="DS304" t="str">
        <f>""</f>
        <v/>
      </c>
      <c r="DT304" t="str">
        <f>""</f>
        <v/>
      </c>
      <c r="DU304" t="str">
        <f>""</f>
        <v/>
      </c>
      <c r="DV304" t="str">
        <f>""</f>
        <v/>
      </c>
      <c r="DW304" t="str">
        <f>""</f>
        <v/>
      </c>
      <c r="DX304" t="str">
        <f>""</f>
        <v/>
      </c>
      <c r="DY304" t="str">
        <f>""</f>
        <v/>
      </c>
      <c r="DZ304" t="str">
        <f>""</f>
        <v/>
      </c>
      <c r="EA304" t="str">
        <f>""</f>
        <v/>
      </c>
      <c r="EB304" t="str">
        <f>""</f>
        <v/>
      </c>
      <c r="EC304" t="str">
        <f>""</f>
        <v/>
      </c>
      <c r="ED304" t="str">
        <f>""</f>
        <v/>
      </c>
      <c r="EE304" t="str">
        <f>""</f>
        <v/>
      </c>
      <c r="EF304" t="str">
        <f>""</f>
        <v/>
      </c>
      <c r="EG304" t="str">
        <f>""</f>
        <v/>
      </c>
      <c r="EH304" t="str">
        <f>""</f>
        <v/>
      </c>
      <c r="EI304" t="str">
        <f>""</f>
        <v/>
      </c>
      <c r="EJ304" t="str">
        <f>""</f>
        <v/>
      </c>
      <c r="EK304" t="str">
        <f>""</f>
        <v/>
      </c>
      <c r="EL304" t="str">
        <f>""</f>
        <v/>
      </c>
      <c r="EM304" t="str">
        <f>""</f>
        <v/>
      </c>
      <c r="EN304" t="str">
        <f>""</f>
        <v/>
      </c>
      <c r="EO304" t="str">
        <f>""</f>
        <v/>
      </c>
      <c r="EP304" t="str">
        <f>""</f>
        <v/>
      </c>
      <c r="EQ304" t="str">
        <f>""</f>
        <v/>
      </c>
      <c r="ER304" t="str">
        <f>""</f>
        <v/>
      </c>
      <c r="ES304" t="str">
        <f>""</f>
        <v/>
      </c>
      <c r="ET304" t="str">
        <f>""</f>
        <v/>
      </c>
      <c r="EU304" t="str">
        <f>""</f>
        <v/>
      </c>
      <c r="EV304" t="str">
        <f>""</f>
        <v/>
      </c>
      <c r="EW304" t="str">
        <f>""</f>
        <v/>
      </c>
      <c r="EX304" t="str">
        <f>""</f>
        <v/>
      </c>
      <c r="EY304" t="str">
        <f>""</f>
        <v/>
      </c>
      <c r="EZ304" t="str">
        <f>""</f>
        <v/>
      </c>
      <c r="FA304" t="str">
        <f>""</f>
        <v/>
      </c>
      <c r="FB304" t="str">
        <f>""</f>
        <v/>
      </c>
      <c r="FC304" t="str">
        <f>""</f>
        <v/>
      </c>
      <c r="FD304" t="str">
        <f>""</f>
        <v/>
      </c>
      <c r="FE304" t="str">
        <f>""</f>
        <v/>
      </c>
      <c r="FF304" t="str">
        <f>""</f>
        <v/>
      </c>
      <c r="FG304" t="str">
        <f>""</f>
        <v/>
      </c>
      <c r="FH304" t="str">
        <f>""</f>
        <v/>
      </c>
      <c r="FI304" t="str">
        <f>""</f>
        <v/>
      </c>
      <c r="FJ304" t="str">
        <f>""</f>
        <v/>
      </c>
      <c r="FK304" t="str">
        <f>""</f>
        <v/>
      </c>
      <c r="FL304" t="str">
        <f>""</f>
        <v/>
      </c>
      <c r="FM304" t="str">
        <f>""</f>
        <v/>
      </c>
      <c r="FN304" t="str">
        <f>""</f>
        <v/>
      </c>
      <c r="FO304" t="str">
        <f>""</f>
        <v/>
      </c>
      <c r="FP304" t="str">
        <f>""</f>
        <v/>
      </c>
      <c r="FQ304" t="str">
        <f>""</f>
        <v/>
      </c>
    </row>
    <row r="305" spans="1:173">
      <c r="A305" t="str">
        <f>$A$62</f>
        <v xml:space="preserve">    Camden 房地产信托公司</v>
      </c>
      <c r="B305" t="str">
        <f>$B$62</f>
        <v>CPT US Equity</v>
      </c>
      <c r="C305" t="str">
        <f>$C$62</f>
        <v>BE038</v>
      </c>
      <c r="D305" t="str">
        <f>$D$62</f>
        <v>BEST_FFOPS</v>
      </c>
      <c r="E305" t="str">
        <f>$E$62</f>
        <v>动态</v>
      </c>
      <c r="F305" t="str">
        <f ca="1">BDH($B$62,$C$62,$B$250,$B$251,CONCATENATE("Per=",$B$248),"Dts=H","Dir=H",CONCATENATE("Points=",$B$249),"Sort=R","Days=A","Fill=B","BE997=18Y",CONCATENATE("FX=", $B$247) )</f>
        <v>#N/A Authorization</v>
      </c>
      <c r="CL305" t="str">
        <f>""</f>
        <v/>
      </c>
      <c r="CM305" t="str">
        <f>""</f>
        <v/>
      </c>
      <c r="CN305" t="str">
        <f>""</f>
        <v/>
      </c>
      <c r="CO305" t="str">
        <f>""</f>
        <v/>
      </c>
      <c r="CP305" t="str">
        <f>""</f>
        <v/>
      </c>
      <c r="CQ305" t="str">
        <f>""</f>
        <v/>
      </c>
      <c r="CR305" t="str">
        <f>""</f>
        <v/>
      </c>
      <c r="CS305" t="str">
        <f>""</f>
        <v/>
      </c>
      <c r="CT305" t="str">
        <f>""</f>
        <v/>
      </c>
      <c r="CU305" t="str">
        <f>""</f>
        <v/>
      </c>
      <c r="CV305" t="str">
        <f>""</f>
        <v/>
      </c>
      <c r="CW305" t="str">
        <f>""</f>
        <v/>
      </c>
      <c r="CX305" t="str">
        <f>""</f>
        <v/>
      </c>
      <c r="CY305" t="str">
        <f>""</f>
        <v/>
      </c>
      <c r="CZ305" t="str">
        <f>""</f>
        <v/>
      </c>
      <c r="DA305" t="str">
        <f>""</f>
        <v/>
      </c>
      <c r="DB305" t="str">
        <f>""</f>
        <v/>
      </c>
      <c r="DC305" t="str">
        <f>""</f>
        <v/>
      </c>
      <c r="DD305" t="str">
        <f>""</f>
        <v/>
      </c>
      <c r="DE305" t="str">
        <f>""</f>
        <v/>
      </c>
      <c r="DF305" t="str">
        <f>""</f>
        <v/>
      </c>
      <c r="DG305" t="str">
        <f>""</f>
        <v/>
      </c>
      <c r="DH305" t="str">
        <f>""</f>
        <v/>
      </c>
      <c r="DI305" t="str">
        <f>""</f>
        <v/>
      </c>
      <c r="DJ305" t="str">
        <f>""</f>
        <v/>
      </c>
      <c r="DK305" t="str">
        <f>""</f>
        <v/>
      </c>
      <c r="DL305" t="str">
        <f>""</f>
        <v/>
      </c>
      <c r="DM305" t="str">
        <f>""</f>
        <v/>
      </c>
      <c r="DN305" t="str">
        <f>""</f>
        <v/>
      </c>
      <c r="DO305" t="str">
        <f>""</f>
        <v/>
      </c>
      <c r="DP305" t="str">
        <f>""</f>
        <v/>
      </c>
      <c r="DQ305" t="str">
        <f>""</f>
        <v/>
      </c>
      <c r="DR305" t="str">
        <f>""</f>
        <v/>
      </c>
      <c r="DS305" t="str">
        <f>""</f>
        <v/>
      </c>
      <c r="DT305" t="str">
        <f>""</f>
        <v/>
      </c>
      <c r="DU305" t="str">
        <f>""</f>
        <v/>
      </c>
      <c r="DV305" t="str">
        <f>""</f>
        <v/>
      </c>
      <c r="DW305" t="str">
        <f>""</f>
        <v/>
      </c>
      <c r="DX305" t="str">
        <f>""</f>
        <v/>
      </c>
      <c r="DY305" t="str">
        <f>""</f>
        <v/>
      </c>
      <c r="DZ305" t="str">
        <f>""</f>
        <v/>
      </c>
      <c r="EA305" t="str">
        <f>""</f>
        <v/>
      </c>
      <c r="EB305" t="str">
        <f>""</f>
        <v/>
      </c>
      <c r="EC305" t="str">
        <f>""</f>
        <v/>
      </c>
      <c r="ED305" t="str">
        <f>""</f>
        <v/>
      </c>
      <c r="EE305" t="str">
        <f>""</f>
        <v/>
      </c>
      <c r="EF305" t="str">
        <f>""</f>
        <v/>
      </c>
      <c r="EG305" t="str">
        <f>""</f>
        <v/>
      </c>
      <c r="EH305" t="str">
        <f>""</f>
        <v/>
      </c>
      <c r="EI305" t="str">
        <f>""</f>
        <v/>
      </c>
      <c r="EJ305" t="str">
        <f>""</f>
        <v/>
      </c>
      <c r="EK305" t="str">
        <f>""</f>
        <v/>
      </c>
      <c r="EL305" t="str">
        <f>""</f>
        <v/>
      </c>
      <c r="EM305" t="str">
        <f>""</f>
        <v/>
      </c>
      <c r="EN305" t="str">
        <f>""</f>
        <v/>
      </c>
      <c r="EO305" t="str">
        <f>""</f>
        <v/>
      </c>
      <c r="EP305" t="str">
        <f>""</f>
        <v/>
      </c>
      <c r="EQ305" t="str">
        <f>""</f>
        <v/>
      </c>
      <c r="ER305" t="str">
        <f>""</f>
        <v/>
      </c>
      <c r="ES305" t="str">
        <f>""</f>
        <v/>
      </c>
      <c r="ET305" t="str">
        <f>""</f>
        <v/>
      </c>
      <c r="EU305" t="str">
        <f>""</f>
        <v/>
      </c>
      <c r="EV305" t="str">
        <f>""</f>
        <v/>
      </c>
      <c r="EW305" t="str">
        <f>""</f>
        <v/>
      </c>
      <c r="EX305" t="str">
        <f>""</f>
        <v/>
      </c>
      <c r="EY305" t="str">
        <f>""</f>
        <v/>
      </c>
      <c r="EZ305" t="str">
        <f>""</f>
        <v/>
      </c>
      <c r="FA305" t="str">
        <f>""</f>
        <v/>
      </c>
      <c r="FB305" t="str">
        <f>""</f>
        <v/>
      </c>
      <c r="FC305" t="str">
        <f>""</f>
        <v/>
      </c>
      <c r="FD305" t="str">
        <f>""</f>
        <v/>
      </c>
      <c r="FE305" t="str">
        <f>""</f>
        <v/>
      </c>
      <c r="FF305" t="str">
        <f>""</f>
        <v/>
      </c>
      <c r="FG305" t="str">
        <f>""</f>
        <v/>
      </c>
      <c r="FH305" t="str">
        <f>""</f>
        <v/>
      </c>
      <c r="FI305" t="str">
        <f>""</f>
        <v/>
      </c>
      <c r="FJ305" t="str">
        <f>""</f>
        <v/>
      </c>
      <c r="FK305" t="str">
        <f>""</f>
        <v/>
      </c>
      <c r="FL305" t="str">
        <f>""</f>
        <v/>
      </c>
      <c r="FM305" t="str">
        <f>""</f>
        <v/>
      </c>
      <c r="FN305" t="str">
        <f>""</f>
        <v/>
      </c>
      <c r="FO305" t="str">
        <f>""</f>
        <v/>
      </c>
      <c r="FP305" t="str">
        <f>""</f>
        <v/>
      </c>
      <c r="FQ305" t="str">
        <f>""</f>
        <v/>
      </c>
    </row>
    <row r="306" spans="1:173">
      <c r="A306" t="str">
        <f>$A$63</f>
        <v xml:space="preserve">    公寓物业权益信托</v>
      </c>
      <c r="B306" t="str">
        <f>$B$63</f>
        <v>EQR US Equity</v>
      </c>
      <c r="C306" t="str">
        <f>$C$63</f>
        <v>BE038</v>
      </c>
      <c r="D306" t="str">
        <f>$D$63</f>
        <v>BEST_FFOPS</v>
      </c>
      <c r="E306" t="str">
        <f>$E$63</f>
        <v>动态</v>
      </c>
      <c r="F306" t="str">
        <f ca="1">BDH($B$63,$C$63,$B$250,$B$251,CONCATENATE("Per=",$B$248),"Dts=H","Dir=H",CONCATENATE("Points=",$B$249),"Sort=R","Days=A","Fill=B","BE997=18Y",CONCATENATE("FX=", $B$247) )</f>
        <v>#N/A Authorization</v>
      </c>
      <c r="CL306" t="str">
        <f>""</f>
        <v/>
      </c>
      <c r="CM306" t="str">
        <f>""</f>
        <v/>
      </c>
      <c r="CN306" t="str">
        <f>""</f>
        <v/>
      </c>
      <c r="CO306" t="str">
        <f>""</f>
        <v/>
      </c>
      <c r="CP306" t="str">
        <f>""</f>
        <v/>
      </c>
      <c r="CQ306" t="str">
        <f>""</f>
        <v/>
      </c>
      <c r="CR306" t="str">
        <f>""</f>
        <v/>
      </c>
      <c r="CS306" t="str">
        <f>""</f>
        <v/>
      </c>
      <c r="CT306" t="str">
        <f>""</f>
        <v/>
      </c>
      <c r="CU306" t="str">
        <f>""</f>
        <v/>
      </c>
      <c r="CV306" t="str">
        <f>""</f>
        <v/>
      </c>
      <c r="CW306" t="str">
        <f>""</f>
        <v/>
      </c>
      <c r="CX306" t="str">
        <f>""</f>
        <v/>
      </c>
      <c r="CY306" t="str">
        <f>""</f>
        <v/>
      </c>
      <c r="CZ306" t="str">
        <f>""</f>
        <v/>
      </c>
      <c r="DA306" t="str">
        <f>""</f>
        <v/>
      </c>
      <c r="DB306" t="str">
        <f>""</f>
        <v/>
      </c>
      <c r="DC306" t="str">
        <f>""</f>
        <v/>
      </c>
      <c r="DD306" t="str">
        <f>""</f>
        <v/>
      </c>
      <c r="DE306" t="str">
        <f>""</f>
        <v/>
      </c>
      <c r="DF306" t="str">
        <f>""</f>
        <v/>
      </c>
      <c r="DG306" t="str">
        <f>""</f>
        <v/>
      </c>
      <c r="DH306" t="str">
        <f>""</f>
        <v/>
      </c>
      <c r="DI306" t="str">
        <f>""</f>
        <v/>
      </c>
      <c r="DJ306" t="str">
        <f>""</f>
        <v/>
      </c>
      <c r="DK306" t="str">
        <f>""</f>
        <v/>
      </c>
      <c r="DL306" t="str">
        <f>""</f>
        <v/>
      </c>
      <c r="DM306" t="str">
        <f>""</f>
        <v/>
      </c>
      <c r="DN306" t="str">
        <f>""</f>
        <v/>
      </c>
      <c r="DO306" t="str">
        <f>""</f>
        <v/>
      </c>
      <c r="DP306" t="str">
        <f>""</f>
        <v/>
      </c>
      <c r="DQ306" t="str">
        <f>""</f>
        <v/>
      </c>
      <c r="DR306" t="str">
        <f>""</f>
        <v/>
      </c>
      <c r="DS306" t="str">
        <f>""</f>
        <v/>
      </c>
      <c r="DT306" t="str">
        <f>""</f>
        <v/>
      </c>
      <c r="DU306" t="str">
        <f>""</f>
        <v/>
      </c>
      <c r="DV306" t="str">
        <f>""</f>
        <v/>
      </c>
      <c r="DW306" t="str">
        <f>""</f>
        <v/>
      </c>
      <c r="DX306" t="str">
        <f>""</f>
        <v/>
      </c>
      <c r="DY306" t="str">
        <f>""</f>
        <v/>
      </c>
      <c r="DZ306" t="str">
        <f>""</f>
        <v/>
      </c>
      <c r="EA306" t="str">
        <f>""</f>
        <v/>
      </c>
      <c r="EB306" t="str">
        <f>""</f>
        <v/>
      </c>
      <c r="EC306" t="str">
        <f>""</f>
        <v/>
      </c>
      <c r="ED306" t="str">
        <f>""</f>
        <v/>
      </c>
      <c r="EE306" t="str">
        <f>""</f>
        <v/>
      </c>
      <c r="EF306" t="str">
        <f>""</f>
        <v/>
      </c>
      <c r="EG306" t="str">
        <f>""</f>
        <v/>
      </c>
      <c r="EH306" t="str">
        <f>""</f>
        <v/>
      </c>
      <c r="EI306" t="str">
        <f>""</f>
        <v/>
      </c>
      <c r="EJ306" t="str">
        <f>""</f>
        <v/>
      </c>
      <c r="EK306" t="str">
        <f>""</f>
        <v/>
      </c>
      <c r="EL306" t="str">
        <f>""</f>
        <v/>
      </c>
      <c r="EM306" t="str">
        <f>""</f>
        <v/>
      </c>
      <c r="EN306" t="str">
        <f>""</f>
        <v/>
      </c>
      <c r="EO306" t="str">
        <f>""</f>
        <v/>
      </c>
      <c r="EP306" t="str">
        <f>""</f>
        <v/>
      </c>
      <c r="EQ306" t="str">
        <f>""</f>
        <v/>
      </c>
      <c r="ER306" t="str">
        <f>""</f>
        <v/>
      </c>
      <c r="ES306" t="str">
        <f>""</f>
        <v/>
      </c>
      <c r="ET306" t="str">
        <f>""</f>
        <v/>
      </c>
      <c r="EU306" t="str">
        <f>""</f>
        <v/>
      </c>
      <c r="EV306" t="str">
        <f>""</f>
        <v/>
      </c>
      <c r="EW306" t="str">
        <f>""</f>
        <v/>
      </c>
      <c r="EX306" t="str">
        <f>""</f>
        <v/>
      </c>
      <c r="EY306" t="str">
        <f>""</f>
        <v/>
      </c>
      <c r="EZ306" t="str">
        <f>""</f>
        <v/>
      </c>
      <c r="FA306" t="str">
        <f>""</f>
        <v/>
      </c>
      <c r="FB306" t="str">
        <f>""</f>
        <v/>
      </c>
      <c r="FC306" t="str">
        <f>""</f>
        <v/>
      </c>
      <c r="FD306" t="str">
        <f>""</f>
        <v/>
      </c>
      <c r="FE306" t="str">
        <f>""</f>
        <v/>
      </c>
      <c r="FF306" t="str">
        <f>""</f>
        <v/>
      </c>
      <c r="FG306" t="str">
        <f>""</f>
        <v/>
      </c>
      <c r="FH306" t="str">
        <f>""</f>
        <v/>
      </c>
      <c r="FI306" t="str">
        <f>""</f>
        <v/>
      </c>
      <c r="FJ306" t="str">
        <f>""</f>
        <v/>
      </c>
      <c r="FK306" t="str">
        <f>""</f>
        <v/>
      </c>
      <c r="FL306" t="str">
        <f>""</f>
        <v/>
      </c>
      <c r="FM306" t="str">
        <f>""</f>
        <v/>
      </c>
      <c r="FN306" t="str">
        <f>""</f>
        <v/>
      </c>
      <c r="FO306" t="str">
        <f>""</f>
        <v/>
      </c>
      <c r="FP306" t="str">
        <f>""</f>
        <v/>
      </c>
      <c r="FQ306" t="str">
        <f>""</f>
        <v/>
      </c>
    </row>
    <row r="307" spans="1:173">
      <c r="A307" t="str">
        <f>$A$64</f>
        <v xml:space="preserve">    埃塞克斯房地产信托公司</v>
      </c>
      <c r="B307" t="str">
        <f>$B$64</f>
        <v>ESS US Equity</v>
      </c>
      <c r="C307" t="str">
        <f>$C$64</f>
        <v>BE038</v>
      </c>
      <c r="D307" t="str">
        <f>$D$64</f>
        <v>BEST_FFOPS</v>
      </c>
      <c r="E307" t="str">
        <f>$E$64</f>
        <v>动态</v>
      </c>
      <c r="F307" t="str">
        <f ca="1">BDH($B$64,$C$64,$B$250,$B$251,CONCATENATE("Per=",$B$248),"Dts=H","Dir=H",CONCATENATE("Points=",$B$249),"Sort=R","Days=A","Fill=B","BE997=18Y",CONCATENATE("FX=", $B$247) )</f>
        <v>#N/A Authorization</v>
      </c>
      <c r="CL307" t="str">
        <f>""</f>
        <v/>
      </c>
      <c r="CM307" t="str">
        <f>""</f>
        <v/>
      </c>
      <c r="CN307" t="str">
        <f>""</f>
        <v/>
      </c>
      <c r="CO307" t="str">
        <f>""</f>
        <v/>
      </c>
      <c r="CP307" t="str">
        <f>""</f>
        <v/>
      </c>
      <c r="CQ307" t="str">
        <f>""</f>
        <v/>
      </c>
      <c r="CR307" t="str">
        <f>""</f>
        <v/>
      </c>
      <c r="CS307" t="str">
        <f>""</f>
        <v/>
      </c>
      <c r="CT307" t="str">
        <f>""</f>
        <v/>
      </c>
      <c r="CU307" t="str">
        <f>""</f>
        <v/>
      </c>
      <c r="CV307" t="str">
        <f>""</f>
        <v/>
      </c>
      <c r="CW307" t="str">
        <f>""</f>
        <v/>
      </c>
      <c r="CX307" t="str">
        <f>""</f>
        <v/>
      </c>
      <c r="CY307" t="str">
        <f>""</f>
        <v/>
      </c>
      <c r="CZ307" t="str">
        <f>""</f>
        <v/>
      </c>
      <c r="DA307" t="str">
        <f>""</f>
        <v/>
      </c>
      <c r="DB307" t="str">
        <f>""</f>
        <v/>
      </c>
      <c r="DC307" t="str">
        <f>""</f>
        <v/>
      </c>
      <c r="DD307" t="str">
        <f>""</f>
        <v/>
      </c>
      <c r="DE307" t="str">
        <f>""</f>
        <v/>
      </c>
      <c r="DF307" t="str">
        <f>""</f>
        <v/>
      </c>
      <c r="DG307" t="str">
        <f>""</f>
        <v/>
      </c>
      <c r="DH307" t="str">
        <f>""</f>
        <v/>
      </c>
      <c r="DI307" t="str">
        <f>""</f>
        <v/>
      </c>
      <c r="DJ307" t="str">
        <f>""</f>
        <v/>
      </c>
      <c r="DK307" t="str">
        <f>""</f>
        <v/>
      </c>
      <c r="DL307" t="str">
        <f>""</f>
        <v/>
      </c>
      <c r="DM307" t="str">
        <f>""</f>
        <v/>
      </c>
      <c r="DN307" t="str">
        <f>""</f>
        <v/>
      </c>
      <c r="DO307" t="str">
        <f>""</f>
        <v/>
      </c>
      <c r="DP307" t="str">
        <f>""</f>
        <v/>
      </c>
      <c r="DQ307" t="str">
        <f>""</f>
        <v/>
      </c>
      <c r="DR307" t="str">
        <f>""</f>
        <v/>
      </c>
      <c r="DS307" t="str">
        <f>""</f>
        <v/>
      </c>
      <c r="DT307" t="str">
        <f>""</f>
        <v/>
      </c>
      <c r="DU307" t="str">
        <f>""</f>
        <v/>
      </c>
      <c r="DV307" t="str">
        <f>""</f>
        <v/>
      </c>
      <c r="DW307" t="str">
        <f>""</f>
        <v/>
      </c>
      <c r="DX307" t="str">
        <f>""</f>
        <v/>
      </c>
      <c r="DY307" t="str">
        <f>""</f>
        <v/>
      </c>
      <c r="DZ307" t="str">
        <f>""</f>
        <v/>
      </c>
      <c r="EA307" t="str">
        <f>""</f>
        <v/>
      </c>
      <c r="EB307" t="str">
        <f>""</f>
        <v/>
      </c>
      <c r="EC307" t="str">
        <f>""</f>
        <v/>
      </c>
      <c r="ED307" t="str">
        <f>""</f>
        <v/>
      </c>
      <c r="EE307" t="str">
        <f>""</f>
        <v/>
      </c>
      <c r="EF307" t="str">
        <f>""</f>
        <v/>
      </c>
      <c r="EG307" t="str">
        <f>""</f>
        <v/>
      </c>
      <c r="EH307" t="str">
        <f>""</f>
        <v/>
      </c>
      <c r="EI307" t="str">
        <f>""</f>
        <v/>
      </c>
      <c r="EJ307" t="str">
        <f>""</f>
        <v/>
      </c>
      <c r="EK307" t="str">
        <f>""</f>
        <v/>
      </c>
      <c r="EL307" t="str">
        <f>""</f>
        <v/>
      </c>
      <c r="EM307" t="str">
        <f>""</f>
        <v/>
      </c>
      <c r="EN307" t="str">
        <f>""</f>
        <v/>
      </c>
      <c r="EO307" t="str">
        <f>""</f>
        <v/>
      </c>
      <c r="EP307" t="str">
        <f>""</f>
        <v/>
      </c>
      <c r="EQ307" t="str">
        <f>""</f>
        <v/>
      </c>
      <c r="ER307" t="str">
        <f>""</f>
        <v/>
      </c>
      <c r="ES307" t="str">
        <f>""</f>
        <v/>
      </c>
      <c r="ET307" t="str">
        <f>""</f>
        <v/>
      </c>
      <c r="EU307" t="str">
        <f>""</f>
        <v/>
      </c>
      <c r="EV307" t="str">
        <f>""</f>
        <v/>
      </c>
      <c r="EW307" t="str">
        <f>""</f>
        <v/>
      </c>
      <c r="EX307" t="str">
        <f>""</f>
        <v/>
      </c>
      <c r="EY307" t="str">
        <f>""</f>
        <v/>
      </c>
      <c r="EZ307" t="str">
        <f>""</f>
        <v/>
      </c>
      <c r="FA307" t="str">
        <f>""</f>
        <v/>
      </c>
      <c r="FB307" t="str">
        <f>""</f>
        <v/>
      </c>
      <c r="FC307" t="str">
        <f>""</f>
        <v/>
      </c>
      <c r="FD307" t="str">
        <f>""</f>
        <v/>
      </c>
      <c r="FE307" t="str">
        <f>""</f>
        <v/>
      </c>
      <c r="FF307" t="str">
        <f>""</f>
        <v/>
      </c>
      <c r="FG307" t="str">
        <f>""</f>
        <v/>
      </c>
      <c r="FH307" t="str">
        <f>""</f>
        <v/>
      </c>
      <c r="FI307" t="str">
        <f>""</f>
        <v/>
      </c>
      <c r="FJ307" t="str">
        <f>""</f>
        <v/>
      </c>
      <c r="FK307" t="str">
        <f>""</f>
        <v/>
      </c>
      <c r="FL307" t="str">
        <f>""</f>
        <v/>
      </c>
      <c r="FM307" t="str">
        <f>""</f>
        <v/>
      </c>
      <c r="FN307" t="str">
        <f>""</f>
        <v/>
      </c>
      <c r="FO307" t="str">
        <f>""</f>
        <v/>
      </c>
      <c r="FP307" t="str">
        <f>""</f>
        <v/>
      </c>
      <c r="FQ307" t="str">
        <f>""</f>
        <v/>
      </c>
    </row>
    <row r="308" spans="1:173">
      <c r="A308" t="str">
        <f>$A$65</f>
        <v xml:space="preserve">    Mid-America Apartment Communities股份有限公司</v>
      </c>
      <c r="B308" t="str">
        <f>$B$65</f>
        <v>MAA US Equity</v>
      </c>
      <c r="C308" t="str">
        <f>$C$65</f>
        <v>BE038</v>
      </c>
      <c r="D308" t="str">
        <f>$D$65</f>
        <v>BEST_FFOPS</v>
      </c>
      <c r="E308" t="str">
        <f>$E$65</f>
        <v>动态</v>
      </c>
      <c r="F308" t="str">
        <f ca="1">BDH($B$65,$C$65,$B$250,$B$251,CONCATENATE("Per=",$B$248),"Dts=H","Dir=H",CONCATENATE("Points=",$B$249),"Sort=R","Days=A","Fill=B","BE997=18Y",CONCATENATE("FX=", $B$247) )</f>
        <v>#N/A Authorization</v>
      </c>
      <c r="CL308" t="str">
        <f>""</f>
        <v/>
      </c>
      <c r="CM308" t="str">
        <f>""</f>
        <v/>
      </c>
      <c r="CN308" t="str">
        <f>""</f>
        <v/>
      </c>
      <c r="CO308" t="str">
        <f>""</f>
        <v/>
      </c>
      <c r="CP308" t="str">
        <f>""</f>
        <v/>
      </c>
      <c r="CQ308" t="str">
        <f>""</f>
        <v/>
      </c>
      <c r="CR308" t="str">
        <f>""</f>
        <v/>
      </c>
      <c r="CS308" t="str">
        <f>""</f>
        <v/>
      </c>
      <c r="CT308" t="str">
        <f>""</f>
        <v/>
      </c>
      <c r="CU308" t="str">
        <f>""</f>
        <v/>
      </c>
      <c r="CV308" t="str">
        <f>""</f>
        <v/>
      </c>
      <c r="CW308" t="str">
        <f>""</f>
        <v/>
      </c>
      <c r="CX308" t="str">
        <f>""</f>
        <v/>
      </c>
      <c r="CY308" t="str">
        <f>""</f>
        <v/>
      </c>
      <c r="CZ308" t="str">
        <f>""</f>
        <v/>
      </c>
      <c r="DA308" t="str">
        <f>""</f>
        <v/>
      </c>
      <c r="DB308" t="str">
        <f>""</f>
        <v/>
      </c>
      <c r="DC308" t="str">
        <f>""</f>
        <v/>
      </c>
      <c r="DD308" t="str">
        <f>""</f>
        <v/>
      </c>
      <c r="DE308" t="str">
        <f>""</f>
        <v/>
      </c>
      <c r="DF308" t="str">
        <f>""</f>
        <v/>
      </c>
      <c r="DG308" t="str">
        <f>""</f>
        <v/>
      </c>
      <c r="DH308" t="str">
        <f>""</f>
        <v/>
      </c>
      <c r="DI308" t="str">
        <f>""</f>
        <v/>
      </c>
      <c r="DJ308" t="str">
        <f>""</f>
        <v/>
      </c>
      <c r="DK308" t="str">
        <f>""</f>
        <v/>
      </c>
      <c r="DL308" t="str">
        <f>""</f>
        <v/>
      </c>
      <c r="DM308" t="str">
        <f>""</f>
        <v/>
      </c>
      <c r="DN308" t="str">
        <f>""</f>
        <v/>
      </c>
      <c r="DO308" t="str">
        <f>""</f>
        <v/>
      </c>
      <c r="DP308" t="str">
        <f>""</f>
        <v/>
      </c>
      <c r="DQ308" t="str">
        <f>""</f>
        <v/>
      </c>
      <c r="DR308" t="str">
        <f>""</f>
        <v/>
      </c>
      <c r="DS308" t="str">
        <f>""</f>
        <v/>
      </c>
      <c r="DT308" t="str">
        <f>""</f>
        <v/>
      </c>
      <c r="DU308" t="str">
        <f>""</f>
        <v/>
      </c>
      <c r="DV308" t="str">
        <f>""</f>
        <v/>
      </c>
      <c r="DW308" t="str">
        <f>""</f>
        <v/>
      </c>
      <c r="DX308" t="str">
        <f>""</f>
        <v/>
      </c>
      <c r="DY308" t="str">
        <f>""</f>
        <v/>
      </c>
      <c r="DZ308" t="str">
        <f>""</f>
        <v/>
      </c>
      <c r="EA308" t="str">
        <f>""</f>
        <v/>
      </c>
      <c r="EB308" t="str">
        <f>""</f>
        <v/>
      </c>
      <c r="EC308" t="str">
        <f>""</f>
        <v/>
      </c>
      <c r="ED308" t="str">
        <f>""</f>
        <v/>
      </c>
      <c r="EE308" t="str">
        <f>""</f>
        <v/>
      </c>
      <c r="EF308" t="str">
        <f>""</f>
        <v/>
      </c>
      <c r="EG308" t="str">
        <f>""</f>
        <v/>
      </c>
      <c r="EH308" t="str">
        <f>""</f>
        <v/>
      </c>
      <c r="EI308" t="str">
        <f>""</f>
        <v/>
      </c>
      <c r="EJ308" t="str">
        <f>""</f>
        <v/>
      </c>
      <c r="EK308" t="str">
        <f>""</f>
        <v/>
      </c>
      <c r="EL308" t="str">
        <f>""</f>
        <v/>
      </c>
      <c r="EM308" t="str">
        <f>""</f>
        <v/>
      </c>
      <c r="EN308" t="str">
        <f>""</f>
        <v/>
      </c>
      <c r="EO308" t="str">
        <f>""</f>
        <v/>
      </c>
      <c r="EP308" t="str">
        <f>""</f>
        <v/>
      </c>
      <c r="EQ308" t="str">
        <f>""</f>
        <v/>
      </c>
      <c r="ER308" t="str">
        <f>""</f>
        <v/>
      </c>
      <c r="ES308" t="str">
        <f>""</f>
        <v/>
      </c>
      <c r="ET308" t="str">
        <f>""</f>
        <v/>
      </c>
      <c r="EU308" t="str">
        <f>""</f>
        <v/>
      </c>
      <c r="EV308" t="str">
        <f>""</f>
        <v/>
      </c>
      <c r="EW308" t="str">
        <f>""</f>
        <v/>
      </c>
      <c r="EX308" t="str">
        <f>""</f>
        <v/>
      </c>
      <c r="EY308" t="str">
        <f>""</f>
        <v/>
      </c>
      <c r="EZ308" t="str">
        <f>""</f>
        <v/>
      </c>
      <c r="FA308" t="str">
        <f>""</f>
        <v/>
      </c>
      <c r="FB308" t="str">
        <f>""</f>
        <v/>
      </c>
      <c r="FC308" t="str">
        <f>""</f>
        <v/>
      </c>
      <c r="FD308" t="str">
        <f>""</f>
        <v/>
      </c>
      <c r="FE308" t="str">
        <f>""</f>
        <v/>
      </c>
      <c r="FF308" t="str">
        <f>""</f>
        <v/>
      </c>
      <c r="FG308" t="str">
        <f>""</f>
        <v/>
      </c>
      <c r="FH308" t="str">
        <f>""</f>
        <v/>
      </c>
      <c r="FI308" t="str">
        <f>""</f>
        <v/>
      </c>
      <c r="FJ308" t="str">
        <f>""</f>
        <v/>
      </c>
      <c r="FK308" t="str">
        <f>""</f>
        <v/>
      </c>
      <c r="FL308" t="str">
        <f>""</f>
        <v/>
      </c>
      <c r="FM308" t="str">
        <f>""</f>
        <v/>
      </c>
      <c r="FN308" t="str">
        <f>""</f>
        <v/>
      </c>
      <c r="FO308" t="str">
        <f>""</f>
        <v/>
      </c>
      <c r="FP308" t="str">
        <f>""</f>
        <v/>
      </c>
      <c r="FQ308" t="str">
        <f>""</f>
        <v/>
      </c>
    </row>
    <row r="309" spans="1:173">
      <c r="A309" t="str">
        <f>$A$66</f>
        <v xml:space="preserve">    UDR 公司</v>
      </c>
      <c r="B309" t="str">
        <f>$B$66</f>
        <v>UDR US Equity</v>
      </c>
      <c r="C309" t="str">
        <f>$C$66</f>
        <v>BE038</v>
      </c>
      <c r="D309" t="str">
        <f>$D$66</f>
        <v>BEST_FFOPS</v>
      </c>
      <c r="E309" t="str">
        <f>$E$66</f>
        <v>动态</v>
      </c>
      <c r="F309" t="str">
        <f ca="1">BDH($B$66,$C$66,$B$250,$B$251,CONCATENATE("Per=",$B$248),"Dts=H","Dir=H",CONCATENATE("Points=",$B$249),"Sort=R","Days=A","Fill=B","BE997=18Y",CONCATENATE("FX=", $B$247) )</f>
        <v>#N/A Authorization</v>
      </c>
      <c r="CL309" t="str">
        <f>""</f>
        <v/>
      </c>
      <c r="CM309" t="str">
        <f>""</f>
        <v/>
      </c>
      <c r="CN309" t="str">
        <f>""</f>
        <v/>
      </c>
      <c r="CO309" t="str">
        <f>""</f>
        <v/>
      </c>
      <c r="CP309" t="str">
        <f>""</f>
        <v/>
      </c>
      <c r="CQ309" t="str">
        <f>""</f>
        <v/>
      </c>
      <c r="CR309" t="str">
        <f>""</f>
        <v/>
      </c>
      <c r="CS309" t="str">
        <f>""</f>
        <v/>
      </c>
      <c r="CT309" t="str">
        <f>""</f>
        <v/>
      </c>
      <c r="CU309" t="str">
        <f>""</f>
        <v/>
      </c>
      <c r="CV309" t="str">
        <f>""</f>
        <v/>
      </c>
      <c r="CW309" t="str">
        <f>""</f>
        <v/>
      </c>
      <c r="CX309" t="str">
        <f>""</f>
        <v/>
      </c>
      <c r="CY309" t="str">
        <f>""</f>
        <v/>
      </c>
      <c r="CZ309" t="str">
        <f>""</f>
        <v/>
      </c>
      <c r="DA309" t="str">
        <f>""</f>
        <v/>
      </c>
      <c r="DB309" t="str">
        <f>""</f>
        <v/>
      </c>
      <c r="DC309" t="str">
        <f>""</f>
        <v/>
      </c>
      <c r="DD309" t="str">
        <f>""</f>
        <v/>
      </c>
      <c r="DE309" t="str">
        <f>""</f>
        <v/>
      </c>
      <c r="DF309" t="str">
        <f>""</f>
        <v/>
      </c>
      <c r="DG309" t="str">
        <f>""</f>
        <v/>
      </c>
      <c r="DH309" t="str">
        <f>""</f>
        <v/>
      </c>
      <c r="DI309" t="str">
        <f>""</f>
        <v/>
      </c>
      <c r="DJ309" t="str">
        <f>""</f>
        <v/>
      </c>
      <c r="DK309" t="str">
        <f>""</f>
        <v/>
      </c>
      <c r="DL309" t="str">
        <f>""</f>
        <v/>
      </c>
      <c r="DM309" t="str">
        <f>""</f>
        <v/>
      </c>
      <c r="DN309" t="str">
        <f>""</f>
        <v/>
      </c>
      <c r="DO309" t="str">
        <f>""</f>
        <v/>
      </c>
      <c r="DP309" t="str">
        <f>""</f>
        <v/>
      </c>
      <c r="DQ309" t="str">
        <f>""</f>
        <v/>
      </c>
      <c r="DR309" t="str">
        <f>""</f>
        <v/>
      </c>
      <c r="DS309" t="str">
        <f>""</f>
        <v/>
      </c>
      <c r="DT309" t="str">
        <f>""</f>
        <v/>
      </c>
      <c r="DU309" t="str">
        <f>""</f>
        <v/>
      </c>
      <c r="DV309" t="str">
        <f>""</f>
        <v/>
      </c>
      <c r="DW309" t="str">
        <f>""</f>
        <v/>
      </c>
      <c r="DX309" t="str">
        <f>""</f>
        <v/>
      </c>
      <c r="DY309" t="str">
        <f>""</f>
        <v/>
      </c>
      <c r="DZ309" t="str">
        <f>""</f>
        <v/>
      </c>
      <c r="EA309" t="str">
        <f>""</f>
        <v/>
      </c>
      <c r="EB309" t="str">
        <f>""</f>
        <v/>
      </c>
      <c r="EC309" t="str">
        <f>""</f>
        <v/>
      </c>
      <c r="ED309" t="str">
        <f>""</f>
        <v/>
      </c>
      <c r="EE309" t="str">
        <f>""</f>
        <v/>
      </c>
      <c r="EF309" t="str">
        <f>""</f>
        <v/>
      </c>
      <c r="EG309" t="str">
        <f>""</f>
        <v/>
      </c>
      <c r="EH309" t="str">
        <f>""</f>
        <v/>
      </c>
      <c r="EI309" t="str">
        <f>""</f>
        <v/>
      </c>
      <c r="EJ309" t="str">
        <f>""</f>
        <v/>
      </c>
      <c r="EK309" t="str">
        <f>""</f>
        <v/>
      </c>
      <c r="EL309" t="str">
        <f>""</f>
        <v/>
      </c>
      <c r="EM309" t="str">
        <f>""</f>
        <v/>
      </c>
      <c r="EN309" t="str">
        <f>""</f>
        <v/>
      </c>
      <c r="EO309" t="str">
        <f>""</f>
        <v/>
      </c>
      <c r="EP309" t="str">
        <f>""</f>
        <v/>
      </c>
      <c r="EQ309" t="str">
        <f>""</f>
        <v/>
      </c>
      <c r="ER309" t="str">
        <f>""</f>
        <v/>
      </c>
      <c r="ES309" t="str">
        <f>""</f>
        <v/>
      </c>
      <c r="ET309" t="str">
        <f>""</f>
        <v/>
      </c>
      <c r="EU309" t="str">
        <f>""</f>
        <v/>
      </c>
      <c r="EV309" t="str">
        <f>""</f>
        <v/>
      </c>
      <c r="EW309" t="str">
        <f>""</f>
        <v/>
      </c>
      <c r="EX309" t="str">
        <f>""</f>
        <v/>
      </c>
      <c r="EY309" t="str">
        <f>""</f>
        <v/>
      </c>
      <c r="EZ309" t="str">
        <f>""</f>
        <v/>
      </c>
      <c r="FA309" t="str">
        <f>""</f>
        <v/>
      </c>
      <c r="FB309" t="str">
        <f>""</f>
        <v/>
      </c>
      <c r="FC309" t="str">
        <f>""</f>
        <v/>
      </c>
      <c r="FD309" t="str">
        <f>""</f>
        <v/>
      </c>
      <c r="FE309" t="str">
        <f>""</f>
        <v/>
      </c>
      <c r="FF309" t="str">
        <f>""</f>
        <v/>
      </c>
      <c r="FG309" t="str">
        <f>""</f>
        <v/>
      </c>
      <c r="FH309" t="str">
        <f>""</f>
        <v/>
      </c>
      <c r="FI309" t="str">
        <f>""</f>
        <v/>
      </c>
      <c r="FJ309" t="str">
        <f>""</f>
        <v/>
      </c>
      <c r="FK309" t="str">
        <f>""</f>
        <v/>
      </c>
      <c r="FL309" t="str">
        <f>""</f>
        <v/>
      </c>
      <c r="FM309" t="str">
        <f>""</f>
        <v/>
      </c>
      <c r="FN309" t="str">
        <f>""</f>
        <v/>
      </c>
      <c r="FO309" t="str">
        <f>""</f>
        <v/>
      </c>
      <c r="FP309" t="str">
        <f>""</f>
        <v/>
      </c>
      <c r="FQ309" t="str">
        <f>""</f>
        <v/>
      </c>
    </row>
    <row r="310" spans="1:173">
      <c r="A310" t="str">
        <f>$A$68</f>
        <v xml:space="preserve">    公寓投资与管理</v>
      </c>
      <c r="B310" t="str">
        <f>$B$68</f>
        <v>AIV US Equity</v>
      </c>
      <c r="C310" t="str">
        <f>$C$68</f>
        <v>F0893</v>
      </c>
      <c r="D310" t="str">
        <f>$D$68</f>
        <v>PRICE_TO_AFFOPS</v>
      </c>
      <c r="E310" t="str">
        <f>$E$68</f>
        <v>动态</v>
      </c>
      <c r="F310" t="str">
        <f ca="1">BDH($B$68,$C$68,$B$250,$B$251,CONCATENATE("Per=",$B$248),"Dts=H","Dir=H",CONCATENATE("Points=",$B$249),"Sort=R","Days=A","Fill=B",CONCATENATE("FX=", $B$247) )</f>
        <v>#N/A Authorization</v>
      </c>
      <c r="CL310" t="str">
        <f>""</f>
        <v/>
      </c>
      <c r="CM310" t="str">
        <f>""</f>
        <v/>
      </c>
      <c r="CN310" t="str">
        <f>""</f>
        <v/>
      </c>
      <c r="CO310" t="str">
        <f>""</f>
        <v/>
      </c>
      <c r="CP310" t="str">
        <f>""</f>
        <v/>
      </c>
      <c r="CQ310" t="str">
        <f>""</f>
        <v/>
      </c>
      <c r="CR310" t="str">
        <f>""</f>
        <v/>
      </c>
      <c r="CS310" t="str">
        <f>""</f>
        <v/>
      </c>
      <c r="CT310" t="str">
        <f>""</f>
        <v/>
      </c>
      <c r="CU310" t="str">
        <f>""</f>
        <v/>
      </c>
      <c r="CV310" t="str">
        <f>""</f>
        <v/>
      </c>
      <c r="CW310" t="str">
        <f>""</f>
        <v/>
      </c>
      <c r="CX310" t="str">
        <f>""</f>
        <v/>
      </c>
      <c r="CY310" t="str">
        <f>""</f>
        <v/>
      </c>
      <c r="CZ310" t="str">
        <f>""</f>
        <v/>
      </c>
      <c r="DA310" t="str">
        <f>""</f>
        <v/>
      </c>
      <c r="DB310" t="str">
        <f>""</f>
        <v/>
      </c>
      <c r="DC310" t="str">
        <f>""</f>
        <v/>
      </c>
      <c r="DD310" t="str">
        <f>""</f>
        <v/>
      </c>
      <c r="DE310" t="str">
        <f>""</f>
        <v/>
      </c>
      <c r="DF310" t="str">
        <f>""</f>
        <v/>
      </c>
      <c r="DG310" t="str">
        <f>""</f>
        <v/>
      </c>
      <c r="DH310" t="str">
        <f>""</f>
        <v/>
      </c>
      <c r="DI310" t="str">
        <f>""</f>
        <v/>
      </c>
      <c r="DJ310" t="str">
        <f>""</f>
        <v/>
      </c>
      <c r="DK310" t="str">
        <f>""</f>
        <v/>
      </c>
      <c r="DL310" t="str">
        <f>""</f>
        <v/>
      </c>
      <c r="DM310" t="str">
        <f>""</f>
        <v/>
      </c>
      <c r="DN310" t="str">
        <f>""</f>
        <v/>
      </c>
      <c r="DO310" t="str">
        <f>""</f>
        <v/>
      </c>
      <c r="DP310" t="str">
        <f>""</f>
        <v/>
      </c>
      <c r="DQ310" t="str">
        <f>""</f>
        <v/>
      </c>
      <c r="DR310" t="str">
        <f>""</f>
        <v/>
      </c>
      <c r="DS310" t="str">
        <f>""</f>
        <v/>
      </c>
      <c r="DT310" t="str">
        <f>""</f>
        <v/>
      </c>
      <c r="DU310" t="str">
        <f>""</f>
        <v/>
      </c>
      <c r="DV310" t="str">
        <f>""</f>
        <v/>
      </c>
      <c r="DW310" t="str">
        <f>""</f>
        <v/>
      </c>
      <c r="DX310" t="str">
        <f>""</f>
        <v/>
      </c>
      <c r="DY310" t="str">
        <f>""</f>
        <v/>
      </c>
      <c r="DZ310" t="str">
        <f>""</f>
        <v/>
      </c>
      <c r="EA310" t="str">
        <f>""</f>
        <v/>
      </c>
      <c r="EB310" t="str">
        <f>""</f>
        <v/>
      </c>
      <c r="EC310" t="str">
        <f>""</f>
        <v/>
      </c>
      <c r="ED310" t="str">
        <f>""</f>
        <v/>
      </c>
      <c r="EE310" t="str">
        <f>""</f>
        <v/>
      </c>
      <c r="EF310" t="str">
        <f>""</f>
        <v/>
      </c>
      <c r="EG310" t="str">
        <f>""</f>
        <v/>
      </c>
      <c r="EH310" t="str">
        <f>""</f>
        <v/>
      </c>
      <c r="EI310" t="str">
        <f>""</f>
        <v/>
      </c>
      <c r="EJ310" t="str">
        <f>""</f>
        <v/>
      </c>
      <c r="EK310" t="str">
        <f>""</f>
        <v/>
      </c>
      <c r="EL310" t="str">
        <f>""</f>
        <v/>
      </c>
      <c r="EM310" t="str">
        <f>""</f>
        <v/>
      </c>
      <c r="EN310" t="str">
        <f>""</f>
        <v/>
      </c>
      <c r="EO310" t="str">
        <f>""</f>
        <v/>
      </c>
      <c r="EP310" t="str">
        <f>""</f>
        <v/>
      </c>
      <c r="EQ310" t="str">
        <f>""</f>
        <v/>
      </c>
      <c r="ER310" t="str">
        <f>""</f>
        <v/>
      </c>
      <c r="ES310" t="str">
        <f>""</f>
        <v/>
      </c>
      <c r="ET310" t="str">
        <f>""</f>
        <v/>
      </c>
      <c r="EU310" t="str">
        <f>""</f>
        <v/>
      </c>
      <c r="EV310" t="str">
        <f>""</f>
        <v/>
      </c>
      <c r="EW310" t="str">
        <f>""</f>
        <v/>
      </c>
      <c r="EX310" t="str">
        <f>""</f>
        <v/>
      </c>
      <c r="EY310" t="str">
        <f>""</f>
        <v/>
      </c>
      <c r="EZ310" t="str">
        <f>""</f>
        <v/>
      </c>
      <c r="FA310" t="str">
        <f>""</f>
        <v/>
      </c>
      <c r="FB310" t="str">
        <f>""</f>
        <v/>
      </c>
      <c r="FC310" t="str">
        <f>""</f>
        <v/>
      </c>
      <c r="FD310" t="str">
        <f>""</f>
        <v/>
      </c>
      <c r="FE310" t="str">
        <f>""</f>
        <v/>
      </c>
      <c r="FF310" t="str">
        <f>""</f>
        <v/>
      </c>
      <c r="FG310" t="str">
        <f>""</f>
        <v/>
      </c>
      <c r="FH310" t="str">
        <f>""</f>
        <v/>
      </c>
      <c r="FI310" t="str">
        <f>""</f>
        <v/>
      </c>
      <c r="FJ310" t="str">
        <f>""</f>
        <v/>
      </c>
      <c r="FK310" t="str">
        <f>""</f>
        <v/>
      </c>
      <c r="FL310" t="str">
        <f>""</f>
        <v/>
      </c>
      <c r="FM310" t="str">
        <f>""</f>
        <v/>
      </c>
      <c r="FN310" t="str">
        <f>""</f>
        <v/>
      </c>
      <c r="FO310" t="str">
        <f>""</f>
        <v/>
      </c>
      <c r="FP310" t="str">
        <f>""</f>
        <v/>
      </c>
      <c r="FQ310" t="str">
        <f>""</f>
        <v/>
      </c>
    </row>
    <row r="311" spans="1:173">
      <c r="A311" t="str">
        <f>$A$69</f>
        <v xml:space="preserve">    AvalonBay社区股份有限公司</v>
      </c>
      <c r="B311" t="str">
        <f>$B$69</f>
        <v>AVB US Equity</v>
      </c>
      <c r="C311" t="str">
        <f>$C$69</f>
        <v>F0893</v>
      </c>
      <c r="D311" t="str">
        <f>$D$69</f>
        <v>PRICE_TO_AFFOPS</v>
      </c>
      <c r="E311" t="str">
        <f>$E$69</f>
        <v>动态</v>
      </c>
      <c r="F311" t="str">
        <f ca="1">BDH($B$69,$C$69,$B$250,$B$251,CONCATENATE("Per=",$B$248),"Dts=H","Dir=H",CONCATENATE("Points=",$B$249),"Sort=R","Days=A","Fill=B",CONCATENATE("FX=", $B$247) )</f>
        <v>#N/A Authorization</v>
      </c>
      <c r="CL311" t="str">
        <f>""</f>
        <v/>
      </c>
      <c r="CM311" t="str">
        <f>""</f>
        <v/>
      </c>
      <c r="CN311" t="str">
        <f>""</f>
        <v/>
      </c>
      <c r="CO311" t="str">
        <f>""</f>
        <v/>
      </c>
      <c r="CP311" t="str">
        <f>""</f>
        <v/>
      </c>
      <c r="CQ311" t="str">
        <f>""</f>
        <v/>
      </c>
      <c r="CR311" t="str">
        <f>""</f>
        <v/>
      </c>
      <c r="CS311" t="str">
        <f>""</f>
        <v/>
      </c>
      <c r="CT311" t="str">
        <f>""</f>
        <v/>
      </c>
      <c r="CU311" t="str">
        <f>""</f>
        <v/>
      </c>
      <c r="CV311" t="str">
        <f>""</f>
        <v/>
      </c>
      <c r="CW311" t="str">
        <f>""</f>
        <v/>
      </c>
      <c r="CX311" t="str">
        <f>""</f>
        <v/>
      </c>
      <c r="CY311" t="str">
        <f>""</f>
        <v/>
      </c>
      <c r="CZ311" t="str">
        <f>""</f>
        <v/>
      </c>
      <c r="DA311" t="str">
        <f>""</f>
        <v/>
      </c>
      <c r="DB311" t="str">
        <f>""</f>
        <v/>
      </c>
      <c r="DC311" t="str">
        <f>""</f>
        <v/>
      </c>
      <c r="DD311" t="str">
        <f>""</f>
        <v/>
      </c>
      <c r="DE311" t="str">
        <f>""</f>
        <v/>
      </c>
      <c r="DF311" t="str">
        <f>""</f>
        <v/>
      </c>
      <c r="DG311" t="str">
        <f>""</f>
        <v/>
      </c>
      <c r="DH311" t="str">
        <f>""</f>
        <v/>
      </c>
      <c r="DI311" t="str">
        <f>""</f>
        <v/>
      </c>
      <c r="DJ311" t="str">
        <f>""</f>
        <v/>
      </c>
      <c r="DK311" t="str">
        <f>""</f>
        <v/>
      </c>
      <c r="DL311" t="str">
        <f>""</f>
        <v/>
      </c>
      <c r="DM311" t="str">
        <f>""</f>
        <v/>
      </c>
      <c r="DN311" t="str">
        <f>""</f>
        <v/>
      </c>
      <c r="DO311" t="str">
        <f>""</f>
        <v/>
      </c>
      <c r="DP311" t="str">
        <f>""</f>
        <v/>
      </c>
      <c r="DQ311" t="str">
        <f>""</f>
        <v/>
      </c>
      <c r="DR311" t="str">
        <f>""</f>
        <v/>
      </c>
      <c r="DS311" t="str">
        <f>""</f>
        <v/>
      </c>
      <c r="DT311" t="str">
        <f>""</f>
        <v/>
      </c>
      <c r="DU311" t="str">
        <f>""</f>
        <v/>
      </c>
      <c r="DV311" t="str">
        <f>""</f>
        <v/>
      </c>
      <c r="DW311" t="str">
        <f>""</f>
        <v/>
      </c>
      <c r="DX311" t="str">
        <f>""</f>
        <v/>
      </c>
      <c r="DY311" t="str">
        <f>""</f>
        <v/>
      </c>
      <c r="DZ311" t="str">
        <f>""</f>
        <v/>
      </c>
      <c r="EA311" t="str">
        <f>""</f>
        <v/>
      </c>
      <c r="EB311" t="str">
        <f>""</f>
        <v/>
      </c>
      <c r="EC311" t="str">
        <f>""</f>
        <v/>
      </c>
      <c r="ED311" t="str">
        <f>""</f>
        <v/>
      </c>
      <c r="EE311" t="str">
        <f>""</f>
        <v/>
      </c>
      <c r="EF311" t="str">
        <f>""</f>
        <v/>
      </c>
      <c r="EG311" t="str">
        <f>""</f>
        <v/>
      </c>
      <c r="EH311" t="str">
        <f>""</f>
        <v/>
      </c>
      <c r="EI311" t="str">
        <f>""</f>
        <v/>
      </c>
      <c r="EJ311" t="str">
        <f>""</f>
        <v/>
      </c>
      <c r="EK311" t="str">
        <f>""</f>
        <v/>
      </c>
      <c r="EL311" t="str">
        <f>""</f>
        <v/>
      </c>
      <c r="EM311" t="str">
        <f>""</f>
        <v/>
      </c>
      <c r="EN311" t="str">
        <f>""</f>
        <v/>
      </c>
      <c r="EO311" t="str">
        <f>""</f>
        <v/>
      </c>
      <c r="EP311" t="str">
        <f>""</f>
        <v/>
      </c>
      <c r="EQ311" t="str">
        <f>""</f>
        <v/>
      </c>
      <c r="ER311" t="str">
        <f>""</f>
        <v/>
      </c>
      <c r="ES311" t="str">
        <f>""</f>
        <v/>
      </c>
      <c r="ET311" t="str">
        <f>""</f>
        <v/>
      </c>
      <c r="EU311" t="str">
        <f>""</f>
        <v/>
      </c>
      <c r="EV311" t="str">
        <f>""</f>
        <v/>
      </c>
      <c r="EW311" t="str">
        <f>""</f>
        <v/>
      </c>
      <c r="EX311" t="str">
        <f>""</f>
        <v/>
      </c>
      <c r="EY311" t="str">
        <f>""</f>
        <v/>
      </c>
      <c r="EZ311" t="str">
        <f>""</f>
        <v/>
      </c>
      <c r="FA311" t="str">
        <f>""</f>
        <v/>
      </c>
      <c r="FB311" t="str">
        <f>""</f>
        <v/>
      </c>
      <c r="FC311" t="str">
        <f>""</f>
        <v/>
      </c>
      <c r="FD311" t="str">
        <f>""</f>
        <v/>
      </c>
      <c r="FE311" t="str">
        <f>""</f>
        <v/>
      </c>
      <c r="FF311" t="str">
        <f>""</f>
        <v/>
      </c>
      <c r="FG311" t="str">
        <f>""</f>
        <v/>
      </c>
      <c r="FH311" t="str">
        <f>""</f>
        <v/>
      </c>
      <c r="FI311" t="str">
        <f>""</f>
        <v/>
      </c>
      <c r="FJ311" t="str">
        <f>""</f>
        <v/>
      </c>
      <c r="FK311" t="str">
        <f>""</f>
        <v/>
      </c>
      <c r="FL311" t="str">
        <f>""</f>
        <v/>
      </c>
      <c r="FM311" t="str">
        <f>""</f>
        <v/>
      </c>
      <c r="FN311" t="str">
        <f>""</f>
        <v/>
      </c>
      <c r="FO311" t="str">
        <f>""</f>
        <v/>
      </c>
      <c r="FP311" t="str">
        <f>""</f>
        <v/>
      </c>
      <c r="FQ311" t="str">
        <f>""</f>
        <v/>
      </c>
    </row>
    <row r="312" spans="1:173">
      <c r="A312" t="str">
        <f>$A$70</f>
        <v xml:space="preserve">    Camden 房地产信托公司</v>
      </c>
      <c r="B312" t="str">
        <f>$B$70</f>
        <v>CPT US Equity</v>
      </c>
      <c r="C312" t="str">
        <f>$C$70</f>
        <v>F0893</v>
      </c>
      <c r="D312" t="str">
        <f>$D$70</f>
        <v>PRICE_TO_AFFOPS</v>
      </c>
      <c r="E312" t="str">
        <f>$E$70</f>
        <v>动态</v>
      </c>
      <c r="F312" t="str">
        <f ca="1">BDH($B$70,$C$70,$B$250,$B$251,CONCATENATE("Per=",$B$248),"Dts=H","Dir=H",CONCATENATE("Points=",$B$249),"Sort=R","Days=A","Fill=B",CONCATENATE("FX=", $B$247) )</f>
        <v>#N/A Authorization</v>
      </c>
      <c r="CL312" t="str">
        <f>""</f>
        <v/>
      </c>
      <c r="CM312" t="str">
        <f>""</f>
        <v/>
      </c>
      <c r="CN312" t="str">
        <f>""</f>
        <v/>
      </c>
      <c r="CO312" t="str">
        <f>""</f>
        <v/>
      </c>
      <c r="CP312" t="str">
        <f>""</f>
        <v/>
      </c>
      <c r="CQ312" t="str">
        <f>""</f>
        <v/>
      </c>
      <c r="CR312" t="str">
        <f>""</f>
        <v/>
      </c>
      <c r="CS312" t="str">
        <f>""</f>
        <v/>
      </c>
      <c r="CT312" t="str">
        <f>""</f>
        <v/>
      </c>
      <c r="CU312" t="str">
        <f>""</f>
        <v/>
      </c>
      <c r="CV312" t="str">
        <f>""</f>
        <v/>
      </c>
      <c r="CW312" t="str">
        <f>""</f>
        <v/>
      </c>
      <c r="CX312" t="str">
        <f>""</f>
        <v/>
      </c>
      <c r="CY312" t="str">
        <f>""</f>
        <v/>
      </c>
      <c r="CZ312" t="str">
        <f>""</f>
        <v/>
      </c>
      <c r="DA312" t="str">
        <f>""</f>
        <v/>
      </c>
      <c r="DB312" t="str">
        <f>""</f>
        <v/>
      </c>
      <c r="DC312" t="str">
        <f>""</f>
        <v/>
      </c>
      <c r="DD312" t="str">
        <f>""</f>
        <v/>
      </c>
      <c r="DE312" t="str">
        <f>""</f>
        <v/>
      </c>
      <c r="DF312" t="str">
        <f>""</f>
        <v/>
      </c>
      <c r="DG312" t="str">
        <f>""</f>
        <v/>
      </c>
      <c r="DH312" t="str">
        <f>""</f>
        <v/>
      </c>
      <c r="DI312" t="str">
        <f>""</f>
        <v/>
      </c>
      <c r="DJ312" t="str">
        <f>""</f>
        <v/>
      </c>
      <c r="DK312" t="str">
        <f>""</f>
        <v/>
      </c>
      <c r="DL312" t="str">
        <f>""</f>
        <v/>
      </c>
      <c r="DM312" t="str">
        <f>""</f>
        <v/>
      </c>
      <c r="DN312" t="str">
        <f>""</f>
        <v/>
      </c>
      <c r="DO312" t="str">
        <f>""</f>
        <v/>
      </c>
      <c r="DP312" t="str">
        <f>""</f>
        <v/>
      </c>
      <c r="DQ312" t="str">
        <f>""</f>
        <v/>
      </c>
      <c r="DR312" t="str">
        <f>""</f>
        <v/>
      </c>
      <c r="DS312" t="str">
        <f>""</f>
        <v/>
      </c>
      <c r="DT312" t="str">
        <f>""</f>
        <v/>
      </c>
      <c r="DU312" t="str">
        <f>""</f>
        <v/>
      </c>
      <c r="DV312" t="str">
        <f>""</f>
        <v/>
      </c>
      <c r="DW312" t="str">
        <f>""</f>
        <v/>
      </c>
      <c r="DX312" t="str">
        <f>""</f>
        <v/>
      </c>
      <c r="DY312" t="str">
        <f>""</f>
        <v/>
      </c>
      <c r="DZ312" t="str">
        <f>""</f>
        <v/>
      </c>
      <c r="EA312" t="str">
        <f>""</f>
        <v/>
      </c>
      <c r="EB312" t="str">
        <f>""</f>
        <v/>
      </c>
      <c r="EC312" t="str">
        <f>""</f>
        <v/>
      </c>
      <c r="ED312" t="str">
        <f>""</f>
        <v/>
      </c>
      <c r="EE312" t="str">
        <f>""</f>
        <v/>
      </c>
      <c r="EF312" t="str">
        <f>""</f>
        <v/>
      </c>
      <c r="EG312" t="str">
        <f>""</f>
        <v/>
      </c>
      <c r="EH312" t="str">
        <f>""</f>
        <v/>
      </c>
      <c r="EI312" t="str">
        <f>""</f>
        <v/>
      </c>
      <c r="EJ312" t="str">
        <f>""</f>
        <v/>
      </c>
      <c r="EK312" t="str">
        <f>""</f>
        <v/>
      </c>
      <c r="EL312" t="str">
        <f>""</f>
        <v/>
      </c>
      <c r="EM312" t="str">
        <f>""</f>
        <v/>
      </c>
      <c r="EN312" t="str">
        <f>""</f>
        <v/>
      </c>
      <c r="EO312" t="str">
        <f>""</f>
        <v/>
      </c>
      <c r="EP312" t="str">
        <f>""</f>
        <v/>
      </c>
      <c r="EQ312" t="str">
        <f>""</f>
        <v/>
      </c>
      <c r="ER312" t="str">
        <f>""</f>
        <v/>
      </c>
      <c r="ES312" t="str">
        <f>""</f>
        <v/>
      </c>
      <c r="ET312" t="str">
        <f>""</f>
        <v/>
      </c>
      <c r="EU312" t="str">
        <f>""</f>
        <v/>
      </c>
      <c r="EV312" t="str">
        <f>""</f>
        <v/>
      </c>
      <c r="EW312" t="str">
        <f>""</f>
        <v/>
      </c>
      <c r="EX312" t="str">
        <f>""</f>
        <v/>
      </c>
      <c r="EY312" t="str">
        <f>""</f>
        <v/>
      </c>
      <c r="EZ312" t="str">
        <f>""</f>
        <v/>
      </c>
      <c r="FA312" t="str">
        <f>""</f>
        <v/>
      </c>
      <c r="FB312" t="str">
        <f>""</f>
        <v/>
      </c>
      <c r="FC312" t="str">
        <f>""</f>
        <v/>
      </c>
      <c r="FD312" t="str">
        <f>""</f>
        <v/>
      </c>
      <c r="FE312" t="str">
        <f>""</f>
        <v/>
      </c>
      <c r="FF312" t="str">
        <f>""</f>
        <v/>
      </c>
      <c r="FG312" t="str">
        <f>""</f>
        <v/>
      </c>
      <c r="FH312" t="str">
        <f>""</f>
        <v/>
      </c>
      <c r="FI312" t="str">
        <f>""</f>
        <v/>
      </c>
      <c r="FJ312" t="str">
        <f>""</f>
        <v/>
      </c>
      <c r="FK312" t="str">
        <f>""</f>
        <v/>
      </c>
      <c r="FL312" t="str">
        <f>""</f>
        <v/>
      </c>
      <c r="FM312" t="str">
        <f>""</f>
        <v/>
      </c>
      <c r="FN312" t="str">
        <f>""</f>
        <v/>
      </c>
      <c r="FO312" t="str">
        <f>""</f>
        <v/>
      </c>
      <c r="FP312" t="str">
        <f>""</f>
        <v/>
      </c>
      <c r="FQ312" t="str">
        <f>""</f>
        <v/>
      </c>
    </row>
    <row r="313" spans="1:173">
      <c r="A313" t="str">
        <f>$A$71</f>
        <v xml:space="preserve">    公寓物业权益信托</v>
      </c>
      <c r="B313" t="str">
        <f>$B$71</f>
        <v>EQR US Equity</v>
      </c>
      <c r="C313" t="str">
        <f>$C$71</f>
        <v>F0893</v>
      </c>
      <c r="D313" t="str">
        <f>$D$71</f>
        <v>PRICE_TO_AFFOPS</v>
      </c>
      <c r="E313" t="str">
        <f>$E$71</f>
        <v>动态</v>
      </c>
      <c r="F313" t="str">
        <f ca="1">BDH($B$71,$C$71,$B$250,$B$251,CONCATENATE("Per=",$B$248),"Dts=H","Dir=H",CONCATENATE("Points=",$B$249),"Sort=R","Days=A","Fill=B",CONCATENATE("FX=", $B$247) )</f>
        <v>#N/A Authorization</v>
      </c>
      <c r="CL313" t="str">
        <f>""</f>
        <v/>
      </c>
      <c r="CM313" t="str">
        <f>""</f>
        <v/>
      </c>
      <c r="CN313" t="str">
        <f>""</f>
        <v/>
      </c>
      <c r="CO313" t="str">
        <f>""</f>
        <v/>
      </c>
      <c r="CP313" t="str">
        <f>""</f>
        <v/>
      </c>
      <c r="CQ313" t="str">
        <f>""</f>
        <v/>
      </c>
      <c r="CR313" t="str">
        <f>""</f>
        <v/>
      </c>
      <c r="CS313" t="str">
        <f>""</f>
        <v/>
      </c>
      <c r="CT313" t="str">
        <f>""</f>
        <v/>
      </c>
      <c r="CU313" t="str">
        <f>""</f>
        <v/>
      </c>
      <c r="CV313" t="str">
        <f>""</f>
        <v/>
      </c>
      <c r="CW313" t="str">
        <f>""</f>
        <v/>
      </c>
      <c r="CX313" t="str">
        <f>""</f>
        <v/>
      </c>
      <c r="CY313" t="str">
        <f>""</f>
        <v/>
      </c>
      <c r="CZ313" t="str">
        <f>""</f>
        <v/>
      </c>
      <c r="DA313" t="str">
        <f>""</f>
        <v/>
      </c>
      <c r="DB313" t="str">
        <f>""</f>
        <v/>
      </c>
      <c r="DC313" t="str">
        <f>""</f>
        <v/>
      </c>
      <c r="DD313" t="str">
        <f>""</f>
        <v/>
      </c>
      <c r="DE313" t="str">
        <f>""</f>
        <v/>
      </c>
      <c r="DF313" t="str">
        <f>""</f>
        <v/>
      </c>
      <c r="DG313" t="str">
        <f>""</f>
        <v/>
      </c>
      <c r="DH313" t="str">
        <f>""</f>
        <v/>
      </c>
      <c r="DI313" t="str">
        <f>""</f>
        <v/>
      </c>
      <c r="DJ313" t="str">
        <f>""</f>
        <v/>
      </c>
      <c r="DK313" t="str">
        <f>""</f>
        <v/>
      </c>
      <c r="DL313" t="str">
        <f>""</f>
        <v/>
      </c>
      <c r="DM313" t="str">
        <f>""</f>
        <v/>
      </c>
      <c r="DN313" t="str">
        <f>""</f>
        <v/>
      </c>
      <c r="DO313" t="str">
        <f>""</f>
        <v/>
      </c>
      <c r="DP313" t="str">
        <f>""</f>
        <v/>
      </c>
      <c r="DQ313" t="str">
        <f>""</f>
        <v/>
      </c>
      <c r="DR313" t="str">
        <f>""</f>
        <v/>
      </c>
      <c r="DS313" t="str">
        <f>""</f>
        <v/>
      </c>
      <c r="DT313" t="str">
        <f>""</f>
        <v/>
      </c>
      <c r="DU313" t="str">
        <f>""</f>
        <v/>
      </c>
      <c r="DV313" t="str">
        <f>""</f>
        <v/>
      </c>
      <c r="DW313" t="str">
        <f>""</f>
        <v/>
      </c>
      <c r="DX313" t="str">
        <f>""</f>
        <v/>
      </c>
      <c r="DY313" t="str">
        <f>""</f>
        <v/>
      </c>
      <c r="DZ313" t="str">
        <f>""</f>
        <v/>
      </c>
      <c r="EA313" t="str">
        <f>""</f>
        <v/>
      </c>
      <c r="EB313" t="str">
        <f>""</f>
        <v/>
      </c>
      <c r="EC313" t="str">
        <f>""</f>
        <v/>
      </c>
      <c r="ED313" t="str">
        <f>""</f>
        <v/>
      </c>
      <c r="EE313" t="str">
        <f>""</f>
        <v/>
      </c>
      <c r="EF313" t="str">
        <f>""</f>
        <v/>
      </c>
      <c r="EG313" t="str">
        <f>""</f>
        <v/>
      </c>
      <c r="EH313" t="str">
        <f>""</f>
        <v/>
      </c>
      <c r="EI313" t="str">
        <f>""</f>
        <v/>
      </c>
      <c r="EJ313" t="str">
        <f>""</f>
        <v/>
      </c>
      <c r="EK313" t="str">
        <f>""</f>
        <v/>
      </c>
      <c r="EL313" t="str">
        <f>""</f>
        <v/>
      </c>
      <c r="EM313" t="str">
        <f>""</f>
        <v/>
      </c>
      <c r="EN313" t="str">
        <f>""</f>
        <v/>
      </c>
      <c r="EO313" t="str">
        <f>""</f>
        <v/>
      </c>
      <c r="EP313" t="str">
        <f>""</f>
        <v/>
      </c>
      <c r="EQ313" t="str">
        <f>""</f>
        <v/>
      </c>
      <c r="ER313" t="str">
        <f>""</f>
        <v/>
      </c>
      <c r="ES313" t="str">
        <f>""</f>
        <v/>
      </c>
      <c r="ET313" t="str">
        <f>""</f>
        <v/>
      </c>
      <c r="EU313" t="str">
        <f>""</f>
        <v/>
      </c>
      <c r="EV313" t="str">
        <f>""</f>
        <v/>
      </c>
      <c r="EW313" t="str">
        <f>""</f>
        <v/>
      </c>
      <c r="EX313" t="str">
        <f>""</f>
        <v/>
      </c>
      <c r="EY313" t="str">
        <f>""</f>
        <v/>
      </c>
      <c r="EZ313" t="str">
        <f>""</f>
        <v/>
      </c>
      <c r="FA313" t="str">
        <f>""</f>
        <v/>
      </c>
      <c r="FB313" t="str">
        <f>""</f>
        <v/>
      </c>
      <c r="FC313" t="str">
        <f>""</f>
        <v/>
      </c>
      <c r="FD313" t="str">
        <f>""</f>
        <v/>
      </c>
      <c r="FE313" t="str">
        <f>""</f>
        <v/>
      </c>
      <c r="FF313" t="str">
        <f>""</f>
        <v/>
      </c>
      <c r="FG313" t="str">
        <f>""</f>
        <v/>
      </c>
      <c r="FH313" t="str">
        <f>""</f>
        <v/>
      </c>
      <c r="FI313" t="str">
        <f>""</f>
        <v/>
      </c>
      <c r="FJ313" t="str">
        <f>""</f>
        <v/>
      </c>
      <c r="FK313" t="str">
        <f>""</f>
        <v/>
      </c>
      <c r="FL313" t="str">
        <f>""</f>
        <v/>
      </c>
      <c r="FM313" t="str">
        <f>""</f>
        <v/>
      </c>
      <c r="FN313" t="str">
        <f>""</f>
        <v/>
      </c>
      <c r="FO313" t="str">
        <f>""</f>
        <v/>
      </c>
      <c r="FP313" t="str">
        <f>""</f>
        <v/>
      </c>
      <c r="FQ313" t="str">
        <f>""</f>
        <v/>
      </c>
    </row>
    <row r="314" spans="1:173">
      <c r="A314" t="str">
        <f>$A$72</f>
        <v xml:space="preserve">    埃塞克斯房地产信托公司</v>
      </c>
      <c r="B314" t="str">
        <f>$B$72</f>
        <v>ESS US Equity</v>
      </c>
      <c r="C314" t="str">
        <f>$C$72</f>
        <v>F0893</v>
      </c>
      <c r="D314" t="str">
        <f>$D$72</f>
        <v>PRICE_TO_AFFOPS</v>
      </c>
      <c r="E314" t="str">
        <f>$E$72</f>
        <v>动态</v>
      </c>
      <c r="F314" t="str">
        <f ca="1">BDH($B$72,$C$72,$B$250,$B$251,CONCATENATE("Per=",$B$248),"Dts=H","Dir=H",CONCATENATE("Points=",$B$249),"Sort=R","Days=A","Fill=B",CONCATENATE("FX=", $B$247) )</f>
        <v>#N/A Authorization</v>
      </c>
      <c r="CL314" t="str">
        <f>""</f>
        <v/>
      </c>
      <c r="CM314" t="str">
        <f>""</f>
        <v/>
      </c>
      <c r="CN314" t="str">
        <f>""</f>
        <v/>
      </c>
      <c r="CO314" t="str">
        <f>""</f>
        <v/>
      </c>
      <c r="CP314" t="str">
        <f>""</f>
        <v/>
      </c>
      <c r="CQ314" t="str">
        <f>""</f>
        <v/>
      </c>
      <c r="CR314" t="str">
        <f>""</f>
        <v/>
      </c>
      <c r="CS314" t="str">
        <f>""</f>
        <v/>
      </c>
      <c r="CT314" t="str">
        <f>""</f>
        <v/>
      </c>
      <c r="CU314" t="str">
        <f>""</f>
        <v/>
      </c>
      <c r="CV314" t="str">
        <f>""</f>
        <v/>
      </c>
      <c r="CW314" t="str">
        <f>""</f>
        <v/>
      </c>
      <c r="CX314" t="str">
        <f>""</f>
        <v/>
      </c>
      <c r="CY314" t="str">
        <f>""</f>
        <v/>
      </c>
      <c r="CZ314" t="str">
        <f>""</f>
        <v/>
      </c>
      <c r="DA314" t="str">
        <f>""</f>
        <v/>
      </c>
      <c r="DB314" t="str">
        <f>""</f>
        <v/>
      </c>
      <c r="DC314" t="str">
        <f>""</f>
        <v/>
      </c>
      <c r="DD314" t="str">
        <f>""</f>
        <v/>
      </c>
      <c r="DE314" t="str">
        <f>""</f>
        <v/>
      </c>
      <c r="DF314" t="str">
        <f>""</f>
        <v/>
      </c>
      <c r="DG314" t="str">
        <f>""</f>
        <v/>
      </c>
      <c r="DH314" t="str">
        <f>""</f>
        <v/>
      </c>
      <c r="DI314" t="str">
        <f>""</f>
        <v/>
      </c>
      <c r="DJ314" t="str">
        <f>""</f>
        <v/>
      </c>
      <c r="DK314" t="str">
        <f>""</f>
        <v/>
      </c>
      <c r="DL314" t="str">
        <f>""</f>
        <v/>
      </c>
      <c r="DM314" t="str">
        <f>""</f>
        <v/>
      </c>
      <c r="DN314" t="str">
        <f>""</f>
        <v/>
      </c>
      <c r="DO314" t="str">
        <f>""</f>
        <v/>
      </c>
      <c r="DP314" t="str">
        <f>""</f>
        <v/>
      </c>
      <c r="DQ314" t="str">
        <f>""</f>
        <v/>
      </c>
      <c r="DR314" t="str">
        <f>""</f>
        <v/>
      </c>
      <c r="DS314" t="str">
        <f>""</f>
        <v/>
      </c>
      <c r="DT314" t="str">
        <f>""</f>
        <v/>
      </c>
      <c r="DU314" t="str">
        <f>""</f>
        <v/>
      </c>
      <c r="DV314" t="str">
        <f>""</f>
        <v/>
      </c>
      <c r="DW314" t="str">
        <f>""</f>
        <v/>
      </c>
      <c r="DX314" t="str">
        <f>""</f>
        <v/>
      </c>
      <c r="DY314" t="str">
        <f>""</f>
        <v/>
      </c>
      <c r="DZ314" t="str">
        <f>""</f>
        <v/>
      </c>
      <c r="EA314" t="str">
        <f>""</f>
        <v/>
      </c>
      <c r="EB314" t="str">
        <f>""</f>
        <v/>
      </c>
      <c r="EC314" t="str">
        <f>""</f>
        <v/>
      </c>
      <c r="ED314" t="str">
        <f>""</f>
        <v/>
      </c>
      <c r="EE314" t="str">
        <f>""</f>
        <v/>
      </c>
      <c r="EF314" t="str">
        <f>""</f>
        <v/>
      </c>
      <c r="EG314" t="str">
        <f>""</f>
        <v/>
      </c>
      <c r="EH314" t="str">
        <f>""</f>
        <v/>
      </c>
      <c r="EI314" t="str">
        <f>""</f>
        <v/>
      </c>
      <c r="EJ314" t="str">
        <f>""</f>
        <v/>
      </c>
      <c r="EK314" t="str">
        <f>""</f>
        <v/>
      </c>
      <c r="EL314" t="str">
        <f>""</f>
        <v/>
      </c>
      <c r="EM314" t="str">
        <f>""</f>
        <v/>
      </c>
      <c r="EN314" t="str">
        <f>""</f>
        <v/>
      </c>
      <c r="EO314" t="str">
        <f>""</f>
        <v/>
      </c>
      <c r="EP314" t="str">
        <f>""</f>
        <v/>
      </c>
      <c r="EQ314" t="str">
        <f>""</f>
        <v/>
      </c>
      <c r="ER314" t="str">
        <f>""</f>
        <v/>
      </c>
      <c r="ES314" t="str">
        <f>""</f>
        <v/>
      </c>
      <c r="ET314" t="str">
        <f>""</f>
        <v/>
      </c>
      <c r="EU314" t="str">
        <f>""</f>
        <v/>
      </c>
      <c r="EV314" t="str">
        <f>""</f>
        <v/>
      </c>
      <c r="EW314" t="str">
        <f>""</f>
        <v/>
      </c>
      <c r="EX314" t="str">
        <f>""</f>
        <v/>
      </c>
      <c r="EY314" t="str">
        <f>""</f>
        <v/>
      </c>
      <c r="EZ314" t="str">
        <f>""</f>
        <v/>
      </c>
      <c r="FA314" t="str">
        <f>""</f>
        <v/>
      </c>
      <c r="FB314" t="str">
        <f>""</f>
        <v/>
      </c>
      <c r="FC314" t="str">
        <f>""</f>
        <v/>
      </c>
      <c r="FD314" t="str">
        <f>""</f>
        <v/>
      </c>
      <c r="FE314" t="str">
        <f>""</f>
        <v/>
      </c>
      <c r="FF314" t="str">
        <f>""</f>
        <v/>
      </c>
      <c r="FG314" t="str">
        <f>""</f>
        <v/>
      </c>
      <c r="FH314" t="str">
        <f>""</f>
        <v/>
      </c>
      <c r="FI314" t="str">
        <f>""</f>
        <v/>
      </c>
      <c r="FJ314" t="str">
        <f>""</f>
        <v/>
      </c>
      <c r="FK314" t="str">
        <f>""</f>
        <v/>
      </c>
      <c r="FL314" t="str">
        <f>""</f>
        <v/>
      </c>
      <c r="FM314" t="str">
        <f>""</f>
        <v/>
      </c>
      <c r="FN314" t="str">
        <f>""</f>
        <v/>
      </c>
      <c r="FO314" t="str">
        <f>""</f>
        <v/>
      </c>
      <c r="FP314" t="str">
        <f>""</f>
        <v/>
      </c>
      <c r="FQ314" t="str">
        <f>""</f>
        <v/>
      </c>
    </row>
    <row r="315" spans="1:173">
      <c r="A315" t="str">
        <f>$A$73</f>
        <v xml:space="preserve">    Mid-America Apartment Communities股份有限公司</v>
      </c>
      <c r="B315" t="str">
        <f>$B$73</f>
        <v>MAA US Equity</v>
      </c>
      <c r="C315" t="str">
        <f>$C$73</f>
        <v>F0893</v>
      </c>
      <c r="D315" t="str">
        <f>$D$73</f>
        <v>PRICE_TO_AFFOPS</v>
      </c>
      <c r="E315" t="str">
        <f>$E$73</f>
        <v>动态</v>
      </c>
      <c r="F315" t="str">
        <f ca="1">BDH($B$73,$C$73,$B$250,$B$251,CONCATENATE("Per=",$B$248),"Dts=H","Dir=H",CONCATENATE("Points=",$B$249),"Sort=R","Days=A","Fill=B",CONCATENATE("FX=", $B$247) )</f>
        <v>#N/A Authorization</v>
      </c>
      <c r="CL315" t="str">
        <f>""</f>
        <v/>
      </c>
      <c r="CM315" t="str">
        <f>""</f>
        <v/>
      </c>
      <c r="CN315" t="str">
        <f>""</f>
        <v/>
      </c>
      <c r="CO315" t="str">
        <f>""</f>
        <v/>
      </c>
      <c r="CP315" t="str">
        <f>""</f>
        <v/>
      </c>
      <c r="CQ315" t="str">
        <f>""</f>
        <v/>
      </c>
      <c r="CR315" t="str">
        <f>""</f>
        <v/>
      </c>
      <c r="CS315" t="str">
        <f>""</f>
        <v/>
      </c>
      <c r="CT315" t="str">
        <f>""</f>
        <v/>
      </c>
      <c r="CU315" t="str">
        <f>""</f>
        <v/>
      </c>
      <c r="CV315" t="str">
        <f>""</f>
        <v/>
      </c>
      <c r="CW315" t="str">
        <f>""</f>
        <v/>
      </c>
      <c r="CX315" t="str">
        <f>""</f>
        <v/>
      </c>
      <c r="CY315" t="str">
        <f>""</f>
        <v/>
      </c>
      <c r="CZ315" t="str">
        <f>""</f>
        <v/>
      </c>
      <c r="DA315" t="str">
        <f>""</f>
        <v/>
      </c>
      <c r="DB315" t="str">
        <f>""</f>
        <v/>
      </c>
      <c r="DC315" t="str">
        <f>""</f>
        <v/>
      </c>
      <c r="DD315" t="str">
        <f>""</f>
        <v/>
      </c>
      <c r="DE315" t="str">
        <f>""</f>
        <v/>
      </c>
      <c r="DF315" t="str">
        <f>""</f>
        <v/>
      </c>
      <c r="DG315" t="str">
        <f>""</f>
        <v/>
      </c>
      <c r="DH315" t="str">
        <f>""</f>
        <v/>
      </c>
      <c r="DI315" t="str">
        <f>""</f>
        <v/>
      </c>
      <c r="DJ315" t="str">
        <f>""</f>
        <v/>
      </c>
      <c r="DK315" t="str">
        <f>""</f>
        <v/>
      </c>
      <c r="DL315" t="str">
        <f>""</f>
        <v/>
      </c>
      <c r="DM315" t="str">
        <f>""</f>
        <v/>
      </c>
      <c r="DN315" t="str">
        <f>""</f>
        <v/>
      </c>
      <c r="DO315" t="str">
        <f>""</f>
        <v/>
      </c>
      <c r="DP315" t="str">
        <f>""</f>
        <v/>
      </c>
      <c r="DQ315" t="str">
        <f>""</f>
        <v/>
      </c>
      <c r="DR315" t="str">
        <f>""</f>
        <v/>
      </c>
      <c r="DS315" t="str">
        <f>""</f>
        <v/>
      </c>
      <c r="DT315" t="str">
        <f>""</f>
        <v/>
      </c>
      <c r="DU315" t="str">
        <f>""</f>
        <v/>
      </c>
      <c r="DV315" t="str">
        <f>""</f>
        <v/>
      </c>
      <c r="DW315" t="str">
        <f>""</f>
        <v/>
      </c>
      <c r="DX315" t="str">
        <f>""</f>
        <v/>
      </c>
      <c r="DY315" t="str">
        <f>""</f>
        <v/>
      </c>
      <c r="DZ315" t="str">
        <f>""</f>
        <v/>
      </c>
      <c r="EA315" t="str">
        <f>""</f>
        <v/>
      </c>
      <c r="EB315" t="str">
        <f>""</f>
        <v/>
      </c>
      <c r="EC315" t="str">
        <f>""</f>
        <v/>
      </c>
      <c r="ED315" t="str">
        <f>""</f>
        <v/>
      </c>
      <c r="EE315" t="str">
        <f>""</f>
        <v/>
      </c>
      <c r="EF315" t="str">
        <f>""</f>
        <v/>
      </c>
      <c r="EG315" t="str">
        <f>""</f>
        <v/>
      </c>
      <c r="EH315" t="str">
        <f>""</f>
        <v/>
      </c>
      <c r="EI315" t="str">
        <f>""</f>
        <v/>
      </c>
      <c r="EJ315" t="str">
        <f>""</f>
        <v/>
      </c>
      <c r="EK315" t="str">
        <f>""</f>
        <v/>
      </c>
      <c r="EL315" t="str">
        <f>""</f>
        <v/>
      </c>
      <c r="EM315" t="str">
        <f>""</f>
        <v/>
      </c>
      <c r="EN315" t="str">
        <f>""</f>
        <v/>
      </c>
      <c r="EO315" t="str">
        <f>""</f>
        <v/>
      </c>
      <c r="EP315" t="str">
        <f>""</f>
        <v/>
      </c>
      <c r="EQ315" t="str">
        <f>""</f>
        <v/>
      </c>
      <c r="ER315" t="str">
        <f>""</f>
        <v/>
      </c>
      <c r="ES315" t="str">
        <f>""</f>
        <v/>
      </c>
      <c r="ET315" t="str">
        <f>""</f>
        <v/>
      </c>
      <c r="EU315" t="str">
        <f>""</f>
        <v/>
      </c>
      <c r="EV315" t="str">
        <f>""</f>
        <v/>
      </c>
      <c r="EW315" t="str">
        <f>""</f>
        <v/>
      </c>
      <c r="EX315" t="str">
        <f>""</f>
        <v/>
      </c>
      <c r="EY315" t="str">
        <f>""</f>
        <v/>
      </c>
      <c r="EZ315" t="str">
        <f>""</f>
        <v/>
      </c>
      <c r="FA315" t="str">
        <f>""</f>
        <v/>
      </c>
      <c r="FB315" t="str">
        <f>""</f>
        <v/>
      </c>
      <c r="FC315" t="str">
        <f>""</f>
        <v/>
      </c>
      <c r="FD315" t="str">
        <f>""</f>
        <v/>
      </c>
      <c r="FE315" t="str">
        <f>""</f>
        <v/>
      </c>
      <c r="FF315" t="str">
        <f>""</f>
        <v/>
      </c>
      <c r="FG315" t="str">
        <f>""</f>
        <v/>
      </c>
      <c r="FH315" t="str">
        <f>""</f>
        <v/>
      </c>
      <c r="FI315" t="str">
        <f>""</f>
        <v/>
      </c>
      <c r="FJ315" t="str">
        <f>""</f>
        <v/>
      </c>
      <c r="FK315" t="str">
        <f>""</f>
        <v/>
      </c>
      <c r="FL315" t="str">
        <f>""</f>
        <v/>
      </c>
      <c r="FM315" t="str">
        <f>""</f>
        <v/>
      </c>
      <c r="FN315" t="str">
        <f>""</f>
        <v/>
      </c>
      <c r="FO315" t="str">
        <f>""</f>
        <v/>
      </c>
      <c r="FP315" t="str">
        <f>""</f>
        <v/>
      </c>
      <c r="FQ315" t="str">
        <f>""</f>
        <v/>
      </c>
    </row>
    <row r="316" spans="1:173">
      <c r="A316" t="str">
        <f>$A$74</f>
        <v xml:space="preserve">    UDR 公司</v>
      </c>
      <c r="B316" t="str">
        <f>$B$74</f>
        <v>UDR US Equity</v>
      </c>
      <c r="C316" t="str">
        <f>$C$74</f>
        <v>F0893</v>
      </c>
      <c r="D316" t="str">
        <f>$D$74</f>
        <v>PRICE_TO_AFFOPS</v>
      </c>
      <c r="E316" t="str">
        <f>$E$74</f>
        <v>动态</v>
      </c>
      <c r="F316" t="str">
        <f ca="1">BDH($B$74,$C$74,$B$250,$B$251,CONCATENATE("Per=",$B$248),"Dts=H","Dir=H",CONCATENATE("Points=",$B$249),"Sort=R","Days=A","Fill=B",CONCATENATE("FX=", $B$247) )</f>
        <v>#N/A Authorization</v>
      </c>
      <c r="CL316" t="str">
        <f>""</f>
        <v/>
      </c>
      <c r="CM316" t="str">
        <f>""</f>
        <v/>
      </c>
      <c r="CN316" t="str">
        <f>""</f>
        <v/>
      </c>
      <c r="CO316" t="str">
        <f>""</f>
        <v/>
      </c>
      <c r="CP316" t="str">
        <f>""</f>
        <v/>
      </c>
      <c r="CQ316" t="str">
        <f>""</f>
        <v/>
      </c>
      <c r="CR316" t="str">
        <f>""</f>
        <v/>
      </c>
      <c r="CS316" t="str">
        <f>""</f>
        <v/>
      </c>
      <c r="CT316" t="str">
        <f>""</f>
        <v/>
      </c>
      <c r="CU316" t="str">
        <f>""</f>
        <v/>
      </c>
      <c r="CV316" t="str">
        <f>""</f>
        <v/>
      </c>
      <c r="CW316" t="str">
        <f>""</f>
        <v/>
      </c>
      <c r="CX316" t="str">
        <f>""</f>
        <v/>
      </c>
      <c r="CY316" t="str">
        <f>""</f>
        <v/>
      </c>
      <c r="CZ316" t="str">
        <f>""</f>
        <v/>
      </c>
      <c r="DA316" t="str">
        <f>""</f>
        <v/>
      </c>
      <c r="DB316" t="str">
        <f>""</f>
        <v/>
      </c>
      <c r="DC316" t="str">
        <f>""</f>
        <v/>
      </c>
      <c r="DD316" t="str">
        <f>""</f>
        <v/>
      </c>
      <c r="DE316" t="str">
        <f>""</f>
        <v/>
      </c>
      <c r="DF316" t="str">
        <f>""</f>
        <v/>
      </c>
      <c r="DG316" t="str">
        <f>""</f>
        <v/>
      </c>
      <c r="DH316" t="str">
        <f>""</f>
        <v/>
      </c>
      <c r="DI316" t="str">
        <f>""</f>
        <v/>
      </c>
      <c r="DJ316" t="str">
        <f>""</f>
        <v/>
      </c>
      <c r="DK316" t="str">
        <f>""</f>
        <v/>
      </c>
      <c r="DL316" t="str">
        <f>""</f>
        <v/>
      </c>
      <c r="DM316" t="str">
        <f>""</f>
        <v/>
      </c>
      <c r="DN316" t="str">
        <f>""</f>
        <v/>
      </c>
      <c r="DO316" t="str">
        <f>""</f>
        <v/>
      </c>
      <c r="DP316" t="str">
        <f>""</f>
        <v/>
      </c>
      <c r="DQ316" t="str">
        <f>""</f>
        <v/>
      </c>
      <c r="DR316" t="str">
        <f>""</f>
        <v/>
      </c>
      <c r="DS316" t="str">
        <f>""</f>
        <v/>
      </c>
      <c r="DT316" t="str">
        <f>""</f>
        <v/>
      </c>
      <c r="DU316" t="str">
        <f>""</f>
        <v/>
      </c>
      <c r="DV316" t="str">
        <f>""</f>
        <v/>
      </c>
      <c r="DW316" t="str">
        <f>""</f>
        <v/>
      </c>
      <c r="DX316" t="str">
        <f>""</f>
        <v/>
      </c>
      <c r="DY316" t="str">
        <f>""</f>
        <v/>
      </c>
      <c r="DZ316" t="str">
        <f>""</f>
        <v/>
      </c>
      <c r="EA316" t="str">
        <f>""</f>
        <v/>
      </c>
      <c r="EB316" t="str">
        <f>""</f>
        <v/>
      </c>
      <c r="EC316" t="str">
        <f>""</f>
        <v/>
      </c>
      <c r="ED316" t="str">
        <f>""</f>
        <v/>
      </c>
      <c r="EE316" t="str">
        <f>""</f>
        <v/>
      </c>
      <c r="EF316" t="str">
        <f>""</f>
        <v/>
      </c>
      <c r="EG316" t="str">
        <f>""</f>
        <v/>
      </c>
      <c r="EH316" t="str">
        <f>""</f>
        <v/>
      </c>
      <c r="EI316" t="str">
        <f>""</f>
        <v/>
      </c>
      <c r="EJ316" t="str">
        <f>""</f>
        <v/>
      </c>
      <c r="EK316" t="str">
        <f>""</f>
        <v/>
      </c>
      <c r="EL316" t="str">
        <f>""</f>
        <v/>
      </c>
      <c r="EM316" t="str">
        <f>""</f>
        <v/>
      </c>
      <c r="EN316" t="str">
        <f>""</f>
        <v/>
      </c>
      <c r="EO316" t="str">
        <f>""</f>
        <v/>
      </c>
      <c r="EP316" t="str">
        <f>""</f>
        <v/>
      </c>
      <c r="EQ316" t="str">
        <f>""</f>
        <v/>
      </c>
      <c r="ER316" t="str">
        <f>""</f>
        <v/>
      </c>
      <c r="ES316" t="str">
        <f>""</f>
        <v/>
      </c>
      <c r="ET316" t="str">
        <f>""</f>
        <v/>
      </c>
      <c r="EU316" t="str">
        <f>""</f>
        <v/>
      </c>
      <c r="EV316" t="str">
        <f>""</f>
        <v/>
      </c>
      <c r="EW316" t="str">
        <f>""</f>
        <v/>
      </c>
      <c r="EX316" t="str">
        <f>""</f>
        <v/>
      </c>
      <c r="EY316" t="str">
        <f>""</f>
        <v/>
      </c>
      <c r="EZ316" t="str">
        <f>""</f>
        <v/>
      </c>
      <c r="FA316" t="str">
        <f>""</f>
        <v/>
      </c>
      <c r="FB316" t="str">
        <f>""</f>
        <v/>
      </c>
      <c r="FC316" t="str">
        <f>""</f>
        <v/>
      </c>
      <c r="FD316" t="str">
        <f>""</f>
        <v/>
      </c>
      <c r="FE316" t="str">
        <f>""</f>
        <v/>
      </c>
      <c r="FF316" t="str">
        <f>""</f>
        <v/>
      </c>
      <c r="FG316" t="str">
        <f>""</f>
        <v/>
      </c>
      <c r="FH316" t="str">
        <f>""</f>
        <v/>
      </c>
      <c r="FI316" t="str">
        <f>""</f>
        <v/>
      </c>
      <c r="FJ316" t="str">
        <f>""</f>
        <v/>
      </c>
      <c r="FK316" t="str">
        <f>""</f>
        <v/>
      </c>
      <c r="FL316" t="str">
        <f>""</f>
        <v/>
      </c>
      <c r="FM316" t="str">
        <f>""</f>
        <v/>
      </c>
      <c r="FN316" t="str">
        <f>""</f>
        <v/>
      </c>
      <c r="FO316" t="str">
        <f>""</f>
        <v/>
      </c>
      <c r="FP316" t="str">
        <f>""</f>
        <v/>
      </c>
      <c r="FQ316" t="str">
        <f>""</f>
        <v/>
      </c>
    </row>
    <row r="317" spans="1:173">
      <c r="A317" t="str">
        <f>$A$76</f>
        <v xml:space="preserve">    公寓投资与管理</v>
      </c>
      <c r="B317" t="str">
        <f>$B$76</f>
        <v>AIV US Equity</v>
      </c>
      <c r="C317" t="str">
        <f>$C$76</f>
        <v>F0891</v>
      </c>
      <c r="D317" t="str">
        <f>$D$76</f>
        <v>PRICE_TO_FAD_PS</v>
      </c>
      <c r="E317" t="str">
        <f>$E$76</f>
        <v>动态</v>
      </c>
      <c r="F317" t="str">
        <f ca="1">BDH($B$76,$C$76,$B$250,$B$251,CONCATENATE("Per=",$B$248),"Dts=H","Dir=H",CONCATENATE("Points=",$B$249),"Sort=R","Days=A","Fill=B",CONCATENATE("FX=", $B$247) )</f>
        <v>#N/A Authorization</v>
      </c>
      <c r="CL317" t="str">
        <f>""</f>
        <v/>
      </c>
      <c r="CM317" t="str">
        <f>""</f>
        <v/>
      </c>
      <c r="CN317" t="str">
        <f>""</f>
        <v/>
      </c>
      <c r="CO317" t="str">
        <f>""</f>
        <v/>
      </c>
      <c r="CP317" t="str">
        <f>""</f>
        <v/>
      </c>
      <c r="CQ317" t="str">
        <f>""</f>
        <v/>
      </c>
      <c r="CR317" t="str">
        <f>""</f>
        <v/>
      </c>
      <c r="CS317" t="str">
        <f>""</f>
        <v/>
      </c>
      <c r="CT317" t="str">
        <f>""</f>
        <v/>
      </c>
      <c r="CU317" t="str">
        <f>""</f>
        <v/>
      </c>
      <c r="CV317" t="str">
        <f>""</f>
        <v/>
      </c>
      <c r="CW317" t="str">
        <f>""</f>
        <v/>
      </c>
      <c r="CX317" t="str">
        <f>""</f>
        <v/>
      </c>
      <c r="CY317" t="str">
        <f>""</f>
        <v/>
      </c>
      <c r="CZ317" t="str">
        <f>""</f>
        <v/>
      </c>
      <c r="DA317" t="str">
        <f>""</f>
        <v/>
      </c>
      <c r="DB317" t="str">
        <f>""</f>
        <v/>
      </c>
      <c r="DC317" t="str">
        <f>""</f>
        <v/>
      </c>
      <c r="DD317" t="str">
        <f>""</f>
        <v/>
      </c>
      <c r="DE317" t="str">
        <f>""</f>
        <v/>
      </c>
      <c r="DF317" t="str">
        <f>""</f>
        <v/>
      </c>
      <c r="DG317" t="str">
        <f>""</f>
        <v/>
      </c>
      <c r="DH317" t="str">
        <f>""</f>
        <v/>
      </c>
      <c r="DI317" t="str">
        <f>""</f>
        <v/>
      </c>
      <c r="DJ317" t="str">
        <f>""</f>
        <v/>
      </c>
      <c r="DK317" t="str">
        <f>""</f>
        <v/>
      </c>
      <c r="DL317" t="str">
        <f>""</f>
        <v/>
      </c>
      <c r="DM317" t="str">
        <f>""</f>
        <v/>
      </c>
      <c r="DN317" t="str">
        <f>""</f>
        <v/>
      </c>
      <c r="DO317" t="str">
        <f>""</f>
        <v/>
      </c>
      <c r="DP317" t="str">
        <f>""</f>
        <v/>
      </c>
      <c r="DQ317" t="str">
        <f>""</f>
        <v/>
      </c>
      <c r="DR317" t="str">
        <f>""</f>
        <v/>
      </c>
      <c r="DS317" t="str">
        <f>""</f>
        <v/>
      </c>
      <c r="DT317" t="str">
        <f>""</f>
        <v/>
      </c>
      <c r="DU317" t="str">
        <f>""</f>
        <v/>
      </c>
      <c r="DV317" t="str">
        <f>""</f>
        <v/>
      </c>
      <c r="DW317" t="str">
        <f>""</f>
        <v/>
      </c>
      <c r="DX317" t="str">
        <f>""</f>
        <v/>
      </c>
      <c r="DY317" t="str">
        <f>""</f>
        <v/>
      </c>
      <c r="DZ317" t="str">
        <f>""</f>
        <v/>
      </c>
      <c r="EA317" t="str">
        <f>""</f>
        <v/>
      </c>
      <c r="EB317" t="str">
        <f>""</f>
        <v/>
      </c>
      <c r="EC317" t="str">
        <f>""</f>
        <v/>
      </c>
      <c r="ED317" t="str">
        <f>""</f>
        <v/>
      </c>
      <c r="EE317" t="str">
        <f>""</f>
        <v/>
      </c>
      <c r="EF317" t="str">
        <f>""</f>
        <v/>
      </c>
      <c r="EG317" t="str">
        <f>""</f>
        <v/>
      </c>
      <c r="EH317" t="str">
        <f>""</f>
        <v/>
      </c>
      <c r="EI317" t="str">
        <f>""</f>
        <v/>
      </c>
      <c r="EJ317" t="str">
        <f>""</f>
        <v/>
      </c>
      <c r="EK317" t="str">
        <f>""</f>
        <v/>
      </c>
      <c r="EL317" t="str">
        <f>""</f>
        <v/>
      </c>
      <c r="EM317" t="str">
        <f>""</f>
        <v/>
      </c>
      <c r="EN317" t="str">
        <f>""</f>
        <v/>
      </c>
      <c r="EO317" t="str">
        <f>""</f>
        <v/>
      </c>
      <c r="EP317" t="str">
        <f>""</f>
        <v/>
      </c>
      <c r="EQ317" t="str">
        <f>""</f>
        <v/>
      </c>
      <c r="ER317" t="str">
        <f>""</f>
        <v/>
      </c>
      <c r="ES317" t="str">
        <f>""</f>
        <v/>
      </c>
      <c r="ET317" t="str">
        <f>""</f>
        <v/>
      </c>
      <c r="EU317" t="str">
        <f>""</f>
        <v/>
      </c>
      <c r="EV317" t="str">
        <f>""</f>
        <v/>
      </c>
      <c r="EW317" t="str">
        <f>""</f>
        <v/>
      </c>
      <c r="EX317" t="str">
        <f>""</f>
        <v/>
      </c>
      <c r="EY317" t="str">
        <f>""</f>
        <v/>
      </c>
      <c r="EZ317" t="str">
        <f>""</f>
        <v/>
      </c>
      <c r="FA317" t="str">
        <f>""</f>
        <v/>
      </c>
      <c r="FB317" t="str">
        <f>""</f>
        <v/>
      </c>
      <c r="FC317" t="str">
        <f>""</f>
        <v/>
      </c>
      <c r="FD317" t="str">
        <f>""</f>
        <v/>
      </c>
      <c r="FE317" t="str">
        <f>""</f>
        <v/>
      </c>
      <c r="FF317" t="str">
        <f>""</f>
        <v/>
      </c>
      <c r="FG317" t="str">
        <f>""</f>
        <v/>
      </c>
      <c r="FH317" t="str">
        <f>""</f>
        <v/>
      </c>
      <c r="FI317" t="str">
        <f>""</f>
        <v/>
      </c>
      <c r="FJ317" t="str">
        <f>""</f>
        <v/>
      </c>
      <c r="FK317" t="str">
        <f>""</f>
        <v/>
      </c>
      <c r="FL317" t="str">
        <f>""</f>
        <v/>
      </c>
      <c r="FM317" t="str">
        <f>""</f>
        <v/>
      </c>
      <c r="FN317" t="str">
        <f>""</f>
        <v/>
      </c>
      <c r="FO317" t="str">
        <f>""</f>
        <v/>
      </c>
      <c r="FP317" t="str">
        <f>""</f>
        <v/>
      </c>
      <c r="FQ317" t="str">
        <f>""</f>
        <v/>
      </c>
    </row>
    <row r="318" spans="1:173">
      <c r="A318" t="str">
        <f>$A$77</f>
        <v xml:space="preserve">    AvalonBay社区股份有限公司</v>
      </c>
      <c r="B318" t="str">
        <f>$B$77</f>
        <v>AVB US Equity</v>
      </c>
      <c r="C318" t="str">
        <f>$C$77</f>
        <v>F0891</v>
      </c>
      <c r="D318" t="str">
        <f>$D$77</f>
        <v>PRICE_TO_FAD_PS</v>
      </c>
      <c r="E318" t="str">
        <f>$E$77</f>
        <v>动态</v>
      </c>
      <c r="F318" t="str">
        <f ca="1">BDH($B$77,$C$77,$B$250,$B$251,CONCATENATE("Per=",$B$248),"Dts=H","Dir=H",CONCATENATE("Points=",$B$249),"Sort=R","Days=A","Fill=B",CONCATENATE("FX=", $B$247) )</f>
        <v>#N/A Authorization</v>
      </c>
      <c r="CL318" t="str">
        <f>""</f>
        <v/>
      </c>
      <c r="CM318" t="str">
        <f>""</f>
        <v/>
      </c>
      <c r="CN318" t="str">
        <f>""</f>
        <v/>
      </c>
      <c r="CO318" t="str">
        <f>""</f>
        <v/>
      </c>
      <c r="CP318" t="str">
        <f>""</f>
        <v/>
      </c>
      <c r="CQ318" t="str">
        <f>""</f>
        <v/>
      </c>
      <c r="CR318" t="str">
        <f>""</f>
        <v/>
      </c>
      <c r="CS318" t="str">
        <f>""</f>
        <v/>
      </c>
      <c r="CT318" t="str">
        <f>""</f>
        <v/>
      </c>
      <c r="CU318" t="str">
        <f>""</f>
        <v/>
      </c>
      <c r="CV318" t="str">
        <f>""</f>
        <v/>
      </c>
      <c r="CW318" t="str">
        <f>""</f>
        <v/>
      </c>
      <c r="CX318" t="str">
        <f>""</f>
        <v/>
      </c>
      <c r="CY318" t="str">
        <f>""</f>
        <v/>
      </c>
      <c r="CZ318" t="str">
        <f>""</f>
        <v/>
      </c>
      <c r="DA318" t="str">
        <f>""</f>
        <v/>
      </c>
      <c r="DB318" t="str">
        <f>""</f>
        <v/>
      </c>
      <c r="DC318" t="str">
        <f>""</f>
        <v/>
      </c>
      <c r="DD318" t="str">
        <f>""</f>
        <v/>
      </c>
      <c r="DE318" t="str">
        <f>""</f>
        <v/>
      </c>
      <c r="DF318" t="str">
        <f>""</f>
        <v/>
      </c>
      <c r="DG318" t="str">
        <f>""</f>
        <v/>
      </c>
      <c r="DH318" t="str">
        <f>""</f>
        <v/>
      </c>
      <c r="DI318" t="str">
        <f>""</f>
        <v/>
      </c>
      <c r="DJ318" t="str">
        <f>""</f>
        <v/>
      </c>
      <c r="DK318" t="str">
        <f>""</f>
        <v/>
      </c>
      <c r="DL318" t="str">
        <f>""</f>
        <v/>
      </c>
      <c r="DM318" t="str">
        <f>""</f>
        <v/>
      </c>
      <c r="DN318" t="str">
        <f>""</f>
        <v/>
      </c>
      <c r="DO318" t="str">
        <f>""</f>
        <v/>
      </c>
      <c r="DP318" t="str">
        <f>""</f>
        <v/>
      </c>
      <c r="DQ318" t="str">
        <f>""</f>
        <v/>
      </c>
      <c r="DR318" t="str">
        <f>""</f>
        <v/>
      </c>
      <c r="DS318" t="str">
        <f>""</f>
        <v/>
      </c>
      <c r="DT318" t="str">
        <f>""</f>
        <v/>
      </c>
      <c r="DU318" t="str">
        <f>""</f>
        <v/>
      </c>
      <c r="DV318" t="str">
        <f>""</f>
        <v/>
      </c>
      <c r="DW318" t="str">
        <f>""</f>
        <v/>
      </c>
      <c r="DX318" t="str">
        <f>""</f>
        <v/>
      </c>
      <c r="DY318" t="str">
        <f>""</f>
        <v/>
      </c>
      <c r="DZ318" t="str">
        <f>""</f>
        <v/>
      </c>
      <c r="EA318" t="str">
        <f>""</f>
        <v/>
      </c>
      <c r="EB318" t="str">
        <f>""</f>
        <v/>
      </c>
      <c r="EC318" t="str">
        <f>""</f>
        <v/>
      </c>
      <c r="ED318" t="str">
        <f>""</f>
        <v/>
      </c>
      <c r="EE318" t="str">
        <f>""</f>
        <v/>
      </c>
      <c r="EF318" t="str">
        <f>""</f>
        <v/>
      </c>
      <c r="EG318" t="str">
        <f>""</f>
        <v/>
      </c>
      <c r="EH318" t="str">
        <f>""</f>
        <v/>
      </c>
      <c r="EI318" t="str">
        <f>""</f>
        <v/>
      </c>
      <c r="EJ318" t="str">
        <f>""</f>
        <v/>
      </c>
      <c r="EK318" t="str">
        <f>""</f>
        <v/>
      </c>
      <c r="EL318" t="str">
        <f>""</f>
        <v/>
      </c>
      <c r="EM318" t="str">
        <f>""</f>
        <v/>
      </c>
      <c r="EN318" t="str">
        <f>""</f>
        <v/>
      </c>
      <c r="EO318" t="str">
        <f>""</f>
        <v/>
      </c>
      <c r="EP318" t="str">
        <f>""</f>
        <v/>
      </c>
      <c r="EQ318" t="str">
        <f>""</f>
        <v/>
      </c>
      <c r="ER318" t="str">
        <f>""</f>
        <v/>
      </c>
      <c r="ES318" t="str">
        <f>""</f>
        <v/>
      </c>
      <c r="ET318" t="str">
        <f>""</f>
        <v/>
      </c>
      <c r="EU318" t="str">
        <f>""</f>
        <v/>
      </c>
      <c r="EV318" t="str">
        <f>""</f>
        <v/>
      </c>
      <c r="EW318" t="str">
        <f>""</f>
        <v/>
      </c>
      <c r="EX318" t="str">
        <f>""</f>
        <v/>
      </c>
      <c r="EY318" t="str">
        <f>""</f>
        <v/>
      </c>
      <c r="EZ318" t="str">
        <f>""</f>
        <v/>
      </c>
      <c r="FA318" t="str">
        <f>""</f>
        <v/>
      </c>
      <c r="FB318" t="str">
        <f>""</f>
        <v/>
      </c>
      <c r="FC318" t="str">
        <f>""</f>
        <v/>
      </c>
      <c r="FD318" t="str">
        <f>""</f>
        <v/>
      </c>
      <c r="FE318" t="str">
        <f>""</f>
        <v/>
      </c>
      <c r="FF318" t="str">
        <f>""</f>
        <v/>
      </c>
      <c r="FG318" t="str">
        <f>""</f>
        <v/>
      </c>
      <c r="FH318" t="str">
        <f>""</f>
        <v/>
      </c>
      <c r="FI318" t="str">
        <f>""</f>
        <v/>
      </c>
      <c r="FJ318" t="str">
        <f>""</f>
        <v/>
      </c>
      <c r="FK318" t="str">
        <f>""</f>
        <v/>
      </c>
      <c r="FL318" t="str">
        <f>""</f>
        <v/>
      </c>
      <c r="FM318" t="str">
        <f>""</f>
        <v/>
      </c>
      <c r="FN318" t="str">
        <f>""</f>
        <v/>
      </c>
      <c r="FO318" t="str">
        <f>""</f>
        <v/>
      </c>
      <c r="FP318" t="str">
        <f>""</f>
        <v/>
      </c>
      <c r="FQ318" t="str">
        <f>""</f>
        <v/>
      </c>
    </row>
    <row r="319" spans="1:173">
      <c r="A319" t="str">
        <f>$A$78</f>
        <v xml:space="preserve">    Camden 房地产信托公司</v>
      </c>
      <c r="B319" t="str">
        <f>$B$78</f>
        <v>CPT US Equity</v>
      </c>
      <c r="C319" t="str">
        <f>$C$78</f>
        <v>F0891</v>
      </c>
      <c r="D319" t="str">
        <f>$D$78</f>
        <v>PRICE_TO_FAD_PS</v>
      </c>
      <c r="E319" t="str">
        <f>$E$78</f>
        <v>动态</v>
      </c>
      <c r="F319" t="str">
        <f ca="1">BDH($B$78,$C$78,$B$250,$B$251,CONCATENATE("Per=",$B$248),"Dts=H","Dir=H",CONCATENATE("Points=",$B$249),"Sort=R","Days=A","Fill=B",CONCATENATE("FX=", $B$247) )</f>
        <v>#N/A Authorization</v>
      </c>
      <c r="CL319" t="str">
        <f>""</f>
        <v/>
      </c>
      <c r="CM319" t="str">
        <f>""</f>
        <v/>
      </c>
      <c r="CN319" t="str">
        <f>""</f>
        <v/>
      </c>
      <c r="CO319" t="str">
        <f>""</f>
        <v/>
      </c>
      <c r="CP319" t="str">
        <f>""</f>
        <v/>
      </c>
      <c r="CQ319" t="str">
        <f>""</f>
        <v/>
      </c>
      <c r="CR319" t="str">
        <f>""</f>
        <v/>
      </c>
      <c r="CS319" t="str">
        <f>""</f>
        <v/>
      </c>
      <c r="CT319" t="str">
        <f>""</f>
        <v/>
      </c>
      <c r="CU319" t="str">
        <f>""</f>
        <v/>
      </c>
      <c r="CV319" t="str">
        <f>""</f>
        <v/>
      </c>
      <c r="CW319" t="str">
        <f>""</f>
        <v/>
      </c>
      <c r="CX319" t="str">
        <f>""</f>
        <v/>
      </c>
      <c r="CY319" t="str">
        <f>""</f>
        <v/>
      </c>
      <c r="CZ319" t="str">
        <f>""</f>
        <v/>
      </c>
      <c r="DA319" t="str">
        <f>""</f>
        <v/>
      </c>
      <c r="DB319" t="str">
        <f>""</f>
        <v/>
      </c>
      <c r="DC319" t="str">
        <f>""</f>
        <v/>
      </c>
      <c r="DD319" t="str">
        <f>""</f>
        <v/>
      </c>
      <c r="DE319" t="str">
        <f>""</f>
        <v/>
      </c>
      <c r="DF319" t="str">
        <f>""</f>
        <v/>
      </c>
      <c r="DG319" t="str">
        <f>""</f>
        <v/>
      </c>
      <c r="DH319" t="str">
        <f>""</f>
        <v/>
      </c>
      <c r="DI319" t="str">
        <f>""</f>
        <v/>
      </c>
      <c r="DJ319" t="str">
        <f>""</f>
        <v/>
      </c>
      <c r="DK319" t="str">
        <f>""</f>
        <v/>
      </c>
      <c r="DL319" t="str">
        <f>""</f>
        <v/>
      </c>
      <c r="DM319" t="str">
        <f>""</f>
        <v/>
      </c>
      <c r="DN319" t="str">
        <f>""</f>
        <v/>
      </c>
      <c r="DO319" t="str">
        <f>""</f>
        <v/>
      </c>
      <c r="DP319" t="str">
        <f>""</f>
        <v/>
      </c>
      <c r="DQ319" t="str">
        <f>""</f>
        <v/>
      </c>
      <c r="DR319" t="str">
        <f>""</f>
        <v/>
      </c>
      <c r="DS319" t="str">
        <f>""</f>
        <v/>
      </c>
      <c r="DT319" t="str">
        <f>""</f>
        <v/>
      </c>
      <c r="DU319" t="str">
        <f>""</f>
        <v/>
      </c>
      <c r="DV319" t="str">
        <f>""</f>
        <v/>
      </c>
      <c r="DW319" t="str">
        <f>""</f>
        <v/>
      </c>
      <c r="DX319" t="str">
        <f>""</f>
        <v/>
      </c>
      <c r="DY319" t="str">
        <f>""</f>
        <v/>
      </c>
      <c r="DZ319" t="str">
        <f>""</f>
        <v/>
      </c>
      <c r="EA319" t="str">
        <f>""</f>
        <v/>
      </c>
      <c r="EB319" t="str">
        <f>""</f>
        <v/>
      </c>
      <c r="EC319" t="str">
        <f>""</f>
        <v/>
      </c>
      <c r="ED319" t="str">
        <f>""</f>
        <v/>
      </c>
      <c r="EE319" t="str">
        <f>""</f>
        <v/>
      </c>
      <c r="EF319" t="str">
        <f>""</f>
        <v/>
      </c>
      <c r="EG319" t="str">
        <f>""</f>
        <v/>
      </c>
      <c r="EH319" t="str">
        <f>""</f>
        <v/>
      </c>
      <c r="EI319" t="str">
        <f>""</f>
        <v/>
      </c>
      <c r="EJ319" t="str">
        <f>""</f>
        <v/>
      </c>
      <c r="EK319" t="str">
        <f>""</f>
        <v/>
      </c>
      <c r="EL319" t="str">
        <f>""</f>
        <v/>
      </c>
      <c r="EM319" t="str">
        <f>""</f>
        <v/>
      </c>
      <c r="EN319" t="str">
        <f>""</f>
        <v/>
      </c>
      <c r="EO319" t="str">
        <f>""</f>
        <v/>
      </c>
      <c r="EP319" t="str">
        <f>""</f>
        <v/>
      </c>
      <c r="EQ319" t="str">
        <f>""</f>
        <v/>
      </c>
      <c r="ER319" t="str">
        <f>""</f>
        <v/>
      </c>
      <c r="ES319" t="str">
        <f>""</f>
        <v/>
      </c>
      <c r="ET319" t="str">
        <f>""</f>
        <v/>
      </c>
      <c r="EU319" t="str">
        <f>""</f>
        <v/>
      </c>
      <c r="EV319" t="str">
        <f>""</f>
        <v/>
      </c>
      <c r="EW319" t="str">
        <f>""</f>
        <v/>
      </c>
      <c r="EX319" t="str">
        <f>""</f>
        <v/>
      </c>
      <c r="EY319" t="str">
        <f>""</f>
        <v/>
      </c>
      <c r="EZ319" t="str">
        <f>""</f>
        <v/>
      </c>
      <c r="FA319" t="str">
        <f>""</f>
        <v/>
      </c>
      <c r="FB319" t="str">
        <f>""</f>
        <v/>
      </c>
      <c r="FC319" t="str">
        <f>""</f>
        <v/>
      </c>
      <c r="FD319" t="str">
        <f>""</f>
        <v/>
      </c>
      <c r="FE319" t="str">
        <f>""</f>
        <v/>
      </c>
      <c r="FF319" t="str">
        <f>""</f>
        <v/>
      </c>
      <c r="FG319" t="str">
        <f>""</f>
        <v/>
      </c>
      <c r="FH319" t="str">
        <f>""</f>
        <v/>
      </c>
      <c r="FI319" t="str">
        <f>""</f>
        <v/>
      </c>
      <c r="FJ319" t="str">
        <f>""</f>
        <v/>
      </c>
      <c r="FK319" t="str">
        <f>""</f>
        <v/>
      </c>
      <c r="FL319" t="str">
        <f>""</f>
        <v/>
      </c>
      <c r="FM319" t="str">
        <f>""</f>
        <v/>
      </c>
      <c r="FN319" t="str">
        <f>""</f>
        <v/>
      </c>
      <c r="FO319" t="str">
        <f>""</f>
        <v/>
      </c>
      <c r="FP319" t="str">
        <f>""</f>
        <v/>
      </c>
      <c r="FQ319" t="str">
        <f>""</f>
        <v/>
      </c>
    </row>
    <row r="320" spans="1:173">
      <c r="A320" t="str">
        <f>$A$79</f>
        <v xml:space="preserve">    公寓物业权益信托</v>
      </c>
      <c r="B320" t="str">
        <f>$B$79</f>
        <v>EQR US Equity</v>
      </c>
      <c r="C320" t="str">
        <f>$C$79</f>
        <v>F0891</v>
      </c>
      <c r="D320" t="str">
        <f>$D$79</f>
        <v>PRICE_TO_FAD_PS</v>
      </c>
      <c r="E320" t="str">
        <f>$E$79</f>
        <v>动态</v>
      </c>
      <c r="F320" t="str">
        <f ca="1">BDH($B$79,$C$79,$B$250,$B$251,CONCATENATE("Per=",$B$248),"Dts=H","Dir=H",CONCATENATE("Points=",$B$249),"Sort=R","Days=A","Fill=B",CONCATENATE("FX=", $B$247) )</f>
        <v>#N/A Authorization</v>
      </c>
      <c r="CL320" t="str">
        <f>""</f>
        <v/>
      </c>
      <c r="CM320" t="str">
        <f>""</f>
        <v/>
      </c>
      <c r="CN320" t="str">
        <f>""</f>
        <v/>
      </c>
      <c r="CO320" t="str">
        <f>""</f>
        <v/>
      </c>
      <c r="CP320" t="str">
        <f>""</f>
        <v/>
      </c>
      <c r="CQ320" t="str">
        <f>""</f>
        <v/>
      </c>
      <c r="CR320" t="str">
        <f>""</f>
        <v/>
      </c>
      <c r="CS320" t="str">
        <f>""</f>
        <v/>
      </c>
      <c r="CT320" t="str">
        <f>""</f>
        <v/>
      </c>
      <c r="CU320" t="str">
        <f>""</f>
        <v/>
      </c>
      <c r="CV320" t="str">
        <f>""</f>
        <v/>
      </c>
      <c r="CW320" t="str">
        <f>""</f>
        <v/>
      </c>
      <c r="CX320" t="str">
        <f>""</f>
        <v/>
      </c>
      <c r="CY320" t="str">
        <f>""</f>
        <v/>
      </c>
      <c r="CZ320" t="str">
        <f>""</f>
        <v/>
      </c>
      <c r="DA320" t="str">
        <f>""</f>
        <v/>
      </c>
      <c r="DB320" t="str">
        <f>""</f>
        <v/>
      </c>
      <c r="DC320" t="str">
        <f>""</f>
        <v/>
      </c>
      <c r="DD320" t="str">
        <f>""</f>
        <v/>
      </c>
      <c r="DE320" t="str">
        <f>""</f>
        <v/>
      </c>
      <c r="DF320" t="str">
        <f>""</f>
        <v/>
      </c>
      <c r="DG320" t="str">
        <f>""</f>
        <v/>
      </c>
      <c r="DH320" t="str">
        <f>""</f>
        <v/>
      </c>
      <c r="DI320" t="str">
        <f>""</f>
        <v/>
      </c>
      <c r="DJ320" t="str">
        <f>""</f>
        <v/>
      </c>
      <c r="DK320" t="str">
        <f>""</f>
        <v/>
      </c>
      <c r="DL320" t="str">
        <f>""</f>
        <v/>
      </c>
      <c r="DM320" t="str">
        <f>""</f>
        <v/>
      </c>
      <c r="DN320" t="str">
        <f>""</f>
        <v/>
      </c>
      <c r="DO320" t="str">
        <f>""</f>
        <v/>
      </c>
      <c r="DP320" t="str">
        <f>""</f>
        <v/>
      </c>
      <c r="DQ320" t="str">
        <f>""</f>
        <v/>
      </c>
      <c r="DR320" t="str">
        <f>""</f>
        <v/>
      </c>
      <c r="DS320" t="str">
        <f>""</f>
        <v/>
      </c>
      <c r="DT320" t="str">
        <f>""</f>
        <v/>
      </c>
      <c r="DU320" t="str">
        <f>""</f>
        <v/>
      </c>
      <c r="DV320" t="str">
        <f>""</f>
        <v/>
      </c>
      <c r="DW320" t="str">
        <f>""</f>
        <v/>
      </c>
      <c r="DX320" t="str">
        <f>""</f>
        <v/>
      </c>
      <c r="DY320" t="str">
        <f>""</f>
        <v/>
      </c>
      <c r="DZ320" t="str">
        <f>""</f>
        <v/>
      </c>
      <c r="EA320" t="str">
        <f>""</f>
        <v/>
      </c>
      <c r="EB320" t="str">
        <f>""</f>
        <v/>
      </c>
      <c r="EC320" t="str">
        <f>""</f>
        <v/>
      </c>
      <c r="ED320" t="str">
        <f>""</f>
        <v/>
      </c>
      <c r="EE320" t="str">
        <f>""</f>
        <v/>
      </c>
      <c r="EF320" t="str">
        <f>""</f>
        <v/>
      </c>
      <c r="EG320" t="str">
        <f>""</f>
        <v/>
      </c>
      <c r="EH320" t="str">
        <f>""</f>
        <v/>
      </c>
      <c r="EI320" t="str">
        <f>""</f>
        <v/>
      </c>
      <c r="EJ320" t="str">
        <f>""</f>
        <v/>
      </c>
      <c r="EK320" t="str">
        <f>""</f>
        <v/>
      </c>
      <c r="EL320" t="str">
        <f>""</f>
        <v/>
      </c>
      <c r="EM320" t="str">
        <f>""</f>
        <v/>
      </c>
      <c r="EN320" t="str">
        <f>""</f>
        <v/>
      </c>
      <c r="EO320" t="str">
        <f>""</f>
        <v/>
      </c>
      <c r="EP320" t="str">
        <f>""</f>
        <v/>
      </c>
      <c r="EQ320" t="str">
        <f>""</f>
        <v/>
      </c>
      <c r="ER320" t="str">
        <f>""</f>
        <v/>
      </c>
      <c r="ES320" t="str">
        <f>""</f>
        <v/>
      </c>
      <c r="ET320" t="str">
        <f>""</f>
        <v/>
      </c>
      <c r="EU320" t="str">
        <f>""</f>
        <v/>
      </c>
      <c r="EV320" t="str">
        <f>""</f>
        <v/>
      </c>
      <c r="EW320" t="str">
        <f>""</f>
        <v/>
      </c>
      <c r="EX320" t="str">
        <f>""</f>
        <v/>
      </c>
      <c r="EY320" t="str">
        <f>""</f>
        <v/>
      </c>
      <c r="EZ320" t="str">
        <f>""</f>
        <v/>
      </c>
      <c r="FA320" t="str">
        <f>""</f>
        <v/>
      </c>
      <c r="FB320" t="str">
        <f>""</f>
        <v/>
      </c>
      <c r="FC320" t="str">
        <f>""</f>
        <v/>
      </c>
      <c r="FD320" t="str">
        <f>""</f>
        <v/>
      </c>
      <c r="FE320" t="str">
        <f>""</f>
        <v/>
      </c>
      <c r="FF320" t="str">
        <f>""</f>
        <v/>
      </c>
      <c r="FG320" t="str">
        <f>""</f>
        <v/>
      </c>
      <c r="FH320" t="str">
        <f>""</f>
        <v/>
      </c>
      <c r="FI320" t="str">
        <f>""</f>
        <v/>
      </c>
      <c r="FJ320" t="str">
        <f>""</f>
        <v/>
      </c>
      <c r="FK320" t="str">
        <f>""</f>
        <v/>
      </c>
      <c r="FL320" t="str">
        <f>""</f>
        <v/>
      </c>
      <c r="FM320" t="str">
        <f>""</f>
        <v/>
      </c>
      <c r="FN320" t="str">
        <f>""</f>
        <v/>
      </c>
      <c r="FO320" t="str">
        <f>""</f>
        <v/>
      </c>
      <c r="FP320" t="str">
        <f>""</f>
        <v/>
      </c>
      <c r="FQ320" t="str">
        <f>""</f>
        <v/>
      </c>
    </row>
    <row r="321" spans="1:173">
      <c r="A321" t="str">
        <f>$A$80</f>
        <v xml:space="preserve">    埃塞克斯房地产信托公司</v>
      </c>
      <c r="B321" t="str">
        <f>$B$80</f>
        <v>ESS US Equity</v>
      </c>
      <c r="C321" t="str">
        <f>$C$80</f>
        <v>F0891</v>
      </c>
      <c r="D321" t="str">
        <f>$D$80</f>
        <v>PRICE_TO_FAD_PS</v>
      </c>
      <c r="E321" t="str">
        <f>$E$80</f>
        <v>动态</v>
      </c>
      <c r="F321" t="str">
        <f ca="1">BDH($B$80,$C$80,$B$250,$B$251,CONCATENATE("Per=",$B$248),"Dts=H","Dir=H",CONCATENATE("Points=",$B$249),"Sort=R","Days=A","Fill=B",CONCATENATE("FX=", $B$247) )</f>
        <v>#N/A Authorization</v>
      </c>
      <c r="CL321" t="str">
        <f>""</f>
        <v/>
      </c>
      <c r="CM321" t="str">
        <f>""</f>
        <v/>
      </c>
      <c r="CN321" t="str">
        <f>""</f>
        <v/>
      </c>
      <c r="CO321" t="str">
        <f>""</f>
        <v/>
      </c>
      <c r="CP321" t="str">
        <f>""</f>
        <v/>
      </c>
      <c r="CQ321" t="str">
        <f>""</f>
        <v/>
      </c>
      <c r="CR321" t="str">
        <f>""</f>
        <v/>
      </c>
      <c r="CS321" t="str">
        <f>""</f>
        <v/>
      </c>
      <c r="CT321" t="str">
        <f>""</f>
        <v/>
      </c>
      <c r="CU321" t="str">
        <f>""</f>
        <v/>
      </c>
      <c r="CV321" t="str">
        <f>""</f>
        <v/>
      </c>
      <c r="CW321" t="str">
        <f>""</f>
        <v/>
      </c>
      <c r="CX321" t="str">
        <f>""</f>
        <v/>
      </c>
      <c r="CY321" t="str">
        <f>""</f>
        <v/>
      </c>
      <c r="CZ321" t="str">
        <f>""</f>
        <v/>
      </c>
      <c r="DA321" t="str">
        <f>""</f>
        <v/>
      </c>
      <c r="DB321" t="str">
        <f>""</f>
        <v/>
      </c>
      <c r="DC321" t="str">
        <f>""</f>
        <v/>
      </c>
      <c r="DD321" t="str">
        <f>""</f>
        <v/>
      </c>
      <c r="DE321" t="str">
        <f>""</f>
        <v/>
      </c>
      <c r="DF321" t="str">
        <f>""</f>
        <v/>
      </c>
      <c r="DG321" t="str">
        <f>""</f>
        <v/>
      </c>
      <c r="DH321" t="str">
        <f>""</f>
        <v/>
      </c>
      <c r="DI321" t="str">
        <f>""</f>
        <v/>
      </c>
      <c r="DJ321" t="str">
        <f>""</f>
        <v/>
      </c>
      <c r="DK321" t="str">
        <f>""</f>
        <v/>
      </c>
      <c r="DL321" t="str">
        <f>""</f>
        <v/>
      </c>
      <c r="DM321" t="str">
        <f>""</f>
        <v/>
      </c>
      <c r="DN321" t="str">
        <f>""</f>
        <v/>
      </c>
      <c r="DO321" t="str">
        <f>""</f>
        <v/>
      </c>
      <c r="DP321" t="str">
        <f>""</f>
        <v/>
      </c>
      <c r="DQ321" t="str">
        <f>""</f>
        <v/>
      </c>
      <c r="DR321" t="str">
        <f>""</f>
        <v/>
      </c>
      <c r="DS321" t="str">
        <f>""</f>
        <v/>
      </c>
      <c r="DT321" t="str">
        <f>""</f>
        <v/>
      </c>
      <c r="DU321" t="str">
        <f>""</f>
        <v/>
      </c>
      <c r="DV321" t="str">
        <f>""</f>
        <v/>
      </c>
      <c r="DW321" t="str">
        <f>""</f>
        <v/>
      </c>
      <c r="DX321" t="str">
        <f>""</f>
        <v/>
      </c>
      <c r="DY321" t="str">
        <f>""</f>
        <v/>
      </c>
      <c r="DZ321" t="str">
        <f>""</f>
        <v/>
      </c>
      <c r="EA321" t="str">
        <f>""</f>
        <v/>
      </c>
      <c r="EB321" t="str">
        <f>""</f>
        <v/>
      </c>
      <c r="EC321" t="str">
        <f>""</f>
        <v/>
      </c>
      <c r="ED321" t="str">
        <f>""</f>
        <v/>
      </c>
      <c r="EE321" t="str">
        <f>""</f>
        <v/>
      </c>
      <c r="EF321" t="str">
        <f>""</f>
        <v/>
      </c>
      <c r="EG321" t="str">
        <f>""</f>
        <v/>
      </c>
      <c r="EH321" t="str">
        <f>""</f>
        <v/>
      </c>
      <c r="EI321" t="str">
        <f>""</f>
        <v/>
      </c>
      <c r="EJ321" t="str">
        <f>""</f>
        <v/>
      </c>
      <c r="EK321" t="str">
        <f>""</f>
        <v/>
      </c>
      <c r="EL321" t="str">
        <f>""</f>
        <v/>
      </c>
      <c r="EM321" t="str">
        <f>""</f>
        <v/>
      </c>
      <c r="EN321" t="str">
        <f>""</f>
        <v/>
      </c>
      <c r="EO321" t="str">
        <f>""</f>
        <v/>
      </c>
      <c r="EP321" t="str">
        <f>""</f>
        <v/>
      </c>
      <c r="EQ321" t="str">
        <f>""</f>
        <v/>
      </c>
      <c r="ER321" t="str">
        <f>""</f>
        <v/>
      </c>
      <c r="ES321" t="str">
        <f>""</f>
        <v/>
      </c>
      <c r="ET321" t="str">
        <f>""</f>
        <v/>
      </c>
      <c r="EU321" t="str">
        <f>""</f>
        <v/>
      </c>
      <c r="EV321" t="str">
        <f>""</f>
        <v/>
      </c>
      <c r="EW321" t="str">
        <f>""</f>
        <v/>
      </c>
      <c r="EX321" t="str">
        <f>""</f>
        <v/>
      </c>
      <c r="EY321" t="str">
        <f>""</f>
        <v/>
      </c>
      <c r="EZ321" t="str">
        <f>""</f>
        <v/>
      </c>
      <c r="FA321" t="str">
        <f>""</f>
        <v/>
      </c>
      <c r="FB321" t="str">
        <f>""</f>
        <v/>
      </c>
      <c r="FC321" t="str">
        <f>""</f>
        <v/>
      </c>
      <c r="FD321" t="str">
        <f>""</f>
        <v/>
      </c>
      <c r="FE321" t="str">
        <f>""</f>
        <v/>
      </c>
      <c r="FF321" t="str">
        <f>""</f>
        <v/>
      </c>
      <c r="FG321" t="str">
        <f>""</f>
        <v/>
      </c>
      <c r="FH321" t="str">
        <f>""</f>
        <v/>
      </c>
      <c r="FI321" t="str">
        <f>""</f>
        <v/>
      </c>
      <c r="FJ321" t="str">
        <f>""</f>
        <v/>
      </c>
      <c r="FK321" t="str">
        <f>""</f>
        <v/>
      </c>
      <c r="FL321" t="str">
        <f>""</f>
        <v/>
      </c>
      <c r="FM321" t="str">
        <f>""</f>
        <v/>
      </c>
      <c r="FN321" t="str">
        <f>""</f>
        <v/>
      </c>
      <c r="FO321" t="str">
        <f>""</f>
        <v/>
      </c>
      <c r="FP321" t="str">
        <f>""</f>
        <v/>
      </c>
      <c r="FQ321" t="str">
        <f>""</f>
        <v/>
      </c>
    </row>
    <row r="322" spans="1:173">
      <c r="A322" t="str">
        <f>$A$81</f>
        <v xml:space="preserve">    Mid-America Apartment Communities股份有限公司</v>
      </c>
      <c r="B322" t="str">
        <f>$B$81</f>
        <v>MAA US Equity</v>
      </c>
      <c r="C322" t="str">
        <f>$C$81</f>
        <v>F0891</v>
      </c>
      <c r="D322" t="str">
        <f>$D$81</f>
        <v>PRICE_TO_FAD_PS</v>
      </c>
      <c r="E322" t="str">
        <f>$E$81</f>
        <v>动态</v>
      </c>
      <c r="F322" t="str">
        <f ca="1">BDH($B$81,$C$81,$B$250,$B$251,CONCATENATE("Per=",$B$248),"Dts=H","Dir=H",CONCATENATE("Points=",$B$249),"Sort=R","Days=A","Fill=B",CONCATENATE("FX=", $B$247) )</f>
        <v>#N/A Authorization</v>
      </c>
      <c r="CL322" t="str">
        <f>""</f>
        <v/>
      </c>
      <c r="CM322" t="str">
        <f>""</f>
        <v/>
      </c>
      <c r="CN322" t="str">
        <f>""</f>
        <v/>
      </c>
      <c r="CO322" t="str">
        <f>""</f>
        <v/>
      </c>
      <c r="CP322" t="str">
        <f>""</f>
        <v/>
      </c>
      <c r="CQ322" t="str">
        <f>""</f>
        <v/>
      </c>
      <c r="CR322" t="str">
        <f>""</f>
        <v/>
      </c>
      <c r="CS322" t="str">
        <f>""</f>
        <v/>
      </c>
      <c r="CT322" t="str">
        <f>""</f>
        <v/>
      </c>
      <c r="CU322" t="str">
        <f>""</f>
        <v/>
      </c>
      <c r="CV322" t="str">
        <f>""</f>
        <v/>
      </c>
      <c r="CW322" t="str">
        <f>""</f>
        <v/>
      </c>
      <c r="CX322" t="str">
        <f>""</f>
        <v/>
      </c>
      <c r="CY322" t="str">
        <f>""</f>
        <v/>
      </c>
      <c r="CZ322" t="str">
        <f>""</f>
        <v/>
      </c>
      <c r="DA322" t="str">
        <f>""</f>
        <v/>
      </c>
      <c r="DB322" t="str">
        <f>""</f>
        <v/>
      </c>
      <c r="DC322" t="str">
        <f>""</f>
        <v/>
      </c>
      <c r="DD322" t="str">
        <f>""</f>
        <v/>
      </c>
      <c r="DE322" t="str">
        <f>""</f>
        <v/>
      </c>
      <c r="DF322" t="str">
        <f>""</f>
        <v/>
      </c>
      <c r="DG322" t="str">
        <f>""</f>
        <v/>
      </c>
      <c r="DH322" t="str">
        <f>""</f>
        <v/>
      </c>
      <c r="DI322" t="str">
        <f>""</f>
        <v/>
      </c>
      <c r="DJ322" t="str">
        <f>""</f>
        <v/>
      </c>
      <c r="DK322" t="str">
        <f>""</f>
        <v/>
      </c>
      <c r="DL322" t="str">
        <f>""</f>
        <v/>
      </c>
      <c r="DM322" t="str">
        <f>""</f>
        <v/>
      </c>
      <c r="DN322" t="str">
        <f>""</f>
        <v/>
      </c>
      <c r="DO322" t="str">
        <f>""</f>
        <v/>
      </c>
      <c r="DP322" t="str">
        <f>""</f>
        <v/>
      </c>
      <c r="DQ322" t="str">
        <f>""</f>
        <v/>
      </c>
      <c r="DR322" t="str">
        <f>""</f>
        <v/>
      </c>
      <c r="DS322" t="str">
        <f>""</f>
        <v/>
      </c>
      <c r="DT322" t="str">
        <f>""</f>
        <v/>
      </c>
      <c r="DU322" t="str">
        <f>""</f>
        <v/>
      </c>
      <c r="DV322" t="str">
        <f>""</f>
        <v/>
      </c>
      <c r="DW322" t="str">
        <f>""</f>
        <v/>
      </c>
      <c r="DX322" t="str">
        <f>""</f>
        <v/>
      </c>
      <c r="DY322" t="str">
        <f>""</f>
        <v/>
      </c>
      <c r="DZ322" t="str">
        <f>""</f>
        <v/>
      </c>
      <c r="EA322" t="str">
        <f>""</f>
        <v/>
      </c>
      <c r="EB322" t="str">
        <f>""</f>
        <v/>
      </c>
      <c r="EC322" t="str">
        <f>""</f>
        <v/>
      </c>
      <c r="ED322" t="str">
        <f>""</f>
        <v/>
      </c>
      <c r="EE322" t="str">
        <f>""</f>
        <v/>
      </c>
      <c r="EF322" t="str">
        <f>""</f>
        <v/>
      </c>
      <c r="EG322" t="str">
        <f>""</f>
        <v/>
      </c>
      <c r="EH322" t="str">
        <f>""</f>
        <v/>
      </c>
      <c r="EI322" t="str">
        <f>""</f>
        <v/>
      </c>
      <c r="EJ322" t="str">
        <f>""</f>
        <v/>
      </c>
      <c r="EK322" t="str">
        <f>""</f>
        <v/>
      </c>
      <c r="EL322" t="str">
        <f>""</f>
        <v/>
      </c>
      <c r="EM322" t="str">
        <f>""</f>
        <v/>
      </c>
      <c r="EN322" t="str">
        <f>""</f>
        <v/>
      </c>
      <c r="EO322" t="str">
        <f>""</f>
        <v/>
      </c>
      <c r="EP322" t="str">
        <f>""</f>
        <v/>
      </c>
      <c r="EQ322" t="str">
        <f>""</f>
        <v/>
      </c>
      <c r="ER322" t="str">
        <f>""</f>
        <v/>
      </c>
      <c r="ES322" t="str">
        <f>""</f>
        <v/>
      </c>
      <c r="ET322" t="str">
        <f>""</f>
        <v/>
      </c>
      <c r="EU322" t="str">
        <f>""</f>
        <v/>
      </c>
      <c r="EV322" t="str">
        <f>""</f>
        <v/>
      </c>
      <c r="EW322" t="str">
        <f>""</f>
        <v/>
      </c>
      <c r="EX322" t="str">
        <f>""</f>
        <v/>
      </c>
      <c r="EY322" t="str">
        <f>""</f>
        <v/>
      </c>
      <c r="EZ322" t="str">
        <f>""</f>
        <v/>
      </c>
      <c r="FA322" t="str">
        <f>""</f>
        <v/>
      </c>
      <c r="FB322" t="str">
        <f>""</f>
        <v/>
      </c>
      <c r="FC322" t="str">
        <f>""</f>
        <v/>
      </c>
      <c r="FD322" t="str">
        <f>""</f>
        <v/>
      </c>
      <c r="FE322" t="str">
        <f>""</f>
        <v/>
      </c>
      <c r="FF322" t="str">
        <f>""</f>
        <v/>
      </c>
      <c r="FG322" t="str">
        <f>""</f>
        <v/>
      </c>
      <c r="FH322" t="str">
        <f>""</f>
        <v/>
      </c>
      <c r="FI322" t="str">
        <f>""</f>
        <v/>
      </c>
      <c r="FJ322" t="str">
        <f>""</f>
        <v/>
      </c>
      <c r="FK322" t="str">
        <f>""</f>
        <v/>
      </c>
      <c r="FL322" t="str">
        <f>""</f>
        <v/>
      </c>
      <c r="FM322" t="str">
        <f>""</f>
        <v/>
      </c>
      <c r="FN322" t="str">
        <f>""</f>
        <v/>
      </c>
      <c r="FO322" t="str">
        <f>""</f>
        <v/>
      </c>
      <c r="FP322" t="str">
        <f>""</f>
        <v/>
      </c>
      <c r="FQ322" t="str">
        <f>""</f>
        <v/>
      </c>
    </row>
    <row r="323" spans="1:173">
      <c r="A323" t="str">
        <f>$A$82</f>
        <v xml:space="preserve">    UDR 公司</v>
      </c>
      <c r="B323" t="str">
        <f>$B$82</f>
        <v>UDR US Equity</v>
      </c>
      <c r="C323" t="str">
        <f>$C$82</f>
        <v>F0891</v>
      </c>
      <c r="D323" t="str">
        <f>$D$82</f>
        <v>PRICE_TO_FAD_PS</v>
      </c>
      <c r="E323" t="str">
        <f>$E$82</f>
        <v>动态</v>
      </c>
      <c r="F323" t="str">
        <f ca="1">BDH($B$82,$C$82,$B$250,$B$251,CONCATENATE("Per=",$B$248),"Dts=H","Dir=H",CONCATENATE("Points=",$B$249),"Sort=R","Days=A","Fill=B",CONCATENATE("FX=", $B$247) )</f>
        <v>#N/A Authorization</v>
      </c>
      <c r="CL323" t="str">
        <f>""</f>
        <v/>
      </c>
      <c r="CM323" t="str">
        <f>""</f>
        <v/>
      </c>
      <c r="CN323" t="str">
        <f>""</f>
        <v/>
      </c>
      <c r="CO323" t="str">
        <f>""</f>
        <v/>
      </c>
      <c r="CP323" t="str">
        <f>""</f>
        <v/>
      </c>
      <c r="CQ323" t="str">
        <f>""</f>
        <v/>
      </c>
      <c r="CR323" t="str">
        <f>""</f>
        <v/>
      </c>
      <c r="CS323" t="str">
        <f>""</f>
        <v/>
      </c>
      <c r="CT323" t="str">
        <f>""</f>
        <v/>
      </c>
      <c r="CU323" t="str">
        <f>""</f>
        <v/>
      </c>
      <c r="CV323" t="str">
        <f>""</f>
        <v/>
      </c>
      <c r="CW323" t="str">
        <f>""</f>
        <v/>
      </c>
      <c r="CX323" t="str">
        <f>""</f>
        <v/>
      </c>
      <c r="CY323" t="str">
        <f>""</f>
        <v/>
      </c>
      <c r="CZ323" t="str">
        <f>""</f>
        <v/>
      </c>
      <c r="DA323" t="str">
        <f>""</f>
        <v/>
      </c>
      <c r="DB323" t="str">
        <f>""</f>
        <v/>
      </c>
      <c r="DC323" t="str">
        <f>""</f>
        <v/>
      </c>
      <c r="DD323" t="str">
        <f>""</f>
        <v/>
      </c>
      <c r="DE323" t="str">
        <f>""</f>
        <v/>
      </c>
      <c r="DF323" t="str">
        <f>""</f>
        <v/>
      </c>
      <c r="DG323" t="str">
        <f>""</f>
        <v/>
      </c>
      <c r="DH323" t="str">
        <f>""</f>
        <v/>
      </c>
      <c r="DI323" t="str">
        <f>""</f>
        <v/>
      </c>
      <c r="DJ323" t="str">
        <f>""</f>
        <v/>
      </c>
      <c r="DK323" t="str">
        <f>""</f>
        <v/>
      </c>
      <c r="DL323" t="str">
        <f>""</f>
        <v/>
      </c>
      <c r="DM323" t="str">
        <f>""</f>
        <v/>
      </c>
      <c r="DN323" t="str">
        <f>""</f>
        <v/>
      </c>
      <c r="DO323" t="str">
        <f>""</f>
        <v/>
      </c>
      <c r="DP323" t="str">
        <f>""</f>
        <v/>
      </c>
      <c r="DQ323" t="str">
        <f>""</f>
        <v/>
      </c>
      <c r="DR323" t="str">
        <f>""</f>
        <v/>
      </c>
      <c r="DS323" t="str">
        <f>""</f>
        <v/>
      </c>
      <c r="DT323" t="str">
        <f>""</f>
        <v/>
      </c>
      <c r="DU323" t="str">
        <f>""</f>
        <v/>
      </c>
      <c r="DV323" t="str">
        <f>""</f>
        <v/>
      </c>
      <c r="DW323" t="str">
        <f>""</f>
        <v/>
      </c>
      <c r="DX323" t="str">
        <f>""</f>
        <v/>
      </c>
      <c r="DY323" t="str">
        <f>""</f>
        <v/>
      </c>
      <c r="DZ323" t="str">
        <f>""</f>
        <v/>
      </c>
      <c r="EA323" t="str">
        <f>""</f>
        <v/>
      </c>
      <c r="EB323" t="str">
        <f>""</f>
        <v/>
      </c>
      <c r="EC323" t="str">
        <f>""</f>
        <v/>
      </c>
      <c r="ED323" t="str">
        <f>""</f>
        <v/>
      </c>
      <c r="EE323" t="str">
        <f>""</f>
        <v/>
      </c>
      <c r="EF323" t="str">
        <f>""</f>
        <v/>
      </c>
      <c r="EG323" t="str">
        <f>""</f>
        <v/>
      </c>
      <c r="EH323" t="str">
        <f>""</f>
        <v/>
      </c>
      <c r="EI323" t="str">
        <f>""</f>
        <v/>
      </c>
      <c r="EJ323" t="str">
        <f>""</f>
        <v/>
      </c>
      <c r="EK323" t="str">
        <f>""</f>
        <v/>
      </c>
      <c r="EL323" t="str">
        <f>""</f>
        <v/>
      </c>
      <c r="EM323" t="str">
        <f>""</f>
        <v/>
      </c>
      <c r="EN323" t="str">
        <f>""</f>
        <v/>
      </c>
      <c r="EO323" t="str">
        <f>""</f>
        <v/>
      </c>
      <c r="EP323" t="str">
        <f>""</f>
        <v/>
      </c>
      <c r="EQ323" t="str">
        <f>""</f>
        <v/>
      </c>
      <c r="ER323" t="str">
        <f>""</f>
        <v/>
      </c>
      <c r="ES323" t="str">
        <f>""</f>
        <v/>
      </c>
      <c r="ET323" t="str">
        <f>""</f>
        <v/>
      </c>
      <c r="EU323" t="str">
        <f>""</f>
        <v/>
      </c>
      <c r="EV323" t="str">
        <f>""</f>
        <v/>
      </c>
      <c r="EW323" t="str">
        <f>""</f>
        <v/>
      </c>
      <c r="EX323" t="str">
        <f>""</f>
        <v/>
      </c>
      <c r="EY323" t="str">
        <f>""</f>
        <v/>
      </c>
      <c r="EZ323" t="str">
        <f>""</f>
        <v/>
      </c>
      <c r="FA323" t="str">
        <f>""</f>
        <v/>
      </c>
      <c r="FB323" t="str">
        <f>""</f>
        <v/>
      </c>
      <c r="FC323" t="str">
        <f>""</f>
        <v/>
      </c>
      <c r="FD323" t="str">
        <f>""</f>
        <v/>
      </c>
      <c r="FE323" t="str">
        <f>""</f>
        <v/>
      </c>
      <c r="FF323" t="str">
        <f>""</f>
        <v/>
      </c>
      <c r="FG323" t="str">
        <f>""</f>
        <v/>
      </c>
      <c r="FH323" t="str">
        <f>""</f>
        <v/>
      </c>
      <c r="FI323" t="str">
        <f>""</f>
        <v/>
      </c>
      <c r="FJ323" t="str">
        <f>""</f>
        <v/>
      </c>
      <c r="FK323" t="str">
        <f>""</f>
        <v/>
      </c>
      <c r="FL323" t="str">
        <f>""</f>
        <v/>
      </c>
      <c r="FM323" t="str">
        <f>""</f>
        <v/>
      </c>
      <c r="FN323" t="str">
        <f>""</f>
        <v/>
      </c>
      <c r="FO323" t="str">
        <f>""</f>
        <v/>
      </c>
      <c r="FP323" t="str">
        <f>""</f>
        <v/>
      </c>
      <c r="FQ323" t="str">
        <f>""</f>
        <v/>
      </c>
    </row>
    <row r="324" spans="1:173">
      <c r="A324" t="str">
        <f>$A$110</f>
        <v xml:space="preserve">    Apartment Investment &amp; Managem</v>
      </c>
      <c r="B324" t="str">
        <f>$B$110</f>
        <v>AIV US Equity</v>
      </c>
      <c r="C324" t="str">
        <f>$C$110</f>
        <v>F0581</v>
      </c>
      <c r="D324" t="str">
        <f>$D$110</f>
        <v>ADJUSTED_FFOPS</v>
      </c>
      <c r="E324" t="str">
        <f>$E$110</f>
        <v>动态</v>
      </c>
      <c r="F324" t="str">
        <f ca="1">BDH($B$110,$C$110,$B$250,$B$251,CONCATENATE("Per=",$B$248),"Dts=H","Dir=H",CONCATENATE("Points=",$B$249),"Sort=R","Days=A","Fill=B",CONCATENATE("FX=", $B$247) )</f>
        <v>#N/A Authorization</v>
      </c>
      <c r="CL324" t="str">
        <f>""</f>
        <v/>
      </c>
      <c r="CM324" t="str">
        <f>""</f>
        <v/>
      </c>
      <c r="CN324" t="str">
        <f>""</f>
        <v/>
      </c>
      <c r="CO324" t="str">
        <f>""</f>
        <v/>
      </c>
      <c r="CP324" t="str">
        <f>""</f>
        <v/>
      </c>
      <c r="CQ324" t="str">
        <f>""</f>
        <v/>
      </c>
      <c r="CR324" t="str">
        <f>""</f>
        <v/>
      </c>
      <c r="CS324" t="str">
        <f>""</f>
        <v/>
      </c>
      <c r="CT324" t="str">
        <f>""</f>
        <v/>
      </c>
      <c r="CU324" t="str">
        <f>""</f>
        <v/>
      </c>
      <c r="CV324" t="str">
        <f>""</f>
        <v/>
      </c>
      <c r="CW324" t="str">
        <f>""</f>
        <v/>
      </c>
      <c r="CX324" t="str">
        <f>""</f>
        <v/>
      </c>
      <c r="CY324" t="str">
        <f>""</f>
        <v/>
      </c>
      <c r="CZ324" t="str">
        <f>""</f>
        <v/>
      </c>
      <c r="DA324" t="str">
        <f>""</f>
        <v/>
      </c>
      <c r="DB324" t="str">
        <f>""</f>
        <v/>
      </c>
      <c r="DC324" t="str">
        <f>""</f>
        <v/>
      </c>
      <c r="DD324" t="str">
        <f>""</f>
        <v/>
      </c>
      <c r="DE324" t="str">
        <f>""</f>
        <v/>
      </c>
      <c r="DF324" t="str">
        <f>""</f>
        <v/>
      </c>
      <c r="DG324" t="str">
        <f>""</f>
        <v/>
      </c>
      <c r="DH324" t="str">
        <f>""</f>
        <v/>
      </c>
      <c r="DI324" t="str">
        <f>""</f>
        <v/>
      </c>
      <c r="DJ324" t="str">
        <f>""</f>
        <v/>
      </c>
      <c r="DK324" t="str">
        <f>""</f>
        <v/>
      </c>
      <c r="DL324" t="str">
        <f>""</f>
        <v/>
      </c>
      <c r="DM324" t="str">
        <f>""</f>
        <v/>
      </c>
      <c r="DN324" t="str">
        <f>""</f>
        <v/>
      </c>
      <c r="DO324" t="str">
        <f>""</f>
        <v/>
      </c>
      <c r="DP324" t="str">
        <f>""</f>
        <v/>
      </c>
      <c r="DQ324" t="str">
        <f>""</f>
        <v/>
      </c>
      <c r="DR324" t="str">
        <f>""</f>
        <v/>
      </c>
      <c r="DS324" t="str">
        <f>""</f>
        <v/>
      </c>
      <c r="DT324" t="str">
        <f>""</f>
        <v/>
      </c>
      <c r="DU324" t="str">
        <f>""</f>
        <v/>
      </c>
      <c r="DV324" t="str">
        <f>""</f>
        <v/>
      </c>
      <c r="DW324" t="str">
        <f>""</f>
        <v/>
      </c>
      <c r="DX324" t="str">
        <f>""</f>
        <v/>
      </c>
      <c r="DY324" t="str">
        <f>""</f>
        <v/>
      </c>
      <c r="DZ324" t="str">
        <f>""</f>
        <v/>
      </c>
      <c r="EA324" t="str">
        <f>""</f>
        <v/>
      </c>
      <c r="EB324" t="str">
        <f>""</f>
        <v/>
      </c>
      <c r="EC324" t="str">
        <f>""</f>
        <v/>
      </c>
      <c r="ED324" t="str">
        <f>""</f>
        <v/>
      </c>
      <c r="EE324" t="str">
        <f>""</f>
        <v/>
      </c>
      <c r="EF324" t="str">
        <f>""</f>
        <v/>
      </c>
      <c r="EG324" t="str">
        <f>""</f>
        <v/>
      </c>
      <c r="EH324" t="str">
        <f>""</f>
        <v/>
      </c>
      <c r="EI324" t="str">
        <f>""</f>
        <v/>
      </c>
      <c r="EJ324" t="str">
        <f>""</f>
        <v/>
      </c>
      <c r="EK324" t="str">
        <f>""</f>
        <v/>
      </c>
      <c r="EL324" t="str">
        <f>""</f>
        <v/>
      </c>
      <c r="EM324" t="str">
        <f>""</f>
        <v/>
      </c>
      <c r="EN324" t="str">
        <f>""</f>
        <v/>
      </c>
      <c r="EO324" t="str">
        <f>""</f>
        <v/>
      </c>
      <c r="EP324" t="str">
        <f>""</f>
        <v/>
      </c>
      <c r="EQ324" t="str">
        <f>""</f>
        <v/>
      </c>
      <c r="ER324" t="str">
        <f>""</f>
        <v/>
      </c>
      <c r="ES324" t="str">
        <f>""</f>
        <v/>
      </c>
      <c r="ET324" t="str">
        <f>""</f>
        <v/>
      </c>
      <c r="EU324" t="str">
        <f>""</f>
        <v/>
      </c>
      <c r="EV324" t="str">
        <f>""</f>
        <v/>
      </c>
      <c r="EW324" t="str">
        <f>""</f>
        <v/>
      </c>
      <c r="EX324" t="str">
        <f>""</f>
        <v/>
      </c>
      <c r="EY324" t="str">
        <f>""</f>
        <v/>
      </c>
      <c r="EZ324" t="str">
        <f>""</f>
        <v/>
      </c>
      <c r="FA324" t="str">
        <f>""</f>
        <v/>
      </c>
      <c r="FB324" t="str">
        <f>""</f>
        <v/>
      </c>
      <c r="FC324" t="str">
        <f>""</f>
        <v/>
      </c>
      <c r="FD324" t="str">
        <f>""</f>
        <v/>
      </c>
      <c r="FE324" t="str">
        <f>""</f>
        <v/>
      </c>
      <c r="FF324" t="str">
        <f>""</f>
        <v/>
      </c>
      <c r="FG324" t="str">
        <f>""</f>
        <v/>
      </c>
      <c r="FH324" t="str">
        <f>""</f>
        <v/>
      </c>
      <c r="FI324" t="str">
        <f>""</f>
        <v/>
      </c>
      <c r="FJ324" t="str">
        <f>""</f>
        <v/>
      </c>
      <c r="FK324" t="str">
        <f>""</f>
        <v/>
      </c>
      <c r="FL324" t="str">
        <f>""</f>
        <v/>
      </c>
      <c r="FM324" t="str">
        <f>""</f>
        <v/>
      </c>
      <c r="FN324" t="str">
        <f>""</f>
        <v/>
      </c>
      <c r="FO324" t="str">
        <f>""</f>
        <v/>
      </c>
      <c r="FP324" t="str">
        <f>""</f>
        <v/>
      </c>
      <c r="FQ324" t="str">
        <f>""</f>
        <v/>
      </c>
    </row>
    <row r="325" spans="1:173">
      <c r="A325" t="str">
        <f>$A$111</f>
        <v xml:space="preserve">    AvalonBay Communities Inc</v>
      </c>
      <c r="B325" t="str">
        <f>$B$111</f>
        <v>AVB US Equity</v>
      </c>
      <c r="C325" t="str">
        <f>$C$111</f>
        <v>F0581</v>
      </c>
      <c r="D325" t="str">
        <f>$D$111</f>
        <v>ADJUSTED_FFOPS</v>
      </c>
      <c r="E325" t="str">
        <f>$E$111</f>
        <v>动态</v>
      </c>
      <c r="F325" t="str">
        <f ca="1">BDH($B$111,$C$111,$B$250,$B$251,CONCATENATE("Per=",$B$248),"Dts=H","Dir=H",CONCATENATE("Points=",$B$249),"Sort=R","Days=A","Fill=B",CONCATENATE("FX=", $B$247) )</f>
        <v>#N/A Authorization</v>
      </c>
      <c r="CL325" t="str">
        <f>""</f>
        <v/>
      </c>
      <c r="CM325" t="str">
        <f>""</f>
        <v/>
      </c>
      <c r="CN325" t="str">
        <f>""</f>
        <v/>
      </c>
      <c r="CO325" t="str">
        <f>""</f>
        <v/>
      </c>
      <c r="CP325" t="str">
        <f>""</f>
        <v/>
      </c>
      <c r="CQ325" t="str">
        <f>""</f>
        <v/>
      </c>
      <c r="CR325" t="str">
        <f>""</f>
        <v/>
      </c>
      <c r="CS325" t="str">
        <f>""</f>
        <v/>
      </c>
      <c r="CT325" t="str">
        <f>""</f>
        <v/>
      </c>
      <c r="CU325" t="str">
        <f>""</f>
        <v/>
      </c>
      <c r="CV325" t="str">
        <f>""</f>
        <v/>
      </c>
      <c r="CW325" t="str">
        <f>""</f>
        <v/>
      </c>
      <c r="CX325" t="str">
        <f>""</f>
        <v/>
      </c>
      <c r="CY325" t="str">
        <f>""</f>
        <v/>
      </c>
      <c r="CZ325" t="str">
        <f>""</f>
        <v/>
      </c>
      <c r="DA325" t="str">
        <f>""</f>
        <v/>
      </c>
      <c r="DB325" t="str">
        <f>""</f>
        <v/>
      </c>
      <c r="DC325" t="str">
        <f>""</f>
        <v/>
      </c>
      <c r="DD325" t="str">
        <f>""</f>
        <v/>
      </c>
      <c r="DE325" t="str">
        <f>""</f>
        <v/>
      </c>
      <c r="DF325" t="str">
        <f>""</f>
        <v/>
      </c>
      <c r="DG325" t="str">
        <f>""</f>
        <v/>
      </c>
      <c r="DH325" t="str">
        <f>""</f>
        <v/>
      </c>
      <c r="DI325" t="str">
        <f>""</f>
        <v/>
      </c>
      <c r="DJ325" t="str">
        <f>""</f>
        <v/>
      </c>
      <c r="DK325" t="str">
        <f>""</f>
        <v/>
      </c>
      <c r="DL325" t="str">
        <f>""</f>
        <v/>
      </c>
      <c r="DM325" t="str">
        <f>""</f>
        <v/>
      </c>
      <c r="DN325" t="str">
        <f>""</f>
        <v/>
      </c>
      <c r="DO325" t="str">
        <f>""</f>
        <v/>
      </c>
      <c r="DP325" t="str">
        <f>""</f>
        <v/>
      </c>
      <c r="DQ325" t="str">
        <f>""</f>
        <v/>
      </c>
      <c r="DR325" t="str">
        <f>""</f>
        <v/>
      </c>
      <c r="DS325" t="str">
        <f>""</f>
        <v/>
      </c>
      <c r="DT325" t="str">
        <f>""</f>
        <v/>
      </c>
      <c r="DU325" t="str">
        <f>""</f>
        <v/>
      </c>
      <c r="DV325" t="str">
        <f>""</f>
        <v/>
      </c>
      <c r="DW325" t="str">
        <f>""</f>
        <v/>
      </c>
      <c r="DX325" t="str">
        <f>""</f>
        <v/>
      </c>
      <c r="DY325" t="str">
        <f>""</f>
        <v/>
      </c>
      <c r="DZ325" t="str">
        <f>""</f>
        <v/>
      </c>
      <c r="EA325" t="str">
        <f>""</f>
        <v/>
      </c>
      <c r="EB325" t="str">
        <f>""</f>
        <v/>
      </c>
      <c r="EC325" t="str">
        <f>""</f>
        <v/>
      </c>
      <c r="ED325" t="str">
        <f>""</f>
        <v/>
      </c>
      <c r="EE325" t="str">
        <f>""</f>
        <v/>
      </c>
      <c r="EF325" t="str">
        <f>""</f>
        <v/>
      </c>
      <c r="EG325" t="str">
        <f>""</f>
        <v/>
      </c>
      <c r="EH325" t="str">
        <f>""</f>
        <v/>
      </c>
      <c r="EI325" t="str">
        <f>""</f>
        <v/>
      </c>
      <c r="EJ325" t="str">
        <f>""</f>
        <v/>
      </c>
      <c r="EK325" t="str">
        <f>""</f>
        <v/>
      </c>
      <c r="EL325" t="str">
        <f>""</f>
        <v/>
      </c>
      <c r="EM325" t="str">
        <f>""</f>
        <v/>
      </c>
      <c r="EN325" t="str">
        <f>""</f>
        <v/>
      </c>
      <c r="EO325" t="str">
        <f>""</f>
        <v/>
      </c>
      <c r="EP325" t="str">
        <f>""</f>
        <v/>
      </c>
      <c r="EQ325" t="str">
        <f>""</f>
        <v/>
      </c>
      <c r="ER325" t="str">
        <f>""</f>
        <v/>
      </c>
      <c r="ES325" t="str">
        <f>""</f>
        <v/>
      </c>
      <c r="ET325" t="str">
        <f>""</f>
        <v/>
      </c>
      <c r="EU325" t="str">
        <f>""</f>
        <v/>
      </c>
      <c r="EV325" t="str">
        <f>""</f>
        <v/>
      </c>
      <c r="EW325" t="str">
        <f>""</f>
        <v/>
      </c>
      <c r="EX325" t="str">
        <f>""</f>
        <v/>
      </c>
      <c r="EY325" t="str">
        <f>""</f>
        <v/>
      </c>
      <c r="EZ325" t="str">
        <f>""</f>
        <v/>
      </c>
      <c r="FA325" t="str">
        <f>""</f>
        <v/>
      </c>
      <c r="FB325" t="str">
        <f>""</f>
        <v/>
      </c>
      <c r="FC325" t="str">
        <f>""</f>
        <v/>
      </c>
      <c r="FD325" t="str">
        <f>""</f>
        <v/>
      </c>
      <c r="FE325" t="str">
        <f>""</f>
        <v/>
      </c>
      <c r="FF325" t="str">
        <f>""</f>
        <v/>
      </c>
      <c r="FG325" t="str">
        <f>""</f>
        <v/>
      </c>
      <c r="FH325" t="str">
        <f>""</f>
        <v/>
      </c>
      <c r="FI325" t="str">
        <f>""</f>
        <v/>
      </c>
      <c r="FJ325" t="str">
        <f>""</f>
        <v/>
      </c>
      <c r="FK325" t="str">
        <f>""</f>
        <v/>
      </c>
      <c r="FL325" t="str">
        <f>""</f>
        <v/>
      </c>
      <c r="FM325" t="str">
        <f>""</f>
        <v/>
      </c>
      <c r="FN325" t="str">
        <f>""</f>
        <v/>
      </c>
      <c r="FO325" t="str">
        <f>""</f>
        <v/>
      </c>
      <c r="FP325" t="str">
        <f>""</f>
        <v/>
      </c>
      <c r="FQ325" t="str">
        <f>""</f>
        <v/>
      </c>
    </row>
    <row r="326" spans="1:173">
      <c r="A326" t="str">
        <f>$A$112</f>
        <v xml:space="preserve">    Camden Property Trust</v>
      </c>
      <c r="B326" t="str">
        <f>$B$112</f>
        <v>CPT US Equity</v>
      </c>
      <c r="C326" t="str">
        <f>$C$112</f>
        <v>F0581</v>
      </c>
      <c r="D326" t="str">
        <f>$D$112</f>
        <v>ADJUSTED_FFOPS</v>
      </c>
      <c r="E326" t="str">
        <f>$E$112</f>
        <v>动态</v>
      </c>
      <c r="F326" t="str">
        <f ca="1">BDH($B$112,$C$112,$B$250,$B$251,CONCATENATE("Per=",$B$248),"Dts=H","Dir=H",CONCATENATE("Points=",$B$249),"Sort=R","Days=A","Fill=B",CONCATENATE("FX=", $B$247) )</f>
        <v>#N/A Authorization</v>
      </c>
      <c r="CL326" t="str">
        <f>""</f>
        <v/>
      </c>
      <c r="CM326" t="str">
        <f>""</f>
        <v/>
      </c>
      <c r="CN326" t="str">
        <f>""</f>
        <v/>
      </c>
      <c r="CO326" t="str">
        <f>""</f>
        <v/>
      </c>
      <c r="CP326" t="str">
        <f>""</f>
        <v/>
      </c>
      <c r="CQ326" t="str">
        <f>""</f>
        <v/>
      </c>
      <c r="CR326" t="str">
        <f>""</f>
        <v/>
      </c>
      <c r="CS326" t="str">
        <f>""</f>
        <v/>
      </c>
      <c r="CT326" t="str">
        <f>""</f>
        <v/>
      </c>
      <c r="CU326" t="str">
        <f>""</f>
        <v/>
      </c>
      <c r="CV326" t="str">
        <f>""</f>
        <v/>
      </c>
      <c r="CW326" t="str">
        <f>""</f>
        <v/>
      </c>
      <c r="CX326" t="str">
        <f>""</f>
        <v/>
      </c>
      <c r="CY326" t="str">
        <f>""</f>
        <v/>
      </c>
      <c r="CZ326" t="str">
        <f>""</f>
        <v/>
      </c>
      <c r="DA326" t="str">
        <f>""</f>
        <v/>
      </c>
      <c r="DB326" t="str">
        <f>""</f>
        <v/>
      </c>
      <c r="DC326" t="str">
        <f>""</f>
        <v/>
      </c>
      <c r="DD326" t="str">
        <f>""</f>
        <v/>
      </c>
      <c r="DE326" t="str">
        <f>""</f>
        <v/>
      </c>
      <c r="DF326" t="str">
        <f>""</f>
        <v/>
      </c>
      <c r="DG326" t="str">
        <f>""</f>
        <v/>
      </c>
      <c r="DH326" t="str">
        <f>""</f>
        <v/>
      </c>
      <c r="DI326" t="str">
        <f>""</f>
        <v/>
      </c>
      <c r="DJ326" t="str">
        <f>""</f>
        <v/>
      </c>
      <c r="DK326" t="str">
        <f>""</f>
        <v/>
      </c>
      <c r="DL326" t="str">
        <f>""</f>
        <v/>
      </c>
      <c r="DM326" t="str">
        <f>""</f>
        <v/>
      </c>
      <c r="DN326" t="str">
        <f>""</f>
        <v/>
      </c>
      <c r="DO326" t="str">
        <f>""</f>
        <v/>
      </c>
      <c r="DP326" t="str">
        <f>""</f>
        <v/>
      </c>
      <c r="DQ326" t="str">
        <f>""</f>
        <v/>
      </c>
      <c r="DR326" t="str">
        <f>""</f>
        <v/>
      </c>
      <c r="DS326" t="str">
        <f>""</f>
        <v/>
      </c>
      <c r="DT326" t="str">
        <f>""</f>
        <v/>
      </c>
      <c r="DU326" t="str">
        <f>""</f>
        <v/>
      </c>
      <c r="DV326" t="str">
        <f>""</f>
        <v/>
      </c>
      <c r="DW326" t="str">
        <f>""</f>
        <v/>
      </c>
      <c r="DX326" t="str">
        <f>""</f>
        <v/>
      </c>
      <c r="DY326" t="str">
        <f>""</f>
        <v/>
      </c>
      <c r="DZ326" t="str">
        <f>""</f>
        <v/>
      </c>
      <c r="EA326" t="str">
        <f>""</f>
        <v/>
      </c>
      <c r="EB326" t="str">
        <f>""</f>
        <v/>
      </c>
      <c r="EC326" t="str">
        <f>""</f>
        <v/>
      </c>
      <c r="ED326" t="str">
        <f>""</f>
        <v/>
      </c>
      <c r="EE326" t="str">
        <f>""</f>
        <v/>
      </c>
      <c r="EF326" t="str">
        <f>""</f>
        <v/>
      </c>
      <c r="EG326" t="str">
        <f>""</f>
        <v/>
      </c>
      <c r="EH326" t="str">
        <f>""</f>
        <v/>
      </c>
      <c r="EI326" t="str">
        <f>""</f>
        <v/>
      </c>
      <c r="EJ326" t="str">
        <f>""</f>
        <v/>
      </c>
      <c r="EK326" t="str">
        <f>""</f>
        <v/>
      </c>
      <c r="EL326" t="str">
        <f>""</f>
        <v/>
      </c>
      <c r="EM326" t="str">
        <f>""</f>
        <v/>
      </c>
      <c r="EN326" t="str">
        <f>""</f>
        <v/>
      </c>
      <c r="EO326" t="str">
        <f>""</f>
        <v/>
      </c>
      <c r="EP326" t="str">
        <f>""</f>
        <v/>
      </c>
      <c r="EQ326" t="str">
        <f>""</f>
        <v/>
      </c>
      <c r="ER326" t="str">
        <f>""</f>
        <v/>
      </c>
      <c r="ES326" t="str">
        <f>""</f>
        <v/>
      </c>
      <c r="ET326" t="str">
        <f>""</f>
        <v/>
      </c>
      <c r="EU326" t="str">
        <f>""</f>
        <v/>
      </c>
      <c r="EV326" t="str">
        <f>""</f>
        <v/>
      </c>
      <c r="EW326" t="str">
        <f>""</f>
        <v/>
      </c>
      <c r="EX326" t="str">
        <f>""</f>
        <v/>
      </c>
      <c r="EY326" t="str">
        <f>""</f>
        <v/>
      </c>
      <c r="EZ326" t="str">
        <f>""</f>
        <v/>
      </c>
      <c r="FA326" t="str">
        <f>""</f>
        <v/>
      </c>
      <c r="FB326" t="str">
        <f>""</f>
        <v/>
      </c>
      <c r="FC326" t="str">
        <f>""</f>
        <v/>
      </c>
      <c r="FD326" t="str">
        <f>""</f>
        <v/>
      </c>
      <c r="FE326" t="str">
        <f>""</f>
        <v/>
      </c>
      <c r="FF326" t="str">
        <f>""</f>
        <v/>
      </c>
      <c r="FG326" t="str">
        <f>""</f>
        <v/>
      </c>
      <c r="FH326" t="str">
        <f>""</f>
        <v/>
      </c>
      <c r="FI326" t="str">
        <f>""</f>
        <v/>
      </c>
      <c r="FJ326" t="str">
        <f>""</f>
        <v/>
      </c>
      <c r="FK326" t="str">
        <f>""</f>
        <v/>
      </c>
      <c r="FL326" t="str">
        <f>""</f>
        <v/>
      </c>
      <c r="FM326" t="str">
        <f>""</f>
        <v/>
      </c>
      <c r="FN326" t="str">
        <f>""</f>
        <v/>
      </c>
      <c r="FO326" t="str">
        <f>""</f>
        <v/>
      </c>
      <c r="FP326" t="str">
        <f>""</f>
        <v/>
      </c>
      <c r="FQ326" t="str">
        <f>""</f>
        <v/>
      </c>
    </row>
    <row r="327" spans="1:173">
      <c r="A327" t="str">
        <f>$A$113</f>
        <v xml:space="preserve">    Equity Residential</v>
      </c>
      <c r="B327" t="str">
        <f>$B$113</f>
        <v>EQR US Equity</v>
      </c>
      <c r="C327" t="str">
        <f>$C$113</f>
        <v>F0581</v>
      </c>
      <c r="D327" t="str">
        <f>$D$113</f>
        <v>ADJUSTED_FFOPS</v>
      </c>
      <c r="E327" t="str">
        <f>$E$113</f>
        <v>动态</v>
      </c>
      <c r="F327" t="str">
        <f ca="1">BDH($B$113,$C$113,$B$250,$B$251,CONCATENATE("Per=",$B$248),"Dts=H","Dir=H",CONCATENATE("Points=",$B$249),"Sort=R","Days=A","Fill=B",CONCATENATE("FX=", $B$247) )</f>
        <v>#N/A Authorization</v>
      </c>
      <c r="CL327" t="str">
        <f>""</f>
        <v/>
      </c>
      <c r="CM327" t="str">
        <f>""</f>
        <v/>
      </c>
      <c r="CN327" t="str">
        <f>""</f>
        <v/>
      </c>
      <c r="CO327" t="str">
        <f>""</f>
        <v/>
      </c>
      <c r="CP327" t="str">
        <f>""</f>
        <v/>
      </c>
      <c r="CQ327" t="str">
        <f>""</f>
        <v/>
      </c>
      <c r="CR327" t="str">
        <f>""</f>
        <v/>
      </c>
      <c r="CS327" t="str">
        <f>""</f>
        <v/>
      </c>
      <c r="CT327" t="str">
        <f>""</f>
        <v/>
      </c>
      <c r="CU327" t="str">
        <f>""</f>
        <v/>
      </c>
      <c r="CV327" t="str">
        <f>""</f>
        <v/>
      </c>
      <c r="CW327" t="str">
        <f>""</f>
        <v/>
      </c>
      <c r="CX327" t="str">
        <f>""</f>
        <v/>
      </c>
      <c r="CY327" t="str">
        <f>""</f>
        <v/>
      </c>
      <c r="CZ327" t="str">
        <f>""</f>
        <v/>
      </c>
      <c r="DA327" t="str">
        <f>""</f>
        <v/>
      </c>
      <c r="DB327" t="str">
        <f>""</f>
        <v/>
      </c>
      <c r="DC327" t="str">
        <f>""</f>
        <v/>
      </c>
      <c r="DD327" t="str">
        <f>""</f>
        <v/>
      </c>
      <c r="DE327" t="str">
        <f>""</f>
        <v/>
      </c>
      <c r="DF327" t="str">
        <f>""</f>
        <v/>
      </c>
      <c r="DG327" t="str">
        <f>""</f>
        <v/>
      </c>
      <c r="DH327" t="str">
        <f>""</f>
        <v/>
      </c>
      <c r="DI327" t="str">
        <f>""</f>
        <v/>
      </c>
      <c r="DJ327" t="str">
        <f>""</f>
        <v/>
      </c>
      <c r="DK327" t="str">
        <f>""</f>
        <v/>
      </c>
      <c r="DL327" t="str">
        <f>""</f>
        <v/>
      </c>
      <c r="DM327" t="str">
        <f>""</f>
        <v/>
      </c>
      <c r="DN327" t="str">
        <f>""</f>
        <v/>
      </c>
      <c r="DO327" t="str">
        <f>""</f>
        <v/>
      </c>
      <c r="DP327" t="str">
        <f>""</f>
        <v/>
      </c>
      <c r="DQ327" t="str">
        <f>""</f>
        <v/>
      </c>
      <c r="DR327" t="str">
        <f>""</f>
        <v/>
      </c>
      <c r="DS327" t="str">
        <f>""</f>
        <v/>
      </c>
      <c r="DT327" t="str">
        <f>""</f>
        <v/>
      </c>
      <c r="DU327" t="str">
        <f>""</f>
        <v/>
      </c>
      <c r="DV327" t="str">
        <f>""</f>
        <v/>
      </c>
      <c r="DW327" t="str">
        <f>""</f>
        <v/>
      </c>
      <c r="DX327" t="str">
        <f>""</f>
        <v/>
      </c>
      <c r="DY327" t="str">
        <f>""</f>
        <v/>
      </c>
      <c r="DZ327" t="str">
        <f>""</f>
        <v/>
      </c>
      <c r="EA327" t="str">
        <f>""</f>
        <v/>
      </c>
      <c r="EB327" t="str">
        <f>""</f>
        <v/>
      </c>
      <c r="EC327" t="str">
        <f>""</f>
        <v/>
      </c>
      <c r="ED327" t="str">
        <f>""</f>
        <v/>
      </c>
      <c r="EE327" t="str">
        <f>""</f>
        <v/>
      </c>
      <c r="EF327" t="str">
        <f>""</f>
        <v/>
      </c>
      <c r="EG327" t="str">
        <f>""</f>
        <v/>
      </c>
      <c r="EH327" t="str">
        <f>""</f>
        <v/>
      </c>
      <c r="EI327" t="str">
        <f>""</f>
        <v/>
      </c>
      <c r="EJ327" t="str">
        <f>""</f>
        <v/>
      </c>
      <c r="EK327" t="str">
        <f>""</f>
        <v/>
      </c>
      <c r="EL327" t="str">
        <f>""</f>
        <v/>
      </c>
      <c r="EM327" t="str">
        <f>""</f>
        <v/>
      </c>
      <c r="EN327" t="str">
        <f>""</f>
        <v/>
      </c>
      <c r="EO327" t="str">
        <f>""</f>
        <v/>
      </c>
      <c r="EP327" t="str">
        <f>""</f>
        <v/>
      </c>
      <c r="EQ327" t="str">
        <f>""</f>
        <v/>
      </c>
      <c r="ER327" t="str">
        <f>""</f>
        <v/>
      </c>
      <c r="ES327" t="str">
        <f>""</f>
        <v/>
      </c>
      <c r="ET327" t="str">
        <f>""</f>
        <v/>
      </c>
      <c r="EU327" t="str">
        <f>""</f>
        <v/>
      </c>
      <c r="EV327" t="str">
        <f>""</f>
        <v/>
      </c>
      <c r="EW327" t="str">
        <f>""</f>
        <v/>
      </c>
      <c r="EX327" t="str">
        <f>""</f>
        <v/>
      </c>
      <c r="EY327" t="str">
        <f>""</f>
        <v/>
      </c>
      <c r="EZ327" t="str">
        <f>""</f>
        <v/>
      </c>
      <c r="FA327" t="str">
        <f>""</f>
        <v/>
      </c>
      <c r="FB327" t="str">
        <f>""</f>
        <v/>
      </c>
      <c r="FC327" t="str">
        <f>""</f>
        <v/>
      </c>
      <c r="FD327" t="str">
        <f>""</f>
        <v/>
      </c>
      <c r="FE327" t="str">
        <f>""</f>
        <v/>
      </c>
      <c r="FF327" t="str">
        <f>""</f>
        <v/>
      </c>
      <c r="FG327" t="str">
        <f>""</f>
        <v/>
      </c>
      <c r="FH327" t="str">
        <f>""</f>
        <v/>
      </c>
      <c r="FI327" t="str">
        <f>""</f>
        <v/>
      </c>
      <c r="FJ327" t="str">
        <f>""</f>
        <v/>
      </c>
      <c r="FK327" t="str">
        <f>""</f>
        <v/>
      </c>
      <c r="FL327" t="str">
        <f>""</f>
        <v/>
      </c>
      <c r="FM327" t="str">
        <f>""</f>
        <v/>
      </c>
      <c r="FN327" t="str">
        <f>""</f>
        <v/>
      </c>
      <c r="FO327" t="str">
        <f>""</f>
        <v/>
      </c>
      <c r="FP327" t="str">
        <f>""</f>
        <v/>
      </c>
      <c r="FQ327" t="str">
        <f>""</f>
        <v/>
      </c>
    </row>
    <row r="328" spans="1:173">
      <c r="A328" t="str">
        <f>$A$114</f>
        <v xml:space="preserve">    Essex Property Trust Inc</v>
      </c>
      <c r="B328" t="str">
        <f>$B$114</f>
        <v>ESS US Equity</v>
      </c>
      <c r="C328" t="str">
        <f>$C$114</f>
        <v>F0581</v>
      </c>
      <c r="D328" t="str">
        <f>$D$114</f>
        <v>ADJUSTED_FFOPS</v>
      </c>
      <c r="E328" t="str">
        <f>$E$114</f>
        <v>动态</v>
      </c>
      <c r="F328" t="str">
        <f ca="1">BDH($B$114,$C$114,$B$250,$B$251,CONCATENATE("Per=",$B$248),"Dts=H","Dir=H",CONCATENATE("Points=",$B$249),"Sort=R","Days=A","Fill=B",CONCATENATE("FX=", $B$247) )</f>
        <v>#N/A Authorization</v>
      </c>
      <c r="CL328" t="str">
        <f>""</f>
        <v/>
      </c>
      <c r="CM328" t="str">
        <f>""</f>
        <v/>
      </c>
      <c r="CN328" t="str">
        <f>""</f>
        <v/>
      </c>
      <c r="CO328" t="str">
        <f>""</f>
        <v/>
      </c>
      <c r="CP328" t="str">
        <f>""</f>
        <v/>
      </c>
      <c r="CQ328" t="str">
        <f>""</f>
        <v/>
      </c>
      <c r="CR328" t="str">
        <f>""</f>
        <v/>
      </c>
      <c r="CS328" t="str">
        <f>""</f>
        <v/>
      </c>
      <c r="CT328" t="str">
        <f>""</f>
        <v/>
      </c>
      <c r="CU328" t="str">
        <f>""</f>
        <v/>
      </c>
      <c r="CV328" t="str">
        <f>""</f>
        <v/>
      </c>
      <c r="CW328" t="str">
        <f>""</f>
        <v/>
      </c>
      <c r="CX328" t="str">
        <f>""</f>
        <v/>
      </c>
      <c r="CY328" t="str">
        <f>""</f>
        <v/>
      </c>
      <c r="CZ328" t="str">
        <f>""</f>
        <v/>
      </c>
      <c r="DA328" t="str">
        <f>""</f>
        <v/>
      </c>
      <c r="DB328" t="str">
        <f>""</f>
        <v/>
      </c>
      <c r="DC328" t="str">
        <f>""</f>
        <v/>
      </c>
      <c r="DD328" t="str">
        <f>""</f>
        <v/>
      </c>
      <c r="DE328" t="str">
        <f>""</f>
        <v/>
      </c>
      <c r="DF328" t="str">
        <f>""</f>
        <v/>
      </c>
      <c r="DG328" t="str">
        <f>""</f>
        <v/>
      </c>
      <c r="DH328" t="str">
        <f>""</f>
        <v/>
      </c>
      <c r="DI328" t="str">
        <f>""</f>
        <v/>
      </c>
      <c r="DJ328" t="str">
        <f>""</f>
        <v/>
      </c>
      <c r="DK328" t="str">
        <f>""</f>
        <v/>
      </c>
      <c r="DL328" t="str">
        <f>""</f>
        <v/>
      </c>
      <c r="DM328" t="str">
        <f>""</f>
        <v/>
      </c>
      <c r="DN328" t="str">
        <f>""</f>
        <v/>
      </c>
      <c r="DO328" t="str">
        <f>""</f>
        <v/>
      </c>
      <c r="DP328" t="str">
        <f>""</f>
        <v/>
      </c>
      <c r="DQ328" t="str">
        <f>""</f>
        <v/>
      </c>
      <c r="DR328" t="str">
        <f>""</f>
        <v/>
      </c>
      <c r="DS328" t="str">
        <f>""</f>
        <v/>
      </c>
      <c r="DT328" t="str">
        <f>""</f>
        <v/>
      </c>
      <c r="DU328" t="str">
        <f>""</f>
        <v/>
      </c>
      <c r="DV328" t="str">
        <f>""</f>
        <v/>
      </c>
      <c r="DW328" t="str">
        <f>""</f>
        <v/>
      </c>
      <c r="DX328" t="str">
        <f>""</f>
        <v/>
      </c>
      <c r="DY328" t="str">
        <f>""</f>
        <v/>
      </c>
      <c r="DZ328" t="str">
        <f>""</f>
        <v/>
      </c>
      <c r="EA328" t="str">
        <f>""</f>
        <v/>
      </c>
      <c r="EB328" t="str">
        <f>""</f>
        <v/>
      </c>
      <c r="EC328" t="str">
        <f>""</f>
        <v/>
      </c>
      <c r="ED328" t="str">
        <f>""</f>
        <v/>
      </c>
      <c r="EE328" t="str">
        <f>""</f>
        <v/>
      </c>
      <c r="EF328" t="str">
        <f>""</f>
        <v/>
      </c>
      <c r="EG328" t="str">
        <f>""</f>
        <v/>
      </c>
      <c r="EH328" t="str">
        <f>""</f>
        <v/>
      </c>
      <c r="EI328" t="str">
        <f>""</f>
        <v/>
      </c>
      <c r="EJ328" t="str">
        <f>""</f>
        <v/>
      </c>
      <c r="EK328" t="str">
        <f>""</f>
        <v/>
      </c>
      <c r="EL328" t="str">
        <f>""</f>
        <v/>
      </c>
      <c r="EM328" t="str">
        <f>""</f>
        <v/>
      </c>
      <c r="EN328" t="str">
        <f>""</f>
        <v/>
      </c>
      <c r="EO328" t="str">
        <f>""</f>
        <v/>
      </c>
      <c r="EP328" t="str">
        <f>""</f>
        <v/>
      </c>
      <c r="EQ328" t="str">
        <f>""</f>
        <v/>
      </c>
      <c r="ER328" t="str">
        <f>""</f>
        <v/>
      </c>
      <c r="ES328" t="str">
        <f>""</f>
        <v/>
      </c>
      <c r="ET328" t="str">
        <f>""</f>
        <v/>
      </c>
      <c r="EU328" t="str">
        <f>""</f>
        <v/>
      </c>
      <c r="EV328" t="str">
        <f>""</f>
        <v/>
      </c>
      <c r="EW328" t="str">
        <f>""</f>
        <v/>
      </c>
      <c r="EX328" t="str">
        <f>""</f>
        <v/>
      </c>
      <c r="EY328" t="str">
        <f>""</f>
        <v/>
      </c>
      <c r="EZ328" t="str">
        <f>""</f>
        <v/>
      </c>
      <c r="FA328" t="str">
        <f>""</f>
        <v/>
      </c>
      <c r="FB328" t="str">
        <f>""</f>
        <v/>
      </c>
      <c r="FC328" t="str">
        <f>""</f>
        <v/>
      </c>
      <c r="FD328" t="str">
        <f>""</f>
        <v/>
      </c>
      <c r="FE328" t="str">
        <f>""</f>
        <v/>
      </c>
      <c r="FF328" t="str">
        <f>""</f>
        <v/>
      </c>
      <c r="FG328" t="str">
        <f>""</f>
        <v/>
      </c>
      <c r="FH328" t="str">
        <f>""</f>
        <v/>
      </c>
      <c r="FI328" t="str">
        <f>""</f>
        <v/>
      </c>
      <c r="FJ328" t="str">
        <f>""</f>
        <v/>
      </c>
      <c r="FK328" t="str">
        <f>""</f>
        <v/>
      </c>
      <c r="FL328" t="str">
        <f>""</f>
        <v/>
      </c>
      <c r="FM328" t="str">
        <f>""</f>
        <v/>
      </c>
      <c r="FN328" t="str">
        <f>""</f>
        <v/>
      </c>
      <c r="FO328" t="str">
        <f>""</f>
        <v/>
      </c>
      <c r="FP328" t="str">
        <f>""</f>
        <v/>
      </c>
      <c r="FQ328" t="str">
        <f>""</f>
        <v/>
      </c>
    </row>
    <row r="329" spans="1:173">
      <c r="A329" t="str">
        <f>$A$115</f>
        <v xml:space="preserve">    Mid-America Apartment Communit</v>
      </c>
      <c r="B329" t="str">
        <f>$B$115</f>
        <v>MAA US Equity</v>
      </c>
      <c r="C329" t="str">
        <f>$C$115</f>
        <v>F0581</v>
      </c>
      <c r="D329" t="str">
        <f>$D$115</f>
        <v>ADJUSTED_FFOPS</v>
      </c>
      <c r="E329" t="str">
        <f>$E$115</f>
        <v>动态</v>
      </c>
      <c r="F329" t="str">
        <f ca="1">BDH($B$115,$C$115,$B$250,$B$251,CONCATENATE("Per=",$B$248),"Dts=H","Dir=H",CONCATENATE("Points=",$B$249),"Sort=R","Days=A","Fill=B",CONCATENATE("FX=", $B$247) )</f>
        <v>#N/A Authorization</v>
      </c>
      <c r="CL329" t="str">
        <f>""</f>
        <v/>
      </c>
      <c r="CM329" t="str">
        <f>""</f>
        <v/>
      </c>
      <c r="CN329" t="str">
        <f>""</f>
        <v/>
      </c>
      <c r="CO329" t="str">
        <f>""</f>
        <v/>
      </c>
      <c r="CP329" t="str">
        <f>""</f>
        <v/>
      </c>
      <c r="CQ329" t="str">
        <f>""</f>
        <v/>
      </c>
      <c r="CR329" t="str">
        <f>""</f>
        <v/>
      </c>
      <c r="CS329" t="str">
        <f>""</f>
        <v/>
      </c>
      <c r="CT329" t="str">
        <f>""</f>
        <v/>
      </c>
      <c r="CU329" t="str">
        <f>""</f>
        <v/>
      </c>
      <c r="CV329" t="str">
        <f>""</f>
        <v/>
      </c>
      <c r="CW329" t="str">
        <f>""</f>
        <v/>
      </c>
      <c r="CX329" t="str">
        <f>""</f>
        <v/>
      </c>
      <c r="CY329" t="str">
        <f>""</f>
        <v/>
      </c>
      <c r="CZ329" t="str">
        <f>""</f>
        <v/>
      </c>
      <c r="DA329" t="str">
        <f>""</f>
        <v/>
      </c>
      <c r="DB329" t="str">
        <f>""</f>
        <v/>
      </c>
      <c r="DC329" t="str">
        <f>""</f>
        <v/>
      </c>
      <c r="DD329" t="str">
        <f>""</f>
        <v/>
      </c>
      <c r="DE329" t="str">
        <f>""</f>
        <v/>
      </c>
      <c r="DF329" t="str">
        <f>""</f>
        <v/>
      </c>
      <c r="DG329" t="str">
        <f>""</f>
        <v/>
      </c>
      <c r="DH329" t="str">
        <f>""</f>
        <v/>
      </c>
      <c r="DI329" t="str">
        <f>""</f>
        <v/>
      </c>
      <c r="DJ329" t="str">
        <f>""</f>
        <v/>
      </c>
      <c r="DK329" t="str">
        <f>""</f>
        <v/>
      </c>
      <c r="DL329" t="str">
        <f>""</f>
        <v/>
      </c>
      <c r="DM329" t="str">
        <f>""</f>
        <v/>
      </c>
      <c r="DN329" t="str">
        <f>""</f>
        <v/>
      </c>
      <c r="DO329" t="str">
        <f>""</f>
        <v/>
      </c>
      <c r="DP329" t="str">
        <f>""</f>
        <v/>
      </c>
      <c r="DQ329" t="str">
        <f>""</f>
        <v/>
      </c>
      <c r="DR329" t="str">
        <f>""</f>
        <v/>
      </c>
      <c r="DS329" t="str">
        <f>""</f>
        <v/>
      </c>
      <c r="DT329" t="str">
        <f>""</f>
        <v/>
      </c>
      <c r="DU329" t="str">
        <f>""</f>
        <v/>
      </c>
      <c r="DV329" t="str">
        <f>""</f>
        <v/>
      </c>
      <c r="DW329" t="str">
        <f>""</f>
        <v/>
      </c>
      <c r="DX329" t="str">
        <f>""</f>
        <v/>
      </c>
      <c r="DY329" t="str">
        <f>""</f>
        <v/>
      </c>
      <c r="DZ329" t="str">
        <f>""</f>
        <v/>
      </c>
      <c r="EA329" t="str">
        <f>""</f>
        <v/>
      </c>
      <c r="EB329" t="str">
        <f>""</f>
        <v/>
      </c>
      <c r="EC329" t="str">
        <f>""</f>
        <v/>
      </c>
      <c r="ED329" t="str">
        <f>""</f>
        <v/>
      </c>
      <c r="EE329" t="str">
        <f>""</f>
        <v/>
      </c>
      <c r="EF329" t="str">
        <f>""</f>
        <v/>
      </c>
      <c r="EG329" t="str">
        <f>""</f>
        <v/>
      </c>
      <c r="EH329" t="str">
        <f>""</f>
        <v/>
      </c>
      <c r="EI329" t="str">
        <f>""</f>
        <v/>
      </c>
      <c r="EJ329" t="str">
        <f>""</f>
        <v/>
      </c>
      <c r="EK329" t="str">
        <f>""</f>
        <v/>
      </c>
      <c r="EL329" t="str">
        <f>""</f>
        <v/>
      </c>
      <c r="EM329" t="str">
        <f>""</f>
        <v/>
      </c>
      <c r="EN329" t="str">
        <f>""</f>
        <v/>
      </c>
      <c r="EO329" t="str">
        <f>""</f>
        <v/>
      </c>
      <c r="EP329" t="str">
        <f>""</f>
        <v/>
      </c>
      <c r="EQ329" t="str">
        <f>""</f>
        <v/>
      </c>
      <c r="ER329" t="str">
        <f>""</f>
        <v/>
      </c>
      <c r="ES329" t="str">
        <f>""</f>
        <v/>
      </c>
      <c r="ET329" t="str">
        <f>""</f>
        <v/>
      </c>
      <c r="EU329" t="str">
        <f>""</f>
        <v/>
      </c>
      <c r="EV329" t="str">
        <f>""</f>
        <v/>
      </c>
      <c r="EW329" t="str">
        <f>""</f>
        <v/>
      </c>
      <c r="EX329" t="str">
        <f>""</f>
        <v/>
      </c>
      <c r="EY329" t="str">
        <f>""</f>
        <v/>
      </c>
      <c r="EZ329" t="str">
        <f>""</f>
        <v/>
      </c>
      <c r="FA329" t="str">
        <f>""</f>
        <v/>
      </c>
      <c r="FB329" t="str">
        <f>""</f>
        <v/>
      </c>
      <c r="FC329" t="str">
        <f>""</f>
        <v/>
      </c>
      <c r="FD329" t="str">
        <f>""</f>
        <v/>
      </c>
      <c r="FE329" t="str">
        <f>""</f>
        <v/>
      </c>
      <c r="FF329" t="str">
        <f>""</f>
        <v/>
      </c>
      <c r="FG329" t="str">
        <f>""</f>
        <v/>
      </c>
      <c r="FH329" t="str">
        <f>""</f>
        <v/>
      </c>
      <c r="FI329" t="str">
        <f>""</f>
        <v/>
      </c>
      <c r="FJ329" t="str">
        <f>""</f>
        <v/>
      </c>
      <c r="FK329" t="str">
        <f>""</f>
        <v/>
      </c>
      <c r="FL329" t="str">
        <f>""</f>
        <v/>
      </c>
      <c r="FM329" t="str">
        <f>""</f>
        <v/>
      </c>
      <c r="FN329" t="str">
        <f>""</f>
        <v/>
      </c>
      <c r="FO329" t="str">
        <f>""</f>
        <v/>
      </c>
      <c r="FP329" t="str">
        <f>""</f>
        <v/>
      </c>
      <c r="FQ329" t="str">
        <f>""</f>
        <v/>
      </c>
    </row>
    <row r="330" spans="1:173">
      <c r="A330" t="str">
        <f>$A$116</f>
        <v xml:space="preserve">    Monogram Residential Trust Inc</v>
      </c>
      <c r="B330" t="str">
        <f>$B$116</f>
        <v>MORE US Equity</v>
      </c>
      <c r="C330" t="str">
        <f>$C$116</f>
        <v>F0581</v>
      </c>
      <c r="D330" t="str">
        <f>$D$116</f>
        <v>ADJUSTED_FFOPS</v>
      </c>
      <c r="E330" t="str">
        <f>$E$116</f>
        <v>动态</v>
      </c>
      <c r="F330" t="str">
        <f ca="1">BDH($B$116,$C$116,$B$250,$B$251,CONCATENATE("Per=",$B$248),"Dts=H","Dir=H",CONCATENATE("Points=",$B$249),"Sort=R","Days=A","Fill=B",CONCATENATE("FX=", $B$247) )</f>
        <v>#N/A Authorization</v>
      </c>
      <c r="CL330" t="str">
        <f>""</f>
        <v/>
      </c>
      <c r="CM330" t="str">
        <f>""</f>
        <v/>
      </c>
      <c r="CN330" t="str">
        <f>""</f>
        <v/>
      </c>
      <c r="CO330" t="str">
        <f>""</f>
        <v/>
      </c>
      <c r="CP330" t="str">
        <f>""</f>
        <v/>
      </c>
      <c r="CQ330" t="str">
        <f>""</f>
        <v/>
      </c>
      <c r="CR330" t="str">
        <f>""</f>
        <v/>
      </c>
      <c r="CS330" t="str">
        <f>""</f>
        <v/>
      </c>
      <c r="CT330" t="str">
        <f>""</f>
        <v/>
      </c>
      <c r="CU330" t="str">
        <f>""</f>
        <v/>
      </c>
      <c r="CV330" t="str">
        <f>""</f>
        <v/>
      </c>
      <c r="CW330" t="str">
        <f>""</f>
        <v/>
      </c>
      <c r="CX330" t="str">
        <f>""</f>
        <v/>
      </c>
      <c r="CY330" t="str">
        <f>""</f>
        <v/>
      </c>
      <c r="CZ330" t="str">
        <f>""</f>
        <v/>
      </c>
      <c r="DA330" t="str">
        <f>""</f>
        <v/>
      </c>
      <c r="DB330" t="str">
        <f>""</f>
        <v/>
      </c>
      <c r="DC330" t="str">
        <f>""</f>
        <v/>
      </c>
      <c r="DD330" t="str">
        <f>""</f>
        <v/>
      </c>
      <c r="DE330" t="str">
        <f>""</f>
        <v/>
      </c>
      <c r="DF330" t="str">
        <f>""</f>
        <v/>
      </c>
      <c r="DG330" t="str">
        <f>""</f>
        <v/>
      </c>
      <c r="DH330" t="str">
        <f>""</f>
        <v/>
      </c>
      <c r="DI330" t="str">
        <f>""</f>
        <v/>
      </c>
      <c r="DJ330" t="str">
        <f>""</f>
        <v/>
      </c>
      <c r="DK330" t="str">
        <f>""</f>
        <v/>
      </c>
      <c r="DL330" t="str">
        <f>""</f>
        <v/>
      </c>
      <c r="DM330" t="str">
        <f>""</f>
        <v/>
      </c>
      <c r="DN330" t="str">
        <f>""</f>
        <v/>
      </c>
      <c r="DO330" t="str">
        <f>""</f>
        <v/>
      </c>
      <c r="DP330" t="str">
        <f>""</f>
        <v/>
      </c>
      <c r="DQ330" t="str">
        <f>""</f>
        <v/>
      </c>
      <c r="DR330" t="str">
        <f>""</f>
        <v/>
      </c>
      <c r="DS330" t="str">
        <f>""</f>
        <v/>
      </c>
      <c r="DT330" t="str">
        <f>""</f>
        <v/>
      </c>
      <c r="DU330" t="str">
        <f>""</f>
        <v/>
      </c>
      <c r="DV330" t="str">
        <f>""</f>
        <v/>
      </c>
      <c r="DW330" t="str">
        <f>""</f>
        <v/>
      </c>
      <c r="DX330" t="str">
        <f>""</f>
        <v/>
      </c>
      <c r="DY330" t="str">
        <f>""</f>
        <v/>
      </c>
      <c r="DZ330" t="str">
        <f>""</f>
        <v/>
      </c>
      <c r="EA330" t="str">
        <f>""</f>
        <v/>
      </c>
      <c r="EB330" t="str">
        <f>""</f>
        <v/>
      </c>
      <c r="EC330" t="str">
        <f>""</f>
        <v/>
      </c>
      <c r="ED330" t="str">
        <f>""</f>
        <v/>
      </c>
      <c r="EE330" t="str">
        <f>""</f>
        <v/>
      </c>
      <c r="EF330" t="str">
        <f>""</f>
        <v/>
      </c>
      <c r="EG330" t="str">
        <f>""</f>
        <v/>
      </c>
      <c r="EH330" t="str">
        <f>""</f>
        <v/>
      </c>
      <c r="EI330" t="str">
        <f>""</f>
        <v/>
      </c>
      <c r="EJ330" t="str">
        <f>""</f>
        <v/>
      </c>
      <c r="EK330" t="str">
        <f>""</f>
        <v/>
      </c>
      <c r="EL330" t="str">
        <f>""</f>
        <v/>
      </c>
      <c r="EM330" t="str">
        <f>""</f>
        <v/>
      </c>
      <c r="EN330" t="str">
        <f>""</f>
        <v/>
      </c>
      <c r="EO330" t="str">
        <f>""</f>
        <v/>
      </c>
      <c r="EP330" t="str">
        <f>""</f>
        <v/>
      </c>
      <c r="EQ330" t="str">
        <f>""</f>
        <v/>
      </c>
      <c r="ER330" t="str">
        <f>""</f>
        <v/>
      </c>
      <c r="ES330" t="str">
        <f>""</f>
        <v/>
      </c>
      <c r="ET330" t="str">
        <f>""</f>
        <v/>
      </c>
      <c r="EU330" t="str">
        <f>""</f>
        <v/>
      </c>
      <c r="EV330" t="str">
        <f>""</f>
        <v/>
      </c>
      <c r="EW330" t="str">
        <f>""</f>
        <v/>
      </c>
      <c r="EX330" t="str">
        <f>""</f>
        <v/>
      </c>
      <c r="EY330" t="str">
        <f>""</f>
        <v/>
      </c>
      <c r="EZ330" t="str">
        <f>""</f>
        <v/>
      </c>
      <c r="FA330" t="str">
        <f>""</f>
        <v/>
      </c>
      <c r="FB330" t="str">
        <f>""</f>
        <v/>
      </c>
      <c r="FC330" t="str">
        <f>""</f>
        <v/>
      </c>
      <c r="FD330" t="str">
        <f>""</f>
        <v/>
      </c>
      <c r="FE330" t="str">
        <f>""</f>
        <v/>
      </c>
      <c r="FF330" t="str">
        <f>""</f>
        <v/>
      </c>
      <c r="FG330" t="str">
        <f>""</f>
        <v/>
      </c>
      <c r="FH330" t="str">
        <f>""</f>
        <v/>
      </c>
      <c r="FI330" t="str">
        <f>""</f>
        <v/>
      </c>
      <c r="FJ330" t="str">
        <f>""</f>
        <v/>
      </c>
      <c r="FK330" t="str">
        <f>""</f>
        <v/>
      </c>
      <c r="FL330" t="str">
        <f>""</f>
        <v/>
      </c>
      <c r="FM330" t="str">
        <f>""</f>
        <v/>
      </c>
      <c r="FN330" t="str">
        <f>""</f>
        <v/>
      </c>
      <c r="FO330" t="str">
        <f>""</f>
        <v/>
      </c>
      <c r="FP330" t="str">
        <f>""</f>
        <v/>
      </c>
      <c r="FQ330" t="str">
        <f>""</f>
        <v/>
      </c>
    </row>
    <row r="331" spans="1:173">
      <c r="A331" t="str">
        <f>$A$117</f>
        <v xml:space="preserve">    UDR Inc</v>
      </c>
      <c r="B331" t="str">
        <f>$B$117</f>
        <v>UDR US Equity</v>
      </c>
      <c r="C331" t="str">
        <f>$C$117</f>
        <v>F0581</v>
      </c>
      <c r="D331" t="str">
        <f>$D$117</f>
        <v>ADJUSTED_FFOPS</v>
      </c>
      <c r="E331" t="str">
        <f>$E$117</f>
        <v>动态</v>
      </c>
      <c r="F331" t="str">
        <f ca="1">BDH($B$117,$C$117,$B$250,$B$251,CONCATENATE("Per=",$B$248),"Dts=H","Dir=H",CONCATENATE("Points=",$B$249),"Sort=R","Days=A","Fill=B",CONCATENATE("FX=", $B$247) )</f>
        <v>#N/A Authorization</v>
      </c>
      <c r="CL331" t="str">
        <f>""</f>
        <v/>
      </c>
      <c r="CM331" t="str">
        <f>""</f>
        <v/>
      </c>
      <c r="CN331" t="str">
        <f>""</f>
        <v/>
      </c>
      <c r="CO331" t="str">
        <f>""</f>
        <v/>
      </c>
      <c r="CP331" t="str">
        <f>""</f>
        <v/>
      </c>
      <c r="CQ331" t="str">
        <f>""</f>
        <v/>
      </c>
      <c r="CR331" t="str">
        <f>""</f>
        <v/>
      </c>
      <c r="CS331" t="str">
        <f>""</f>
        <v/>
      </c>
      <c r="CT331" t="str">
        <f>""</f>
        <v/>
      </c>
      <c r="CU331" t="str">
        <f>""</f>
        <v/>
      </c>
      <c r="CV331" t="str">
        <f>""</f>
        <v/>
      </c>
      <c r="CW331" t="str">
        <f>""</f>
        <v/>
      </c>
      <c r="CX331" t="str">
        <f>""</f>
        <v/>
      </c>
      <c r="CY331" t="str">
        <f>""</f>
        <v/>
      </c>
      <c r="CZ331" t="str">
        <f>""</f>
        <v/>
      </c>
      <c r="DA331" t="str">
        <f>""</f>
        <v/>
      </c>
      <c r="DB331" t="str">
        <f>""</f>
        <v/>
      </c>
      <c r="DC331" t="str">
        <f>""</f>
        <v/>
      </c>
      <c r="DD331" t="str">
        <f>""</f>
        <v/>
      </c>
      <c r="DE331" t="str">
        <f>""</f>
        <v/>
      </c>
      <c r="DF331" t="str">
        <f>""</f>
        <v/>
      </c>
      <c r="DG331" t="str">
        <f>""</f>
        <v/>
      </c>
      <c r="DH331" t="str">
        <f>""</f>
        <v/>
      </c>
      <c r="DI331" t="str">
        <f>""</f>
        <v/>
      </c>
      <c r="DJ331" t="str">
        <f>""</f>
        <v/>
      </c>
      <c r="DK331" t="str">
        <f>""</f>
        <v/>
      </c>
      <c r="DL331" t="str">
        <f>""</f>
        <v/>
      </c>
      <c r="DM331" t="str">
        <f>""</f>
        <v/>
      </c>
      <c r="DN331" t="str">
        <f>""</f>
        <v/>
      </c>
      <c r="DO331" t="str">
        <f>""</f>
        <v/>
      </c>
      <c r="DP331" t="str">
        <f>""</f>
        <v/>
      </c>
      <c r="DQ331" t="str">
        <f>""</f>
        <v/>
      </c>
      <c r="DR331" t="str">
        <f>""</f>
        <v/>
      </c>
      <c r="DS331" t="str">
        <f>""</f>
        <v/>
      </c>
      <c r="DT331" t="str">
        <f>""</f>
        <v/>
      </c>
      <c r="DU331" t="str">
        <f>""</f>
        <v/>
      </c>
      <c r="DV331" t="str">
        <f>""</f>
        <v/>
      </c>
      <c r="DW331" t="str">
        <f>""</f>
        <v/>
      </c>
      <c r="DX331" t="str">
        <f>""</f>
        <v/>
      </c>
      <c r="DY331" t="str">
        <f>""</f>
        <v/>
      </c>
      <c r="DZ331" t="str">
        <f>""</f>
        <v/>
      </c>
      <c r="EA331" t="str">
        <f>""</f>
        <v/>
      </c>
      <c r="EB331" t="str">
        <f>""</f>
        <v/>
      </c>
      <c r="EC331" t="str">
        <f>""</f>
        <v/>
      </c>
      <c r="ED331" t="str">
        <f>""</f>
        <v/>
      </c>
      <c r="EE331" t="str">
        <f>""</f>
        <v/>
      </c>
      <c r="EF331" t="str">
        <f>""</f>
        <v/>
      </c>
      <c r="EG331" t="str">
        <f>""</f>
        <v/>
      </c>
      <c r="EH331" t="str">
        <f>""</f>
        <v/>
      </c>
      <c r="EI331" t="str">
        <f>""</f>
        <v/>
      </c>
      <c r="EJ331" t="str">
        <f>""</f>
        <v/>
      </c>
      <c r="EK331" t="str">
        <f>""</f>
        <v/>
      </c>
      <c r="EL331" t="str">
        <f>""</f>
        <v/>
      </c>
      <c r="EM331" t="str">
        <f>""</f>
        <v/>
      </c>
      <c r="EN331" t="str">
        <f>""</f>
        <v/>
      </c>
      <c r="EO331" t="str">
        <f>""</f>
        <v/>
      </c>
      <c r="EP331" t="str">
        <f>""</f>
        <v/>
      </c>
      <c r="EQ331" t="str">
        <f>""</f>
        <v/>
      </c>
      <c r="ER331" t="str">
        <f>""</f>
        <v/>
      </c>
      <c r="ES331" t="str">
        <f>""</f>
        <v/>
      </c>
      <c r="ET331" t="str">
        <f>""</f>
        <v/>
      </c>
      <c r="EU331" t="str">
        <f>""</f>
        <v/>
      </c>
      <c r="EV331" t="str">
        <f>""</f>
        <v/>
      </c>
      <c r="EW331" t="str">
        <f>""</f>
        <v/>
      </c>
      <c r="EX331" t="str">
        <f>""</f>
        <v/>
      </c>
      <c r="EY331" t="str">
        <f>""</f>
        <v/>
      </c>
      <c r="EZ331" t="str">
        <f>""</f>
        <v/>
      </c>
      <c r="FA331" t="str">
        <f>""</f>
        <v/>
      </c>
      <c r="FB331" t="str">
        <f>""</f>
        <v/>
      </c>
      <c r="FC331" t="str">
        <f>""</f>
        <v/>
      </c>
      <c r="FD331" t="str">
        <f>""</f>
        <v/>
      </c>
      <c r="FE331" t="str">
        <f>""</f>
        <v/>
      </c>
      <c r="FF331" t="str">
        <f>""</f>
        <v/>
      </c>
      <c r="FG331" t="str">
        <f>""</f>
        <v/>
      </c>
      <c r="FH331" t="str">
        <f>""</f>
        <v/>
      </c>
      <c r="FI331" t="str">
        <f>""</f>
        <v/>
      </c>
      <c r="FJ331" t="str">
        <f>""</f>
        <v/>
      </c>
      <c r="FK331" t="str">
        <f>""</f>
        <v/>
      </c>
      <c r="FL331" t="str">
        <f>""</f>
        <v/>
      </c>
      <c r="FM331" t="str">
        <f>""</f>
        <v/>
      </c>
      <c r="FN331" t="str">
        <f>""</f>
        <v/>
      </c>
      <c r="FO331" t="str">
        <f>""</f>
        <v/>
      </c>
      <c r="FP331" t="str">
        <f>""</f>
        <v/>
      </c>
      <c r="FQ331" t="str">
        <f>""</f>
        <v/>
      </c>
    </row>
    <row r="332" spans="1:173">
      <c r="A332" t="str">
        <f>$A$119</f>
        <v xml:space="preserve">    公寓投资与管理</v>
      </c>
      <c r="B332" t="str">
        <f>$B$119</f>
        <v>AIV US Equity</v>
      </c>
      <c r="C332" t="str">
        <f>$C$119</f>
        <v>F0894</v>
      </c>
      <c r="D332" t="str">
        <f>$D$119</f>
        <v>TRAILING_12_MONTHS_AFFOPS</v>
      </c>
      <c r="E332" t="str">
        <f>$E$119</f>
        <v>动态</v>
      </c>
      <c r="F332" t="str">
        <f ca="1">BDH($B$119,$C$119,$B$250,$B$251,CONCATENATE("Per=",$B$248),"Dts=H","Dir=H",CONCATENATE("Points=",$B$249),"Sort=R","Days=A","Fill=B",CONCATENATE("FX=", $B$247) )</f>
        <v>#N/A Authorization</v>
      </c>
      <c r="CL332" t="str">
        <f>""</f>
        <v/>
      </c>
      <c r="CM332" t="str">
        <f>""</f>
        <v/>
      </c>
      <c r="CN332" t="str">
        <f>""</f>
        <v/>
      </c>
      <c r="CO332" t="str">
        <f>""</f>
        <v/>
      </c>
      <c r="CP332" t="str">
        <f>""</f>
        <v/>
      </c>
      <c r="CQ332" t="str">
        <f>""</f>
        <v/>
      </c>
      <c r="CR332" t="str">
        <f>""</f>
        <v/>
      </c>
      <c r="CS332" t="str">
        <f>""</f>
        <v/>
      </c>
      <c r="CT332" t="str">
        <f>""</f>
        <v/>
      </c>
      <c r="CU332" t="str">
        <f>""</f>
        <v/>
      </c>
      <c r="CV332" t="str">
        <f>""</f>
        <v/>
      </c>
      <c r="CW332" t="str">
        <f>""</f>
        <v/>
      </c>
      <c r="CX332" t="str">
        <f>""</f>
        <v/>
      </c>
      <c r="CY332" t="str">
        <f>""</f>
        <v/>
      </c>
      <c r="CZ332" t="str">
        <f>""</f>
        <v/>
      </c>
      <c r="DA332" t="str">
        <f>""</f>
        <v/>
      </c>
      <c r="DB332" t="str">
        <f>""</f>
        <v/>
      </c>
      <c r="DC332" t="str">
        <f>""</f>
        <v/>
      </c>
      <c r="DD332" t="str">
        <f>""</f>
        <v/>
      </c>
      <c r="DE332" t="str">
        <f>""</f>
        <v/>
      </c>
      <c r="DF332" t="str">
        <f>""</f>
        <v/>
      </c>
      <c r="DG332" t="str">
        <f>""</f>
        <v/>
      </c>
      <c r="DH332" t="str">
        <f>""</f>
        <v/>
      </c>
      <c r="DI332" t="str">
        <f>""</f>
        <v/>
      </c>
      <c r="DJ332" t="str">
        <f>""</f>
        <v/>
      </c>
      <c r="DK332" t="str">
        <f>""</f>
        <v/>
      </c>
      <c r="DL332" t="str">
        <f>""</f>
        <v/>
      </c>
      <c r="DM332" t="str">
        <f>""</f>
        <v/>
      </c>
      <c r="DN332" t="str">
        <f>""</f>
        <v/>
      </c>
      <c r="DO332" t="str">
        <f>""</f>
        <v/>
      </c>
      <c r="DP332" t="str">
        <f>""</f>
        <v/>
      </c>
      <c r="DQ332" t="str">
        <f>""</f>
        <v/>
      </c>
      <c r="DR332" t="str">
        <f>""</f>
        <v/>
      </c>
      <c r="DS332" t="str">
        <f>""</f>
        <v/>
      </c>
      <c r="DT332" t="str">
        <f>""</f>
        <v/>
      </c>
      <c r="DU332" t="str">
        <f>""</f>
        <v/>
      </c>
      <c r="DV332" t="str">
        <f>""</f>
        <v/>
      </c>
      <c r="DW332" t="str">
        <f>""</f>
        <v/>
      </c>
      <c r="DX332" t="str">
        <f>""</f>
        <v/>
      </c>
      <c r="DY332" t="str">
        <f>""</f>
        <v/>
      </c>
      <c r="DZ332" t="str">
        <f>""</f>
        <v/>
      </c>
      <c r="EA332" t="str">
        <f>""</f>
        <v/>
      </c>
      <c r="EB332" t="str">
        <f>""</f>
        <v/>
      </c>
      <c r="EC332" t="str">
        <f>""</f>
        <v/>
      </c>
      <c r="ED332" t="str">
        <f>""</f>
        <v/>
      </c>
      <c r="EE332" t="str">
        <f>""</f>
        <v/>
      </c>
      <c r="EF332" t="str">
        <f>""</f>
        <v/>
      </c>
      <c r="EG332" t="str">
        <f>""</f>
        <v/>
      </c>
      <c r="EH332" t="str">
        <f>""</f>
        <v/>
      </c>
      <c r="EI332" t="str">
        <f>""</f>
        <v/>
      </c>
      <c r="EJ332" t="str">
        <f>""</f>
        <v/>
      </c>
      <c r="EK332" t="str">
        <f>""</f>
        <v/>
      </c>
      <c r="EL332" t="str">
        <f>""</f>
        <v/>
      </c>
      <c r="EM332" t="str">
        <f>""</f>
        <v/>
      </c>
      <c r="EN332" t="str">
        <f>""</f>
        <v/>
      </c>
      <c r="EO332" t="str">
        <f>""</f>
        <v/>
      </c>
      <c r="EP332" t="str">
        <f>""</f>
        <v/>
      </c>
      <c r="EQ332" t="str">
        <f>""</f>
        <v/>
      </c>
      <c r="ER332" t="str">
        <f>""</f>
        <v/>
      </c>
      <c r="ES332" t="str">
        <f>""</f>
        <v/>
      </c>
      <c r="ET332" t="str">
        <f>""</f>
        <v/>
      </c>
      <c r="EU332" t="str">
        <f>""</f>
        <v/>
      </c>
      <c r="EV332" t="str">
        <f>""</f>
        <v/>
      </c>
      <c r="EW332" t="str">
        <f>""</f>
        <v/>
      </c>
      <c r="EX332" t="str">
        <f>""</f>
        <v/>
      </c>
      <c r="EY332" t="str">
        <f>""</f>
        <v/>
      </c>
      <c r="EZ332" t="str">
        <f>""</f>
        <v/>
      </c>
      <c r="FA332" t="str">
        <f>""</f>
        <v/>
      </c>
      <c r="FB332" t="str">
        <f>""</f>
        <v/>
      </c>
      <c r="FC332" t="str">
        <f>""</f>
        <v/>
      </c>
      <c r="FD332" t="str">
        <f>""</f>
        <v/>
      </c>
      <c r="FE332" t="str">
        <f>""</f>
        <v/>
      </c>
      <c r="FF332" t="str">
        <f>""</f>
        <v/>
      </c>
      <c r="FG332" t="str">
        <f>""</f>
        <v/>
      </c>
      <c r="FH332" t="str">
        <f>""</f>
        <v/>
      </c>
      <c r="FI332" t="str">
        <f>""</f>
        <v/>
      </c>
      <c r="FJ332" t="str">
        <f>""</f>
        <v/>
      </c>
      <c r="FK332" t="str">
        <f>""</f>
        <v/>
      </c>
      <c r="FL332" t="str">
        <f>""</f>
        <v/>
      </c>
      <c r="FM332" t="str">
        <f>""</f>
        <v/>
      </c>
      <c r="FN332" t="str">
        <f>""</f>
        <v/>
      </c>
      <c r="FO332" t="str">
        <f>""</f>
        <v/>
      </c>
      <c r="FP332" t="str">
        <f>""</f>
        <v/>
      </c>
      <c r="FQ332" t="str">
        <f>""</f>
        <v/>
      </c>
    </row>
    <row r="333" spans="1:173">
      <c r="A333" t="str">
        <f>$A$120</f>
        <v xml:space="preserve">    AvalonBay社区股份有限公司</v>
      </c>
      <c r="B333" t="str">
        <f>$B$120</f>
        <v>AVB US Equity</v>
      </c>
      <c r="C333" t="str">
        <f>$C$120</f>
        <v>F0894</v>
      </c>
      <c r="D333" t="str">
        <f>$D$120</f>
        <v>TRAILING_12_MONTHS_AFFOPS</v>
      </c>
      <c r="E333" t="str">
        <f>$E$120</f>
        <v>动态</v>
      </c>
      <c r="F333" t="str">
        <f ca="1">BDH($B$120,$C$120,$B$250,$B$251,CONCATENATE("Per=",$B$248),"Dts=H","Dir=H",CONCATENATE("Points=",$B$249),"Sort=R","Days=A","Fill=B",CONCATENATE("FX=", $B$247) )</f>
        <v>#N/A Authorization</v>
      </c>
      <c r="CL333" t="str">
        <f>""</f>
        <v/>
      </c>
      <c r="CM333" t="str">
        <f>""</f>
        <v/>
      </c>
      <c r="CN333" t="str">
        <f>""</f>
        <v/>
      </c>
      <c r="CO333" t="str">
        <f>""</f>
        <v/>
      </c>
      <c r="CP333" t="str">
        <f>""</f>
        <v/>
      </c>
      <c r="CQ333" t="str">
        <f>""</f>
        <v/>
      </c>
      <c r="CR333" t="str">
        <f>""</f>
        <v/>
      </c>
      <c r="CS333" t="str">
        <f>""</f>
        <v/>
      </c>
      <c r="CT333" t="str">
        <f>""</f>
        <v/>
      </c>
      <c r="CU333" t="str">
        <f>""</f>
        <v/>
      </c>
      <c r="CV333" t="str">
        <f>""</f>
        <v/>
      </c>
      <c r="CW333" t="str">
        <f>""</f>
        <v/>
      </c>
      <c r="CX333" t="str">
        <f>""</f>
        <v/>
      </c>
      <c r="CY333" t="str">
        <f>""</f>
        <v/>
      </c>
      <c r="CZ333" t="str">
        <f>""</f>
        <v/>
      </c>
      <c r="DA333" t="str">
        <f>""</f>
        <v/>
      </c>
      <c r="DB333" t="str">
        <f>""</f>
        <v/>
      </c>
      <c r="DC333" t="str">
        <f>""</f>
        <v/>
      </c>
      <c r="DD333" t="str">
        <f>""</f>
        <v/>
      </c>
      <c r="DE333" t="str">
        <f>""</f>
        <v/>
      </c>
      <c r="DF333" t="str">
        <f>""</f>
        <v/>
      </c>
      <c r="DG333" t="str">
        <f>""</f>
        <v/>
      </c>
      <c r="DH333" t="str">
        <f>""</f>
        <v/>
      </c>
      <c r="DI333" t="str">
        <f>""</f>
        <v/>
      </c>
      <c r="DJ333" t="str">
        <f>""</f>
        <v/>
      </c>
      <c r="DK333" t="str">
        <f>""</f>
        <v/>
      </c>
      <c r="DL333" t="str">
        <f>""</f>
        <v/>
      </c>
      <c r="DM333" t="str">
        <f>""</f>
        <v/>
      </c>
      <c r="DN333" t="str">
        <f>""</f>
        <v/>
      </c>
      <c r="DO333" t="str">
        <f>""</f>
        <v/>
      </c>
      <c r="DP333" t="str">
        <f>""</f>
        <v/>
      </c>
      <c r="DQ333" t="str">
        <f>""</f>
        <v/>
      </c>
      <c r="DR333" t="str">
        <f>""</f>
        <v/>
      </c>
      <c r="DS333" t="str">
        <f>""</f>
        <v/>
      </c>
      <c r="DT333" t="str">
        <f>""</f>
        <v/>
      </c>
      <c r="DU333" t="str">
        <f>""</f>
        <v/>
      </c>
      <c r="DV333" t="str">
        <f>""</f>
        <v/>
      </c>
      <c r="DW333" t="str">
        <f>""</f>
        <v/>
      </c>
      <c r="DX333" t="str">
        <f>""</f>
        <v/>
      </c>
      <c r="DY333" t="str">
        <f>""</f>
        <v/>
      </c>
      <c r="DZ333" t="str">
        <f>""</f>
        <v/>
      </c>
      <c r="EA333" t="str">
        <f>""</f>
        <v/>
      </c>
      <c r="EB333" t="str">
        <f>""</f>
        <v/>
      </c>
      <c r="EC333" t="str">
        <f>""</f>
        <v/>
      </c>
      <c r="ED333" t="str">
        <f>""</f>
        <v/>
      </c>
      <c r="EE333" t="str">
        <f>""</f>
        <v/>
      </c>
      <c r="EF333" t="str">
        <f>""</f>
        <v/>
      </c>
      <c r="EG333" t="str">
        <f>""</f>
        <v/>
      </c>
      <c r="EH333" t="str">
        <f>""</f>
        <v/>
      </c>
      <c r="EI333" t="str">
        <f>""</f>
        <v/>
      </c>
      <c r="EJ333" t="str">
        <f>""</f>
        <v/>
      </c>
      <c r="EK333" t="str">
        <f>""</f>
        <v/>
      </c>
      <c r="EL333" t="str">
        <f>""</f>
        <v/>
      </c>
      <c r="EM333" t="str">
        <f>""</f>
        <v/>
      </c>
      <c r="EN333" t="str">
        <f>""</f>
        <v/>
      </c>
      <c r="EO333" t="str">
        <f>""</f>
        <v/>
      </c>
      <c r="EP333" t="str">
        <f>""</f>
        <v/>
      </c>
      <c r="EQ333" t="str">
        <f>""</f>
        <v/>
      </c>
      <c r="ER333" t="str">
        <f>""</f>
        <v/>
      </c>
      <c r="ES333" t="str">
        <f>""</f>
        <v/>
      </c>
      <c r="ET333" t="str">
        <f>""</f>
        <v/>
      </c>
      <c r="EU333" t="str">
        <f>""</f>
        <v/>
      </c>
      <c r="EV333" t="str">
        <f>""</f>
        <v/>
      </c>
      <c r="EW333" t="str">
        <f>""</f>
        <v/>
      </c>
      <c r="EX333" t="str">
        <f>""</f>
        <v/>
      </c>
      <c r="EY333" t="str">
        <f>""</f>
        <v/>
      </c>
      <c r="EZ333" t="str">
        <f>""</f>
        <v/>
      </c>
      <c r="FA333" t="str">
        <f>""</f>
        <v/>
      </c>
      <c r="FB333" t="str">
        <f>""</f>
        <v/>
      </c>
      <c r="FC333" t="str">
        <f>""</f>
        <v/>
      </c>
      <c r="FD333" t="str">
        <f>""</f>
        <v/>
      </c>
      <c r="FE333" t="str">
        <f>""</f>
        <v/>
      </c>
      <c r="FF333" t="str">
        <f>""</f>
        <v/>
      </c>
      <c r="FG333" t="str">
        <f>""</f>
        <v/>
      </c>
      <c r="FH333" t="str">
        <f>""</f>
        <v/>
      </c>
      <c r="FI333" t="str">
        <f>""</f>
        <v/>
      </c>
      <c r="FJ333" t="str">
        <f>""</f>
        <v/>
      </c>
      <c r="FK333" t="str">
        <f>""</f>
        <v/>
      </c>
      <c r="FL333" t="str">
        <f>""</f>
        <v/>
      </c>
      <c r="FM333" t="str">
        <f>""</f>
        <v/>
      </c>
      <c r="FN333" t="str">
        <f>""</f>
        <v/>
      </c>
      <c r="FO333" t="str">
        <f>""</f>
        <v/>
      </c>
      <c r="FP333" t="str">
        <f>""</f>
        <v/>
      </c>
      <c r="FQ333" t="str">
        <f>""</f>
        <v/>
      </c>
    </row>
    <row r="334" spans="1:173">
      <c r="A334" t="str">
        <f>$A$121</f>
        <v xml:space="preserve">    Camden 房地产信托公司</v>
      </c>
      <c r="B334" t="str">
        <f>$B$121</f>
        <v>CPT US Equity</v>
      </c>
      <c r="C334" t="str">
        <f>$C$121</f>
        <v>F0894</v>
      </c>
      <c r="D334" t="str">
        <f>$D$121</f>
        <v>TRAILING_12_MONTHS_AFFOPS</v>
      </c>
      <c r="E334" t="str">
        <f>$E$121</f>
        <v>动态</v>
      </c>
      <c r="F334" t="str">
        <f ca="1">BDH($B$121,$C$121,$B$250,$B$251,CONCATENATE("Per=",$B$248),"Dts=H","Dir=H",CONCATENATE("Points=",$B$249),"Sort=R","Days=A","Fill=B",CONCATENATE("FX=", $B$247) )</f>
        <v>#N/A Authorization</v>
      </c>
      <c r="CL334" t="str">
        <f>""</f>
        <v/>
      </c>
      <c r="CM334" t="str">
        <f>""</f>
        <v/>
      </c>
      <c r="CN334" t="str">
        <f>""</f>
        <v/>
      </c>
      <c r="CO334" t="str">
        <f>""</f>
        <v/>
      </c>
      <c r="CP334" t="str">
        <f>""</f>
        <v/>
      </c>
      <c r="CQ334" t="str">
        <f>""</f>
        <v/>
      </c>
      <c r="CR334" t="str">
        <f>""</f>
        <v/>
      </c>
      <c r="CS334" t="str">
        <f>""</f>
        <v/>
      </c>
      <c r="CT334" t="str">
        <f>""</f>
        <v/>
      </c>
      <c r="CU334" t="str">
        <f>""</f>
        <v/>
      </c>
      <c r="CV334" t="str">
        <f>""</f>
        <v/>
      </c>
      <c r="CW334" t="str">
        <f>""</f>
        <v/>
      </c>
      <c r="CX334" t="str">
        <f>""</f>
        <v/>
      </c>
      <c r="CY334" t="str">
        <f>""</f>
        <v/>
      </c>
      <c r="CZ334" t="str">
        <f>""</f>
        <v/>
      </c>
      <c r="DA334" t="str">
        <f>""</f>
        <v/>
      </c>
      <c r="DB334" t="str">
        <f>""</f>
        <v/>
      </c>
      <c r="DC334" t="str">
        <f>""</f>
        <v/>
      </c>
      <c r="DD334" t="str">
        <f>""</f>
        <v/>
      </c>
      <c r="DE334" t="str">
        <f>""</f>
        <v/>
      </c>
      <c r="DF334" t="str">
        <f>""</f>
        <v/>
      </c>
      <c r="DG334" t="str">
        <f>""</f>
        <v/>
      </c>
      <c r="DH334" t="str">
        <f>""</f>
        <v/>
      </c>
      <c r="DI334" t="str">
        <f>""</f>
        <v/>
      </c>
      <c r="DJ334" t="str">
        <f>""</f>
        <v/>
      </c>
      <c r="DK334" t="str">
        <f>""</f>
        <v/>
      </c>
      <c r="DL334" t="str">
        <f>""</f>
        <v/>
      </c>
      <c r="DM334" t="str">
        <f>""</f>
        <v/>
      </c>
      <c r="DN334" t="str">
        <f>""</f>
        <v/>
      </c>
      <c r="DO334" t="str">
        <f>""</f>
        <v/>
      </c>
      <c r="DP334" t="str">
        <f>""</f>
        <v/>
      </c>
      <c r="DQ334" t="str">
        <f>""</f>
        <v/>
      </c>
      <c r="DR334" t="str">
        <f>""</f>
        <v/>
      </c>
      <c r="DS334" t="str">
        <f>""</f>
        <v/>
      </c>
      <c r="DT334" t="str">
        <f>""</f>
        <v/>
      </c>
      <c r="DU334" t="str">
        <f>""</f>
        <v/>
      </c>
      <c r="DV334" t="str">
        <f>""</f>
        <v/>
      </c>
      <c r="DW334" t="str">
        <f>""</f>
        <v/>
      </c>
      <c r="DX334" t="str">
        <f>""</f>
        <v/>
      </c>
      <c r="DY334" t="str">
        <f>""</f>
        <v/>
      </c>
      <c r="DZ334" t="str">
        <f>""</f>
        <v/>
      </c>
      <c r="EA334" t="str">
        <f>""</f>
        <v/>
      </c>
      <c r="EB334" t="str">
        <f>""</f>
        <v/>
      </c>
      <c r="EC334" t="str">
        <f>""</f>
        <v/>
      </c>
      <c r="ED334" t="str">
        <f>""</f>
        <v/>
      </c>
      <c r="EE334" t="str">
        <f>""</f>
        <v/>
      </c>
      <c r="EF334" t="str">
        <f>""</f>
        <v/>
      </c>
      <c r="EG334" t="str">
        <f>""</f>
        <v/>
      </c>
      <c r="EH334" t="str">
        <f>""</f>
        <v/>
      </c>
      <c r="EI334" t="str">
        <f>""</f>
        <v/>
      </c>
      <c r="EJ334" t="str">
        <f>""</f>
        <v/>
      </c>
      <c r="EK334" t="str">
        <f>""</f>
        <v/>
      </c>
      <c r="EL334" t="str">
        <f>""</f>
        <v/>
      </c>
      <c r="EM334" t="str">
        <f>""</f>
        <v/>
      </c>
      <c r="EN334" t="str">
        <f>""</f>
        <v/>
      </c>
      <c r="EO334" t="str">
        <f>""</f>
        <v/>
      </c>
      <c r="EP334" t="str">
        <f>""</f>
        <v/>
      </c>
      <c r="EQ334" t="str">
        <f>""</f>
        <v/>
      </c>
      <c r="ER334" t="str">
        <f>""</f>
        <v/>
      </c>
      <c r="ES334" t="str">
        <f>""</f>
        <v/>
      </c>
      <c r="ET334" t="str">
        <f>""</f>
        <v/>
      </c>
      <c r="EU334" t="str">
        <f>""</f>
        <v/>
      </c>
      <c r="EV334" t="str">
        <f>""</f>
        <v/>
      </c>
      <c r="EW334" t="str">
        <f>""</f>
        <v/>
      </c>
      <c r="EX334" t="str">
        <f>""</f>
        <v/>
      </c>
      <c r="EY334" t="str">
        <f>""</f>
        <v/>
      </c>
      <c r="EZ334" t="str">
        <f>""</f>
        <v/>
      </c>
      <c r="FA334" t="str">
        <f>""</f>
        <v/>
      </c>
      <c r="FB334" t="str">
        <f>""</f>
        <v/>
      </c>
      <c r="FC334" t="str">
        <f>""</f>
        <v/>
      </c>
      <c r="FD334" t="str">
        <f>""</f>
        <v/>
      </c>
      <c r="FE334" t="str">
        <f>""</f>
        <v/>
      </c>
      <c r="FF334" t="str">
        <f>""</f>
        <v/>
      </c>
      <c r="FG334" t="str">
        <f>""</f>
        <v/>
      </c>
      <c r="FH334" t="str">
        <f>""</f>
        <v/>
      </c>
      <c r="FI334" t="str">
        <f>""</f>
        <v/>
      </c>
      <c r="FJ334" t="str">
        <f>""</f>
        <v/>
      </c>
      <c r="FK334" t="str">
        <f>""</f>
        <v/>
      </c>
      <c r="FL334" t="str">
        <f>""</f>
        <v/>
      </c>
      <c r="FM334" t="str">
        <f>""</f>
        <v/>
      </c>
      <c r="FN334" t="str">
        <f>""</f>
        <v/>
      </c>
      <c r="FO334" t="str">
        <f>""</f>
        <v/>
      </c>
      <c r="FP334" t="str">
        <f>""</f>
        <v/>
      </c>
      <c r="FQ334" t="str">
        <f>""</f>
        <v/>
      </c>
    </row>
    <row r="335" spans="1:173">
      <c r="A335" t="str">
        <f>$A$122</f>
        <v xml:space="preserve">    公寓物业权益信托</v>
      </c>
      <c r="B335" t="str">
        <f>$B$122</f>
        <v>EQR US Equity</v>
      </c>
      <c r="C335" t="str">
        <f>$C$122</f>
        <v>F0894</v>
      </c>
      <c r="D335" t="str">
        <f>$D$122</f>
        <v>TRAILING_12_MONTHS_AFFOPS</v>
      </c>
      <c r="E335" t="str">
        <f>$E$122</f>
        <v>动态</v>
      </c>
      <c r="F335" t="str">
        <f ca="1">BDH($B$122,$C$122,$B$250,$B$251,CONCATENATE("Per=",$B$248),"Dts=H","Dir=H",CONCATENATE("Points=",$B$249),"Sort=R","Days=A","Fill=B",CONCATENATE("FX=", $B$247) )</f>
        <v>#N/A Authorization</v>
      </c>
      <c r="CL335" t="str">
        <f>""</f>
        <v/>
      </c>
      <c r="CM335" t="str">
        <f>""</f>
        <v/>
      </c>
      <c r="CN335" t="str">
        <f>""</f>
        <v/>
      </c>
      <c r="CO335" t="str">
        <f>""</f>
        <v/>
      </c>
      <c r="CP335" t="str">
        <f>""</f>
        <v/>
      </c>
      <c r="CQ335" t="str">
        <f>""</f>
        <v/>
      </c>
      <c r="CR335" t="str">
        <f>""</f>
        <v/>
      </c>
      <c r="CS335" t="str">
        <f>""</f>
        <v/>
      </c>
      <c r="CT335" t="str">
        <f>""</f>
        <v/>
      </c>
      <c r="CU335" t="str">
        <f>""</f>
        <v/>
      </c>
      <c r="CV335" t="str">
        <f>""</f>
        <v/>
      </c>
      <c r="CW335" t="str">
        <f>""</f>
        <v/>
      </c>
      <c r="CX335" t="str">
        <f>""</f>
        <v/>
      </c>
      <c r="CY335" t="str">
        <f>""</f>
        <v/>
      </c>
      <c r="CZ335" t="str">
        <f>""</f>
        <v/>
      </c>
      <c r="DA335" t="str">
        <f>""</f>
        <v/>
      </c>
      <c r="DB335" t="str">
        <f>""</f>
        <v/>
      </c>
      <c r="DC335" t="str">
        <f>""</f>
        <v/>
      </c>
      <c r="DD335" t="str">
        <f>""</f>
        <v/>
      </c>
      <c r="DE335" t="str">
        <f>""</f>
        <v/>
      </c>
      <c r="DF335" t="str">
        <f>""</f>
        <v/>
      </c>
      <c r="DG335" t="str">
        <f>""</f>
        <v/>
      </c>
      <c r="DH335" t="str">
        <f>""</f>
        <v/>
      </c>
      <c r="DI335" t="str">
        <f>""</f>
        <v/>
      </c>
      <c r="DJ335" t="str">
        <f>""</f>
        <v/>
      </c>
      <c r="DK335" t="str">
        <f>""</f>
        <v/>
      </c>
      <c r="DL335" t="str">
        <f>""</f>
        <v/>
      </c>
      <c r="DM335" t="str">
        <f>""</f>
        <v/>
      </c>
      <c r="DN335" t="str">
        <f>""</f>
        <v/>
      </c>
      <c r="DO335" t="str">
        <f>""</f>
        <v/>
      </c>
      <c r="DP335" t="str">
        <f>""</f>
        <v/>
      </c>
      <c r="DQ335" t="str">
        <f>""</f>
        <v/>
      </c>
      <c r="DR335" t="str">
        <f>""</f>
        <v/>
      </c>
      <c r="DS335" t="str">
        <f>""</f>
        <v/>
      </c>
      <c r="DT335" t="str">
        <f>""</f>
        <v/>
      </c>
      <c r="DU335" t="str">
        <f>""</f>
        <v/>
      </c>
      <c r="DV335" t="str">
        <f>""</f>
        <v/>
      </c>
      <c r="DW335" t="str">
        <f>""</f>
        <v/>
      </c>
      <c r="DX335" t="str">
        <f>""</f>
        <v/>
      </c>
      <c r="DY335" t="str">
        <f>""</f>
        <v/>
      </c>
      <c r="DZ335" t="str">
        <f>""</f>
        <v/>
      </c>
      <c r="EA335" t="str">
        <f>""</f>
        <v/>
      </c>
      <c r="EB335" t="str">
        <f>""</f>
        <v/>
      </c>
      <c r="EC335" t="str">
        <f>""</f>
        <v/>
      </c>
      <c r="ED335" t="str">
        <f>""</f>
        <v/>
      </c>
      <c r="EE335" t="str">
        <f>""</f>
        <v/>
      </c>
      <c r="EF335" t="str">
        <f>""</f>
        <v/>
      </c>
      <c r="EG335" t="str">
        <f>""</f>
        <v/>
      </c>
      <c r="EH335" t="str">
        <f>""</f>
        <v/>
      </c>
      <c r="EI335" t="str">
        <f>""</f>
        <v/>
      </c>
      <c r="EJ335" t="str">
        <f>""</f>
        <v/>
      </c>
      <c r="EK335" t="str">
        <f>""</f>
        <v/>
      </c>
      <c r="EL335" t="str">
        <f>""</f>
        <v/>
      </c>
      <c r="EM335" t="str">
        <f>""</f>
        <v/>
      </c>
      <c r="EN335" t="str">
        <f>""</f>
        <v/>
      </c>
      <c r="EO335" t="str">
        <f>""</f>
        <v/>
      </c>
      <c r="EP335" t="str">
        <f>""</f>
        <v/>
      </c>
      <c r="EQ335" t="str">
        <f>""</f>
        <v/>
      </c>
      <c r="ER335" t="str">
        <f>""</f>
        <v/>
      </c>
      <c r="ES335" t="str">
        <f>""</f>
        <v/>
      </c>
      <c r="ET335" t="str">
        <f>""</f>
        <v/>
      </c>
      <c r="EU335" t="str">
        <f>""</f>
        <v/>
      </c>
      <c r="EV335" t="str">
        <f>""</f>
        <v/>
      </c>
      <c r="EW335" t="str">
        <f>""</f>
        <v/>
      </c>
      <c r="EX335" t="str">
        <f>""</f>
        <v/>
      </c>
      <c r="EY335" t="str">
        <f>""</f>
        <v/>
      </c>
      <c r="EZ335" t="str">
        <f>""</f>
        <v/>
      </c>
      <c r="FA335" t="str">
        <f>""</f>
        <v/>
      </c>
      <c r="FB335" t="str">
        <f>""</f>
        <v/>
      </c>
      <c r="FC335" t="str">
        <f>""</f>
        <v/>
      </c>
      <c r="FD335" t="str">
        <f>""</f>
        <v/>
      </c>
      <c r="FE335" t="str">
        <f>""</f>
        <v/>
      </c>
      <c r="FF335" t="str">
        <f>""</f>
        <v/>
      </c>
      <c r="FG335" t="str">
        <f>""</f>
        <v/>
      </c>
      <c r="FH335" t="str">
        <f>""</f>
        <v/>
      </c>
      <c r="FI335" t="str">
        <f>""</f>
        <v/>
      </c>
      <c r="FJ335" t="str">
        <f>""</f>
        <v/>
      </c>
      <c r="FK335" t="str">
        <f>""</f>
        <v/>
      </c>
      <c r="FL335" t="str">
        <f>""</f>
        <v/>
      </c>
      <c r="FM335" t="str">
        <f>""</f>
        <v/>
      </c>
      <c r="FN335" t="str">
        <f>""</f>
        <v/>
      </c>
      <c r="FO335" t="str">
        <f>""</f>
        <v/>
      </c>
      <c r="FP335" t="str">
        <f>""</f>
        <v/>
      </c>
      <c r="FQ335" t="str">
        <f>""</f>
        <v/>
      </c>
    </row>
    <row r="336" spans="1:173">
      <c r="A336" t="str">
        <f>$A$123</f>
        <v xml:space="preserve">    埃塞克斯房地产信托公司</v>
      </c>
      <c r="B336" t="str">
        <f>$B$123</f>
        <v>ESS US Equity</v>
      </c>
      <c r="C336" t="str">
        <f>$C$123</f>
        <v>F0894</v>
      </c>
      <c r="D336" t="str">
        <f>$D$123</f>
        <v>TRAILING_12_MONTHS_AFFOPS</v>
      </c>
      <c r="E336" t="str">
        <f>$E$123</f>
        <v>动态</v>
      </c>
      <c r="F336" t="str">
        <f ca="1">BDH($B$123,$C$123,$B$250,$B$251,CONCATENATE("Per=",$B$248),"Dts=H","Dir=H",CONCATENATE("Points=",$B$249),"Sort=R","Days=A","Fill=B",CONCATENATE("FX=", $B$247) )</f>
        <v>#N/A Authorization</v>
      </c>
      <c r="CL336" t="str">
        <f>""</f>
        <v/>
      </c>
      <c r="CM336" t="str">
        <f>""</f>
        <v/>
      </c>
      <c r="CN336" t="str">
        <f>""</f>
        <v/>
      </c>
      <c r="CO336" t="str">
        <f>""</f>
        <v/>
      </c>
      <c r="CP336" t="str">
        <f>""</f>
        <v/>
      </c>
      <c r="CQ336" t="str">
        <f>""</f>
        <v/>
      </c>
      <c r="CR336" t="str">
        <f>""</f>
        <v/>
      </c>
      <c r="CS336" t="str">
        <f>""</f>
        <v/>
      </c>
      <c r="CT336" t="str">
        <f>""</f>
        <v/>
      </c>
      <c r="CU336" t="str">
        <f>""</f>
        <v/>
      </c>
      <c r="CV336" t="str">
        <f>""</f>
        <v/>
      </c>
      <c r="CW336" t="str">
        <f>""</f>
        <v/>
      </c>
      <c r="CX336" t="str">
        <f>""</f>
        <v/>
      </c>
      <c r="CY336" t="str">
        <f>""</f>
        <v/>
      </c>
      <c r="CZ336" t="str">
        <f>""</f>
        <v/>
      </c>
      <c r="DA336" t="str">
        <f>""</f>
        <v/>
      </c>
      <c r="DB336" t="str">
        <f>""</f>
        <v/>
      </c>
      <c r="DC336" t="str">
        <f>""</f>
        <v/>
      </c>
      <c r="DD336" t="str">
        <f>""</f>
        <v/>
      </c>
      <c r="DE336" t="str">
        <f>""</f>
        <v/>
      </c>
      <c r="DF336" t="str">
        <f>""</f>
        <v/>
      </c>
      <c r="DG336" t="str">
        <f>""</f>
        <v/>
      </c>
      <c r="DH336" t="str">
        <f>""</f>
        <v/>
      </c>
      <c r="DI336" t="str">
        <f>""</f>
        <v/>
      </c>
      <c r="DJ336" t="str">
        <f>""</f>
        <v/>
      </c>
      <c r="DK336" t="str">
        <f>""</f>
        <v/>
      </c>
      <c r="DL336" t="str">
        <f>""</f>
        <v/>
      </c>
      <c r="DM336" t="str">
        <f>""</f>
        <v/>
      </c>
      <c r="DN336" t="str">
        <f>""</f>
        <v/>
      </c>
      <c r="DO336" t="str">
        <f>""</f>
        <v/>
      </c>
      <c r="DP336" t="str">
        <f>""</f>
        <v/>
      </c>
      <c r="DQ336" t="str">
        <f>""</f>
        <v/>
      </c>
      <c r="DR336" t="str">
        <f>""</f>
        <v/>
      </c>
      <c r="DS336" t="str">
        <f>""</f>
        <v/>
      </c>
      <c r="DT336" t="str">
        <f>""</f>
        <v/>
      </c>
      <c r="DU336" t="str">
        <f>""</f>
        <v/>
      </c>
      <c r="DV336" t="str">
        <f>""</f>
        <v/>
      </c>
      <c r="DW336" t="str">
        <f>""</f>
        <v/>
      </c>
      <c r="DX336" t="str">
        <f>""</f>
        <v/>
      </c>
      <c r="DY336" t="str">
        <f>""</f>
        <v/>
      </c>
      <c r="DZ336" t="str">
        <f>""</f>
        <v/>
      </c>
      <c r="EA336" t="str">
        <f>""</f>
        <v/>
      </c>
      <c r="EB336" t="str">
        <f>""</f>
        <v/>
      </c>
      <c r="EC336" t="str">
        <f>""</f>
        <v/>
      </c>
      <c r="ED336" t="str">
        <f>""</f>
        <v/>
      </c>
      <c r="EE336" t="str">
        <f>""</f>
        <v/>
      </c>
      <c r="EF336" t="str">
        <f>""</f>
        <v/>
      </c>
      <c r="EG336" t="str">
        <f>""</f>
        <v/>
      </c>
      <c r="EH336" t="str">
        <f>""</f>
        <v/>
      </c>
      <c r="EI336" t="str">
        <f>""</f>
        <v/>
      </c>
      <c r="EJ336" t="str">
        <f>""</f>
        <v/>
      </c>
      <c r="EK336" t="str">
        <f>""</f>
        <v/>
      </c>
      <c r="EL336" t="str">
        <f>""</f>
        <v/>
      </c>
      <c r="EM336" t="str">
        <f>""</f>
        <v/>
      </c>
      <c r="EN336" t="str">
        <f>""</f>
        <v/>
      </c>
      <c r="EO336" t="str">
        <f>""</f>
        <v/>
      </c>
      <c r="EP336" t="str">
        <f>""</f>
        <v/>
      </c>
      <c r="EQ336" t="str">
        <f>""</f>
        <v/>
      </c>
      <c r="ER336" t="str">
        <f>""</f>
        <v/>
      </c>
      <c r="ES336" t="str">
        <f>""</f>
        <v/>
      </c>
      <c r="ET336" t="str">
        <f>""</f>
        <v/>
      </c>
      <c r="EU336" t="str">
        <f>""</f>
        <v/>
      </c>
      <c r="EV336" t="str">
        <f>""</f>
        <v/>
      </c>
      <c r="EW336" t="str">
        <f>""</f>
        <v/>
      </c>
      <c r="EX336" t="str">
        <f>""</f>
        <v/>
      </c>
      <c r="EY336" t="str">
        <f>""</f>
        <v/>
      </c>
      <c r="EZ336" t="str">
        <f>""</f>
        <v/>
      </c>
      <c r="FA336" t="str">
        <f>""</f>
        <v/>
      </c>
      <c r="FB336" t="str">
        <f>""</f>
        <v/>
      </c>
      <c r="FC336" t="str">
        <f>""</f>
        <v/>
      </c>
      <c r="FD336" t="str">
        <f>""</f>
        <v/>
      </c>
      <c r="FE336" t="str">
        <f>""</f>
        <v/>
      </c>
      <c r="FF336" t="str">
        <f>""</f>
        <v/>
      </c>
      <c r="FG336" t="str">
        <f>""</f>
        <v/>
      </c>
      <c r="FH336" t="str">
        <f>""</f>
        <v/>
      </c>
      <c r="FI336" t="str">
        <f>""</f>
        <v/>
      </c>
      <c r="FJ336" t="str">
        <f>""</f>
        <v/>
      </c>
      <c r="FK336" t="str">
        <f>""</f>
        <v/>
      </c>
      <c r="FL336" t="str">
        <f>""</f>
        <v/>
      </c>
      <c r="FM336" t="str">
        <f>""</f>
        <v/>
      </c>
      <c r="FN336" t="str">
        <f>""</f>
        <v/>
      </c>
      <c r="FO336" t="str">
        <f>""</f>
        <v/>
      </c>
      <c r="FP336" t="str">
        <f>""</f>
        <v/>
      </c>
      <c r="FQ336" t="str">
        <f>""</f>
        <v/>
      </c>
    </row>
    <row r="337" spans="1:173">
      <c r="A337" t="str">
        <f>$A$124</f>
        <v xml:space="preserve">    Mid-America Apartment Communities股份有限公司</v>
      </c>
      <c r="B337" t="str">
        <f>$B$124</f>
        <v>MAA US Equity</v>
      </c>
      <c r="C337" t="str">
        <f>$C$124</f>
        <v>F0894</v>
      </c>
      <c r="D337" t="str">
        <f>$D$124</f>
        <v>TRAILING_12_MONTHS_AFFOPS</v>
      </c>
      <c r="E337" t="str">
        <f>$E$124</f>
        <v>动态</v>
      </c>
      <c r="F337" t="str">
        <f ca="1">BDH($B$124,$C$124,$B$250,$B$251,CONCATENATE("Per=",$B$248),"Dts=H","Dir=H",CONCATENATE("Points=",$B$249),"Sort=R","Days=A","Fill=B",CONCATENATE("FX=", $B$247) )</f>
        <v>#N/A Authorization</v>
      </c>
      <c r="CL337" t="str">
        <f>""</f>
        <v/>
      </c>
      <c r="CM337" t="str">
        <f>""</f>
        <v/>
      </c>
      <c r="CN337" t="str">
        <f>""</f>
        <v/>
      </c>
      <c r="CO337" t="str">
        <f>""</f>
        <v/>
      </c>
      <c r="CP337" t="str">
        <f>""</f>
        <v/>
      </c>
      <c r="CQ337" t="str">
        <f>""</f>
        <v/>
      </c>
      <c r="CR337" t="str">
        <f>""</f>
        <v/>
      </c>
      <c r="CS337" t="str">
        <f>""</f>
        <v/>
      </c>
      <c r="CT337" t="str">
        <f>""</f>
        <v/>
      </c>
      <c r="CU337" t="str">
        <f>""</f>
        <v/>
      </c>
      <c r="CV337" t="str">
        <f>""</f>
        <v/>
      </c>
      <c r="CW337" t="str">
        <f>""</f>
        <v/>
      </c>
      <c r="CX337" t="str">
        <f>""</f>
        <v/>
      </c>
      <c r="CY337" t="str">
        <f>""</f>
        <v/>
      </c>
      <c r="CZ337" t="str">
        <f>""</f>
        <v/>
      </c>
      <c r="DA337" t="str">
        <f>""</f>
        <v/>
      </c>
      <c r="DB337" t="str">
        <f>""</f>
        <v/>
      </c>
      <c r="DC337" t="str">
        <f>""</f>
        <v/>
      </c>
      <c r="DD337" t="str">
        <f>""</f>
        <v/>
      </c>
      <c r="DE337" t="str">
        <f>""</f>
        <v/>
      </c>
      <c r="DF337" t="str">
        <f>""</f>
        <v/>
      </c>
      <c r="DG337" t="str">
        <f>""</f>
        <v/>
      </c>
      <c r="DH337" t="str">
        <f>""</f>
        <v/>
      </c>
      <c r="DI337" t="str">
        <f>""</f>
        <v/>
      </c>
      <c r="DJ337" t="str">
        <f>""</f>
        <v/>
      </c>
      <c r="DK337" t="str">
        <f>""</f>
        <v/>
      </c>
      <c r="DL337" t="str">
        <f>""</f>
        <v/>
      </c>
      <c r="DM337" t="str">
        <f>""</f>
        <v/>
      </c>
      <c r="DN337" t="str">
        <f>""</f>
        <v/>
      </c>
      <c r="DO337" t="str">
        <f>""</f>
        <v/>
      </c>
      <c r="DP337" t="str">
        <f>""</f>
        <v/>
      </c>
      <c r="DQ337" t="str">
        <f>""</f>
        <v/>
      </c>
      <c r="DR337" t="str">
        <f>""</f>
        <v/>
      </c>
      <c r="DS337" t="str">
        <f>""</f>
        <v/>
      </c>
      <c r="DT337" t="str">
        <f>""</f>
        <v/>
      </c>
      <c r="DU337" t="str">
        <f>""</f>
        <v/>
      </c>
      <c r="DV337" t="str">
        <f>""</f>
        <v/>
      </c>
      <c r="DW337" t="str">
        <f>""</f>
        <v/>
      </c>
      <c r="DX337" t="str">
        <f>""</f>
        <v/>
      </c>
      <c r="DY337" t="str">
        <f>""</f>
        <v/>
      </c>
      <c r="DZ337" t="str">
        <f>""</f>
        <v/>
      </c>
      <c r="EA337" t="str">
        <f>""</f>
        <v/>
      </c>
      <c r="EB337" t="str">
        <f>""</f>
        <v/>
      </c>
      <c r="EC337" t="str">
        <f>""</f>
        <v/>
      </c>
      <c r="ED337" t="str">
        <f>""</f>
        <v/>
      </c>
      <c r="EE337" t="str">
        <f>""</f>
        <v/>
      </c>
      <c r="EF337" t="str">
        <f>""</f>
        <v/>
      </c>
      <c r="EG337" t="str">
        <f>""</f>
        <v/>
      </c>
      <c r="EH337" t="str">
        <f>""</f>
        <v/>
      </c>
      <c r="EI337" t="str">
        <f>""</f>
        <v/>
      </c>
      <c r="EJ337" t="str">
        <f>""</f>
        <v/>
      </c>
      <c r="EK337" t="str">
        <f>""</f>
        <v/>
      </c>
      <c r="EL337" t="str">
        <f>""</f>
        <v/>
      </c>
      <c r="EM337" t="str">
        <f>""</f>
        <v/>
      </c>
      <c r="EN337" t="str">
        <f>""</f>
        <v/>
      </c>
      <c r="EO337" t="str">
        <f>""</f>
        <v/>
      </c>
      <c r="EP337" t="str">
        <f>""</f>
        <v/>
      </c>
      <c r="EQ337" t="str">
        <f>""</f>
        <v/>
      </c>
      <c r="ER337" t="str">
        <f>""</f>
        <v/>
      </c>
      <c r="ES337" t="str">
        <f>""</f>
        <v/>
      </c>
      <c r="ET337" t="str">
        <f>""</f>
        <v/>
      </c>
      <c r="EU337" t="str">
        <f>""</f>
        <v/>
      </c>
      <c r="EV337" t="str">
        <f>""</f>
        <v/>
      </c>
      <c r="EW337" t="str">
        <f>""</f>
        <v/>
      </c>
      <c r="EX337" t="str">
        <f>""</f>
        <v/>
      </c>
      <c r="EY337" t="str">
        <f>""</f>
        <v/>
      </c>
      <c r="EZ337" t="str">
        <f>""</f>
        <v/>
      </c>
      <c r="FA337" t="str">
        <f>""</f>
        <v/>
      </c>
      <c r="FB337" t="str">
        <f>""</f>
        <v/>
      </c>
      <c r="FC337" t="str">
        <f>""</f>
        <v/>
      </c>
      <c r="FD337" t="str">
        <f>""</f>
        <v/>
      </c>
      <c r="FE337" t="str">
        <f>""</f>
        <v/>
      </c>
      <c r="FF337" t="str">
        <f>""</f>
        <v/>
      </c>
      <c r="FG337" t="str">
        <f>""</f>
        <v/>
      </c>
      <c r="FH337" t="str">
        <f>""</f>
        <v/>
      </c>
      <c r="FI337" t="str">
        <f>""</f>
        <v/>
      </c>
      <c r="FJ337" t="str">
        <f>""</f>
        <v/>
      </c>
      <c r="FK337" t="str">
        <f>""</f>
        <v/>
      </c>
      <c r="FL337" t="str">
        <f>""</f>
        <v/>
      </c>
      <c r="FM337" t="str">
        <f>""</f>
        <v/>
      </c>
      <c r="FN337" t="str">
        <f>""</f>
        <v/>
      </c>
      <c r="FO337" t="str">
        <f>""</f>
        <v/>
      </c>
      <c r="FP337" t="str">
        <f>""</f>
        <v/>
      </c>
      <c r="FQ337" t="str">
        <f>""</f>
        <v/>
      </c>
    </row>
    <row r="338" spans="1:173">
      <c r="A338" t="str">
        <f>$A$125</f>
        <v xml:space="preserve">    UDR 公司</v>
      </c>
      <c r="B338" t="str">
        <f>$B$125</f>
        <v>UDR US Equity</v>
      </c>
      <c r="C338" t="str">
        <f>$C$125</f>
        <v>F0894</v>
      </c>
      <c r="D338" t="str">
        <f>$D$125</f>
        <v>TRAILING_12_MONTHS_AFFOPS</v>
      </c>
      <c r="E338" t="str">
        <f>$E$125</f>
        <v>动态</v>
      </c>
      <c r="F338" t="str">
        <f ca="1">BDH($B$125,$C$125,$B$250,$B$251,CONCATENATE("Per=",$B$248),"Dts=H","Dir=H",CONCATENATE("Points=",$B$249),"Sort=R","Days=A","Fill=B",CONCATENATE("FX=", $B$247) )</f>
        <v>#N/A Authorization</v>
      </c>
      <c r="CL338" t="str">
        <f>""</f>
        <v/>
      </c>
      <c r="CM338" t="str">
        <f>""</f>
        <v/>
      </c>
      <c r="CN338" t="str">
        <f>""</f>
        <v/>
      </c>
      <c r="CO338" t="str">
        <f>""</f>
        <v/>
      </c>
      <c r="CP338" t="str">
        <f>""</f>
        <v/>
      </c>
      <c r="CQ338" t="str">
        <f>""</f>
        <v/>
      </c>
      <c r="CR338" t="str">
        <f>""</f>
        <v/>
      </c>
      <c r="CS338" t="str">
        <f>""</f>
        <v/>
      </c>
      <c r="CT338" t="str">
        <f>""</f>
        <v/>
      </c>
      <c r="CU338" t="str">
        <f>""</f>
        <v/>
      </c>
      <c r="CV338" t="str">
        <f>""</f>
        <v/>
      </c>
      <c r="CW338" t="str">
        <f>""</f>
        <v/>
      </c>
      <c r="CX338" t="str">
        <f>""</f>
        <v/>
      </c>
      <c r="CY338" t="str">
        <f>""</f>
        <v/>
      </c>
      <c r="CZ338" t="str">
        <f>""</f>
        <v/>
      </c>
      <c r="DA338" t="str">
        <f>""</f>
        <v/>
      </c>
      <c r="DB338" t="str">
        <f>""</f>
        <v/>
      </c>
      <c r="DC338" t="str">
        <f>""</f>
        <v/>
      </c>
      <c r="DD338" t="str">
        <f>""</f>
        <v/>
      </c>
      <c r="DE338" t="str">
        <f>""</f>
        <v/>
      </c>
      <c r="DF338" t="str">
        <f>""</f>
        <v/>
      </c>
      <c r="DG338" t="str">
        <f>""</f>
        <v/>
      </c>
      <c r="DH338" t="str">
        <f>""</f>
        <v/>
      </c>
      <c r="DI338" t="str">
        <f>""</f>
        <v/>
      </c>
      <c r="DJ338" t="str">
        <f>""</f>
        <v/>
      </c>
      <c r="DK338" t="str">
        <f>""</f>
        <v/>
      </c>
      <c r="DL338" t="str">
        <f>""</f>
        <v/>
      </c>
      <c r="DM338" t="str">
        <f>""</f>
        <v/>
      </c>
      <c r="DN338" t="str">
        <f>""</f>
        <v/>
      </c>
      <c r="DO338" t="str">
        <f>""</f>
        <v/>
      </c>
      <c r="DP338" t="str">
        <f>""</f>
        <v/>
      </c>
      <c r="DQ338" t="str">
        <f>""</f>
        <v/>
      </c>
      <c r="DR338" t="str">
        <f>""</f>
        <v/>
      </c>
      <c r="DS338" t="str">
        <f>""</f>
        <v/>
      </c>
      <c r="DT338" t="str">
        <f>""</f>
        <v/>
      </c>
      <c r="DU338" t="str">
        <f>""</f>
        <v/>
      </c>
      <c r="DV338" t="str">
        <f>""</f>
        <v/>
      </c>
      <c r="DW338" t="str">
        <f>""</f>
        <v/>
      </c>
      <c r="DX338" t="str">
        <f>""</f>
        <v/>
      </c>
      <c r="DY338" t="str">
        <f>""</f>
        <v/>
      </c>
      <c r="DZ338" t="str">
        <f>""</f>
        <v/>
      </c>
      <c r="EA338" t="str">
        <f>""</f>
        <v/>
      </c>
      <c r="EB338" t="str">
        <f>""</f>
        <v/>
      </c>
      <c r="EC338" t="str">
        <f>""</f>
        <v/>
      </c>
      <c r="ED338" t="str">
        <f>""</f>
        <v/>
      </c>
      <c r="EE338" t="str">
        <f>""</f>
        <v/>
      </c>
      <c r="EF338" t="str">
        <f>""</f>
        <v/>
      </c>
      <c r="EG338" t="str">
        <f>""</f>
        <v/>
      </c>
      <c r="EH338" t="str">
        <f>""</f>
        <v/>
      </c>
      <c r="EI338" t="str">
        <f>""</f>
        <v/>
      </c>
      <c r="EJ338" t="str">
        <f>""</f>
        <v/>
      </c>
      <c r="EK338" t="str">
        <f>""</f>
        <v/>
      </c>
      <c r="EL338" t="str">
        <f>""</f>
        <v/>
      </c>
      <c r="EM338" t="str">
        <f>""</f>
        <v/>
      </c>
      <c r="EN338" t="str">
        <f>""</f>
        <v/>
      </c>
      <c r="EO338" t="str">
        <f>""</f>
        <v/>
      </c>
      <c r="EP338" t="str">
        <f>""</f>
        <v/>
      </c>
      <c r="EQ338" t="str">
        <f>""</f>
        <v/>
      </c>
      <c r="ER338" t="str">
        <f>""</f>
        <v/>
      </c>
      <c r="ES338" t="str">
        <f>""</f>
        <v/>
      </c>
      <c r="ET338" t="str">
        <f>""</f>
        <v/>
      </c>
      <c r="EU338" t="str">
        <f>""</f>
        <v/>
      </c>
      <c r="EV338" t="str">
        <f>""</f>
        <v/>
      </c>
      <c r="EW338" t="str">
        <f>""</f>
        <v/>
      </c>
      <c r="EX338" t="str">
        <f>""</f>
        <v/>
      </c>
      <c r="EY338" t="str">
        <f>""</f>
        <v/>
      </c>
      <c r="EZ338" t="str">
        <f>""</f>
        <v/>
      </c>
      <c r="FA338" t="str">
        <f>""</f>
        <v/>
      </c>
      <c r="FB338" t="str">
        <f>""</f>
        <v/>
      </c>
      <c r="FC338" t="str">
        <f>""</f>
        <v/>
      </c>
      <c r="FD338" t="str">
        <f>""</f>
        <v/>
      </c>
      <c r="FE338" t="str">
        <f>""</f>
        <v/>
      </c>
      <c r="FF338" t="str">
        <f>""</f>
        <v/>
      </c>
      <c r="FG338" t="str">
        <f>""</f>
        <v/>
      </c>
      <c r="FH338" t="str">
        <f>""</f>
        <v/>
      </c>
      <c r="FI338" t="str">
        <f>""</f>
        <v/>
      </c>
      <c r="FJ338" t="str">
        <f>""</f>
        <v/>
      </c>
      <c r="FK338" t="str">
        <f>""</f>
        <v/>
      </c>
      <c r="FL338" t="str">
        <f>""</f>
        <v/>
      </c>
      <c r="FM338" t="str">
        <f>""</f>
        <v/>
      </c>
      <c r="FN338" t="str">
        <f>""</f>
        <v/>
      </c>
      <c r="FO338" t="str">
        <f>""</f>
        <v/>
      </c>
      <c r="FP338" t="str">
        <f>""</f>
        <v/>
      </c>
      <c r="FQ338" t="str">
        <f>""</f>
        <v/>
      </c>
    </row>
    <row r="339" spans="1:173">
      <c r="A339" t="str">
        <f>$A$127</f>
        <v xml:space="preserve">    Apartment Investment &amp; Managem</v>
      </c>
      <c r="B339" t="str">
        <f>$B$127</f>
        <v>AIV US Equity</v>
      </c>
      <c r="C339" t="str">
        <f>$C$127</f>
        <v>F0580</v>
      </c>
      <c r="D339" t="str">
        <f>$D$127</f>
        <v>FUNDS_AVAILABLE_FOR_DIST_PER_SH</v>
      </c>
      <c r="E339" t="str">
        <f>$E$127</f>
        <v>动态</v>
      </c>
      <c r="F339" t="str">
        <f ca="1">BDH($B$127,$C$127,$B$250,$B$251,CONCATENATE("Per=",$B$248),"Dts=H","Dir=H",CONCATENATE("Points=",$B$249),"Sort=R","Days=A","Fill=B",CONCATENATE("FX=", $B$247) )</f>
        <v>#N/A Authorization</v>
      </c>
      <c r="CL339" t="str">
        <f>""</f>
        <v/>
      </c>
      <c r="CM339" t="str">
        <f>""</f>
        <v/>
      </c>
      <c r="CN339" t="str">
        <f>""</f>
        <v/>
      </c>
      <c r="CO339" t="str">
        <f>""</f>
        <v/>
      </c>
      <c r="CP339" t="str">
        <f>""</f>
        <v/>
      </c>
      <c r="CQ339" t="str">
        <f>""</f>
        <v/>
      </c>
      <c r="CR339" t="str">
        <f>""</f>
        <v/>
      </c>
      <c r="CS339" t="str">
        <f>""</f>
        <v/>
      </c>
      <c r="CT339" t="str">
        <f>""</f>
        <v/>
      </c>
      <c r="CU339" t="str">
        <f>""</f>
        <v/>
      </c>
      <c r="CV339" t="str">
        <f>""</f>
        <v/>
      </c>
      <c r="CW339" t="str">
        <f>""</f>
        <v/>
      </c>
      <c r="CX339" t="str">
        <f>""</f>
        <v/>
      </c>
      <c r="CY339" t="str">
        <f>""</f>
        <v/>
      </c>
      <c r="CZ339" t="str">
        <f>""</f>
        <v/>
      </c>
      <c r="DA339" t="str">
        <f>""</f>
        <v/>
      </c>
      <c r="DB339" t="str">
        <f>""</f>
        <v/>
      </c>
      <c r="DC339" t="str">
        <f>""</f>
        <v/>
      </c>
      <c r="DD339" t="str">
        <f>""</f>
        <v/>
      </c>
      <c r="DE339" t="str">
        <f>""</f>
        <v/>
      </c>
      <c r="DF339" t="str">
        <f>""</f>
        <v/>
      </c>
      <c r="DG339" t="str">
        <f>""</f>
        <v/>
      </c>
      <c r="DH339" t="str">
        <f>""</f>
        <v/>
      </c>
      <c r="DI339" t="str">
        <f>""</f>
        <v/>
      </c>
      <c r="DJ339" t="str">
        <f>""</f>
        <v/>
      </c>
      <c r="DK339" t="str">
        <f>""</f>
        <v/>
      </c>
      <c r="DL339" t="str">
        <f>""</f>
        <v/>
      </c>
      <c r="DM339" t="str">
        <f>""</f>
        <v/>
      </c>
      <c r="DN339" t="str">
        <f>""</f>
        <v/>
      </c>
      <c r="DO339" t="str">
        <f>""</f>
        <v/>
      </c>
      <c r="DP339" t="str">
        <f>""</f>
        <v/>
      </c>
      <c r="DQ339" t="str">
        <f>""</f>
        <v/>
      </c>
      <c r="DR339" t="str">
        <f>""</f>
        <v/>
      </c>
      <c r="DS339" t="str">
        <f>""</f>
        <v/>
      </c>
      <c r="DT339" t="str">
        <f>""</f>
        <v/>
      </c>
      <c r="DU339" t="str">
        <f>""</f>
        <v/>
      </c>
      <c r="DV339" t="str">
        <f>""</f>
        <v/>
      </c>
      <c r="DW339" t="str">
        <f>""</f>
        <v/>
      </c>
      <c r="DX339" t="str">
        <f>""</f>
        <v/>
      </c>
      <c r="DY339" t="str">
        <f>""</f>
        <v/>
      </c>
      <c r="DZ339" t="str">
        <f>""</f>
        <v/>
      </c>
      <c r="EA339" t="str">
        <f>""</f>
        <v/>
      </c>
      <c r="EB339" t="str">
        <f>""</f>
        <v/>
      </c>
      <c r="EC339" t="str">
        <f>""</f>
        <v/>
      </c>
      <c r="ED339" t="str">
        <f>""</f>
        <v/>
      </c>
      <c r="EE339" t="str">
        <f>""</f>
        <v/>
      </c>
      <c r="EF339" t="str">
        <f>""</f>
        <v/>
      </c>
      <c r="EG339" t="str">
        <f>""</f>
        <v/>
      </c>
      <c r="EH339" t="str">
        <f>""</f>
        <v/>
      </c>
      <c r="EI339" t="str">
        <f>""</f>
        <v/>
      </c>
      <c r="EJ339" t="str">
        <f>""</f>
        <v/>
      </c>
      <c r="EK339" t="str">
        <f>""</f>
        <v/>
      </c>
      <c r="EL339" t="str">
        <f>""</f>
        <v/>
      </c>
      <c r="EM339" t="str">
        <f>""</f>
        <v/>
      </c>
      <c r="EN339" t="str">
        <f>""</f>
        <v/>
      </c>
      <c r="EO339" t="str">
        <f>""</f>
        <v/>
      </c>
      <c r="EP339" t="str">
        <f>""</f>
        <v/>
      </c>
      <c r="EQ339" t="str">
        <f>""</f>
        <v/>
      </c>
      <c r="ER339" t="str">
        <f>""</f>
        <v/>
      </c>
      <c r="ES339" t="str">
        <f>""</f>
        <v/>
      </c>
      <c r="ET339" t="str">
        <f>""</f>
        <v/>
      </c>
      <c r="EU339" t="str">
        <f>""</f>
        <v/>
      </c>
      <c r="EV339" t="str">
        <f>""</f>
        <v/>
      </c>
      <c r="EW339" t="str">
        <f>""</f>
        <v/>
      </c>
      <c r="EX339" t="str">
        <f>""</f>
        <v/>
      </c>
      <c r="EY339" t="str">
        <f>""</f>
        <v/>
      </c>
      <c r="EZ339" t="str">
        <f>""</f>
        <v/>
      </c>
      <c r="FA339" t="str">
        <f>""</f>
        <v/>
      </c>
      <c r="FB339" t="str">
        <f>""</f>
        <v/>
      </c>
      <c r="FC339" t="str">
        <f>""</f>
        <v/>
      </c>
      <c r="FD339" t="str">
        <f>""</f>
        <v/>
      </c>
      <c r="FE339" t="str">
        <f>""</f>
        <v/>
      </c>
      <c r="FF339" t="str">
        <f>""</f>
        <v/>
      </c>
      <c r="FG339" t="str">
        <f>""</f>
        <v/>
      </c>
      <c r="FH339" t="str">
        <f>""</f>
        <v/>
      </c>
      <c r="FI339" t="str">
        <f>""</f>
        <v/>
      </c>
      <c r="FJ339" t="str">
        <f>""</f>
        <v/>
      </c>
      <c r="FK339" t="str">
        <f>""</f>
        <v/>
      </c>
      <c r="FL339" t="str">
        <f>""</f>
        <v/>
      </c>
      <c r="FM339" t="str">
        <f>""</f>
        <v/>
      </c>
      <c r="FN339" t="str">
        <f>""</f>
        <v/>
      </c>
      <c r="FO339" t="str">
        <f>""</f>
        <v/>
      </c>
      <c r="FP339" t="str">
        <f>""</f>
        <v/>
      </c>
      <c r="FQ339" t="str">
        <f>""</f>
        <v/>
      </c>
    </row>
    <row r="340" spans="1:173">
      <c r="A340" t="str">
        <f>$A$128</f>
        <v xml:space="preserve">    AvalonBay Communities Inc</v>
      </c>
      <c r="B340" t="str">
        <f>$B$128</f>
        <v>AVB US Equity</v>
      </c>
      <c r="C340" t="str">
        <f>$C$128</f>
        <v>F0580</v>
      </c>
      <c r="D340" t="str">
        <f>$D$128</f>
        <v>FUNDS_AVAILABLE_FOR_DIST_PER_SH</v>
      </c>
      <c r="E340" t="str">
        <f>$E$128</f>
        <v>动态</v>
      </c>
      <c r="F340" t="str">
        <f ca="1">BDH($B$128,$C$128,$B$250,$B$251,CONCATENATE("Per=",$B$248),"Dts=H","Dir=H",CONCATENATE("Points=",$B$249),"Sort=R","Days=A","Fill=B",CONCATENATE("FX=", $B$247) )</f>
        <v>#N/A Authorization</v>
      </c>
      <c r="CL340" t="str">
        <f>""</f>
        <v/>
      </c>
      <c r="CM340" t="str">
        <f>""</f>
        <v/>
      </c>
      <c r="CN340" t="str">
        <f>""</f>
        <v/>
      </c>
      <c r="CO340" t="str">
        <f>""</f>
        <v/>
      </c>
      <c r="CP340" t="str">
        <f>""</f>
        <v/>
      </c>
      <c r="CQ340" t="str">
        <f>""</f>
        <v/>
      </c>
      <c r="CR340" t="str">
        <f>""</f>
        <v/>
      </c>
      <c r="CS340" t="str">
        <f>""</f>
        <v/>
      </c>
      <c r="CT340" t="str">
        <f>""</f>
        <v/>
      </c>
      <c r="CU340" t="str">
        <f>""</f>
        <v/>
      </c>
      <c r="CV340" t="str">
        <f>""</f>
        <v/>
      </c>
      <c r="CW340" t="str">
        <f>""</f>
        <v/>
      </c>
      <c r="CX340" t="str">
        <f>""</f>
        <v/>
      </c>
      <c r="CY340" t="str">
        <f>""</f>
        <v/>
      </c>
      <c r="CZ340" t="str">
        <f>""</f>
        <v/>
      </c>
      <c r="DA340" t="str">
        <f>""</f>
        <v/>
      </c>
      <c r="DB340" t="str">
        <f>""</f>
        <v/>
      </c>
      <c r="DC340" t="str">
        <f>""</f>
        <v/>
      </c>
      <c r="DD340" t="str">
        <f>""</f>
        <v/>
      </c>
      <c r="DE340" t="str">
        <f>""</f>
        <v/>
      </c>
      <c r="DF340" t="str">
        <f>""</f>
        <v/>
      </c>
      <c r="DG340" t="str">
        <f>""</f>
        <v/>
      </c>
      <c r="DH340" t="str">
        <f>""</f>
        <v/>
      </c>
      <c r="DI340" t="str">
        <f>""</f>
        <v/>
      </c>
      <c r="DJ340" t="str">
        <f>""</f>
        <v/>
      </c>
      <c r="DK340" t="str">
        <f>""</f>
        <v/>
      </c>
      <c r="DL340" t="str">
        <f>""</f>
        <v/>
      </c>
      <c r="DM340" t="str">
        <f>""</f>
        <v/>
      </c>
      <c r="DN340" t="str">
        <f>""</f>
        <v/>
      </c>
      <c r="DO340" t="str">
        <f>""</f>
        <v/>
      </c>
      <c r="DP340" t="str">
        <f>""</f>
        <v/>
      </c>
      <c r="DQ340" t="str">
        <f>""</f>
        <v/>
      </c>
      <c r="DR340" t="str">
        <f>""</f>
        <v/>
      </c>
      <c r="DS340" t="str">
        <f>""</f>
        <v/>
      </c>
      <c r="DT340" t="str">
        <f>""</f>
        <v/>
      </c>
      <c r="DU340" t="str">
        <f>""</f>
        <v/>
      </c>
      <c r="DV340" t="str">
        <f>""</f>
        <v/>
      </c>
      <c r="DW340" t="str">
        <f>""</f>
        <v/>
      </c>
      <c r="DX340" t="str">
        <f>""</f>
        <v/>
      </c>
      <c r="DY340" t="str">
        <f>""</f>
        <v/>
      </c>
      <c r="DZ340" t="str">
        <f>""</f>
        <v/>
      </c>
      <c r="EA340" t="str">
        <f>""</f>
        <v/>
      </c>
      <c r="EB340" t="str">
        <f>""</f>
        <v/>
      </c>
      <c r="EC340" t="str">
        <f>""</f>
        <v/>
      </c>
      <c r="ED340" t="str">
        <f>""</f>
        <v/>
      </c>
      <c r="EE340" t="str">
        <f>""</f>
        <v/>
      </c>
      <c r="EF340" t="str">
        <f>""</f>
        <v/>
      </c>
      <c r="EG340" t="str">
        <f>""</f>
        <v/>
      </c>
      <c r="EH340" t="str">
        <f>""</f>
        <v/>
      </c>
      <c r="EI340" t="str">
        <f>""</f>
        <v/>
      </c>
      <c r="EJ340" t="str">
        <f>""</f>
        <v/>
      </c>
      <c r="EK340" t="str">
        <f>""</f>
        <v/>
      </c>
      <c r="EL340" t="str">
        <f>""</f>
        <v/>
      </c>
      <c r="EM340" t="str">
        <f>""</f>
        <v/>
      </c>
      <c r="EN340" t="str">
        <f>""</f>
        <v/>
      </c>
      <c r="EO340" t="str">
        <f>""</f>
        <v/>
      </c>
      <c r="EP340" t="str">
        <f>""</f>
        <v/>
      </c>
      <c r="EQ340" t="str">
        <f>""</f>
        <v/>
      </c>
      <c r="ER340" t="str">
        <f>""</f>
        <v/>
      </c>
      <c r="ES340" t="str">
        <f>""</f>
        <v/>
      </c>
      <c r="ET340" t="str">
        <f>""</f>
        <v/>
      </c>
      <c r="EU340" t="str">
        <f>""</f>
        <v/>
      </c>
      <c r="EV340" t="str">
        <f>""</f>
        <v/>
      </c>
      <c r="EW340" t="str">
        <f>""</f>
        <v/>
      </c>
      <c r="EX340" t="str">
        <f>""</f>
        <v/>
      </c>
      <c r="EY340" t="str">
        <f>""</f>
        <v/>
      </c>
      <c r="EZ340" t="str">
        <f>""</f>
        <v/>
      </c>
      <c r="FA340" t="str">
        <f>""</f>
        <v/>
      </c>
      <c r="FB340" t="str">
        <f>""</f>
        <v/>
      </c>
      <c r="FC340" t="str">
        <f>""</f>
        <v/>
      </c>
      <c r="FD340" t="str">
        <f>""</f>
        <v/>
      </c>
      <c r="FE340" t="str">
        <f>""</f>
        <v/>
      </c>
      <c r="FF340" t="str">
        <f>""</f>
        <v/>
      </c>
      <c r="FG340" t="str">
        <f>""</f>
        <v/>
      </c>
      <c r="FH340" t="str">
        <f>""</f>
        <v/>
      </c>
      <c r="FI340" t="str">
        <f>""</f>
        <v/>
      </c>
      <c r="FJ340" t="str">
        <f>""</f>
        <v/>
      </c>
      <c r="FK340" t="str">
        <f>""</f>
        <v/>
      </c>
      <c r="FL340" t="str">
        <f>""</f>
        <v/>
      </c>
      <c r="FM340" t="str">
        <f>""</f>
        <v/>
      </c>
      <c r="FN340" t="str">
        <f>""</f>
        <v/>
      </c>
      <c r="FO340" t="str">
        <f>""</f>
        <v/>
      </c>
      <c r="FP340" t="str">
        <f>""</f>
        <v/>
      </c>
      <c r="FQ340" t="str">
        <f>""</f>
        <v/>
      </c>
    </row>
    <row r="341" spans="1:173">
      <c r="A341" t="str">
        <f>$A$129</f>
        <v xml:space="preserve">    Camden Property Trust</v>
      </c>
      <c r="B341" t="str">
        <f>$B$129</f>
        <v>CPT US Equity</v>
      </c>
      <c r="C341" t="str">
        <f>$C$129</f>
        <v>F0580</v>
      </c>
      <c r="D341" t="str">
        <f>$D$129</f>
        <v>FUNDS_AVAILABLE_FOR_DIST_PER_SH</v>
      </c>
      <c r="E341" t="str">
        <f>$E$129</f>
        <v>动态</v>
      </c>
      <c r="F341" t="str">
        <f ca="1">BDH($B$129,$C$129,$B$250,$B$251,CONCATENATE("Per=",$B$248),"Dts=H","Dir=H",CONCATENATE("Points=",$B$249),"Sort=R","Days=A","Fill=B",CONCATENATE("FX=", $B$247) )</f>
        <v>#N/A Authorization</v>
      </c>
      <c r="CL341" t="str">
        <f>""</f>
        <v/>
      </c>
      <c r="CM341" t="str">
        <f>""</f>
        <v/>
      </c>
      <c r="CN341" t="str">
        <f>""</f>
        <v/>
      </c>
      <c r="CO341" t="str">
        <f>""</f>
        <v/>
      </c>
      <c r="CP341" t="str">
        <f>""</f>
        <v/>
      </c>
      <c r="CQ341" t="str">
        <f>""</f>
        <v/>
      </c>
      <c r="CR341" t="str">
        <f>""</f>
        <v/>
      </c>
      <c r="CS341" t="str">
        <f>""</f>
        <v/>
      </c>
      <c r="CT341" t="str">
        <f>""</f>
        <v/>
      </c>
      <c r="CU341" t="str">
        <f>""</f>
        <v/>
      </c>
      <c r="CV341" t="str">
        <f>""</f>
        <v/>
      </c>
      <c r="CW341" t="str">
        <f>""</f>
        <v/>
      </c>
      <c r="CX341" t="str">
        <f>""</f>
        <v/>
      </c>
      <c r="CY341" t="str">
        <f>""</f>
        <v/>
      </c>
      <c r="CZ341" t="str">
        <f>""</f>
        <v/>
      </c>
      <c r="DA341" t="str">
        <f>""</f>
        <v/>
      </c>
      <c r="DB341" t="str">
        <f>""</f>
        <v/>
      </c>
      <c r="DC341" t="str">
        <f>""</f>
        <v/>
      </c>
      <c r="DD341" t="str">
        <f>""</f>
        <v/>
      </c>
      <c r="DE341" t="str">
        <f>""</f>
        <v/>
      </c>
      <c r="DF341" t="str">
        <f>""</f>
        <v/>
      </c>
      <c r="DG341" t="str">
        <f>""</f>
        <v/>
      </c>
      <c r="DH341" t="str">
        <f>""</f>
        <v/>
      </c>
      <c r="DI341" t="str">
        <f>""</f>
        <v/>
      </c>
      <c r="DJ341" t="str">
        <f>""</f>
        <v/>
      </c>
      <c r="DK341" t="str">
        <f>""</f>
        <v/>
      </c>
      <c r="DL341" t="str">
        <f>""</f>
        <v/>
      </c>
      <c r="DM341" t="str">
        <f>""</f>
        <v/>
      </c>
      <c r="DN341" t="str">
        <f>""</f>
        <v/>
      </c>
      <c r="DO341" t="str">
        <f>""</f>
        <v/>
      </c>
      <c r="DP341" t="str">
        <f>""</f>
        <v/>
      </c>
      <c r="DQ341" t="str">
        <f>""</f>
        <v/>
      </c>
      <c r="DR341" t="str">
        <f>""</f>
        <v/>
      </c>
      <c r="DS341" t="str">
        <f>""</f>
        <v/>
      </c>
      <c r="DT341" t="str">
        <f>""</f>
        <v/>
      </c>
      <c r="DU341" t="str">
        <f>""</f>
        <v/>
      </c>
      <c r="DV341" t="str">
        <f>""</f>
        <v/>
      </c>
      <c r="DW341" t="str">
        <f>""</f>
        <v/>
      </c>
      <c r="DX341" t="str">
        <f>""</f>
        <v/>
      </c>
      <c r="DY341" t="str">
        <f>""</f>
        <v/>
      </c>
      <c r="DZ341" t="str">
        <f>""</f>
        <v/>
      </c>
      <c r="EA341" t="str">
        <f>""</f>
        <v/>
      </c>
      <c r="EB341" t="str">
        <f>""</f>
        <v/>
      </c>
      <c r="EC341" t="str">
        <f>""</f>
        <v/>
      </c>
      <c r="ED341" t="str">
        <f>""</f>
        <v/>
      </c>
      <c r="EE341" t="str">
        <f>""</f>
        <v/>
      </c>
      <c r="EF341" t="str">
        <f>""</f>
        <v/>
      </c>
      <c r="EG341" t="str">
        <f>""</f>
        <v/>
      </c>
      <c r="EH341" t="str">
        <f>""</f>
        <v/>
      </c>
      <c r="EI341" t="str">
        <f>""</f>
        <v/>
      </c>
      <c r="EJ341" t="str">
        <f>""</f>
        <v/>
      </c>
      <c r="EK341" t="str">
        <f>""</f>
        <v/>
      </c>
      <c r="EL341" t="str">
        <f>""</f>
        <v/>
      </c>
      <c r="EM341" t="str">
        <f>""</f>
        <v/>
      </c>
      <c r="EN341" t="str">
        <f>""</f>
        <v/>
      </c>
      <c r="EO341" t="str">
        <f>""</f>
        <v/>
      </c>
      <c r="EP341" t="str">
        <f>""</f>
        <v/>
      </c>
      <c r="EQ341" t="str">
        <f>""</f>
        <v/>
      </c>
      <c r="ER341" t="str">
        <f>""</f>
        <v/>
      </c>
      <c r="ES341" t="str">
        <f>""</f>
        <v/>
      </c>
      <c r="ET341" t="str">
        <f>""</f>
        <v/>
      </c>
      <c r="EU341" t="str">
        <f>""</f>
        <v/>
      </c>
      <c r="EV341" t="str">
        <f>""</f>
        <v/>
      </c>
      <c r="EW341" t="str">
        <f>""</f>
        <v/>
      </c>
      <c r="EX341" t="str">
        <f>""</f>
        <v/>
      </c>
      <c r="EY341" t="str">
        <f>""</f>
        <v/>
      </c>
      <c r="EZ341" t="str">
        <f>""</f>
        <v/>
      </c>
      <c r="FA341" t="str">
        <f>""</f>
        <v/>
      </c>
      <c r="FB341" t="str">
        <f>""</f>
        <v/>
      </c>
      <c r="FC341" t="str">
        <f>""</f>
        <v/>
      </c>
      <c r="FD341" t="str">
        <f>""</f>
        <v/>
      </c>
      <c r="FE341" t="str">
        <f>""</f>
        <v/>
      </c>
      <c r="FF341" t="str">
        <f>""</f>
        <v/>
      </c>
      <c r="FG341" t="str">
        <f>""</f>
        <v/>
      </c>
      <c r="FH341" t="str">
        <f>""</f>
        <v/>
      </c>
      <c r="FI341" t="str">
        <f>""</f>
        <v/>
      </c>
      <c r="FJ341" t="str">
        <f>""</f>
        <v/>
      </c>
      <c r="FK341" t="str">
        <f>""</f>
        <v/>
      </c>
      <c r="FL341" t="str">
        <f>""</f>
        <v/>
      </c>
      <c r="FM341" t="str">
        <f>""</f>
        <v/>
      </c>
      <c r="FN341" t="str">
        <f>""</f>
        <v/>
      </c>
      <c r="FO341" t="str">
        <f>""</f>
        <v/>
      </c>
      <c r="FP341" t="str">
        <f>""</f>
        <v/>
      </c>
      <c r="FQ341" t="str">
        <f>""</f>
        <v/>
      </c>
    </row>
    <row r="342" spans="1:173">
      <c r="A342" t="str">
        <f>$A$130</f>
        <v xml:space="preserve">    Equity Residential</v>
      </c>
      <c r="B342" t="str">
        <f>$B$130</f>
        <v>EQR US Equity</v>
      </c>
      <c r="C342" t="str">
        <f>$C$130</f>
        <v>F0580</v>
      </c>
      <c r="D342" t="str">
        <f>$D$130</f>
        <v>FUNDS_AVAILABLE_FOR_DIST_PER_SH</v>
      </c>
      <c r="E342" t="str">
        <f>$E$130</f>
        <v>动态</v>
      </c>
      <c r="F342" t="str">
        <f ca="1">BDH($B$130,$C$130,$B$250,$B$251,CONCATENATE("Per=",$B$248),"Dts=H","Dir=H",CONCATENATE("Points=",$B$249),"Sort=R","Days=A","Fill=B",CONCATENATE("FX=", $B$247) )</f>
        <v>#N/A Authorization</v>
      </c>
      <c r="CL342" t="str">
        <f>""</f>
        <v/>
      </c>
      <c r="CM342" t="str">
        <f>""</f>
        <v/>
      </c>
      <c r="CN342" t="str">
        <f>""</f>
        <v/>
      </c>
      <c r="CO342" t="str">
        <f>""</f>
        <v/>
      </c>
      <c r="CP342" t="str">
        <f>""</f>
        <v/>
      </c>
      <c r="CQ342" t="str">
        <f>""</f>
        <v/>
      </c>
      <c r="CR342" t="str">
        <f>""</f>
        <v/>
      </c>
      <c r="CS342" t="str">
        <f>""</f>
        <v/>
      </c>
      <c r="CT342" t="str">
        <f>""</f>
        <v/>
      </c>
      <c r="CU342" t="str">
        <f>""</f>
        <v/>
      </c>
      <c r="CV342" t="str">
        <f>""</f>
        <v/>
      </c>
      <c r="CW342" t="str">
        <f>""</f>
        <v/>
      </c>
      <c r="CX342" t="str">
        <f>""</f>
        <v/>
      </c>
      <c r="CY342" t="str">
        <f>""</f>
        <v/>
      </c>
      <c r="CZ342" t="str">
        <f>""</f>
        <v/>
      </c>
      <c r="DA342" t="str">
        <f>""</f>
        <v/>
      </c>
      <c r="DB342" t="str">
        <f>""</f>
        <v/>
      </c>
      <c r="DC342" t="str">
        <f>""</f>
        <v/>
      </c>
      <c r="DD342" t="str">
        <f>""</f>
        <v/>
      </c>
      <c r="DE342" t="str">
        <f>""</f>
        <v/>
      </c>
      <c r="DF342" t="str">
        <f>""</f>
        <v/>
      </c>
      <c r="DG342" t="str">
        <f>""</f>
        <v/>
      </c>
      <c r="DH342" t="str">
        <f>""</f>
        <v/>
      </c>
      <c r="DI342" t="str">
        <f>""</f>
        <v/>
      </c>
      <c r="DJ342" t="str">
        <f>""</f>
        <v/>
      </c>
      <c r="DK342" t="str">
        <f>""</f>
        <v/>
      </c>
      <c r="DL342" t="str">
        <f>""</f>
        <v/>
      </c>
      <c r="DM342" t="str">
        <f>""</f>
        <v/>
      </c>
      <c r="DN342" t="str">
        <f>""</f>
        <v/>
      </c>
      <c r="DO342" t="str">
        <f>""</f>
        <v/>
      </c>
      <c r="DP342" t="str">
        <f>""</f>
        <v/>
      </c>
      <c r="DQ342" t="str">
        <f>""</f>
        <v/>
      </c>
      <c r="DR342" t="str">
        <f>""</f>
        <v/>
      </c>
      <c r="DS342" t="str">
        <f>""</f>
        <v/>
      </c>
      <c r="DT342" t="str">
        <f>""</f>
        <v/>
      </c>
      <c r="DU342" t="str">
        <f>""</f>
        <v/>
      </c>
      <c r="DV342" t="str">
        <f>""</f>
        <v/>
      </c>
      <c r="DW342" t="str">
        <f>""</f>
        <v/>
      </c>
      <c r="DX342" t="str">
        <f>""</f>
        <v/>
      </c>
      <c r="DY342" t="str">
        <f>""</f>
        <v/>
      </c>
      <c r="DZ342" t="str">
        <f>""</f>
        <v/>
      </c>
      <c r="EA342" t="str">
        <f>""</f>
        <v/>
      </c>
      <c r="EB342" t="str">
        <f>""</f>
        <v/>
      </c>
      <c r="EC342" t="str">
        <f>""</f>
        <v/>
      </c>
      <c r="ED342" t="str">
        <f>""</f>
        <v/>
      </c>
      <c r="EE342" t="str">
        <f>""</f>
        <v/>
      </c>
      <c r="EF342" t="str">
        <f>""</f>
        <v/>
      </c>
      <c r="EG342" t="str">
        <f>""</f>
        <v/>
      </c>
      <c r="EH342" t="str">
        <f>""</f>
        <v/>
      </c>
      <c r="EI342" t="str">
        <f>""</f>
        <v/>
      </c>
      <c r="EJ342" t="str">
        <f>""</f>
        <v/>
      </c>
      <c r="EK342" t="str">
        <f>""</f>
        <v/>
      </c>
      <c r="EL342" t="str">
        <f>""</f>
        <v/>
      </c>
      <c r="EM342" t="str">
        <f>""</f>
        <v/>
      </c>
      <c r="EN342" t="str">
        <f>""</f>
        <v/>
      </c>
      <c r="EO342" t="str">
        <f>""</f>
        <v/>
      </c>
      <c r="EP342" t="str">
        <f>""</f>
        <v/>
      </c>
      <c r="EQ342" t="str">
        <f>""</f>
        <v/>
      </c>
      <c r="ER342" t="str">
        <f>""</f>
        <v/>
      </c>
      <c r="ES342" t="str">
        <f>""</f>
        <v/>
      </c>
      <c r="ET342" t="str">
        <f>""</f>
        <v/>
      </c>
      <c r="EU342" t="str">
        <f>""</f>
        <v/>
      </c>
      <c r="EV342" t="str">
        <f>""</f>
        <v/>
      </c>
      <c r="EW342" t="str">
        <f>""</f>
        <v/>
      </c>
      <c r="EX342" t="str">
        <f>""</f>
        <v/>
      </c>
      <c r="EY342" t="str">
        <f>""</f>
        <v/>
      </c>
      <c r="EZ342" t="str">
        <f>""</f>
        <v/>
      </c>
      <c r="FA342" t="str">
        <f>""</f>
        <v/>
      </c>
      <c r="FB342" t="str">
        <f>""</f>
        <v/>
      </c>
      <c r="FC342" t="str">
        <f>""</f>
        <v/>
      </c>
      <c r="FD342" t="str">
        <f>""</f>
        <v/>
      </c>
      <c r="FE342" t="str">
        <f>""</f>
        <v/>
      </c>
      <c r="FF342" t="str">
        <f>""</f>
        <v/>
      </c>
      <c r="FG342" t="str">
        <f>""</f>
        <v/>
      </c>
      <c r="FH342" t="str">
        <f>""</f>
        <v/>
      </c>
      <c r="FI342" t="str">
        <f>""</f>
        <v/>
      </c>
      <c r="FJ342" t="str">
        <f>""</f>
        <v/>
      </c>
      <c r="FK342" t="str">
        <f>""</f>
        <v/>
      </c>
      <c r="FL342" t="str">
        <f>""</f>
        <v/>
      </c>
      <c r="FM342" t="str">
        <f>""</f>
        <v/>
      </c>
      <c r="FN342" t="str">
        <f>""</f>
        <v/>
      </c>
      <c r="FO342" t="str">
        <f>""</f>
        <v/>
      </c>
      <c r="FP342" t="str">
        <f>""</f>
        <v/>
      </c>
      <c r="FQ342" t="str">
        <f>""</f>
        <v/>
      </c>
    </row>
    <row r="343" spans="1:173">
      <c r="A343" t="str">
        <f>$A$131</f>
        <v xml:space="preserve">    Essex Property Trust Inc</v>
      </c>
      <c r="B343" t="str">
        <f>$B$131</f>
        <v>ESS US Equity</v>
      </c>
      <c r="C343" t="str">
        <f>$C$131</f>
        <v>F0580</v>
      </c>
      <c r="D343" t="str">
        <f>$D$131</f>
        <v>FUNDS_AVAILABLE_FOR_DIST_PER_SH</v>
      </c>
      <c r="E343" t="str">
        <f>$E$131</f>
        <v>动态</v>
      </c>
      <c r="F343" t="str">
        <f ca="1">BDH($B$131,$C$131,$B$250,$B$251,CONCATENATE("Per=",$B$248),"Dts=H","Dir=H",CONCATENATE("Points=",$B$249),"Sort=R","Days=A","Fill=B",CONCATENATE("FX=", $B$247) )</f>
        <v>#N/A Authorization</v>
      </c>
      <c r="CL343" t="str">
        <f>""</f>
        <v/>
      </c>
      <c r="CM343" t="str">
        <f>""</f>
        <v/>
      </c>
      <c r="CN343" t="str">
        <f>""</f>
        <v/>
      </c>
      <c r="CO343" t="str">
        <f>""</f>
        <v/>
      </c>
      <c r="CP343" t="str">
        <f>""</f>
        <v/>
      </c>
      <c r="CQ343" t="str">
        <f>""</f>
        <v/>
      </c>
      <c r="CR343" t="str">
        <f>""</f>
        <v/>
      </c>
      <c r="CS343" t="str">
        <f>""</f>
        <v/>
      </c>
      <c r="CT343" t="str">
        <f>""</f>
        <v/>
      </c>
      <c r="CU343" t="str">
        <f>""</f>
        <v/>
      </c>
      <c r="CV343" t="str">
        <f>""</f>
        <v/>
      </c>
      <c r="CW343" t="str">
        <f>""</f>
        <v/>
      </c>
      <c r="CX343" t="str">
        <f>""</f>
        <v/>
      </c>
      <c r="CY343" t="str">
        <f>""</f>
        <v/>
      </c>
      <c r="CZ343" t="str">
        <f>""</f>
        <v/>
      </c>
      <c r="DA343" t="str">
        <f>""</f>
        <v/>
      </c>
      <c r="DB343" t="str">
        <f>""</f>
        <v/>
      </c>
      <c r="DC343" t="str">
        <f>""</f>
        <v/>
      </c>
      <c r="DD343" t="str">
        <f>""</f>
        <v/>
      </c>
      <c r="DE343" t="str">
        <f>""</f>
        <v/>
      </c>
      <c r="DF343" t="str">
        <f>""</f>
        <v/>
      </c>
      <c r="DG343" t="str">
        <f>""</f>
        <v/>
      </c>
      <c r="DH343" t="str">
        <f>""</f>
        <v/>
      </c>
      <c r="DI343" t="str">
        <f>""</f>
        <v/>
      </c>
      <c r="DJ343" t="str">
        <f>""</f>
        <v/>
      </c>
      <c r="DK343" t="str">
        <f>""</f>
        <v/>
      </c>
      <c r="DL343" t="str">
        <f>""</f>
        <v/>
      </c>
      <c r="DM343" t="str">
        <f>""</f>
        <v/>
      </c>
      <c r="DN343" t="str">
        <f>""</f>
        <v/>
      </c>
      <c r="DO343" t="str">
        <f>""</f>
        <v/>
      </c>
      <c r="DP343" t="str">
        <f>""</f>
        <v/>
      </c>
      <c r="DQ343" t="str">
        <f>""</f>
        <v/>
      </c>
      <c r="DR343" t="str">
        <f>""</f>
        <v/>
      </c>
      <c r="DS343" t="str">
        <f>""</f>
        <v/>
      </c>
      <c r="DT343" t="str">
        <f>""</f>
        <v/>
      </c>
      <c r="DU343" t="str">
        <f>""</f>
        <v/>
      </c>
      <c r="DV343" t="str">
        <f>""</f>
        <v/>
      </c>
      <c r="DW343" t="str">
        <f>""</f>
        <v/>
      </c>
      <c r="DX343" t="str">
        <f>""</f>
        <v/>
      </c>
      <c r="DY343" t="str">
        <f>""</f>
        <v/>
      </c>
      <c r="DZ343" t="str">
        <f>""</f>
        <v/>
      </c>
      <c r="EA343" t="str">
        <f>""</f>
        <v/>
      </c>
      <c r="EB343" t="str">
        <f>""</f>
        <v/>
      </c>
      <c r="EC343" t="str">
        <f>""</f>
        <v/>
      </c>
      <c r="ED343" t="str">
        <f>""</f>
        <v/>
      </c>
      <c r="EE343" t="str">
        <f>""</f>
        <v/>
      </c>
      <c r="EF343" t="str">
        <f>""</f>
        <v/>
      </c>
      <c r="EG343" t="str">
        <f>""</f>
        <v/>
      </c>
      <c r="EH343" t="str">
        <f>""</f>
        <v/>
      </c>
      <c r="EI343" t="str">
        <f>""</f>
        <v/>
      </c>
      <c r="EJ343" t="str">
        <f>""</f>
        <v/>
      </c>
      <c r="EK343" t="str">
        <f>""</f>
        <v/>
      </c>
      <c r="EL343" t="str">
        <f>""</f>
        <v/>
      </c>
      <c r="EM343" t="str">
        <f>""</f>
        <v/>
      </c>
      <c r="EN343" t="str">
        <f>""</f>
        <v/>
      </c>
      <c r="EO343" t="str">
        <f>""</f>
        <v/>
      </c>
      <c r="EP343" t="str">
        <f>""</f>
        <v/>
      </c>
      <c r="EQ343" t="str">
        <f>""</f>
        <v/>
      </c>
      <c r="ER343" t="str">
        <f>""</f>
        <v/>
      </c>
      <c r="ES343" t="str">
        <f>""</f>
        <v/>
      </c>
      <c r="ET343" t="str">
        <f>""</f>
        <v/>
      </c>
      <c r="EU343" t="str">
        <f>""</f>
        <v/>
      </c>
      <c r="EV343" t="str">
        <f>""</f>
        <v/>
      </c>
      <c r="EW343" t="str">
        <f>""</f>
        <v/>
      </c>
      <c r="EX343" t="str">
        <f>""</f>
        <v/>
      </c>
      <c r="EY343" t="str">
        <f>""</f>
        <v/>
      </c>
      <c r="EZ343" t="str">
        <f>""</f>
        <v/>
      </c>
      <c r="FA343" t="str">
        <f>""</f>
        <v/>
      </c>
      <c r="FB343" t="str">
        <f>""</f>
        <v/>
      </c>
      <c r="FC343" t="str">
        <f>""</f>
        <v/>
      </c>
      <c r="FD343" t="str">
        <f>""</f>
        <v/>
      </c>
      <c r="FE343" t="str">
        <f>""</f>
        <v/>
      </c>
      <c r="FF343" t="str">
        <f>""</f>
        <v/>
      </c>
      <c r="FG343" t="str">
        <f>""</f>
        <v/>
      </c>
      <c r="FH343" t="str">
        <f>""</f>
        <v/>
      </c>
      <c r="FI343" t="str">
        <f>""</f>
        <v/>
      </c>
      <c r="FJ343" t="str">
        <f>""</f>
        <v/>
      </c>
      <c r="FK343" t="str">
        <f>""</f>
        <v/>
      </c>
      <c r="FL343" t="str">
        <f>""</f>
        <v/>
      </c>
      <c r="FM343" t="str">
        <f>""</f>
        <v/>
      </c>
      <c r="FN343" t="str">
        <f>""</f>
        <v/>
      </c>
      <c r="FO343" t="str">
        <f>""</f>
        <v/>
      </c>
      <c r="FP343" t="str">
        <f>""</f>
        <v/>
      </c>
      <c r="FQ343" t="str">
        <f>""</f>
        <v/>
      </c>
    </row>
    <row r="344" spans="1:173">
      <c r="A344" t="str">
        <f>$A$132</f>
        <v xml:space="preserve">    Mid-America Apartment Communit</v>
      </c>
      <c r="B344" t="str">
        <f>$B$132</f>
        <v>MAA US Equity</v>
      </c>
      <c r="C344" t="str">
        <f>$C$132</f>
        <v>F0580</v>
      </c>
      <c r="D344" t="str">
        <f>$D$132</f>
        <v>FUNDS_AVAILABLE_FOR_DIST_PER_SH</v>
      </c>
      <c r="E344" t="str">
        <f>$E$132</f>
        <v>动态</v>
      </c>
      <c r="F344" t="str">
        <f ca="1">BDH($B$132,$C$132,$B$250,$B$251,CONCATENATE("Per=",$B$248),"Dts=H","Dir=H",CONCATENATE("Points=",$B$249),"Sort=R","Days=A","Fill=B",CONCATENATE("FX=", $B$247) )</f>
        <v>#N/A Authorization</v>
      </c>
      <c r="CL344" t="str">
        <f>""</f>
        <v/>
      </c>
      <c r="CM344" t="str">
        <f>""</f>
        <v/>
      </c>
      <c r="CN344" t="str">
        <f>""</f>
        <v/>
      </c>
      <c r="CO344" t="str">
        <f>""</f>
        <v/>
      </c>
      <c r="CP344" t="str">
        <f>""</f>
        <v/>
      </c>
      <c r="CQ344" t="str">
        <f>""</f>
        <v/>
      </c>
      <c r="CR344" t="str">
        <f>""</f>
        <v/>
      </c>
      <c r="CS344" t="str">
        <f>""</f>
        <v/>
      </c>
      <c r="CT344" t="str">
        <f>""</f>
        <v/>
      </c>
      <c r="CU344" t="str">
        <f>""</f>
        <v/>
      </c>
      <c r="CV344" t="str">
        <f>""</f>
        <v/>
      </c>
      <c r="CW344" t="str">
        <f>""</f>
        <v/>
      </c>
      <c r="CX344" t="str">
        <f>""</f>
        <v/>
      </c>
      <c r="CY344" t="str">
        <f>""</f>
        <v/>
      </c>
      <c r="CZ344" t="str">
        <f>""</f>
        <v/>
      </c>
      <c r="DA344" t="str">
        <f>""</f>
        <v/>
      </c>
      <c r="DB344" t="str">
        <f>""</f>
        <v/>
      </c>
      <c r="DC344" t="str">
        <f>""</f>
        <v/>
      </c>
      <c r="DD344" t="str">
        <f>""</f>
        <v/>
      </c>
      <c r="DE344" t="str">
        <f>""</f>
        <v/>
      </c>
      <c r="DF344" t="str">
        <f>""</f>
        <v/>
      </c>
      <c r="DG344" t="str">
        <f>""</f>
        <v/>
      </c>
      <c r="DH344" t="str">
        <f>""</f>
        <v/>
      </c>
      <c r="DI344" t="str">
        <f>""</f>
        <v/>
      </c>
      <c r="DJ344" t="str">
        <f>""</f>
        <v/>
      </c>
      <c r="DK344" t="str">
        <f>""</f>
        <v/>
      </c>
      <c r="DL344" t="str">
        <f>""</f>
        <v/>
      </c>
      <c r="DM344" t="str">
        <f>""</f>
        <v/>
      </c>
      <c r="DN344" t="str">
        <f>""</f>
        <v/>
      </c>
      <c r="DO344" t="str">
        <f>""</f>
        <v/>
      </c>
      <c r="DP344" t="str">
        <f>""</f>
        <v/>
      </c>
      <c r="DQ344" t="str">
        <f>""</f>
        <v/>
      </c>
      <c r="DR344" t="str">
        <f>""</f>
        <v/>
      </c>
      <c r="DS344" t="str">
        <f>""</f>
        <v/>
      </c>
      <c r="DT344" t="str">
        <f>""</f>
        <v/>
      </c>
      <c r="DU344" t="str">
        <f>""</f>
        <v/>
      </c>
      <c r="DV344" t="str">
        <f>""</f>
        <v/>
      </c>
      <c r="DW344" t="str">
        <f>""</f>
        <v/>
      </c>
      <c r="DX344" t="str">
        <f>""</f>
        <v/>
      </c>
      <c r="DY344" t="str">
        <f>""</f>
        <v/>
      </c>
      <c r="DZ344" t="str">
        <f>""</f>
        <v/>
      </c>
      <c r="EA344" t="str">
        <f>""</f>
        <v/>
      </c>
      <c r="EB344" t="str">
        <f>""</f>
        <v/>
      </c>
      <c r="EC344" t="str">
        <f>""</f>
        <v/>
      </c>
      <c r="ED344" t="str">
        <f>""</f>
        <v/>
      </c>
      <c r="EE344" t="str">
        <f>""</f>
        <v/>
      </c>
      <c r="EF344" t="str">
        <f>""</f>
        <v/>
      </c>
      <c r="EG344" t="str">
        <f>""</f>
        <v/>
      </c>
      <c r="EH344" t="str">
        <f>""</f>
        <v/>
      </c>
      <c r="EI344" t="str">
        <f>""</f>
        <v/>
      </c>
      <c r="EJ344" t="str">
        <f>""</f>
        <v/>
      </c>
      <c r="EK344" t="str">
        <f>""</f>
        <v/>
      </c>
      <c r="EL344" t="str">
        <f>""</f>
        <v/>
      </c>
      <c r="EM344" t="str">
        <f>""</f>
        <v/>
      </c>
      <c r="EN344" t="str">
        <f>""</f>
        <v/>
      </c>
      <c r="EO344" t="str">
        <f>""</f>
        <v/>
      </c>
      <c r="EP344" t="str">
        <f>""</f>
        <v/>
      </c>
      <c r="EQ344" t="str">
        <f>""</f>
        <v/>
      </c>
      <c r="ER344" t="str">
        <f>""</f>
        <v/>
      </c>
      <c r="ES344" t="str">
        <f>""</f>
        <v/>
      </c>
      <c r="ET344" t="str">
        <f>""</f>
        <v/>
      </c>
      <c r="EU344" t="str">
        <f>""</f>
        <v/>
      </c>
      <c r="EV344" t="str">
        <f>""</f>
        <v/>
      </c>
      <c r="EW344" t="str">
        <f>""</f>
        <v/>
      </c>
      <c r="EX344" t="str">
        <f>""</f>
        <v/>
      </c>
      <c r="EY344" t="str">
        <f>""</f>
        <v/>
      </c>
      <c r="EZ344" t="str">
        <f>""</f>
        <v/>
      </c>
      <c r="FA344" t="str">
        <f>""</f>
        <v/>
      </c>
      <c r="FB344" t="str">
        <f>""</f>
        <v/>
      </c>
      <c r="FC344" t="str">
        <f>""</f>
        <v/>
      </c>
      <c r="FD344" t="str">
        <f>""</f>
        <v/>
      </c>
      <c r="FE344" t="str">
        <f>""</f>
        <v/>
      </c>
      <c r="FF344" t="str">
        <f>""</f>
        <v/>
      </c>
      <c r="FG344" t="str">
        <f>""</f>
        <v/>
      </c>
      <c r="FH344" t="str">
        <f>""</f>
        <v/>
      </c>
      <c r="FI344" t="str">
        <f>""</f>
        <v/>
      </c>
      <c r="FJ344" t="str">
        <f>""</f>
        <v/>
      </c>
      <c r="FK344" t="str">
        <f>""</f>
        <v/>
      </c>
      <c r="FL344" t="str">
        <f>""</f>
        <v/>
      </c>
      <c r="FM344" t="str">
        <f>""</f>
        <v/>
      </c>
      <c r="FN344" t="str">
        <f>""</f>
        <v/>
      </c>
      <c r="FO344" t="str">
        <f>""</f>
        <v/>
      </c>
      <c r="FP344" t="str">
        <f>""</f>
        <v/>
      </c>
      <c r="FQ344" t="str">
        <f>""</f>
        <v/>
      </c>
    </row>
    <row r="345" spans="1:173">
      <c r="A345" t="str">
        <f>$A$133</f>
        <v xml:space="preserve">    Monogram Residential Trust Inc</v>
      </c>
      <c r="B345" t="str">
        <f>$B$133</f>
        <v>MORE US Equity</v>
      </c>
      <c r="C345" t="str">
        <f>$C$133</f>
        <v>F0580</v>
      </c>
      <c r="D345" t="str">
        <f>$D$133</f>
        <v>FUNDS_AVAILABLE_FOR_DIST_PER_SH</v>
      </c>
      <c r="E345" t="str">
        <f>$E$133</f>
        <v>动态</v>
      </c>
      <c r="F345" t="str">
        <f ca="1">BDH($B$133,$C$133,$B$250,$B$251,CONCATENATE("Per=",$B$248),"Dts=H","Dir=H",CONCATENATE("Points=",$B$249),"Sort=R","Days=A","Fill=B",CONCATENATE("FX=", $B$247) )</f>
        <v>#N/A Authorization</v>
      </c>
      <c r="CL345" t="str">
        <f>""</f>
        <v/>
      </c>
      <c r="CM345" t="str">
        <f>""</f>
        <v/>
      </c>
      <c r="CN345" t="str">
        <f>""</f>
        <v/>
      </c>
      <c r="CO345" t="str">
        <f>""</f>
        <v/>
      </c>
      <c r="CP345" t="str">
        <f>""</f>
        <v/>
      </c>
      <c r="CQ345" t="str">
        <f>""</f>
        <v/>
      </c>
      <c r="CR345" t="str">
        <f>""</f>
        <v/>
      </c>
      <c r="CS345" t="str">
        <f>""</f>
        <v/>
      </c>
      <c r="CT345" t="str">
        <f>""</f>
        <v/>
      </c>
      <c r="CU345" t="str">
        <f>""</f>
        <v/>
      </c>
      <c r="CV345" t="str">
        <f>""</f>
        <v/>
      </c>
      <c r="CW345" t="str">
        <f>""</f>
        <v/>
      </c>
      <c r="CX345" t="str">
        <f>""</f>
        <v/>
      </c>
      <c r="CY345" t="str">
        <f>""</f>
        <v/>
      </c>
      <c r="CZ345" t="str">
        <f>""</f>
        <v/>
      </c>
      <c r="DA345" t="str">
        <f>""</f>
        <v/>
      </c>
      <c r="DB345" t="str">
        <f>""</f>
        <v/>
      </c>
      <c r="DC345" t="str">
        <f>""</f>
        <v/>
      </c>
      <c r="DD345" t="str">
        <f>""</f>
        <v/>
      </c>
      <c r="DE345" t="str">
        <f>""</f>
        <v/>
      </c>
      <c r="DF345" t="str">
        <f>""</f>
        <v/>
      </c>
      <c r="DG345" t="str">
        <f>""</f>
        <v/>
      </c>
      <c r="DH345" t="str">
        <f>""</f>
        <v/>
      </c>
      <c r="DI345" t="str">
        <f>""</f>
        <v/>
      </c>
      <c r="DJ345" t="str">
        <f>""</f>
        <v/>
      </c>
      <c r="DK345" t="str">
        <f>""</f>
        <v/>
      </c>
      <c r="DL345" t="str">
        <f>""</f>
        <v/>
      </c>
      <c r="DM345" t="str">
        <f>""</f>
        <v/>
      </c>
      <c r="DN345" t="str">
        <f>""</f>
        <v/>
      </c>
      <c r="DO345" t="str">
        <f>""</f>
        <v/>
      </c>
      <c r="DP345" t="str">
        <f>""</f>
        <v/>
      </c>
      <c r="DQ345" t="str">
        <f>""</f>
        <v/>
      </c>
      <c r="DR345" t="str">
        <f>""</f>
        <v/>
      </c>
      <c r="DS345" t="str">
        <f>""</f>
        <v/>
      </c>
      <c r="DT345" t="str">
        <f>""</f>
        <v/>
      </c>
      <c r="DU345" t="str">
        <f>""</f>
        <v/>
      </c>
      <c r="DV345" t="str">
        <f>""</f>
        <v/>
      </c>
      <c r="DW345" t="str">
        <f>""</f>
        <v/>
      </c>
      <c r="DX345" t="str">
        <f>""</f>
        <v/>
      </c>
      <c r="DY345" t="str">
        <f>""</f>
        <v/>
      </c>
      <c r="DZ345" t="str">
        <f>""</f>
        <v/>
      </c>
      <c r="EA345" t="str">
        <f>""</f>
        <v/>
      </c>
      <c r="EB345" t="str">
        <f>""</f>
        <v/>
      </c>
      <c r="EC345" t="str">
        <f>""</f>
        <v/>
      </c>
      <c r="ED345" t="str">
        <f>""</f>
        <v/>
      </c>
      <c r="EE345" t="str">
        <f>""</f>
        <v/>
      </c>
      <c r="EF345" t="str">
        <f>""</f>
        <v/>
      </c>
      <c r="EG345" t="str">
        <f>""</f>
        <v/>
      </c>
      <c r="EH345" t="str">
        <f>""</f>
        <v/>
      </c>
      <c r="EI345" t="str">
        <f>""</f>
        <v/>
      </c>
      <c r="EJ345" t="str">
        <f>""</f>
        <v/>
      </c>
      <c r="EK345" t="str">
        <f>""</f>
        <v/>
      </c>
      <c r="EL345" t="str">
        <f>""</f>
        <v/>
      </c>
      <c r="EM345" t="str">
        <f>""</f>
        <v/>
      </c>
      <c r="EN345" t="str">
        <f>""</f>
        <v/>
      </c>
      <c r="EO345" t="str">
        <f>""</f>
        <v/>
      </c>
      <c r="EP345" t="str">
        <f>""</f>
        <v/>
      </c>
      <c r="EQ345" t="str">
        <f>""</f>
        <v/>
      </c>
      <c r="ER345" t="str">
        <f>""</f>
        <v/>
      </c>
      <c r="ES345" t="str">
        <f>""</f>
        <v/>
      </c>
      <c r="ET345" t="str">
        <f>""</f>
        <v/>
      </c>
      <c r="EU345" t="str">
        <f>""</f>
        <v/>
      </c>
      <c r="EV345" t="str">
        <f>""</f>
        <v/>
      </c>
      <c r="EW345" t="str">
        <f>""</f>
        <v/>
      </c>
      <c r="EX345" t="str">
        <f>""</f>
        <v/>
      </c>
      <c r="EY345" t="str">
        <f>""</f>
        <v/>
      </c>
      <c r="EZ345" t="str">
        <f>""</f>
        <v/>
      </c>
      <c r="FA345" t="str">
        <f>""</f>
        <v/>
      </c>
      <c r="FB345" t="str">
        <f>""</f>
        <v/>
      </c>
      <c r="FC345" t="str">
        <f>""</f>
        <v/>
      </c>
      <c r="FD345" t="str">
        <f>""</f>
        <v/>
      </c>
      <c r="FE345" t="str">
        <f>""</f>
        <v/>
      </c>
      <c r="FF345" t="str">
        <f>""</f>
        <v/>
      </c>
      <c r="FG345" t="str">
        <f>""</f>
        <v/>
      </c>
      <c r="FH345" t="str">
        <f>""</f>
        <v/>
      </c>
      <c r="FI345" t="str">
        <f>""</f>
        <v/>
      </c>
      <c r="FJ345" t="str">
        <f>""</f>
        <v/>
      </c>
      <c r="FK345" t="str">
        <f>""</f>
        <v/>
      </c>
      <c r="FL345" t="str">
        <f>""</f>
        <v/>
      </c>
      <c r="FM345" t="str">
        <f>""</f>
        <v/>
      </c>
      <c r="FN345" t="str">
        <f>""</f>
        <v/>
      </c>
      <c r="FO345" t="str">
        <f>""</f>
        <v/>
      </c>
      <c r="FP345" t="str">
        <f>""</f>
        <v/>
      </c>
      <c r="FQ345" t="str">
        <f>""</f>
        <v/>
      </c>
    </row>
    <row r="346" spans="1:173">
      <c r="A346" t="str">
        <f>$A$134</f>
        <v xml:space="preserve">    UDR Inc</v>
      </c>
      <c r="B346" t="str">
        <f>$B$134</f>
        <v>UDR US Equity</v>
      </c>
      <c r="C346" t="str">
        <f>$C$134</f>
        <v>F0580</v>
      </c>
      <c r="D346" t="str">
        <f>$D$134</f>
        <v>FUNDS_AVAILABLE_FOR_DIST_PER_SH</v>
      </c>
      <c r="E346" t="str">
        <f>$E$134</f>
        <v>动态</v>
      </c>
      <c r="F346" t="str">
        <f ca="1">BDH($B$134,$C$134,$B$250,$B$251,CONCATENATE("Per=",$B$248),"Dts=H","Dir=H",CONCATENATE("Points=",$B$249),"Sort=R","Days=A","Fill=B",CONCATENATE("FX=", $B$247) )</f>
        <v>#N/A Authorization</v>
      </c>
      <c r="CL346" t="str">
        <f>""</f>
        <v/>
      </c>
      <c r="CM346" t="str">
        <f>""</f>
        <v/>
      </c>
      <c r="CN346" t="str">
        <f>""</f>
        <v/>
      </c>
      <c r="CO346" t="str">
        <f>""</f>
        <v/>
      </c>
      <c r="CP346" t="str">
        <f>""</f>
        <v/>
      </c>
      <c r="CQ346" t="str">
        <f>""</f>
        <v/>
      </c>
      <c r="CR346" t="str">
        <f>""</f>
        <v/>
      </c>
      <c r="CS346" t="str">
        <f>""</f>
        <v/>
      </c>
      <c r="CT346" t="str">
        <f>""</f>
        <v/>
      </c>
      <c r="CU346" t="str">
        <f>""</f>
        <v/>
      </c>
      <c r="CV346" t="str">
        <f>""</f>
        <v/>
      </c>
      <c r="CW346" t="str">
        <f>""</f>
        <v/>
      </c>
      <c r="CX346" t="str">
        <f>""</f>
        <v/>
      </c>
      <c r="CY346" t="str">
        <f>""</f>
        <v/>
      </c>
      <c r="CZ346" t="str">
        <f>""</f>
        <v/>
      </c>
      <c r="DA346" t="str">
        <f>""</f>
        <v/>
      </c>
      <c r="DB346" t="str">
        <f>""</f>
        <v/>
      </c>
      <c r="DC346" t="str">
        <f>""</f>
        <v/>
      </c>
      <c r="DD346" t="str">
        <f>""</f>
        <v/>
      </c>
      <c r="DE346" t="str">
        <f>""</f>
        <v/>
      </c>
      <c r="DF346" t="str">
        <f>""</f>
        <v/>
      </c>
      <c r="DG346" t="str">
        <f>""</f>
        <v/>
      </c>
      <c r="DH346" t="str">
        <f>""</f>
        <v/>
      </c>
      <c r="DI346" t="str">
        <f>""</f>
        <v/>
      </c>
      <c r="DJ346" t="str">
        <f>""</f>
        <v/>
      </c>
      <c r="DK346" t="str">
        <f>""</f>
        <v/>
      </c>
      <c r="DL346" t="str">
        <f>""</f>
        <v/>
      </c>
      <c r="DM346" t="str">
        <f>""</f>
        <v/>
      </c>
      <c r="DN346" t="str">
        <f>""</f>
        <v/>
      </c>
      <c r="DO346" t="str">
        <f>""</f>
        <v/>
      </c>
      <c r="DP346" t="str">
        <f>""</f>
        <v/>
      </c>
      <c r="DQ346" t="str">
        <f>""</f>
        <v/>
      </c>
      <c r="DR346" t="str">
        <f>""</f>
        <v/>
      </c>
      <c r="DS346" t="str">
        <f>""</f>
        <v/>
      </c>
      <c r="DT346" t="str">
        <f>""</f>
        <v/>
      </c>
      <c r="DU346" t="str">
        <f>""</f>
        <v/>
      </c>
      <c r="DV346" t="str">
        <f>""</f>
        <v/>
      </c>
      <c r="DW346" t="str">
        <f>""</f>
        <v/>
      </c>
      <c r="DX346" t="str">
        <f>""</f>
        <v/>
      </c>
      <c r="DY346" t="str">
        <f>""</f>
        <v/>
      </c>
      <c r="DZ346" t="str">
        <f>""</f>
        <v/>
      </c>
      <c r="EA346" t="str">
        <f>""</f>
        <v/>
      </c>
      <c r="EB346" t="str">
        <f>""</f>
        <v/>
      </c>
      <c r="EC346" t="str">
        <f>""</f>
        <v/>
      </c>
      <c r="ED346" t="str">
        <f>""</f>
        <v/>
      </c>
      <c r="EE346" t="str">
        <f>""</f>
        <v/>
      </c>
      <c r="EF346" t="str">
        <f>""</f>
        <v/>
      </c>
      <c r="EG346" t="str">
        <f>""</f>
        <v/>
      </c>
      <c r="EH346" t="str">
        <f>""</f>
        <v/>
      </c>
      <c r="EI346" t="str">
        <f>""</f>
        <v/>
      </c>
      <c r="EJ346" t="str">
        <f>""</f>
        <v/>
      </c>
      <c r="EK346" t="str">
        <f>""</f>
        <v/>
      </c>
      <c r="EL346" t="str">
        <f>""</f>
        <v/>
      </c>
      <c r="EM346" t="str">
        <f>""</f>
        <v/>
      </c>
      <c r="EN346" t="str">
        <f>""</f>
        <v/>
      </c>
      <c r="EO346" t="str">
        <f>""</f>
        <v/>
      </c>
      <c r="EP346" t="str">
        <f>""</f>
        <v/>
      </c>
      <c r="EQ346" t="str">
        <f>""</f>
        <v/>
      </c>
      <c r="ER346" t="str">
        <f>""</f>
        <v/>
      </c>
      <c r="ES346" t="str">
        <f>""</f>
        <v/>
      </c>
      <c r="ET346" t="str">
        <f>""</f>
        <v/>
      </c>
      <c r="EU346" t="str">
        <f>""</f>
        <v/>
      </c>
      <c r="EV346" t="str">
        <f>""</f>
        <v/>
      </c>
      <c r="EW346" t="str">
        <f>""</f>
        <v/>
      </c>
      <c r="EX346" t="str">
        <f>""</f>
        <v/>
      </c>
      <c r="EY346" t="str">
        <f>""</f>
        <v/>
      </c>
      <c r="EZ346" t="str">
        <f>""</f>
        <v/>
      </c>
      <c r="FA346" t="str">
        <f>""</f>
        <v/>
      </c>
      <c r="FB346" t="str">
        <f>""</f>
        <v/>
      </c>
      <c r="FC346" t="str">
        <f>""</f>
        <v/>
      </c>
      <c r="FD346" t="str">
        <f>""</f>
        <v/>
      </c>
      <c r="FE346" t="str">
        <f>""</f>
        <v/>
      </c>
      <c r="FF346" t="str">
        <f>""</f>
        <v/>
      </c>
      <c r="FG346" t="str">
        <f>""</f>
        <v/>
      </c>
      <c r="FH346" t="str">
        <f>""</f>
        <v/>
      </c>
      <c r="FI346" t="str">
        <f>""</f>
        <v/>
      </c>
      <c r="FJ346" t="str">
        <f>""</f>
        <v/>
      </c>
      <c r="FK346" t="str">
        <f>""</f>
        <v/>
      </c>
      <c r="FL346" t="str">
        <f>""</f>
        <v/>
      </c>
      <c r="FM346" t="str">
        <f>""</f>
        <v/>
      </c>
      <c r="FN346" t="str">
        <f>""</f>
        <v/>
      </c>
      <c r="FO346" t="str">
        <f>""</f>
        <v/>
      </c>
      <c r="FP346" t="str">
        <f>""</f>
        <v/>
      </c>
      <c r="FQ346" t="str">
        <f>""</f>
        <v/>
      </c>
    </row>
    <row r="347" spans="1:173">
      <c r="A347" t="str">
        <f>$A$136</f>
        <v xml:space="preserve">    公寓投资与管理</v>
      </c>
      <c r="B347" t="str">
        <f>$B$136</f>
        <v>AIV US Equity</v>
      </c>
      <c r="C347" t="str">
        <f>$C$136</f>
        <v>F0892</v>
      </c>
      <c r="D347" t="str">
        <f>$D$136</f>
        <v>TRAILING_12_MONTHS_FAD_PS</v>
      </c>
      <c r="E347" t="str">
        <f>$E$136</f>
        <v>动态</v>
      </c>
      <c r="F347" t="str">
        <f ca="1">BDH($B$136,$C$136,$B$250,$B$251,CONCATENATE("Per=",$B$248),"Dts=H","Dir=H",CONCATENATE("Points=",$B$249),"Sort=R","Days=A","Fill=B",CONCATENATE("FX=", $B$247) )</f>
        <v>#N/A Authorization</v>
      </c>
      <c r="CL347" t="str">
        <f>""</f>
        <v/>
      </c>
      <c r="CM347" t="str">
        <f>""</f>
        <v/>
      </c>
      <c r="CN347" t="str">
        <f>""</f>
        <v/>
      </c>
      <c r="CO347" t="str">
        <f>""</f>
        <v/>
      </c>
      <c r="CP347" t="str">
        <f>""</f>
        <v/>
      </c>
      <c r="CQ347" t="str">
        <f>""</f>
        <v/>
      </c>
      <c r="CR347" t="str">
        <f>""</f>
        <v/>
      </c>
      <c r="CS347" t="str">
        <f>""</f>
        <v/>
      </c>
      <c r="CT347" t="str">
        <f>""</f>
        <v/>
      </c>
      <c r="CU347" t="str">
        <f>""</f>
        <v/>
      </c>
      <c r="CV347" t="str">
        <f>""</f>
        <v/>
      </c>
      <c r="CW347" t="str">
        <f>""</f>
        <v/>
      </c>
      <c r="CX347" t="str">
        <f>""</f>
        <v/>
      </c>
      <c r="CY347" t="str">
        <f>""</f>
        <v/>
      </c>
      <c r="CZ347" t="str">
        <f>""</f>
        <v/>
      </c>
      <c r="DA347" t="str">
        <f>""</f>
        <v/>
      </c>
      <c r="DB347" t="str">
        <f>""</f>
        <v/>
      </c>
      <c r="DC347" t="str">
        <f>""</f>
        <v/>
      </c>
      <c r="DD347" t="str">
        <f>""</f>
        <v/>
      </c>
      <c r="DE347" t="str">
        <f>""</f>
        <v/>
      </c>
      <c r="DF347" t="str">
        <f>""</f>
        <v/>
      </c>
      <c r="DG347" t="str">
        <f>""</f>
        <v/>
      </c>
      <c r="DH347" t="str">
        <f>""</f>
        <v/>
      </c>
      <c r="DI347" t="str">
        <f>""</f>
        <v/>
      </c>
      <c r="DJ347" t="str">
        <f>""</f>
        <v/>
      </c>
      <c r="DK347" t="str">
        <f>""</f>
        <v/>
      </c>
      <c r="DL347" t="str">
        <f>""</f>
        <v/>
      </c>
      <c r="DM347" t="str">
        <f>""</f>
        <v/>
      </c>
      <c r="DN347" t="str">
        <f>""</f>
        <v/>
      </c>
      <c r="DO347" t="str">
        <f>""</f>
        <v/>
      </c>
      <c r="DP347" t="str">
        <f>""</f>
        <v/>
      </c>
      <c r="DQ347" t="str">
        <f>""</f>
        <v/>
      </c>
      <c r="DR347" t="str">
        <f>""</f>
        <v/>
      </c>
      <c r="DS347" t="str">
        <f>""</f>
        <v/>
      </c>
      <c r="DT347" t="str">
        <f>""</f>
        <v/>
      </c>
      <c r="DU347" t="str">
        <f>""</f>
        <v/>
      </c>
      <c r="DV347" t="str">
        <f>""</f>
        <v/>
      </c>
      <c r="DW347" t="str">
        <f>""</f>
        <v/>
      </c>
      <c r="DX347" t="str">
        <f>""</f>
        <v/>
      </c>
      <c r="DY347" t="str">
        <f>""</f>
        <v/>
      </c>
      <c r="DZ347" t="str">
        <f>""</f>
        <v/>
      </c>
      <c r="EA347" t="str">
        <f>""</f>
        <v/>
      </c>
      <c r="EB347" t="str">
        <f>""</f>
        <v/>
      </c>
      <c r="EC347" t="str">
        <f>""</f>
        <v/>
      </c>
      <c r="ED347" t="str">
        <f>""</f>
        <v/>
      </c>
      <c r="EE347" t="str">
        <f>""</f>
        <v/>
      </c>
      <c r="EF347" t="str">
        <f>""</f>
        <v/>
      </c>
      <c r="EG347" t="str">
        <f>""</f>
        <v/>
      </c>
      <c r="EH347" t="str">
        <f>""</f>
        <v/>
      </c>
      <c r="EI347" t="str">
        <f>""</f>
        <v/>
      </c>
      <c r="EJ347" t="str">
        <f>""</f>
        <v/>
      </c>
      <c r="EK347" t="str">
        <f>""</f>
        <v/>
      </c>
      <c r="EL347" t="str">
        <f>""</f>
        <v/>
      </c>
      <c r="EM347" t="str">
        <f>""</f>
        <v/>
      </c>
      <c r="EN347" t="str">
        <f>""</f>
        <v/>
      </c>
      <c r="EO347" t="str">
        <f>""</f>
        <v/>
      </c>
      <c r="EP347" t="str">
        <f>""</f>
        <v/>
      </c>
      <c r="EQ347" t="str">
        <f>""</f>
        <v/>
      </c>
      <c r="ER347" t="str">
        <f>""</f>
        <v/>
      </c>
      <c r="ES347" t="str">
        <f>""</f>
        <v/>
      </c>
      <c r="ET347" t="str">
        <f>""</f>
        <v/>
      </c>
      <c r="EU347" t="str">
        <f>""</f>
        <v/>
      </c>
      <c r="EV347" t="str">
        <f>""</f>
        <v/>
      </c>
      <c r="EW347" t="str">
        <f>""</f>
        <v/>
      </c>
      <c r="EX347" t="str">
        <f>""</f>
        <v/>
      </c>
      <c r="EY347" t="str">
        <f>""</f>
        <v/>
      </c>
      <c r="EZ347" t="str">
        <f>""</f>
        <v/>
      </c>
      <c r="FA347" t="str">
        <f>""</f>
        <v/>
      </c>
      <c r="FB347" t="str">
        <f>""</f>
        <v/>
      </c>
      <c r="FC347" t="str">
        <f>""</f>
        <v/>
      </c>
      <c r="FD347" t="str">
        <f>""</f>
        <v/>
      </c>
      <c r="FE347" t="str">
        <f>""</f>
        <v/>
      </c>
      <c r="FF347" t="str">
        <f>""</f>
        <v/>
      </c>
      <c r="FG347" t="str">
        <f>""</f>
        <v/>
      </c>
      <c r="FH347" t="str">
        <f>""</f>
        <v/>
      </c>
      <c r="FI347" t="str">
        <f>""</f>
        <v/>
      </c>
      <c r="FJ347" t="str">
        <f>""</f>
        <v/>
      </c>
      <c r="FK347" t="str">
        <f>""</f>
        <v/>
      </c>
      <c r="FL347" t="str">
        <f>""</f>
        <v/>
      </c>
      <c r="FM347" t="str">
        <f>""</f>
        <v/>
      </c>
      <c r="FN347" t="str">
        <f>""</f>
        <v/>
      </c>
      <c r="FO347" t="str">
        <f>""</f>
        <v/>
      </c>
      <c r="FP347" t="str">
        <f>""</f>
        <v/>
      </c>
      <c r="FQ347" t="str">
        <f>""</f>
        <v/>
      </c>
    </row>
    <row r="348" spans="1:173">
      <c r="A348" t="str">
        <f>$A$137</f>
        <v xml:space="preserve">    AvalonBay社区股份有限公司</v>
      </c>
      <c r="B348" t="str">
        <f>$B$137</f>
        <v>AVB US Equity</v>
      </c>
      <c r="C348" t="str">
        <f>$C$137</f>
        <v>F0892</v>
      </c>
      <c r="D348" t="str">
        <f>$D$137</f>
        <v>TRAILING_12_MONTHS_FAD_PS</v>
      </c>
      <c r="E348" t="str">
        <f>$E$137</f>
        <v>动态</v>
      </c>
      <c r="F348" t="str">
        <f ca="1">BDH($B$137,$C$137,$B$250,$B$251,CONCATENATE("Per=",$B$248),"Dts=H","Dir=H",CONCATENATE("Points=",$B$249),"Sort=R","Days=A","Fill=B",CONCATENATE("FX=", $B$247) )</f>
        <v>#N/A Authorization</v>
      </c>
      <c r="CL348" t="str">
        <f>""</f>
        <v/>
      </c>
      <c r="CM348" t="str">
        <f>""</f>
        <v/>
      </c>
      <c r="CN348" t="str">
        <f>""</f>
        <v/>
      </c>
      <c r="CO348" t="str">
        <f>""</f>
        <v/>
      </c>
      <c r="CP348" t="str">
        <f>""</f>
        <v/>
      </c>
      <c r="CQ348" t="str">
        <f>""</f>
        <v/>
      </c>
      <c r="CR348" t="str">
        <f>""</f>
        <v/>
      </c>
      <c r="CS348" t="str">
        <f>""</f>
        <v/>
      </c>
      <c r="CT348" t="str">
        <f>""</f>
        <v/>
      </c>
      <c r="CU348" t="str">
        <f>""</f>
        <v/>
      </c>
      <c r="CV348" t="str">
        <f>""</f>
        <v/>
      </c>
      <c r="CW348" t="str">
        <f>""</f>
        <v/>
      </c>
      <c r="CX348" t="str">
        <f>""</f>
        <v/>
      </c>
      <c r="CY348" t="str">
        <f>""</f>
        <v/>
      </c>
      <c r="CZ348" t="str">
        <f>""</f>
        <v/>
      </c>
      <c r="DA348" t="str">
        <f>""</f>
        <v/>
      </c>
      <c r="DB348" t="str">
        <f>""</f>
        <v/>
      </c>
      <c r="DC348" t="str">
        <f>""</f>
        <v/>
      </c>
      <c r="DD348" t="str">
        <f>""</f>
        <v/>
      </c>
      <c r="DE348" t="str">
        <f>""</f>
        <v/>
      </c>
      <c r="DF348" t="str">
        <f>""</f>
        <v/>
      </c>
      <c r="DG348" t="str">
        <f>""</f>
        <v/>
      </c>
      <c r="DH348" t="str">
        <f>""</f>
        <v/>
      </c>
      <c r="DI348" t="str">
        <f>""</f>
        <v/>
      </c>
      <c r="DJ348" t="str">
        <f>""</f>
        <v/>
      </c>
      <c r="DK348" t="str">
        <f>""</f>
        <v/>
      </c>
      <c r="DL348" t="str">
        <f>""</f>
        <v/>
      </c>
      <c r="DM348" t="str">
        <f>""</f>
        <v/>
      </c>
      <c r="DN348" t="str">
        <f>""</f>
        <v/>
      </c>
      <c r="DO348" t="str">
        <f>""</f>
        <v/>
      </c>
      <c r="DP348" t="str">
        <f>""</f>
        <v/>
      </c>
      <c r="DQ348" t="str">
        <f>""</f>
        <v/>
      </c>
      <c r="DR348" t="str">
        <f>""</f>
        <v/>
      </c>
      <c r="DS348" t="str">
        <f>""</f>
        <v/>
      </c>
      <c r="DT348" t="str">
        <f>""</f>
        <v/>
      </c>
      <c r="DU348" t="str">
        <f>""</f>
        <v/>
      </c>
      <c r="DV348" t="str">
        <f>""</f>
        <v/>
      </c>
      <c r="DW348" t="str">
        <f>""</f>
        <v/>
      </c>
      <c r="DX348" t="str">
        <f>""</f>
        <v/>
      </c>
      <c r="DY348" t="str">
        <f>""</f>
        <v/>
      </c>
      <c r="DZ348" t="str">
        <f>""</f>
        <v/>
      </c>
      <c r="EA348" t="str">
        <f>""</f>
        <v/>
      </c>
      <c r="EB348" t="str">
        <f>""</f>
        <v/>
      </c>
      <c r="EC348" t="str">
        <f>""</f>
        <v/>
      </c>
      <c r="ED348" t="str">
        <f>""</f>
        <v/>
      </c>
      <c r="EE348" t="str">
        <f>""</f>
        <v/>
      </c>
      <c r="EF348" t="str">
        <f>""</f>
        <v/>
      </c>
      <c r="EG348" t="str">
        <f>""</f>
        <v/>
      </c>
      <c r="EH348" t="str">
        <f>""</f>
        <v/>
      </c>
      <c r="EI348" t="str">
        <f>""</f>
        <v/>
      </c>
      <c r="EJ348" t="str">
        <f>""</f>
        <v/>
      </c>
      <c r="EK348" t="str">
        <f>""</f>
        <v/>
      </c>
      <c r="EL348" t="str">
        <f>""</f>
        <v/>
      </c>
      <c r="EM348" t="str">
        <f>""</f>
        <v/>
      </c>
      <c r="EN348" t="str">
        <f>""</f>
        <v/>
      </c>
      <c r="EO348" t="str">
        <f>""</f>
        <v/>
      </c>
      <c r="EP348" t="str">
        <f>""</f>
        <v/>
      </c>
      <c r="EQ348" t="str">
        <f>""</f>
        <v/>
      </c>
      <c r="ER348" t="str">
        <f>""</f>
        <v/>
      </c>
      <c r="ES348" t="str">
        <f>""</f>
        <v/>
      </c>
      <c r="ET348" t="str">
        <f>""</f>
        <v/>
      </c>
      <c r="EU348" t="str">
        <f>""</f>
        <v/>
      </c>
      <c r="EV348" t="str">
        <f>""</f>
        <v/>
      </c>
      <c r="EW348" t="str">
        <f>""</f>
        <v/>
      </c>
      <c r="EX348" t="str">
        <f>""</f>
        <v/>
      </c>
      <c r="EY348" t="str">
        <f>""</f>
        <v/>
      </c>
      <c r="EZ348" t="str">
        <f>""</f>
        <v/>
      </c>
      <c r="FA348" t="str">
        <f>""</f>
        <v/>
      </c>
      <c r="FB348" t="str">
        <f>""</f>
        <v/>
      </c>
      <c r="FC348" t="str">
        <f>""</f>
        <v/>
      </c>
      <c r="FD348" t="str">
        <f>""</f>
        <v/>
      </c>
      <c r="FE348" t="str">
        <f>""</f>
        <v/>
      </c>
      <c r="FF348" t="str">
        <f>""</f>
        <v/>
      </c>
      <c r="FG348" t="str">
        <f>""</f>
        <v/>
      </c>
      <c r="FH348" t="str">
        <f>""</f>
        <v/>
      </c>
      <c r="FI348" t="str">
        <f>""</f>
        <v/>
      </c>
      <c r="FJ348" t="str">
        <f>""</f>
        <v/>
      </c>
      <c r="FK348" t="str">
        <f>""</f>
        <v/>
      </c>
      <c r="FL348" t="str">
        <f>""</f>
        <v/>
      </c>
      <c r="FM348" t="str">
        <f>""</f>
        <v/>
      </c>
      <c r="FN348" t="str">
        <f>""</f>
        <v/>
      </c>
      <c r="FO348" t="str">
        <f>""</f>
        <v/>
      </c>
      <c r="FP348" t="str">
        <f>""</f>
        <v/>
      </c>
      <c r="FQ348" t="str">
        <f>""</f>
        <v/>
      </c>
    </row>
    <row r="349" spans="1:173">
      <c r="A349" t="str">
        <f>$A$138</f>
        <v xml:space="preserve">    Camden 房地产信托公司</v>
      </c>
      <c r="B349" t="str">
        <f>$B$138</f>
        <v>CPT US Equity</v>
      </c>
      <c r="C349" t="str">
        <f>$C$138</f>
        <v>F0892</v>
      </c>
      <c r="D349" t="str">
        <f>$D$138</f>
        <v>TRAILING_12_MONTHS_FAD_PS</v>
      </c>
      <c r="E349" t="str">
        <f>$E$138</f>
        <v>动态</v>
      </c>
      <c r="F349" t="str">
        <f ca="1">BDH($B$138,$C$138,$B$250,$B$251,CONCATENATE("Per=",$B$248),"Dts=H","Dir=H",CONCATENATE("Points=",$B$249),"Sort=R","Days=A","Fill=B",CONCATENATE("FX=", $B$247) )</f>
        <v>#N/A Authorization</v>
      </c>
      <c r="CL349" t="str">
        <f>""</f>
        <v/>
      </c>
      <c r="CM349" t="str">
        <f>""</f>
        <v/>
      </c>
      <c r="CN349" t="str">
        <f>""</f>
        <v/>
      </c>
      <c r="CO349" t="str">
        <f>""</f>
        <v/>
      </c>
      <c r="CP349" t="str">
        <f>""</f>
        <v/>
      </c>
      <c r="CQ349" t="str">
        <f>""</f>
        <v/>
      </c>
      <c r="CR349" t="str">
        <f>""</f>
        <v/>
      </c>
      <c r="CS349" t="str">
        <f>""</f>
        <v/>
      </c>
      <c r="CT349" t="str">
        <f>""</f>
        <v/>
      </c>
      <c r="CU349" t="str">
        <f>""</f>
        <v/>
      </c>
      <c r="CV349" t="str">
        <f>""</f>
        <v/>
      </c>
      <c r="CW349" t="str">
        <f>""</f>
        <v/>
      </c>
      <c r="CX349" t="str">
        <f>""</f>
        <v/>
      </c>
      <c r="CY349" t="str">
        <f>""</f>
        <v/>
      </c>
      <c r="CZ349" t="str">
        <f>""</f>
        <v/>
      </c>
      <c r="DA349" t="str">
        <f>""</f>
        <v/>
      </c>
      <c r="DB349" t="str">
        <f>""</f>
        <v/>
      </c>
      <c r="DC349" t="str">
        <f>""</f>
        <v/>
      </c>
      <c r="DD349" t="str">
        <f>""</f>
        <v/>
      </c>
      <c r="DE349" t="str">
        <f>""</f>
        <v/>
      </c>
      <c r="DF349" t="str">
        <f>""</f>
        <v/>
      </c>
      <c r="DG349" t="str">
        <f>""</f>
        <v/>
      </c>
      <c r="DH349" t="str">
        <f>""</f>
        <v/>
      </c>
      <c r="DI349" t="str">
        <f>""</f>
        <v/>
      </c>
      <c r="DJ349" t="str">
        <f>""</f>
        <v/>
      </c>
      <c r="DK349" t="str">
        <f>""</f>
        <v/>
      </c>
      <c r="DL349" t="str">
        <f>""</f>
        <v/>
      </c>
      <c r="DM349" t="str">
        <f>""</f>
        <v/>
      </c>
      <c r="DN349" t="str">
        <f>""</f>
        <v/>
      </c>
      <c r="DO349" t="str">
        <f>""</f>
        <v/>
      </c>
      <c r="DP349" t="str">
        <f>""</f>
        <v/>
      </c>
      <c r="DQ349" t="str">
        <f>""</f>
        <v/>
      </c>
      <c r="DR349" t="str">
        <f>""</f>
        <v/>
      </c>
      <c r="DS349" t="str">
        <f>""</f>
        <v/>
      </c>
      <c r="DT349" t="str">
        <f>""</f>
        <v/>
      </c>
      <c r="DU349" t="str">
        <f>""</f>
        <v/>
      </c>
      <c r="DV349" t="str">
        <f>""</f>
        <v/>
      </c>
      <c r="DW349" t="str">
        <f>""</f>
        <v/>
      </c>
      <c r="DX349" t="str">
        <f>""</f>
        <v/>
      </c>
      <c r="DY349" t="str">
        <f>""</f>
        <v/>
      </c>
      <c r="DZ349" t="str">
        <f>""</f>
        <v/>
      </c>
      <c r="EA349" t="str">
        <f>""</f>
        <v/>
      </c>
      <c r="EB349" t="str">
        <f>""</f>
        <v/>
      </c>
      <c r="EC349" t="str">
        <f>""</f>
        <v/>
      </c>
      <c r="ED349" t="str">
        <f>""</f>
        <v/>
      </c>
      <c r="EE349" t="str">
        <f>""</f>
        <v/>
      </c>
      <c r="EF349" t="str">
        <f>""</f>
        <v/>
      </c>
      <c r="EG349" t="str">
        <f>""</f>
        <v/>
      </c>
      <c r="EH349" t="str">
        <f>""</f>
        <v/>
      </c>
      <c r="EI349" t="str">
        <f>""</f>
        <v/>
      </c>
      <c r="EJ349" t="str">
        <f>""</f>
        <v/>
      </c>
      <c r="EK349" t="str">
        <f>""</f>
        <v/>
      </c>
      <c r="EL349" t="str">
        <f>""</f>
        <v/>
      </c>
      <c r="EM349" t="str">
        <f>""</f>
        <v/>
      </c>
      <c r="EN349" t="str">
        <f>""</f>
        <v/>
      </c>
      <c r="EO349" t="str">
        <f>""</f>
        <v/>
      </c>
      <c r="EP349" t="str">
        <f>""</f>
        <v/>
      </c>
      <c r="EQ349" t="str">
        <f>""</f>
        <v/>
      </c>
      <c r="ER349" t="str">
        <f>""</f>
        <v/>
      </c>
      <c r="ES349" t="str">
        <f>""</f>
        <v/>
      </c>
      <c r="ET349" t="str">
        <f>""</f>
        <v/>
      </c>
      <c r="EU349" t="str">
        <f>""</f>
        <v/>
      </c>
      <c r="EV349" t="str">
        <f>""</f>
        <v/>
      </c>
      <c r="EW349" t="str">
        <f>""</f>
        <v/>
      </c>
      <c r="EX349" t="str">
        <f>""</f>
        <v/>
      </c>
      <c r="EY349" t="str">
        <f>""</f>
        <v/>
      </c>
      <c r="EZ349" t="str">
        <f>""</f>
        <v/>
      </c>
      <c r="FA349" t="str">
        <f>""</f>
        <v/>
      </c>
      <c r="FB349" t="str">
        <f>""</f>
        <v/>
      </c>
      <c r="FC349" t="str">
        <f>""</f>
        <v/>
      </c>
      <c r="FD349" t="str">
        <f>""</f>
        <v/>
      </c>
      <c r="FE349" t="str">
        <f>""</f>
        <v/>
      </c>
      <c r="FF349" t="str">
        <f>""</f>
        <v/>
      </c>
      <c r="FG349" t="str">
        <f>""</f>
        <v/>
      </c>
      <c r="FH349" t="str">
        <f>""</f>
        <v/>
      </c>
      <c r="FI349" t="str">
        <f>""</f>
        <v/>
      </c>
      <c r="FJ349" t="str">
        <f>""</f>
        <v/>
      </c>
      <c r="FK349" t="str">
        <f>""</f>
        <v/>
      </c>
      <c r="FL349" t="str">
        <f>""</f>
        <v/>
      </c>
      <c r="FM349" t="str">
        <f>""</f>
        <v/>
      </c>
      <c r="FN349" t="str">
        <f>""</f>
        <v/>
      </c>
      <c r="FO349" t="str">
        <f>""</f>
        <v/>
      </c>
      <c r="FP349" t="str">
        <f>""</f>
        <v/>
      </c>
      <c r="FQ349" t="str">
        <f>""</f>
        <v/>
      </c>
    </row>
    <row r="350" spans="1:173">
      <c r="A350" t="str">
        <f>$A$139</f>
        <v xml:space="preserve">    公寓物业权益信托</v>
      </c>
      <c r="B350" t="str">
        <f>$B$139</f>
        <v>EQR US Equity</v>
      </c>
      <c r="C350" t="str">
        <f>$C$139</f>
        <v>F0892</v>
      </c>
      <c r="D350" t="str">
        <f>$D$139</f>
        <v>TRAILING_12_MONTHS_FAD_PS</v>
      </c>
      <c r="E350" t="str">
        <f>$E$139</f>
        <v>动态</v>
      </c>
      <c r="F350" t="str">
        <f ca="1">BDH($B$139,$C$139,$B$250,$B$251,CONCATENATE("Per=",$B$248),"Dts=H","Dir=H",CONCATENATE("Points=",$B$249),"Sort=R","Days=A","Fill=B",CONCATENATE("FX=", $B$247) )</f>
        <v>#N/A Authorization</v>
      </c>
      <c r="CL350" t="str">
        <f>""</f>
        <v/>
      </c>
      <c r="CM350" t="str">
        <f>""</f>
        <v/>
      </c>
      <c r="CN350" t="str">
        <f>""</f>
        <v/>
      </c>
      <c r="CO350" t="str">
        <f>""</f>
        <v/>
      </c>
      <c r="CP350" t="str">
        <f>""</f>
        <v/>
      </c>
      <c r="CQ350" t="str">
        <f>""</f>
        <v/>
      </c>
      <c r="CR350" t="str">
        <f>""</f>
        <v/>
      </c>
      <c r="CS350" t="str">
        <f>""</f>
        <v/>
      </c>
      <c r="CT350" t="str">
        <f>""</f>
        <v/>
      </c>
      <c r="CU350" t="str">
        <f>""</f>
        <v/>
      </c>
      <c r="CV350" t="str">
        <f>""</f>
        <v/>
      </c>
      <c r="CW350" t="str">
        <f>""</f>
        <v/>
      </c>
      <c r="CX350" t="str">
        <f>""</f>
        <v/>
      </c>
      <c r="CY350" t="str">
        <f>""</f>
        <v/>
      </c>
      <c r="CZ350" t="str">
        <f>""</f>
        <v/>
      </c>
      <c r="DA350" t="str">
        <f>""</f>
        <v/>
      </c>
      <c r="DB350" t="str">
        <f>""</f>
        <v/>
      </c>
      <c r="DC350" t="str">
        <f>""</f>
        <v/>
      </c>
      <c r="DD350" t="str">
        <f>""</f>
        <v/>
      </c>
      <c r="DE350" t="str">
        <f>""</f>
        <v/>
      </c>
      <c r="DF350" t="str">
        <f>""</f>
        <v/>
      </c>
      <c r="DG350" t="str">
        <f>""</f>
        <v/>
      </c>
      <c r="DH350" t="str">
        <f>""</f>
        <v/>
      </c>
      <c r="DI350" t="str">
        <f>""</f>
        <v/>
      </c>
      <c r="DJ350" t="str">
        <f>""</f>
        <v/>
      </c>
      <c r="DK350" t="str">
        <f>""</f>
        <v/>
      </c>
      <c r="DL350" t="str">
        <f>""</f>
        <v/>
      </c>
      <c r="DM350" t="str">
        <f>""</f>
        <v/>
      </c>
      <c r="DN350" t="str">
        <f>""</f>
        <v/>
      </c>
      <c r="DO350" t="str">
        <f>""</f>
        <v/>
      </c>
      <c r="DP350" t="str">
        <f>""</f>
        <v/>
      </c>
      <c r="DQ350" t="str">
        <f>""</f>
        <v/>
      </c>
      <c r="DR350" t="str">
        <f>""</f>
        <v/>
      </c>
      <c r="DS350" t="str">
        <f>""</f>
        <v/>
      </c>
      <c r="DT350" t="str">
        <f>""</f>
        <v/>
      </c>
      <c r="DU350" t="str">
        <f>""</f>
        <v/>
      </c>
      <c r="DV350" t="str">
        <f>""</f>
        <v/>
      </c>
      <c r="DW350" t="str">
        <f>""</f>
        <v/>
      </c>
      <c r="DX350" t="str">
        <f>""</f>
        <v/>
      </c>
      <c r="DY350" t="str">
        <f>""</f>
        <v/>
      </c>
      <c r="DZ350" t="str">
        <f>""</f>
        <v/>
      </c>
      <c r="EA350" t="str">
        <f>""</f>
        <v/>
      </c>
      <c r="EB350" t="str">
        <f>""</f>
        <v/>
      </c>
      <c r="EC350" t="str">
        <f>""</f>
        <v/>
      </c>
      <c r="ED350" t="str">
        <f>""</f>
        <v/>
      </c>
      <c r="EE350" t="str">
        <f>""</f>
        <v/>
      </c>
      <c r="EF350" t="str">
        <f>""</f>
        <v/>
      </c>
      <c r="EG350" t="str">
        <f>""</f>
        <v/>
      </c>
      <c r="EH350" t="str">
        <f>""</f>
        <v/>
      </c>
      <c r="EI350" t="str">
        <f>""</f>
        <v/>
      </c>
      <c r="EJ350" t="str">
        <f>""</f>
        <v/>
      </c>
      <c r="EK350" t="str">
        <f>""</f>
        <v/>
      </c>
      <c r="EL350" t="str">
        <f>""</f>
        <v/>
      </c>
      <c r="EM350" t="str">
        <f>""</f>
        <v/>
      </c>
      <c r="EN350" t="str">
        <f>""</f>
        <v/>
      </c>
      <c r="EO350" t="str">
        <f>""</f>
        <v/>
      </c>
      <c r="EP350" t="str">
        <f>""</f>
        <v/>
      </c>
      <c r="EQ350" t="str">
        <f>""</f>
        <v/>
      </c>
      <c r="ER350" t="str">
        <f>""</f>
        <v/>
      </c>
      <c r="ES350" t="str">
        <f>""</f>
        <v/>
      </c>
      <c r="ET350" t="str">
        <f>""</f>
        <v/>
      </c>
      <c r="EU350" t="str">
        <f>""</f>
        <v/>
      </c>
      <c r="EV350" t="str">
        <f>""</f>
        <v/>
      </c>
      <c r="EW350" t="str">
        <f>""</f>
        <v/>
      </c>
      <c r="EX350" t="str">
        <f>""</f>
        <v/>
      </c>
      <c r="EY350" t="str">
        <f>""</f>
        <v/>
      </c>
      <c r="EZ350" t="str">
        <f>""</f>
        <v/>
      </c>
      <c r="FA350" t="str">
        <f>""</f>
        <v/>
      </c>
      <c r="FB350" t="str">
        <f>""</f>
        <v/>
      </c>
      <c r="FC350" t="str">
        <f>""</f>
        <v/>
      </c>
      <c r="FD350" t="str">
        <f>""</f>
        <v/>
      </c>
      <c r="FE350" t="str">
        <f>""</f>
        <v/>
      </c>
      <c r="FF350" t="str">
        <f>""</f>
        <v/>
      </c>
      <c r="FG350" t="str">
        <f>""</f>
        <v/>
      </c>
      <c r="FH350" t="str">
        <f>""</f>
        <v/>
      </c>
      <c r="FI350" t="str">
        <f>""</f>
        <v/>
      </c>
      <c r="FJ350" t="str">
        <f>""</f>
        <v/>
      </c>
      <c r="FK350" t="str">
        <f>""</f>
        <v/>
      </c>
      <c r="FL350" t="str">
        <f>""</f>
        <v/>
      </c>
      <c r="FM350" t="str">
        <f>""</f>
        <v/>
      </c>
      <c r="FN350" t="str">
        <f>""</f>
        <v/>
      </c>
      <c r="FO350" t="str">
        <f>""</f>
        <v/>
      </c>
      <c r="FP350" t="str">
        <f>""</f>
        <v/>
      </c>
      <c r="FQ350" t="str">
        <f>""</f>
        <v/>
      </c>
    </row>
    <row r="351" spans="1:173">
      <c r="A351" t="str">
        <f>$A$140</f>
        <v xml:space="preserve">    埃塞克斯房地产信托公司</v>
      </c>
      <c r="B351" t="str">
        <f>$B$140</f>
        <v>ESS US Equity</v>
      </c>
      <c r="C351" t="str">
        <f>$C$140</f>
        <v>F0892</v>
      </c>
      <c r="D351" t="str">
        <f>$D$140</f>
        <v>TRAILING_12_MONTHS_FAD_PS</v>
      </c>
      <c r="E351" t="str">
        <f>$E$140</f>
        <v>动态</v>
      </c>
      <c r="F351" t="str">
        <f ca="1">BDH($B$140,$C$140,$B$250,$B$251,CONCATENATE("Per=",$B$248),"Dts=H","Dir=H",CONCATENATE("Points=",$B$249),"Sort=R","Days=A","Fill=B",CONCATENATE("FX=", $B$247) )</f>
        <v>#N/A Authorization</v>
      </c>
      <c r="CL351" t="str">
        <f>""</f>
        <v/>
      </c>
      <c r="CM351" t="str">
        <f>""</f>
        <v/>
      </c>
      <c r="CN351" t="str">
        <f>""</f>
        <v/>
      </c>
      <c r="CO351" t="str">
        <f>""</f>
        <v/>
      </c>
      <c r="CP351" t="str">
        <f>""</f>
        <v/>
      </c>
      <c r="CQ351" t="str">
        <f>""</f>
        <v/>
      </c>
      <c r="CR351" t="str">
        <f>""</f>
        <v/>
      </c>
      <c r="CS351" t="str">
        <f>""</f>
        <v/>
      </c>
      <c r="CT351" t="str">
        <f>""</f>
        <v/>
      </c>
      <c r="CU351" t="str">
        <f>""</f>
        <v/>
      </c>
      <c r="CV351" t="str">
        <f>""</f>
        <v/>
      </c>
      <c r="CW351" t="str">
        <f>""</f>
        <v/>
      </c>
      <c r="CX351" t="str">
        <f>""</f>
        <v/>
      </c>
      <c r="CY351" t="str">
        <f>""</f>
        <v/>
      </c>
      <c r="CZ351" t="str">
        <f>""</f>
        <v/>
      </c>
      <c r="DA351" t="str">
        <f>""</f>
        <v/>
      </c>
      <c r="DB351" t="str">
        <f>""</f>
        <v/>
      </c>
      <c r="DC351" t="str">
        <f>""</f>
        <v/>
      </c>
      <c r="DD351" t="str">
        <f>""</f>
        <v/>
      </c>
      <c r="DE351" t="str">
        <f>""</f>
        <v/>
      </c>
      <c r="DF351" t="str">
        <f>""</f>
        <v/>
      </c>
      <c r="DG351" t="str">
        <f>""</f>
        <v/>
      </c>
      <c r="DH351" t="str">
        <f>""</f>
        <v/>
      </c>
      <c r="DI351" t="str">
        <f>""</f>
        <v/>
      </c>
      <c r="DJ351" t="str">
        <f>""</f>
        <v/>
      </c>
      <c r="DK351" t="str">
        <f>""</f>
        <v/>
      </c>
      <c r="DL351" t="str">
        <f>""</f>
        <v/>
      </c>
      <c r="DM351" t="str">
        <f>""</f>
        <v/>
      </c>
      <c r="DN351" t="str">
        <f>""</f>
        <v/>
      </c>
      <c r="DO351" t="str">
        <f>""</f>
        <v/>
      </c>
      <c r="DP351" t="str">
        <f>""</f>
        <v/>
      </c>
      <c r="DQ351" t="str">
        <f>""</f>
        <v/>
      </c>
      <c r="DR351" t="str">
        <f>""</f>
        <v/>
      </c>
      <c r="DS351" t="str">
        <f>""</f>
        <v/>
      </c>
      <c r="DT351" t="str">
        <f>""</f>
        <v/>
      </c>
      <c r="DU351" t="str">
        <f>""</f>
        <v/>
      </c>
      <c r="DV351" t="str">
        <f>""</f>
        <v/>
      </c>
      <c r="DW351" t="str">
        <f>""</f>
        <v/>
      </c>
      <c r="DX351" t="str">
        <f>""</f>
        <v/>
      </c>
      <c r="DY351" t="str">
        <f>""</f>
        <v/>
      </c>
      <c r="DZ351" t="str">
        <f>""</f>
        <v/>
      </c>
      <c r="EA351" t="str">
        <f>""</f>
        <v/>
      </c>
      <c r="EB351" t="str">
        <f>""</f>
        <v/>
      </c>
      <c r="EC351" t="str">
        <f>""</f>
        <v/>
      </c>
      <c r="ED351" t="str">
        <f>""</f>
        <v/>
      </c>
      <c r="EE351" t="str">
        <f>""</f>
        <v/>
      </c>
      <c r="EF351" t="str">
        <f>""</f>
        <v/>
      </c>
      <c r="EG351" t="str">
        <f>""</f>
        <v/>
      </c>
      <c r="EH351" t="str">
        <f>""</f>
        <v/>
      </c>
      <c r="EI351" t="str">
        <f>""</f>
        <v/>
      </c>
      <c r="EJ351" t="str">
        <f>""</f>
        <v/>
      </c>
      <c r="EK351" t="str">
        <f>""</f>
        <v/>
      </c>
      <c r="EL351" t="str">
        <f>""</f>
        <v/>
      </c>
      <c r="EM351" t="str">
        <f>""</f>
        <v/>
      </c>
      <c r="EN351" t="str">
        <f>""</f>
        <v/>
      </c>
      <c r="EO351" t="str">
        <f>""</f>
        <v/>
      </c>
      <c r="EP351" t="str">
        <f>""</f>
        <v/>
      </c>
      <c r="EQ351" t="str">
        <f>""</f>
        <v/>
      </c>
      <c r="ER351" t="str">
        <f>""</f>
        <v/>
      </c>
      <c r="ES351" t="str">
        <f>""</f>
        <v/>
      </c>
      <c r="ET351" t="str">
        <f>""</f>
        <v/>
      </c>
      <c r="EU351" t="str">
        <f>""</f>
        <v/>
      </c>
      <c r="EV351" t="str">
        <f>""</f>
        <v/>
      </c>
      <c r="EW351" t="str">
        <f>""</f>
        <v/>
      </c>
      <c r="EX351" t="str">
        <f>""</f>
        <v/>
      </c>
      <c r="EY351" t="str">
        <f>""</f>
        <v/>
      </c>
      <c r="EZ351" t="str">
        <f>""</f>
        <v/>
      </c>
      <c r="FA351" t="str">
        <f>""</f>
        <v/>
      </c>
      <c r="FB351" t="str">
        <f>""</f>
        <v/>
      </c>
      <c r="FC351" t="str">
        <f>""</f>
        <v/>
      </c>
      <c r="FD351" t="str">
        <f>""</f>
        <v/>
      </c>
      <c r="FE351" t="str">
        <f>""</f>
        <v/>
      </c>
      <c r="FF351" t="str">
        <f>""</f>
        <v/>
      </c>
      <c r="FG351" t="str">
        <f>""</f>
        <v/>
      </c>
      <c r="FH351" t="str">
        <f>""</f>
        <v/>
      </c>
      <c r="FI351" t="str">
        <f>""</f>
        <v/>
      </c>
      <c r="FJ351" t="str">
        <f>""</f>
        <v/>
      </c>
      <c r="FK351" t="str">
        <f>""</f>
        <v/>
      </c>
      <c r="FL351" t="str">
        <f>""</f>
        <v/>
      </c>
      <c r="FM351" t="str">
        <f>""</f>
        <v/>
      </c>
      <c r="FN351" t="str">
        <f>""</f>
        <v/>
      </c>
      <c r="FO351" t="str">
        <f>""</f>
        <v/>
      </c>
      <c r="FP351" t="str">
        <f>""</f>
        <v/>
      </c>
      <c r="FQ351" t="str">
        <f>""</f>
        <v/>
      </c>
    </row>
    <row r="352" spans="1:173">
      <c r="A352" t="str">
        <f>$A$141</f>
        <v xml:space="preserve">    Mid-America Apartment Communities股份有限公司</v>
      </c>
      <c r="B352" t="str">
        <f>$B$141</f>
        <v>MAA US Equity</v>
      </c>
      <c r="C352" t="str">
        <f>$C$141</f>
        <v>F0892</v>
      </c>
      <c r="D352" t="str">
        <f>$D$141</f>
        <v>TRAILING_12_MONTHS_FAD_PS</v>
      </c>
      <c r="E352" t="str">
        <f>$E$141</f>
        <v>动态</v>
      </c>
      <c r="F352" t="str">
        <f ca="1">BDH($B$141,$C$141,$B$250,$B$251,CONCATENATE("Per=",$B$248),"Dts=H","Dir=H",CONCATENATE("Points=",$B$249),"Sort=R","Days=A","Fill=B",CONCATENATE("FX=", $B$247) )</f>
        <v>#N/A Authorization</v>
      </c>
      <c r="CL352" t="str">
        <f>""</f>
        <v/>
      </c>
      <c r="CM352" t="str">
        <f>""</f>
        <v/>
      </c>
      <c r="CN352" t="str">
        <f>""</f>
        <v/>
      </c>
      <c r="CO352" t="str">
        <f>""</f>
        <v/>
      </c>
      <c r="CP352" t="str">
        <f>""</f>
        <v/>
      </c>
      <c r="CQ352" t="str">
        <f>""</f>
        <v/>
      </c>
      <c r="CR352" t="str">
        <f>""</f>
        <v/>
      </c>
      <c r="CS352" t="str">
        <f>""</f>
        <v/>
      </c>
      <c r="CT352" t="str">
        <f>""</f>
        <v/>
      </c>
      <c r="CU352" t="str">
        <f>""</f>
        <v/>
      </c>
      <c r="CV352" t="str">
        <f>""</f>
        <v/>
      </c>
      <c r="CW352" t="str">
        <f>""</f>
        <v/>
      </c>
      <c r="CX352" t="str">
        <f>""</f>
        <v/>
      </c>
      <c r="CY352" t="str">
        <f>""</f>
        <v/>
      </c>
      <c r="CZ352" t="str">
        <f>""</f>
        <v/>
      </c>
      <c r="DA352" t="str">
        <f>""</f>
        <v/>
      </c>
      <c r="DB352" t="str">
        <f>""</f>
        <v/>
      </c>
      <c r="DC352" t="str">
        <f>""</f>
        <v/>
      </c>
      <c r="DD352" t="str">
        <f>""</f>
        <v/>
      </c>
      <c r="DE352" t="str">
        <f>""</f>
        <v/>
      </c>
      <c r="DF352" t="str">
        <f>""</f>
        <v/>
      </c>
      <c r="DG352" t="str">
        <f>""</f>
        <v/>
      </c>
      <c r="DH352" t="str">
        <f>""</f>
        <v/>
      </c>
      <c r="DI352" t="str">
        <f>""</f>
        <v/>
      </c>
      <c r="DJ352" t="str">
        <f>""</f>
        <v/>
      </c>
      <c r="DK352" t="str">
        <f>""</f>
        <v/>
      </c>
      <c r="DL352" t="str">
        <f>""</f>
        <v/>
      </c>
      <c r="DM352" t="str">
        <f>""</f>
        <v/>
      </c>
      <c r="DN352" t="str">
        <f>""</f>
        <v/>
      </c>
      <c r="DO352" t="str">
        <f>""</f>
        <v/>
      </c>
      <c r="DP352" t="str">
        <f>""</f>
        <v/>
      </c>
      <c r="DQ352" t="str">
        <f>""</f>
        <v/>
      </c>
      <c r="DR352" t="str">
        <f>""</f>
        <v/>
      </c>
      <c r="DS352" t="str">
        <f>""</f>
        <v/>
      </c>
      <c r="DT352" t="str">
        <f>""</f>
        <v/>
      </c>
      <c r="DU352" t="str">
        <f>""</f>
        <v/>
      </c>
      <c r="DV352" t="str">
        <f>""</f>
        <v/>
      </c>
      <c r="DW352" t="str">
        <f>""</f>
        <v/>
      </c>
      <c r="DX352" t="str">
        <f>""</f>
        <v/>
      </c>
      <c r="DY352" t="str">
        <f>""</f>
        <v/>
      </c>
      <c r="DZ352" t="str">
        <f>""</f>
        <v/>
      </c>
      <c r="EA352" t="str">
        <f>""</f>
        <v/>
      </c>
      <c r="EB352" t="str">
        <f>""</f>
        <v/>
      </c>
      <c r="EC352" t="str">
        <f>""</f>
        <v/>
      </c>
      <c r="ED352" t="str">
        <f>""</f>
        <v/>
      </c>
      <c r="EE352" t="str">
        <f>""</f>
        <v/>
      </c>
      <c r="EF352" t="str">
        <f>""</f>
        <v/>
      </c>
      <c r="EG352" t="str">
        <f>""</f>
        <v/>
      </c>
      <c r="EH352" t="str">
        <f>""</f>
        <v/>
      </c>
      <c r="EI352" t="str">
        <f>""</f>
        <v/>
      </c>
      <c r="EJ352" t="str">
        <f>""</f>
        <v/>
      </c>
      <c r="EK352" t="str">
        <f>""</f>
        <v/>
      </c>
      <c r="EL352" t="str">
        <f>""</f>
        <v/>
      </c>
      <c r="EM352" t="str">
        <f>""</f>
        <v/>
      </c>
      <c r="EN352" t="str">
        <f>""</f>
        <v/>
      </c>
      <c r="EO352" t="str">
        <f>""</f>
        <v/>
      </c>
      <c r="EP352" t="str">
        <f>""</f>
        <v/>
      </c>
      <c r="EQ352" t="str">
        <f>""</f>
        <v/>
      </c>
      <c r="ER352" t="str">
        <f>""</f>
        <v/>
      </c>
      <c r="ES352" t="str">
        <f>""</f>
        <v/>
      </c>
      <c r="ET352" t="str">
        <f>""</f>
        <v/>
      </c>
      <c r="EU352" t="str">
        <f>""</f>
        <v/>
      </c>
      <c r="EV352" t="str">
        <f>""</f>
        <v/>
      </c>
      <c r="EW352" t="str">
        <f>""</f>
        <v/>
      </c>
      <c r="EX352" t="str">
        <f>""</f>
        <v/>
      </c>
      <c r="EY352" t="str">
        <f>""</f>
        <v/>
      </c>
      <c r="EZ352" t="str">
        <f>""</f>
        <v/>
      </c>
      <c r="FA352" t="str">
        <f>""</f>
        <v/>
      </c>
      <c r="FB352" t="str">
        <f>""</f>
        <v/>
      </c>
      <c r="FC352" t="str">
        <f>""</f>
        <v/>
      </c>
      <c r="FD352" t="str">
        <f>""</f>
        <v/>
      </c>
      <c r="FE352" t="str">
        <f>""</f>
        <v/>
      </c>
      <c r="FF352" t="str">
        <f>""</f>
        <v/>
      </c>
      <c r="FG352" t="str">
        <f>""</f>
        <v/>
      </c>
      <c r="FH352" t="str">
        <f>""</f>
        <v/>
      </c>
      <c r="FI352" t="str">
        <f>""</f>
        <v/>
      </c>
      <c r="FJ352" t="str">
        <f>""</f>
        <v/>
      </c>
      <c r="FK352" t="str">
        <f>""</f>
        <v/>
      </c>
      <c r="FL352" t="str">
        <f>""</f>
        <v/>
      </c>
      <c r="FM352" t="str">
        <f>""</f>
        <v/>
      </c>
      <c r="FN352" t="str">
        <f>""</f>
        <v/>
      </c>
      <c r="FO352" t="str">
        <f>""</f>
        <v/>
      </c>
      <c r="FP352" t="str">
        <f>""</f>
        <v/>
      </c>
      <c r="FQ352" t="str">
        <f>""</f>
        <v/>
      </c>
    </row>
    <row r="353" spans="1:173">
      <c r="A353" t="str">
        <f>$A$142</f>
        <v xml:space="preserve">    UDR 公司</v>
      </c>
      <c r="B353" t="str">
        <f>$B$142</f>
        <v>UDR US Equity</v>
      </c>
      <c r="C353" t="str">
        <f>$C$142</f>
        <v>F0892</v>
      </c>
      <c r="D353" t="str">
        <f>$D$142</f>
        <v>TRAILING_12_MONTHS_FAD_PS</v>
      </c>
      <c r="E353" t="str">
        <f>$E$142</f>
        <v>动态</v>
      </c>
      <c r="F353" t="str">
        <f ca="1">BDH($B$142,$C$142,$B$250,$B$251,CONCATENATE("Per=",$B$248),"Dts=H","Dir=H",CONCATENATE("Points=",$B$249),"Sort=R","Days=A","Fill=B",CONCATENATE("FX=", $B$247) )</f>
        <v>#N/A Authorization</v>
      </c>
      <c r="CL353" t="str">
        <f>""</f>
        <v/>
      </c>
      <c r="CM353" t="str">
        <f>""</f>
        <v/>
      </c>
      <c r="CN353" t="str">
        <f>""</f>
        <v/>
      </c>
      <c r="CO353" t="str">
        <f>""</f>
        <v/>
      </c>
      <c r="CP353" t="str">
        <f>""</f>
        <v/>
      </c>
      <c r="CQ353" t="str">
        <f>""</f>
        <v/>
      </c>
      <c r="CR353" t="str">
        <f>""</f>
        <v/>
      </c>
      <c r="CS353" t="str">
        <f>""</f>
        <v/>
      </c>
      <c r="CT353" t="str">
        <f>""</f>
        <v/>
      </c>
      <c r="CU353" t="str">
        <f>""</f>
        <v/>
      </c>
      <c r="CV353" t="str">
        <f>""</f>
        <v/>
      </c>
      <c r="CW353" t="str">
        <f>""</f>
        <v/>
      </c>
      <c r="CX353" t="str">
        <f>""</f>
        <v/>
      </c>
      <c r="CY353" t="str">
        <f>""</f>
        <v/>
      </c>
      <c r="CZ353" t="str">
        <f>""</f>
        <v/>
      </c>
      <c r="DA353" t="str">
        <f>""</f>
        <v/>
      </c>
      <c r="DB353" t="str">
        <f>""</f>
        <v/>
      </c>
      <c r="DC353" t="str">
        <f>""</f>
        <v/>
      </c>
      <c r="DD353" t="str">
        <f>""</f>
        <v/>
      </c>
      <c r="DE353" t="str">
        <f>""</f>
        <v/>
      </c>
      <c r="DF353" t="str">
        <f>""</f>
        <v/>
      </c>
      <c r="DG353" t="str">
        <f>""</f>
        <v/>
      </c>
      <c r="DH353" t="str">
        <f>""</f>
        <v/>
      </c>
      <c r="DI353" t="str">
        <f>""</f>
        <v/>
      </c>
      <c r="DJ353" t="str">
        <f>""</f>
        <v/>
      </c>
      <c r="DK353" t="str">
        <f>""</f>
        <v/>
      </c>
      <c r="DL353" t="str">
        <f>""</f>
        <v/>
      </c>
      <c r="DM353" t="str">
        <f>""</f>
        <v/>
      </c>
      <c r="DN353" t="str">
        <f>""</f>
        <v/>
      </c>
      <c r="DO353" t="str">
        <f>""</f>
        <v/>
      </c>
      <c r="DP353" t="str">
        <f>""</f>
        <v/>
      </c>
      <c r="DQ353" t="str">
        <f>""</f>
        <v/>
      </c>
      <c r="DR353" t="str">
        <f>""</f>
        <v/>
      </c>
      <c r="DS353" t="str">
        <f>""</f>
        <v/>
      </c>
      <c r="DT353" t="str">
        <f>""</f>
        <v/>
      </c>
      <c r="DU353" t="str">
        <f>""</f>
        <v/>
      </c>
      <c r="DV353" t="str">
        <f>""</f>
        <v/>
      </c>
      <c r="DW353" t="str">
        <f>""</f>
        <v/>
      </c>
      <c r="DX353" t="str">
        <f>""</f>
        <v/>
      </c>
      <c r="DY353" t="str">
        <f>""</f>
        <v/>
      </c>
      <c r="DZ353" t="str">
        <f>""</f>
        <v/>
      </c>
      <c r="EA353" t="str">
        <f>""</f>
        <v/>
      </c>
      <c r="EB353" t="str">
        <f>""</f>
        <v/>
      </c>
      <c r="EC353" t="str">
        <f>""</f>
        <v/>
      </c>
      <c r="ED353" t="str">
        <f>""</f>
        <v/>
      </c>
      <c r="EE353" t="str">
        <f>""</f>
        <v/>
      </c>
      <c r="EF353" t="str">
        <f>""</f>
        <v/>
      </c>
      <c r="EG353" t="str">
        <f>""</f>
        <v/>
      </c>
      <c r="EH353" t="str">
        <f>""</f>
        <v/>
      </c>
      <c r="EI353" t="str">
        <f>""</f>
        <v/>
      </c>
      <c r="EJ353" t="str">
        <f>""</f>
        <v/>
      </c>
      <c r="EK353" t="str">
        <f>""</f>
        <v/>
      </c>
      <c r="EL353" t="str">
        <f>""</f>
        <v/>
      </c>
      <c r="EM353" t="str">
        <f>""</f>
        <v/>
      </c>
      <c r="EN353" t="str">
        <f>""</f>
        <v/>
      </c>
      <c r="EO353" t="str">
        <f>""</f>
        <v/>
      </c>
      <c r="EP353" t="str">
        <f>""</f>
        <v/>
      </c>
      <c r="EQ353" t="str">
        <f>""</f>
        <v/>
      </c>
      <c r="ER353" t="str">
        <f>""</f>
        <v/>
      </c>
      <c r="ES353" t="str">
        <f>""</f>
        <v/>
      </c>
      <c r="ET353" t="str">
        <f>""</f>
        <v/>
      </c>
      <c r="EU353" t="str">
        <f>""</f>
        <v/>
      </c>
      <c r="EV353" t="str">
        <f>""</f>
        <v/>
      </c>
      <c r="EW353" t="str">
        <f>""</f>
        <v/>
      </c>
      <c r="EX353" t="str">
        <f>""</f>
        <v/>
      </c>
      <c r="EY353" t="str">
        <f>""</f>
        <v/>
      </c>
      <c r="EZ353" t="str">
        <f>""</f>
        <v/>
      </c>
      <c r="FA353" t="str">
        <f>""</f>
        <v/>
      </c>
      <c r="FB353" t="str">
        <f>""</f>
        <v/>
      </c>
      <c r="FC353" t="str">
        <f>""</f>
        <v/>
      </c>
      <c r="FD353" t="str">
        <f>""</f>
        <v/>
      </c>
      <c r="FE353" t="str">
        <f>""</f>
        <v/>
      </c>
      <c r="FF353" t="str">
        <f>""</f>
        <v/>
      </c>
      <c r="FG353" t="str">
        <f>""</f>
        <v/>
      </c>
      <c r="FH353" t="str">
        <f>""</f>
        <v/>
      </c>
      <c r="FI353" t="str">
        <f>""</f>
        <v/>
      </c>
      <c r="FJ353" t="str">
        <f>""</f>
        <v/>
      </c>
      <c r="FK353" t="str">
        <f>""</f>
        <v/>
      </c>
      <c r="FL353" t="str">
        <f>""</f>
        <v/>
      </c>
      <c r="FM353" t="str">
        <f>""</f>
        <v/>
      </c>
      <c r="FN353" t="str">
        <f>""</f>
        <v/>
      </c>
      <c r="FO353" t="str">
        <f>""</f>
        <v/>
      </c>
      <c r="FP353" t="str">
        <f>""</f>
        <v/>
      </c>
      <c r="FQ353" t="str">
        <f>""</f>
        <v/>
      </c>
    </row>
    <row r="354" spans="1:173">
      <c r="A354" t="str">
        <f>$A$144</f>
        <v xml:space="preserve">    Apartment Investment &amp; Managem</v>
      </c>
      <c r="B354" t="str">
        <f>$B$144</f>
        <v>AIV US Equity</v>
      </c>
      <c r="C354" t="str">
        <f>$C$144</f>
        <v>BE895</v>
      </c>
      <c r="D354" t="str">
        <f>$D$144</f>
        <v>BEST_AFFOPS</v>
      </c>
      <c r="E354" t="str">
        <f>$E$144</f>
        <v>动态</v>
      </c>
      <c r="F354" t="str">
        <f ca="1">BDH($B$144,$C$144,$B$250,$B$251,CONCATENATE("Per=",$B$248),"Dts=H","Dir=H",CONCATENATE("Points=",$B$249),"Sort=R","Days=A","Fill=B","BE997=1BF",CONCATENATE("FX=", $B$247) )</f>
        <v>#N/A Authorization</v>
      </c>
      <c r="CL354" t="str">
        <f>""</f>
        <v/>
      </c>
      <c r="CM354" t="str">
        <f>""</f>
        <v/>
      </c>
      <c r="CN354" t="str">
        <f>""</f>
        <v/>
      </c>
      <c r="CO354" t="str">
        <f>""</f>
        <v/>
      </c>
      <c r="CP354" t="str">
        <f>""</f>
        <v/>
      </c>
      <c r="CQ354" t="str">
        <f>""</f>
        <v/>
      </c>
      <c r="CR354" t="str">
        <f>""</f>
        <v/>
      </c>
      <c r="CS354" t="str">
        <f>""</f>
        <v/>
      </c>
      <c r="CT354" t="str">
        <f>""</f>
        <v/>
      </c>
      <c r="CU354" t="str">
        <f>""</f>
        <v/>
      </c>
      <c r="CV354" t="str">
        <f>""</f>
        <v/>
      </c>
      <c r="CW354" t="str">
        <f>""</f>
        <v/>
      </c>
      <c r="CX354" t="str">
        <f>""</f>
        <v/>
      </c>
      <c r="CY354" t="str">
        <f>""</f>
        <v/>
      </c>
      <c r="CZ354" t="str">
        <f>""</f>
        <v/>
      </c>
      <c r="DA354" t="str">
        <f>""</f>
        <v/>
      </c>
      <c r="DB354" t="str">
        <f>""</f>
        <v/>
      </c>
      <c r="DC354" t="str">
        <f>""</f>
        <v/>
      </c>
      <c r="DD354" t="str">
        <f>""</f>
        <v/>
      </c>
      <c r="DE354" t="str">
        <f>""</f>
        <v/>
      </c>
      <c r="DF354" t="str">
        <f>""</f>
        <v/>
      </c>
      <c r="DG354" t="str">
        <f>""</f>
        <v/>
      </c>
      <c r="DH354" t="str">
        <f>""</f>
        <v/>
      </c>
      <c r="DI354" t="str">
        <f>""</f>
        <v/>
      </c>
      <c r="DJ354" t="str">
        <f>""</f>
        <v/>
      </c>
      <c r="DK354" t="str">
        <f>""</f>
        <v/>
      </c>
      <c r="DL354" t="str">
        <f>""</f>
        <v/>
      </c>
      <c r="DM354" t="str">
        <f>""</f>
        <v/>
      </c>
      <c r="DN354" t="str">
        <f>""</f>
        <v/>
      </c>
      <c r="DO354" t="str">
        <f>""</f>
        <v/>
      </c>
      <c r="DP354" t="str">
        <f>""</f>
        <v/>
      </c>
      <c r="DQ354" t="str">
        <f>""</f>
        <v/>
      </c>
      <c r="DR354" t="str">
        <f>""</f>
        <v/>
      </c>
      <c r="DS354" t="str">
        <f>""</f>
        <v/>
      </c>
      <c r="DT354" t="str">
        <f>""</f>
        <v/>
      </c>
      <c r="DU354" t="str">
        <f>""</f>
        <v/>
      </c>
      <c r="DV354" t="str">
        <f>""</f>
        <v/>
      </c>
      <c r="DW354" t="str">
        <f>""</f>
        <v/>
      </c>
      <c r="DX354" t="str">
        <f>""</f>
        <v/>
      </c>
      <c r="DY354" t="str">
        <f>""</f>
        <v/>
      </c>
      <c r="DZ354" t="str">
        <f>""</f>
        <v/>
      </c>
      <c r="EA354" t="str">
        <f>""</f>
        <v/>
      </c>
      <c r="EB354" t="str">
        <f>""</f>
        <v/>
      </c>
      <c r="EC354" t="str">
        <f>""</f>
        <v/>
      </c>
      <c r="ED354" t="str">
        <f>""</f>
        <v/>
      </c>
      <c r="EE354" t="str">
        <f>""</f>
        <v/>
      </c>
      <c r="EF354" t="str">
        <f>""</f>
        <v/>
      </c>
      <c r="EG354" t="str">
        <f>""</f>
        <v/>
      </c>
      <c r="EH354" t="str">
        <f>""</f>
        <v/>
      </c>
      <c r="EI354" t="str">
        <f>""</f>
        <v/>
      </c>
      <c r="EJ354" t="str">
        <f>""</f>
        <v/>
      </c>
      <c r="EK354" t="str">
        <f>""</f>
        <v/>
      </c>
      <c r="EL354" t="str">
        <f>""</f>
        <v/>
      </c>
      <c r="EM354" t="str">
        <f>""</f>
        <v/>
      </c>
      <c r="EN354" t="str">
        <f>""</f>
        <v/>
      </c>
      <c r="EO354" t="str">
        <f>""</f>
        <v/>
      </c>
      <c r="EP354" t="str">
        <f>""</f>
        <v/>
      </c>
      <c r="EQ354" t="str">
        <f>""</f>
        <v/>
      </c>
      <c r="ER354" t="str">
        <f>""</f>
        <v/>
      </c>
      <c r="ES354" t="str">
        <f>""</f>
        <v/>
      </c>
      <c r="ET354" t="str">
        <f>""</f>
        <v/>
      </c>
      <c r="EU354" t="str">
        <f>""</f>
        <v/>
      </c>
      <c r="EV354" t="str">
        <f>""</f>
        <v/>
      </c>
      <c r="EW354" t="str">
        <f>""</f>
        <v/>
      </c>
      <c r="EX354" t="str">
        <f>""</f>
        <v/>
      </c>
      <c r="EY354" t="str">
        <f>""</f>
        <v/>
      </c>
      <c r="EZ354" t="str">
        <f>""</f>
        <v/>
      </c>
      <c r="FA354" t="str">
        <f>""</f>
        <v/>
      </c>
      <c r="FB354" t="str">
        <f>""</f>
        <v/>
      </c>
      <c r="FC354" t="str">
        <f>""</f>
        <v/>
      </c>
      <c r="FD354" t="str">
        <f>""</f>
        <v/>
      </c>
      <c r="FE354" t="str">
        <f>""</f>
        <v/>
      </c>
      <c r="FF354" t="str">
        <f>""</f>
        <v/>
      </c>
      <c r="FG354" t="str">
        <f>""</f>
        <v/>
      </c>
      <c r="FH354" t="str">
        <f>""</f>
        <v/>
      </c>
      <c r="FI354" t="str">
        <f>""</f>
        <v/>
      </c>
      <c r="FJ354" t="str">
        <f>""</f>
        <v/>
      </c>
      <c r="FK354" t="str">
        <f>""</f>
        <v/>
      </c>
      <c r="FL354" t="str">
        <f>""</f>
        <v/>
      </c>
      <c r="FM354" t="str">
        <f>""</f>
        <v/>
      </c>
      <c r="FN354" t="str">
        <f>""</f>
        <v/>
      </c>
      <c r="FO354" t="str">
        <f>""</f>
        <v/>
      </c>
      <c r="FP354" t="str">
        <f>""</f>
        <v/>
      </c>
      <c r="FQ354" t="str">
        <f>""</f>
        <v/>
      </c>
    </row>
    <row r="355" spans="1:173">
      <c r="A355" t="str">
        <f>$A$145</f>
        <v xml:space="preserve">    AvalonBay Communities Inc</v>
      </c>
      <c r="B355" t="str">
        <f>$B$145</f>
        <v>AVB US Equity</v>
      </c>
      <c r="C355" t="str">
        <f>$C$145</f>
        <v>BE895</v>
      </c>
      <c r="D355" t="str">
        <f>$D$145</f>
        <v>BEST_AFFOPS</v>
      </c>
      <c r="E355" t="str">
        <f>$E$145</f>
        <v>动态</v>
      </c>
      <c r="F355" t="str">
        <f ca="1">BDH($B$145,$C$145,$B$250,$B$251,CONCATENATE("Per=",$B$248),"Dts=H","Dir=H",CONCATENATE("Points=",$B$249),"Sort=R","Days=A","Fill=B","BE997=1BF",CONCATENATE("FX=", $B$247) )</f>
        <v>#N/A Authorization</v>
      </c>
      <c r="CL355" t="str">
        <f>""</f>
        <v/>
      </c>
      <c r="CM355" t="str">
        <f>""</f>
        <v/>
      </c>
      <c r="CN355" t="str">
        <f>""</f>
        <v/>
      </c>
      <c r="CO355" t="str">
        <f>""</f>
        <v/>
      </c>
      <c r="CP355" t="str">
        <f>""</f>
        <v/>
      </c>
      <c r="CQ355" t="str">
        <f>""</f>
        <v/>
      </c>
      <c r="CR355" t="str">
        <f>""</f>
        <v/>
      </c>
      <c r="CS355" t="str">
        <f>""</f>
        <v/>
      </c>
      <c r="CT355" t="str">
        <f>""</f>
        <v/>
      </c>
      <c r="CU355" t="str">
        <f>""</f>
        <v/>
      </c>
      <c r="CV355" t="str">
        <f>""</f>
        <v/>
      </c>
      <c r="CW355" t="str">
        <f>""</f>
        <v/>
      </c>
      <c r="CX355" t="str">
        <f>""</f>
        <v/>
      </c>
      <c r="CY355" t="str">
        <f>""</f>
        <v/>
      </c>
      <c r="CZ355" t="str">
        <f>""</f>
        <v/>
      </c>
      <c r="DA355" t="str">
        <f>""</f>
        <v/>
      </c>
      <c r="DB355" t="str">
        <f>""</f>
        <v/>
      </c>
      <c r="DC355" t="str">
        <f>""</f>
        <v/>
      </c>
      <c r="DD355" t="str">
        <f>""</f>
        <v/>
      </c>
      <c r="DE355" t="str">
        <f>""</f>
        <v/>
      </c>
      <c r="DF355" t="str">
        <f>""</f>
        <v/>
      </c>
      <c r="DG355" t="str">
        <f>""</f>
        <v/>
      </c>
      <c r="DH355" t="str">
        <f>""</f>
        <v/>
      </c>
      <c r="DI355" t="str">
        <f>""</f>
        <v/>
      </c>
      <c r="DJ355" t="str">
        <f>""</f>
        <v/>
      </c>
      <c r="DK355" t="str">
        <f>""</f>
        <v/>
      </c>
      <c r="DL355" t="str">
        <f>""</f>
        <v/>
      </c>
      <c r="DM355" t="str">
        <f>""</f>
        <v/>
      </c>
      <c r="DN355" t="str">
        <f>""</f>
        <v/>
      </c>
      <c r="DO355" t="str">
        <f>""</f>
        <v/>
      </c>
      <c r="DP355" t="str">
        <f>""</f>
        <v/>
      </c>
      <c r="DQ355" t="str">
        <f>""</f>
        <v/>
      </c>
      <c r="DR355" t="str">
        <f>""</f>
        <v/>
      </c>
      <c r="DS355" t="str">
        <f>""</f>
        <v/>
      </c>
      <c r="DT355" t="str">
        <f>""</f>
        <v/>
      </c>
      <c r="DU355" t="str">
        <f>""</f>
        <v/>
      </c>
      <c r="DV355" t="str">
        <f>""</f>
        <v/>
      </c>
      <c r="DW355" t="str">
        <f>""</f>
        <v/>
      </c>
      <c r="DX355" t="str">
        <f>""</f>
        <v/>
      </c>
      <c r="DY355" t="str">
        <f>""</f>
        <v/>
      </c>
      <c r="DZ355" t="str">
        <f>""</f>
        <v/>
      </c>
      <c r="EA355" t="str">
        <f>""</f>
        <v/>
      </c>
      <c r="EB355" t="str">
        <f>""</f>
        <v/>
      </c>
      <c r="EC355" t="str">
        <f>""</f>
        <v/>
      </c>
      <c r="ED355" t="str">
        <f>""</f>
        <v/>
      </c>
      <c r="EE355" t="str">
        <f>""</f>
        <v/>
      </c>
      <c r="EF355" t="str">
        <f>""</f>
        <v/>
      </c>
      <c r="EG355" t="str">
        <f>""</f>
        <v/>
      </c>
      <c r="EH355" t="str">
        <f>""</f>
        <v/>
      </c>
      <c r="EI355" t="str">
        <f>""</f>
        <v/>
      </c>
      <c r="EJ355" t="str">
        <f>""</f>
        <v/>
      </c>
      <c r="EK355" t="str">
        <f>""</f>
        <v/>
      </c>
      <c r="EL355" t="str">
        <f>""</f>
        <v/>
      </c>
      <c r="EM355" t="str">
        <f>""</f>
        <v/>
      </c>
      <c r="EN355" t="str">
        <f>""</f>
        <v/>
      </c>
      <c r="EO355" t="str">
        <f>""</f>
        <v/>
      </c>
      <c r="EP355" t="str">
        <f>""</f>
        <v/>
      </c>
      <c r="EQ355" t="str">
        <f>""</f>
        <v/>
      </c>
      <c r="ER355" t="str">
        <f>""</f>
        <v/>
      </c>
      <c r="ES355" t="str">
        <f>""</f>
        <v/>
      </c>
      <c r="ET355" t="str">
        <f>""</f>
        <v/>
      </c>
      <c r="EU355" t="str">
        <f>""</f>
        <v/>
      </c>
      <c r="EV355" t="str">
        <f>""</f>
        <v/>
      </c>
      <c r="EW355" t="str">
        <f>""</f>
        <v/>
      </c>
      <c r="EX355" t="str">
        <f>""</f>
        <v/>
      </c>
      <c r="EY355" t="str">
        <f>""</f>
        <v/>
      </c>
      <c r="EZ355" t="str">
        <f>""</f>
        <v/>
      </c>
      <c r="FA355" t="str">
        <f>""</f>
        <v/>
      </c>
      <c r="FB355" t="str">
        <f>""</f>
        <v/>
      </c>
      <c r="FC355" t="str">
        <f>""</f>
        <v/>
      </c>
      <c r="FD355" t="str">
        <f>""</f>
        <v/>
      </c>
      <c r="FE355" t="str">
        <f>""</f>
        <v/>
      </c>
      <c r="FF355" t="str">
        <f>""</f>
        <v/>
      </c>
      <c r="FG355" t="str">
        <f>""</f>
        <v/>
      </c>
      <c r="FH355" t="str">
        <f>""</f>
        <v/>
      </c>
      <c r="FI355" t="str">
        <f>""</f>
        <v/>
      </c>
      <c r="FJ355" t="str">
        <f>""</f>
        <v/>
      </c>
      <c r="FK355" t="str">
        <f>""</f>
        <v/>
      </c>
      <c r="FL355" t="str">
        <f>""</f>
        <v/>
      </c>
      <c r="FM355" t="str">
        <f>""</f>
        <v/>
      </c>
      <c r="FN355" t="str">
        <f>""</f>
        <v/>
      </c>
      <c r="FO355" t="str">
        <f>""</f>
        <v/>
      </c>
      <c r="FP355" t="str">
        <f>""</f>
        <v/>
      </c>
      <c r="FQ355" t="str">
        <f>""</f>
        <v/>
      </c>
    </row>
    <row r="356" spans="1:173">
      <c r="A356" t="str">
        <f>$A$146</f>
        <v xml:space="preserve">    Camden Property Trust</v>
      </c>
      <c r="B356" t="str">
        <f>$B$146</f>
        <v>CPT US Equity</v>
      </c>
      <c r="C356" t="str">
        <f>$C$146</f>
        <v>BE895</v>
      </c>
      <c r="D356" t="str">
        <f>$D$146</f>
        <v>BEST_AFFOPS</v>
      </c>
      <c r="E356" t="str">
        <f>$E$146</f>
        <v>动态</v>
      </c>
      <c r="F356" t="str">
        <f ca="1">BDH($B$146,$C$146,$B$250,$B$251,CONCATENATE("Per=",$B$248),"Dts=H","Dir=H",CONCATENATE("Points=",$B$249),"Sort=R","Days=A","Fill=B","BE997=1BF",CONCATENATE("FX=", $B$247) )</f>
        <v>#N/A Authorization</v>
      </c>
      <c r="CL356" t="str">
        <f>""</f>
        <v/>
      </c>
      <c r="CM356" t="str">
        <f>""</f>
        <v/>
      </c>
      <c r="CN356" t="str">
        <f>""</f>
        <v/>
      </c>
      <c r="CO356" t="str">
        <f>""</f>
        <v/>
      </c>
      <c r="CP356" t="str">
        <f>""</f>
        <v/>
      </c>
      <c r="CQ356" t="str">
        <f>""</f>
        <v/>
      </c>
      <c r="CR356" t="str">
        <f>""</f>
        <v/>
      </c>
      <c r="CS356" t="str">
        <f>""</f>
        <v/>
      </c>
      <c r="CT356" t="str">
        <f>""</f>
        <v/>
      </c>
      <c r="CU356" t="str">
        <f>""</f>
        <v/>
      </c>
      <c r="CV356" t="str">
        <f>""</f>
        <v/>
      </c>
      <c r="CW356" t="str">
        <f>""</f>
        <v/>
      </c>
      <c r="CX356" t="str">
        <f>""</f>
        <v/>
      </c>
      <c r="CY356" t="str">
        <f>""</f>
        <v/>
      </c>
      <c r="CZ356" t="str">
        <f>""</f>
        <v/>
      </c>
      <c r="DA356" t="str">
        <f>""</f>
        <v/>
      </c>
      <c r="DB356" t="str">
        <f>""</f>
        <v/>
      </c>
      <c r="DC356" t="str">
        <f>""</f>
        <v/>
      </c>
      <c r="DD356" t="str">
        <f>""</f>
        <v/>
      </c>
      <c r="DE356" t="str">
        <f>""</f>
        <v/>
      </c>
      <c r="DF356" t="str">
        <f>""</f>
        <v/>
      </c>
      <c r="DG356" t="str">
        <f>""</f>
        <v/>
      </c>
      <c r="DH356" t="str">
        <f>""</f>
        <v/>
      </c>
      <c r="DI356" t="str">
        <f>""</f>
        <v/>
      </c>
      <c r="DJ356" t="str">
        <f>""</f>
        <v/>
      </c>
      <c r="DK356" t="str">
        <f>""</f>
        <v/>
      </c>
      <c r="DL356" t="str">
        <f>""</f>
        <v/>
      </c>
      <c r="DM356" t="str">
        <f>""</f>
        <v/>
      </c>
      <c r="DN356" t="str">
        <f>""</f>
        <v/>
      </c>
      <c r="DO356" t="str">
        <f>""</f>
        <v/>
      </c>
      <c r="DP356" t="str">
        <f>""</f>
        <v/>
      </c>
      <c r="DQ356" t="str">
        <f>""</f>
        <v/>
      </c>
      <c r="DR356" t="str">
        <f>""</f>
        <v/>
      </c>
      <c r="DS356" t="str">
        <f>""</f>
        <v/>
      </c>
      <c r="DT356" t="str">
        <f>""</f>
        <v/>
      </c>
      <c r="DU356" t="str">
        <f>""</f>
        <v/>
      </c>
      <c r="DV356" t="str">
        <f>""</f>
        <v/>
      </c>
      <c r="DW356" t="str">
        <f>""</f>
        <v/>
      </c>
      <c r="DX356" t="str">
        <f>""</f>
        <v/>
      </c>
      <c r="DY356" t="str">
        <f>""</f>
        <v/>
      </c>
      <c r="DZ356" t="str">
        <f>""</f>
        <v/>
      </c>
      <c r="EA356" t="str">
        <f>""</f>
        <v/>
      </c>
      <c r="EB356" t="str">
        <f>""</f>
        <v/>
      </c>
      <c r="EC356" t="str">
        <f>""</f>
        <v/>
      </c>
      <c r="ED356" t="str">
        <f>""</f>
        <v/>
      </c>
      <c r="EE356" t="str">
        <f>""</f>
        <v/>
      </c>
      <c r="EF356" t="str">
        <f>""</f>
        <v/>
      </c>
      <c r="EG356" t="str">
        <f>""</f>
        <v/>
      </c>
      <c r="EH356" t="str">
        <f>""</f>
        <v/>
      </c>
      <c r="EI356" t="str">
        <f>""</f>
        <v/>
      </c>
      <c r="EJ356" t="str">
        <f>""</f>
        <v/>
      </c>
      <c r="EK356" t="str">
        <f>""</f>
        <v/>
      </c>
      <c r="EL356" t="str">
        <f>""</f>
        <v/>
      </c>
      <c r="EM356" t="str">
        <f>""</f>
        <v/>
      </c>
      <c r="EN356" t="str">
        <f>""</f>
        <v/>
      </c>
      <c r="EO356" t="str">
        <f>""</f>
        <v/>
      </c>
      <c r="EP356" t="str">
        <f>""</f>
        <v/>
      </c>
      <c r="EQ356" t="str">
        <f>""</f>
        <v/>
      </c>
      <c r="ER356" t="str">
        <f>""</f>
        <v/>
      </c>
      <c r="ES356" t="str">
        <f>""</f>
        <v/>
      </c>
      <c r="ET356" t="str">
        <f>""</f>
        <v/>
      </c>
      <c r="EU356" t="str">
        <f>""</f>
        <v/>
      </c>
      <c r="EV356" t="str">
        <f>""</f>
        <v/>
      </c>
      <c r="EW356" t="str">
        <f>""</f>
        <v/>
      </c>
      <c r="EX356" t="str">
        <f>""</f>
        <v/>
      </c>
      <c r="EY356" t="str">
        <f>""</f>
        <v/>
      </c>
      <c r="EZ356" t="str">
        <f>""</f>
        <v/>
      </c>
      <c r="FA356" t="str">
        <f>""</f>
        <v/>
      </c>
      <c r="FB356" t="str">
        <f>""</f>
        <v/>
      </c>
      <c r="FC356" t="str">
        <f>""</f>
        <v/>
      </c>
      <c r="FD356" t="str">
        <f>""</f>
        <v/>
      </c>
      <c r="FE356" t="str">
        <f>""</f>
        <v/>
      </c>
      <c r="FF356" t="str">
        <f>""</f>
        <v/>
      </c>
      <c r="FG356" t="str">
        <f>""</f>
        <v/>
      </c>
      <c r="FH356" t="str">
        <f>""</f>
        <v/>
      </c>
      <c r="FI356" t="str">
        <f>""</f>
        <v/>
      </c>
      <c r="FJ356" t="str">
        <f>""</f>
        <v/>
      </c>
      <c r="FK356" t="str">
        <f>""</f>
        <v/>
      </c>
      <c r="FL356" t="str">
        <f>""</f>
        <v/>
      </c>
      <c r="FM356" t="str">
        <f>""</f>
        <v/>
      </c>
      <c r="FN356" t="str">
        <f>""</f>
        <v/>
      </c>
      <c r="FO356" t="str">
        <f>""</f>
        <v/>
      </c>
      <c r="FP356" t="str">
        <f>""</f>
        <v/>
      </c>
      <c r="FQ356" t="str">
        <f>""</f>
        <v/>
      </c>
    </row>
    <row r="357" spans="1:173">
      <c r="A357" t="str">
        <f>$A$147</f>
        <v xml:space="preserve">    Equity Residential</v>
      </c>
      <c r="B357" t="str">
        <f>$B$147</f>
        <v>EQR US Equity</v>
      </c>
      <c r="C357" t="str">
        <f>$C$147</f>
        <v>BE895</v>
      </c>
      <c r="D357" t="str">
        <f>$D$147</f>
        <v>BEST_AFFOPS</v>
      </c>
      <c r="E357" t="str">
        <f>$E$147</f>
        <v>动态</v>
      </c>
      <c r="F357" t="str">
        <f ca="1">BDH($B$147,$C$147,$B$250,$B$251,CONCATENATE("Per=",$B$248),"Dts=H","Dir=H",CONCATENATE("Points=",$B$249),"Sort=R","Days=A","Fill=B","BE997=1BF",CONCATENATE("FX=", $B$247) )</f>
        <v>#N/A Authorization</v>
      </c>
      <c r="CL357" t="str">
        <f>""</f>
        <v/>
      </c>
      <c r="CM357" t="str">
        <f>""</f>
        <v/>
      </c>
      <c r="CN357" t="str">
        <f>""</f>
        <v/>
      </c>
      <c r="CO357" t="str">
        <f>""</f>
        <v/>
      </c>
      <c r="CP357" t="str">
        <f>""</f>
        <v/>
      </c>
      <c r="CQ357" t="str">
        <f>""</f>
        <v/>
      </c>
      <c r="CR357" t="str">
        <f>""</f>
        <v/>
      </c>
      <c r="CS357" t="str">
        <f>""</f>
        <v/>
      </c>
      <c r="CT357" t="str">
        <f>""</f>
        <v/>
      </c>
      <c r="CU357" t="str">
        <f>""</f>
        <v/>
      </c>
      <c r="CV357" t="str">
        <f>""</f>
        <v/>
      </c>
      <c r="CW357" t="str">
        <f>""</f>
        <v/>
      </c>
      <c r="CX357" t="str">
        <f>""</f>
        <v/>
      </c>
      <c r="CY357" t="str">
        <f>""</f>
        <v/>
      </c>
      <c r="CZ357" t="str">
        <f>""</f>
        <v/>
      </c>
      <c r="DA357" t="str">
        <f>""</f>
        <v/>
      </c>
      <c r="DB357" t="str">
        <f>""</f>
        <v/>
      </c>
      <c r="DC357" t="str">
        <f>""</f>
        <v/>
      </c>
      <c r="DD357" t="str">
        <f>""</f>
        <v/>
      </c>
      <c r="DE357" t="str">
        <f>""</f>
        <v/>
      </c>
      <c r="DF357" t="str">
        <f>""</f>
        <v/>
      </c>
      <c r="DG357" t="str">
        <f>""</f>
        <v/>
      </c>
      <c r="DH357" t="str">
        <f>""</f>
        <v/>
      </c>
      <c r="DI357" t="str">
        <f>""</f>
        <v/>
      </c>
      <c r="DJ357" t="str">
        <f>""</f>
        <v/>
      </c>
      <c r="DK357" t="str">
        <f>""</f>
        <v/>
      </c>
      <c r="DL357" t="str">
        <f>""</f>
        <v/>
      </c>
      <c r="DM357" t="str">
        <f>""</f>
        <v/>
      </c>
      <c r="DN357" t="str">
        <f>""</f>
        <v/>
      </c>
      <c r="DO357" t="str">
        <f>""</f>
        <v/>
      </c>
      <c r="DP357" t="str">
        <f>""</f>
        <v/>
      </c>
      <c r="DQ357" t="str">
        <f>""</f>
        <v/>
      </c>
      <c r="DR357" t="str">
        <f>""</f>
        <v/>
      </c>
      <c r="DS357" t="str">
        <f>""</f>
        <v/>
      </c>
      <c r="DT357" t="str">
        <f>""</f>
        <v/>
      </c>
      <c r="DU357" t="str">
        <f>""</f>
        <v/>
      </c>
      <c r="DV357" t="str">
        <f>""</f>
        <v/>
      </c>
      <c r="DW357" t="str">
        <f>""</f>
        <v/>
      </c>
      <c r="DX357" t="str">
        <f>""</f>
        <v/>
      </c>
      <c r="DY357" t="str">
        <f>""</f>
        <v/>
      </c>
      <c r="DZ357" t="str">
        <f>""</f>
        <v/>
      </c>
      <c r="EA357" t="str">
        <f>""</f>
        <v/>
      </c>
      <c r="EB357" t="str">
        <f>""</f>
        <v/>
      </c>
      <c r="EC357" t="str">
        <f>""</f>
        <v/>
      </c>
      <c r="ED357" t="str">
        <f>""</f>
        <v/>
      </c>
      <c r="EE357" t="str">
        <f>""</f>
        <v/>
      </c>
      <c r="EF357" t="str">
        <f>""</f>
        <v/>
      </c>
      <c r="EG357" t="str">
        <f>""</f>
        <v/>
      </c>
      <c r="EH357" t="str">
        <f>""</f>
        <v/>
      </c>
      <c r="EI357" t="str">
        <f>""</f>
        <v/>
      </c>
      <c r="EJ357" t="str">
        <f>""</f>
        <v/>
      </c>
      <c r="EK357" t="str">
        <f>""</f>
        <v/>
      </c>
      <c r="EL357" t="str">
        <f>""</f>
        <v/>
      </c>
      <c r="EM357" t="str">
        <f>""</f>
        <v/>
      </c>
      <c r="EN357" t="str">
        <f>""</f>
        <v/>
      </c>
      <c r="EO357" t="str">
        <f>""</f>
        <v/>
      </c>
      <c r="EP357" t="str">
        <f>""</f>
        <v/>
      </c>
      <c r="EQ357" t="str">
        <f>""</f>
        <v/>
      </c>
      <c r="ER357" t="str">
        <f>""</f>
        <v/>
      </c>
      <c r="ES357" t="str">
        <f>""</f>
        <v/>
      </c>
      <c r="ET357" t="str">
        <f>""</f>
        <v/>
      </c>
      <c r="EU357" t="str">
        <f>""</f>
        <v/>
      </c>
      <c r="EV357" t="str">
        <f>""</f>
        <v/>
      </c>
      <c r="EW357" t="str">
        <f>""</f>
        <v/>
      </c>
      <c r="EX357" t="str">
        <f>""</f>
        <v/>
      </c>
      <c r="EY357" t="str">
        <f>""</f>
        <v/>
      </c>
      <c r="EZ357" t="str">
        <f>""</f>
        <v/>
      </c>
      <c r="FA357" t="str">
        <f>""</f>
        <v/>
      </c>
      <c r="FB357" t="str">
        <f>""</f>
        <v/>
      </c>
      <c r="FC357" t="str">
        <f>""</f>
        <v/>
      </c>
      <c r="FD357" t="str">
        <f>""</f>
        <v/>
      </c>
      <c r="FE357" t="str">
        <f>""</f>
        <v/>
      </c>
      <c r="FF357" t="str">
        <f>""</f>
        <v/>
      </c>
      <c r="FG357" t="str">
        <f>""</f>
        <v/>
      </c>
      <c r="FH357" t="str">
        <f>""</f>
        <v/>
      </c>
      <c r="FI357" t="str">
        <f>""</f>
        <v/>
      </c>
      <c r="FJ357" t="str">
        <f>""</f>
        <v/>
      </c>
      <c r="FK357" t="str">
        <f>""</f>
        <v/>
      </c>
      <c r="FL357" t="str">
        <f>""</f>
        <v/>
      </c>
      <c r="FM357" t="str">
        <f>""</f>
        <v/>
      </c>
      <c r="FN357" t="str">
        <f>""</f>
        <v/>
      </c>
      <c r="FO357" t="str">
        <f>""</f>
        <v/>
      </c>
      <c r="FP357" t="str">
        <f>""</f>
        <v/>
      </c>
      <c r="FQ357" t="str">
        <f>""</f>
        <v/>
      </c>
    </row>
    <row r="358" spans="1:173">
      <c r="A358" t="str">
        <f>$A$148</f>
        <v xml:space="preserve">    Essex Property Trust Inc</v>
      </c>
      <c r="B358" t="str">
        <f>$B$148</f>
        <v>ESS US Equity</v>
      </c>
      <c r="C358" t="str">
        <f>$C$148</f>
        <v>BE895</v>
      </c>
      <c r="D358" t="str">
        <f>$D$148</f>
        <v>BEST_AFFOPS</v>
      </c>
      <c r="E358" t="str">
        <f>$E$148</f>
        <v>动态</v>
      </c>
      <c r="F358" t="str">
        <f ca="1">BDH($B$148,$C$148,$B$250,$B$251,CONCATENATE("Per=",$B$248),"Dts=H","Dir=H",CONCATENATE("Points=",$B$249),"Sort=R","Days=A","Fill=B","BE997=1BF",CONCATENATE("FX=", $B$247) )</f>
        <v>#N/A Authorization</v>
      </c>
      <c r="CL358" t="str">
        <f>""</f>
        <v/>
      </c>
      <c r="CM358" t="str">
        <f>""</f>
        <v/>
      </c>
      <c r="CN358" t="str">
        <f>""</f>
        <v/>
      </c>
      <c r="CO358" t="str">
        <f>""</f>
        <v/>
      </c>
      <c r="CP358" t="str">
        <f>""</f>
        <v/>
      </c>
      <c r="CQ358" t="str">
        <f>""</f>
        <v/>
      </c>
      <c r="CR358" t="str">
        <f>""</f>
        <v/>
      </c>
      <c r="CS358" t="str">
        <f>""</f>
        <v/>
      </c>
      <c r="CT358" t="str">
        <f>""</f>
        <v/>
      </c>
      <c r="CU358" t="str">
        <f>""</f>
        <v/>
      </c>
      <c r="CV358" t="str">
        <f>""</f>
        <v/>
      </c>
      <c r="CW358" t="str">
        <f>""</f>
        <v/>
      </c>
      <c r="CX358" t="str">
        <f>""</f>
        <v/>
      </c>
      <c r="CY358" t="str">
        <f>""</f>
        <v/>
      </c>
      <c r="CZ358" t="str">
        <f>""</f>
        <v/>
      </c>
      <c r="DA358" t="str">
        <f>""</f>
        <v/>
      </c>
      <c r="DB358" t="str">
        <f>""</f>
        <v/>
      </c>
      <c r="DC358" t="str">
        <f>""</f>
        <v/>
      </c>
      <c r="DD358" t="str">
        <f>""</f>
        <v/>
      </c>
      <c r="DE358" t="str">
        <f>""</f>
        <v/>
      </c>
      <c r="DF358" t="str">
        <f>""</f>
        <v/>
      </c>
      <c r="DG358" t="str">
        <f>""</f>
        <v/>
      </c>
      <c r="DH358" t="str">
        <f>""</f>
        <v/>
      </c>
      <c r="DI358" t="str">
        <f>""</f>
        <v/>
      </c>
      <c r="DJ358" t="str">
        <f>""</f>
        <v/>
      </c>
      <c r="DK358" t="str">
        <f>""</f>
        <v/>
      </c>
      <c r="DL358" t="str">
        <f>""</f>
        <v/>
      </c>
      <c r="DM358" t="str">
        <f>""</f>
        <v/>
      </c>
      <c r="DN358" t="str">
        <f>""</f>
        <v/>
      </c>
      <c r="DO358" t="str">
        <f>""</f>
        <v/>
      </c>
      <c r="DP358" t="str">
        <f>""</f>
        <v/>
      </c>
      <c r="DQ358" t="str">
        <f>""</f>
        <v/>
      </c>
      <c r="DR358" t="str">
        <f>""</f>
        <v/>
      </c>
      <c r="DS358" t="str">
        <f>""</f>
        <v/>
      </c>
      <c r="DT358" t="str">
        <f>""</f>
        <v/>
      </c>
      <c r="DU358" t="str">
        <f>""</f>
        <v/>
      </c>
      <c r="DV358" t="str">
        <f>""</f>
        <v/>
      </c>
      <c r="DW358" t="str">
        <f>""</f>
        <v/>
      </c>
      <c r="DX358" t="str">
        <f>""</f>
        <v/>
      </c>
      <c r="DY358" t="str">
        <f>""</f>
        <v/>
      </c>
      <c r="DZ358" t="str">
        <f>""</f>
        <v/>
      </c>
      <c r="EA358" t="str">
        <f>""</f>
        <v/>
      </c>
      <c r="EB358" t="str">
        <f>""</f>
        <v/>
      </c>
      <c r="EC358" t="str">
        <f>""</f>
        <v/>
      </c>
      <c r="ED358" t="str">
        <f>""</f>
        <v/>
      </c>
      <c r="EE358" t="str">
        <f>""</f>
        <v/>
      </c>
      <c r="EF358" t="str">
        <f>""</f>
        <v/>
      </c>
      <c r="EG358" t="str">
        <f>""</f>
        <v/>
      </c>
      <c r="EH358" t="str">
        <f>""</f>
        <v/>
      </c>
      <c r="EI358" t="str">
        <f>""</f>
        <v/>
      </c>
      <c r="EJ358" t="str">
        <f>""</f>
        <v/>
      </c>
      <c r="EK358" t="str">
        <f>""</f>
        <v/>
      </c>
      <c r="EL358" t="str">
        <f>""</f>
        <v/>
      </c>
      <c r="EM358" t="str">
        <f>""</f>
        <v/>
      </c>
      <c r="EN358" t="str">
        <f>""</f>
        <v/>
      </c>
      <c r="EO358" t="str">
        <f>""</f>
        <v/>
      </c>
      <c r="EP358" t="str">
        <f>""</f>
        <v/>
      </c>
      <c r="EQ358" t="str">
        <f>""</f>
        <v/>
      </c>
      <c r="ER358" t="str">
        <f>""</f>
        <v/>
      </c>
      <c r="ES358" t="str">
        <f>""</f>
        <v/>
      </c>
      <c r="ET358" t="str">
        <f>""</f>
        <v/>
      </c>
      <c r="EU358" t="str">
        <f>""</f>
        <v/>
      </c>
      <c r="EV358" t="str">
        <f>""</f>
        <v/>
      </c>
      <c r="EW358" t="str">
        <f>""</f>
        <v/>
      </c>
      <c r="EX358" t="str">
        <f>""</f>
        <v/>
      </c>
      <c r="EY358" t="str">
        <f>""</f>
        <v/>
      </c>
      <c r="EZ358" t="str">
        <f>""</f>
        <v/>
      </c>
      <c r="FA358" t="str">
        <f>""</f>
        <v/>
      </c>
      <c r="FB358" t="str">
        <f>""</f>
        <v/>
      </c>
      <c r="FC358" t="str">
        <f>""</f>
        <v/>
      </c>
      <c r="FD358" t="str">
        <f>""</f>
        <v/>
      </c>
      <c r="FE358" t="str">
        <f>""</f>
        <v/>
      </c>
      <c r="FF358" t="str">
        <f>""</f>
        <v/>
      </c>
      <c r="FG358" t="str">
        <f>""</f>
        <v/>
      </c>
      <c r="FH358" t="str">
        <f>""</f>
        <v/>
      </c>
      <c r="FI358" t="str">
        <f>""</f>
        <v/>
      </c>
      <c r="FJ358" t="str">
        <f>""</f>
        <v/>
      </c>
      <c r="FK358" t="str">
        <f>""</f>
        <v/>
      </c>
      <c r="FL358" t="str">
        <f>""</f>
        <v/>
      </c>
      <c r="FM358" t="str">
        <f>""</f>
        <v/>
      </c>
      <c r="FN358" t="str">
        <f>""</f>
        <v/>
      </c>
      <c r="FO358" t="str">
        <f>""</f>
        <v/>
      </c>
      <c r="FP358" t="str">
        <f>""</f>
        <v/>
      </c>
      <c r="FQ358" t="str">
        <f>""</f>
        <v/>
      </c>
    </row>
    <row r="359" spans="1:173">
      <c r="A359" t="str">
        <f>$A$149</f>
        <v xml:space="preserve">    Mid-America Apartment Communit</v>
      </c>
      <c r="B359" t="str">
        <f>$B$149</f>
        <v>MAA US Equity</v>
      </c>
      <c r="C359" t="str">
        <f>$C$149</f>
        <v>BE895</v>
      </c>
      <c r="D359" t="str">
        <f>$D$149</f>
        <v>BEST_AFFOPS</v>
      </c>
      <c r="E359" t="str">
        <f>$E$149</f>
        <v>动态</v>
      </c>
      <c r="F359" t="str">
        <f ca="1">BDH($B$149,$C$149,$B$250,$B$251,CONCATENATE("Per=",$B$248),"Dts=H","Dir=H",CONCATENATE("Points=",$B$249),"Sort=R","Days=A","Fill=B","BE997=1BF",CONCATENATE("FX=", $B$247) )</f>
        <v>#N/A Authorization</v>
      </c>
      <c r="CL359" t="str">
        <f>""</f>
        <v/>
      </c>
      <c r="CM359" t="str">
        <f>""</f>
        <v/>
      </c>
      <c r="CN359" t="str">
        <f>""</f>
        <v/>
      </c>
      <c r="CO359" t="str">
        <f>""</f>
        <v/>
      </c>
      <c r="CP359" t="str">
        <f>""</f>
        <v/>
      </c>
      <c r="CQ359" t="str">
        <f>""</f>
        <v/>
      </c>
      <c r="CR359" t="str">
        <f>""</f>
        <v/>
      </c>
      <c r="CS359" t="str">
        <f>""</f>
        <v/>
      </c>
      <c r="CT359" t="str">
        <f>""</f>
        <v/>
      </c>
      <c r="CU359" t="str">
        <f>""</f>
        <v/>
      </c>
      <c r="CV359" t="str">
        <f>""</f>
        <v/>
      </c>
      <c r="CW359" t="str">
        <f>""</f>
        <v/>
      </c>
      <c r="CX359" t="str">
        <f>""</f>
        <v/>
      </c>
      <c r="CY359" t="str">
        <f>""</f>
        <v/>
      </c>
      <c r="CZ359" t="str">
        <f>""</f>
        <v/>
      </c>
      <c r="DA359" t="str">
        <f>""</f>
        <v/>
      </c>
      <c r="DB359" t="str">
        <f>""</f>
        <v/>
      </c>
      <c r="DC359" t="str">
        <f>""</f>
        <v/>
      </c>
      <c r="DD359" t="str">
        <f>""</f>
        <v/>
      </c>
      <c r="DE359" t="str">
        <f>""</f>
        <v/>
      </c>
      <c r="DF359" t="str">
        <f>""</f>
        <v/>
      </c>
      <c r="DG359" t="str">
        <f>""</f>
        <v/>
      </c>
      <c r="DH359" t="str">
        <f>""</f>
        <v/>
      </c>
      <c r="DI359" t="str">
        <f>""</f>
        <v/>
      </c>
      <c r="DJ359" t="str">
        <f>""</f>
        <v/>
      </c>
      <c r="DK359" t="str">
        <f>""</f>
        <v/>
      </c>
      <c r="DL359" t="str">
        <f>""</f>
        <v/>
      </c>
      <c r="DM359" t="str">
        <f>""</f>
        <v/>
      </c>
      <c r="DN359" t="str">
        <f>""</f>
        <v/>
      </c>
      <c r="DO359" t="str">
        <f>""</f>
        <v/>
      </c>
      <c r="DP359" t="str">
        <f>""</f>
        <v/>
      </c>
      <c r="DQ359" t="str">
        <f>""</f>
        <v/>
      </c>
      <c r="DR359" t="str">
        <f>""</f>
        <v/>
      </c>
      <c r="DS359" t="str">
        <f>""</f>
        <v/>
      </c>
      <c r="DT359" t="str">
        <f>""</f>
        <v/>
      </c>
      <c r="DU359" t="str">
        <f>""</f>
        <v/>
      </c>
      <c r="DV359" t="str">
        <f>""</f>
        <v/>
      </c>
      <c r="DW359" t="str">
        <f>""</f>
        <v/>
      </c>
      <c r="DX359" t="str">
        <f>""</f>
        <v/>
      </c>
      <c r="DY359" t="str">
        <f>""</f>
        <v/>
      </c>
      <c r="DZ359" t="str">
        <f>""</f>
        <v/>
      </c>
      <c r="EA359" t="str">
        <f>""</f>
        <v/>
      </c>
      <c r="EB359" t="str">
        <f>""</f>
        <v/>
      </c>
      <c r="EC359" t="str">
        <f>""</f>
        <v/>
      </c>
      <c r="ED359" t="str">
        <f>""</f>
        <v/>
      </c>
      <c r="EE359" t="str">
        <f>""</f>
        <v/>
      </c>
      <c r="EF359" t="str">
        <f>""</f>
        <v/>
      </c>
      <c r="EG359" t="str">
        <f>""</f>
        <v/>
      </c>
      <c r="EH359" t="str">
        <f>""</f>
        <v/>
      </c>
      <c r="EI359" t="str">
        <f>""</f>
        <v/>
      </c>
      <c r="EJ359" t="str">
        <f>""</f>
        <v/>
      </c>
      <c r="EK359" t="str">
        <f>""</f>
        <v/>
      </c>
      <c r="EL359" t="str">
        <f>""</f>
        <v/>
      </c>
      <c r="EM359" t="str">
        <f>""</f>
        <v/>
      </c>
      <c r="EN359" t="str">
        <f>""</f>
        <v/>
      </c>
      <c r="EO359" t="str">
        <f>""</f>
        <v/>
      </c>
      <c r="EP359" t="str">
        <f>""</f>
        <v/>
      </c>
      <c r="EQ359" t="str">
        <f>""</f>
        <v/>
      </c>
      <c r="ER359" t="str">
        <f>""</f>
        <v/>
      </c>
      <c r="ES359" t="str">
        <f>""</f>
        <v/>
      </c>
      <c r="ET359" t="str">
        <f>""</f>
        <v/>
      </c>
      <c r="EU359" t="str">
        <f>""</f>
        <v/>
      </c>
      <c r="EV359" t="str">
        <f>""</f>
        <v/>
      </c>
      <c r="EW359" t="str">
        <f>""</f>
        <v/>
      </c>
      <c r="EX359" t="str">
        <f>""</f>
        <v/>
      </c>
      <c r="EY359" t="str">
        <f>""</f>
        <v/>
      </c>
      <c r="EZ359" t="str">
        <f>""</f>
        <v/>
      </c>
      <c r="FA359" t="str">
        <f>""</f>
        <v/>
      </c>
      <c r="FB359" t="str">
        <f>""</f>
        <v/>
      </c>
      <c r="FC359" t="str">
        <f>""</f>
        <v/>
      </c>
      <c r="FD359" t="str">
        <f>""</f>
        <v/>
      </c>
      <c r="FE359" t="str">
        <f>""</f>
        <v/>
      </c>
      <c r="FF359" t="str">
        <f>""</f>
        <v/>
      </c>
      <c r="FG359" t="str">
        <f>""</f>
        <v/>
      </c>
      <c r="FH359" t="str">
        <f>""</f>
        <v/>
      </c>
      <c r="FI359" t="str">
        <f>""</f>
        <v/>
      </c>
      <c r="FJ359" t="str">
        <f>""</f>
        <v/>
      </c>
      <c r="FK359" t="str">
        <f>""</f>
        <v/>
      </c>
      <c r="FL359" t="str">
        <f>""</f>
        <v/>
      </c>
      <c r="FM359" t="str">
        <f>""</f>
        <v/>
      </c>
      <c r="FN359" t="str">
        <f>""</f>
        <v/>
      </c>
      <c r="FO359" t="str">
        <f>""</f>
        <v/>
      </c>
      <c r="FP359" t="str">
        <f>""</f>
        <v/>
      </c>
      <c r="FQ359" t="str">
        <f>""</f>
        <v/>
      </c>
    </row>
    <row r="360" spans="1:173">
      <c r="A360" t="str">
        <f>$A$150</f>
        <v xml:space="preserve">    Monogram Residential Trust Inc</v>
      </c>
      <c r="B360" t="str">
        <f>$B$150</f>
        <v>MORE US Equity</v>
      </c>
      <c r="C360" t="str">
        <f>$C$150</f>
        <v>BE895</v>
      </c>
      <c r="D360" t="str">
        <f>$D$150</f>
        <v>BEST_AFFOPS</v>
      </c>
      <c r="E360" t="str">
        <f>$E$150</f>
        <v>动态</v>
      </c>
      <c r="F360" t="str">
        <f ca="1">BDH($B$150,$C$150,$B$250,$B$251,CONCATENATE("Per=",$B$248),"Dts=H","Dir=H",CONCATENATE("Points=",$B$249),"Sort=R","Days=A","Fill=B","BE997=1BF",CONCATENATE("FX=", $B$247) )</f>
        <v>#N/A Authorization</v>
      </c>
      <c r="CL360" t="str">
        <f>""</f>
        <v/>
      </c>
      <c r="CM360" t="str">
        <f>""</f>
        <v/>
      </c>
      <c r="CN360" t="str">
        <f>""</f>
        <v/>
      </c>
      <c r="CO360" t="str">
        <f>""</f>
        <v/>
      </c>
      <c r="CP360" t="str">
        <f>""</f>
        <v/>
      </c>
      <c r="CQ360" t="str">
        <f>""</f>
        <v/>
      </c>
      <c r="CR360" t="str">
        <f>""</f>
        <v/>
      </c>
      <c r="CS360" t="str">
        <f>""</f>
        <v/>
      </c>
      <c r="CT360" t="str">
        <f>""</f>
        <v/>
      </c>
      <c r="CU360" t="str">
        <f>""</f>
        <v/>
      </c>
      <c r="CV360" t="str">
        <f>""</f>
        <v/>
      </c>
      <c r="CW360" t="str">
        <f>""</f>
        <v/>
      </c>
      <c r="CX360" t="str">
        <f>""</f>
        <v/>
      </c>
      <c r="CY360" t="str">
        <f>""</f>
        <v/>
      </c>
      <c r="CZ360" t="str">
        <f>""</f>
        <v/>
      </c>
      <c r="DA360" t="str">
        <f>""</f>
        <v/>
      </c>
      <c r="DB360" t="str">
        <f>""</f>
        <v/>
      </c>
      <c r="DC360" t="str">
        <f>""</f>
        <v/>
      </c>
      <c r="DD360" t="str">
        <f>""</f>
        <v/>
      </c>
      <c r="DE360" t="str">
        <f>""</f>
        <v/>
      </c>
      <c r="DF360" t="str">
        <f>""</f>
        <v/>
      </c>
      <c r="DG360" t="str">
        <f>""</f>
        <v/>
      </c>
      <c r="DH360" t="str">
        <f>""</f>
        <v/>
      </c>
      <c r="DI360" t="str">
        <f>""</f>
        <v/>
      </c>
      <c r="DJ360" t="str">
        <f>""</f>
        <v/>
      </c>
      <c r="DK360" t="str">
        <f>""</f>
        <v/>
      </c>
      <c r="DL360" t="str">
        <f>""</f>
        <v/>
      </c>
      <c r="DM360" t="str">
        <f>""</f>
        <v/>
      </c>
      <c r="DN360" t="str">
        <f>""</f>
        <v/>
      </c>
      <c r="DO360" t="str">
        <f>""</f>
        <v/>
      </c>
      <c r="DP360" t="str">
        <f>""</f>
        <v/>
      </c>
      <c r="DQ360" t="str">
        <f>""</f>
        <v/>
      </c>
      <c r="DR360" t="str">
        <f>""</f>
        <v/>
      </c>
      <c r="DS360" t="str">
        <f>""</f>
        <v/>
      </c>
      <c r="DT360" t="str">
        <f>""</f>
        <v/>
      </c>
      <c r="DU360" t="str">
        <f>""</f>
        <v/>
      </c>
      <c r="DV360" t="str">
        <f>""</f>
        <v/>
      </c>
      <c r="DW360" t="str">
        <f>""</f>
        <v/>
      </c>
      <c r="DX360" t="str">
        <f>""</f>
        <v/>
      </c>
      <c r="DY360" t="str">
        <f>""</f>
        <v/>
      </c>
      <c r="DZ360" t="str">
        <f>""</f>
        <v/>
      </c>
      <c r="EA360" t="str">
        <f>""</f>
        <v/>
      </c>
      <c r="EB360" t="str">
        <f>""</f>
        <v/>
      </c>
      <c r="EC360" t="str">
        <f>""</f>
        <v/>
      </c>
      <c r="ED360" t="str">
        <f>""</f>
        <v/>
      </c>
      <c r="EE360" t="str">
        <f>""</f>
        <v/>
      </c>
      <c r="EF360" t="str">
        <f>""</f>
        <v/>
      </c>
      <c r="EG360" t="str">
        <f>""</f>
        <v/>
      </c>
      <c r="EH360" t="str">
        <f>""</f>
        <v/>
      </c>
      <c r="EI360" t="str">
        <f>""</f>
        <v/>
      </c>
      <c r="EJ360" t="str">
        <f>""</f>
        <v/>
      </c>
      <c r="EK360" t="str">
        <f>""</f>
        <v/>
      </c>
      <c r="EL360" t="str">
        <f>""</f>
        <v/>
      </c>
      <c r="EM360" t="str">
        <f>""</f>
        <v/>
      </c>
      <c r="EN360" t="str">
        <f>""</f>
        <v/>
      </c>
      <c r="EO360" t="str">
        <f>""</f>
        <v/>
      </c>
      <c r="EP360" t="str">
        <f>""</f>
        <v/>
      </c>
      <c r="EQ360" t="str">
        <f>""</f>
        <v/>
      </c>
      <c r="ER360" t="str">
        <f>""</f>
        <v/>
      </c>
      <c r="ES360" t="str">
        <f>""</f>
        <v/>
      </c>
      <c r="ET360" t="str">
        <f>""</f>
        <v/>
      </c>
      <c r="EU360" t="str">
        <f>""</f>
        <v/>
      </c>
      <c r="EV360" t="str">
        <f>""</f>
        <v/>
      </c>
      <c r="EW360" t="str">
        <f>""</f>
        <v/>
      </c>
      <c r="EX360" t="str">
        <f>""</f>
        <v/>
      </c>
      <c r="EY360" t="str">
        <f>""</f>
        <v/>
      </c>
      <c r="EZ360" t="str">
        <f>""</f>
        <v/>
      </c>
      <c r="FA360" t="str">
        <f>""</f>
        <v/>
      </c>
      <c r="FB360" t="str">
        <f>""</f>
        <v/>
      </c>
      <c r="FC360" t="str">
        <f>""</f>
        <v/>
      </c>
      <c r="FD360" t="str">
        <f>""</f>
        <v/>
      </c>
      <c r="FE360" t="str">
        <f>""</f>
        <v/>
      </c>
      <c r="FF360" t="str">
        <f>""</f>
        <v/>
      </c>
      <c r="FG360" t="str">
        <f>""</f>
        <v/>
      </c>
      <c r="FH360" t="str">
        <f>""</f>
        <v/>
      </c>
      <c r="FI360" t="str">
        <f>""</f>
        <v/>
      </c>
      <c r="FJ360" t="str">
        <f>""</f>
        <v/>
      </c>
      <c r="FK360" t="str">
        <f>""</f>
        <v/>
      </c>
      <c r="FL360" t="str">
        <f>""</f>
        <v/>
      </c>
      <c r="FM360" t="str">
        <f>""</f>
        <v/>
      </c>
      <c r="FN360" t="str">
        <f>""</f>
        <v/>
      </c>
      <c r="FO360" t="str">
        <f>""</f>
        <v/>
      </c>
      <c r="FP360" t="str">
        <f>""</f>
        <v/>
      </c>
      <c r="FQ360" t="str">
        <f>""</f>
        <v/>
      </c>
    </row>
    <row r="361" spans="1:173">
      <c r="A361" t="str">
        <f>$A$151</f>
        <v xml:space="preserve">    UDR Inc</v>
      </c>
      <c r="B361" t="str">
        <f>$B$151</f>
        <v>UDR US Equity</v>
      </c>
      <c r="C361" t="str">
        <f>$C$151</f>
        <v>BE895</v>
      </c>
      <c r="D361" t="str">
        <f>$D$151</f>
        <v>BEST_AFFOPS</v>
      </c>
      <c r="E361" t="str">
        <f>$E$151</f>
        <v>动态</v>
      </c>
      <c r="F361" t="str">
        <f ca="1">BDH($B$151,$C$151,$B$250,$B$251,CONCATENATE("Per=",$B$248),"Dts=H","Dir=H",CONCATENATE("Points=",$B$249),"Sort=R","Days=A","Fill=B","BE997=1BF",CONCATENATE("FX=", $B$247) )</f>
        <v>#N/A Authorization</v>
      </c>
      <c r="CL361" t="str">
        <f>""</f>
        <v/>
      </c>
      <c r="CM361" t="str">
        <f>""</f>
        <v/>
      </c>
      <c r="CN361" t="str">
        <f>""</f>
        <v/>
      </c>
      <c r="CO361" t="str">
        <f>""</f>
        <v/>
      </c>
      <c r="CP361" t="str">
        <f>""</f>
        <v/>
      </c>
      <c r="CQ361" t="str">
        <f>""</f>
        <v/>
      </c>
      <c r="CR361" t="str">
        <f>""</f>
        <v/>
      </c>
      <c r="CS361" t="str">
        <f>""</f>
        <v/>
      </c>
      <c r="CT361" t="str">
        <f>""</f>
        <v/>
      </c>
      <c r="CU361" t="str">
        <f>""</f>
        <v/>
      </c>
      <c r="CV361" t="str">
        <f>""</f>
        <v/>
      </c>
      <c r="CW361" t="str">
        <f>""</f>
        <v/>
      </c>
      <c r="CX361" t="str">
        <f>""</f>
        <v/>
      </c>
      <c r="CY361" t="str">
        <f>""</f>
        <v/>
      </c>
      <c r="CZ361" t="str">
        <f>""</f>
        <v/>
      </c>
      <c r="DA361" t="str">
        <f>""</f>
        <v/>
      </c>
      <c r="DB361" t="str">
        <f>""</f>
        <v/>
      </c>
      <c r="DC361" t="str">
        <f>""</f>
        <v/>
      </c>
      <c r="DD361" t="str">
        <f>""</f>
        <v/>
      </c>
      <c r="DE361" t="str">
        <f>""</f>
        <v/>
      </c>
      <c r="DF361" t="str">
        <f>""</f>
        <v/>
      </c>
      <c r="DG361" t="str">
        <f>""</f>
        <v/>
      </c>
      <c r="DH361" t="str">
        <f>""</f>
        <v/>
      </c>
      <c r="DI361" t="str">
        <f>""</f>
        <v/>
      </c>
      <c r="DJ361" t="str">
        <f>""</f>
        <v/>
      </c>
      <c r="DK361" t="str">
        <f>""</f>
        <v/>
      </c>
      <c r="DL361" t="str">
        <f>""</f>
        <v/>
      </c>
      <c r="DM361" t="str">
        <f>""</f>
        <v/>
      </c>
      <c r="DN361" t="str">
        <f>""</f>
        <v/>
      </c>
      <c r="DO361" t="str">
        <f>""</f>
        <v/>
      </c>
      <c r="DP361" t="str">
        <f>""</f>
        <v/>
      </c>
      <c r="DQ361" t="str">
        <f>""</f>
        <v/>
      </c>
      <c r="DR361" t="str">
        <f>""</f>
        <v/>
      </c>
      <c r="DS361" t="str">
        <f>""</f>
        <v/>
      </c>
      <c r="DT361" t="str">
        <f>""</f>
        <v/>
      </c>
      <c r="DU361" t="str">
        <f>""</f>
        <v/>
      </c>
      <c r="DV361" t="str">
        <f>""</f>
        <v/>
      </c>
      <c r="DW361" t="str">
        <f>""</f>
        <v/>
      </c>
      <c r="DX361" t="str">
        <f>""</f>
        <v/>
      </c>
      <c r="DY361" t="str">
        <f>""</f>
        <v/>
      </c>
      <c r="DZ361" t="str">
        <f>""</f>
        <v/>
      </c>
      <c r="EA361" t="str">
        <f>""</f>
        <v/>
      </c>
      <c r="EB361" t="str">
        <f>""</f>
        <v/>
      </c>
      <c r="EC361" t="str">
        <f>""</f>
        <v/>
      </c>
      <c r="ED361" t="str">
        <f>""</f>
        <v/>
      </c>
      <c r="EE361" t="str">
        <f>""</f>
        <v/>
      </c>
      <c r="EF361" t="str">
        <f>""</f>
        <v/>
      </c>
      <c r="EG361" t="str">
        <f>""</f>
        <v/>
      </c>
      <c r="EH361" t="str">
        <f>""</f>
        <v/>
      </c>
      <c r="EI361" t="str">
        <f>""</f>
        <v/>
      </c>
      <c r="EJ361" t="str">
        <f>""</f>
        <v/>
      </c>
      <c r="EK361" t="str">
        <f>""</f>
        <v/>
      </c>
      <c r="EL361" t="str">
        <f>""</f>
        <v/>
      </c>
      <c r="EM361" t="str">
        <f>""</f>
        <v/>
      </c>
      <c r="EN361" t="str">
        <f>""</f>
        <v/>
      </c>
      <c r="EO361" t="str">
        <f>""</f>
        <v/>
      </c>
      <c r="EP361" t="str">
        <f>""</f>
        <v/>
      </c>
      <c r="EQ361" t="str">
        <f>""</f>
        <v/>
      </c>
      <c r="ER361" t="str">
        <f>""</f>
        <v/>
      </c>
      <c r="ES361" t="str">
        <f>""</f>
        <v/>
      </c>
      <c r="ET361" t="str">
        <f>""</f>
        <v/>
      </c>
      <c r="EU361" t="str">
        <f>""</f>
        <v/>
      </c>
      <c r="EV361" t="str">
        <f>""</f>
        <v/>
      </c>
      <c r="EW361" t="str">
        <f>""</f>
        <v/>
      </c>
      <c r="EX361" t="str">
        <f>""</f>
        <v/>
      </c>
      <c r="EY361" t="str">
        <f>""</f>
        <v/>
      </c>
      <c r="EZ361" t="str">
        <f>""</f>
        <v/>
      </c>
      <c r="FA361" t="str">
        <f>""</f>
        <v/>
      </c>
      <c r="FB361" t="str">
        <f>""</f>
        <v/>
      </c>
      <c r="FC361" t="str">
        <f>""</f>
        <v/>
      </c>
      <c r="FD361" t="str">
        <f>""</f>
        <v/>
      </c>
      <c r="FE361" t="str">
        <f>""</f>
        <v/>
      </c>
      <c r="FF361" t="str">
        <f>""</f>
        <v/>
      </c>
      <c r="FG361" t="str">
        <f>""</f>
        <v/>
      </c>
      <c r="FH361" t="str">
        <f>""</f>
        <v/>
      </c>
      <c r="FI361" t="str">
        <f>""</f>
        <v/>
      </c>
      <c r="FJ361" t="str">
        <f>""</f>
        <v/>
      </c>
      <c r="FK361" t="str">
        <f>""</f>
        <v/>
      </c>
      <c r="FL361" t="str">
        <f>""</f>
        <v/>
      </c>
      <c r="FM361" t="str">
        <f>""</f>
        <v/>
      </c>
      <c r="FN361" t="str">
        <f>""</f>
        <v/>
      </c>
      <c r="FO361" t="str">
        <f>""</f>
        <v/>
      </c>
      <c r="FP361" t="str">
        <f>""</f>
        <v/>
      </c>
      <c r="FQ361" t="str">
        <f>""</f>
        <v/>
      </c>
    </row>
    <row r="362" spans="1:173">
      <c r="A362" t="str">
        <f>$A$153</f>
        <v xml:space="preserve">    Apartment Investment &amp; Managem</v>
      </c>
      <c r="B362" t="str">
        <f>$B$153</f>
        <v>AIV US Equity</v>
      </c>
      <c r="C362" t="str">
        <f>$C$153</f>
        <v>BE895</v>
      </c>
      <c r="D362" t="str">
        <f>$D$153</f>
        <v>BEST_AFFOPS</v>
      </c>
      <c r="E362" t="str">
        <f>$E$153</f>
        <v>动态</v>
      </c>
      <c r="F362" t="str">
        <f ca="1">BDH($B$153,$C$153,$B$250,$B$251,CONCATENATE("Per=",$B$248),"Dts=H","Dir=H",CONCATENATE("Points=",$B$249),"Sort=R","Days=A","Fill=B","BE997=17Y",CONCATENATE("FX=", $B$247) )</f>
        <v>#N/A Authorization</v>
      </c>
      <c r="CL362" t="str">
        <f>""</f>
        <v/>
      </c>
      <c r="CM362" t="str">
        <f>""</f>
        <v/>
      </c>
      <c r="CN362" t="str">
        <f>""</f>
        <v/>
      </c>
      <c r="CO362" t="str">
        <f>""</f>
        <v/>
      </c>
      <c r="CP362" t="str">
        <f>""</f>
        <v/>
      </c>
      <c r="CQ362" t="str">
        <f>""</f>
        <v/>
      </c>
      <c r="CR362" t="str">
        <f>""</f>
        <v/>
      </c>
      <c r="CS362" t="str">
        <f>""</f>
        <v/>
      </c>
      <c r="CT362" t="str">
        <f>""</f>
        <v/>
      </c>
      <c r="CU362" t="str">
        <f>""</f>
        <v/>
      </c>
      <c r="CV362" t="str">
        <f>""</f>
        <v/>
      </c>
      <c r="CW362" t="str">
        <f>""</f>
        <v/>
      </c>
      <c r="CX362" t="str">
        <f>""</f>
        <v/>
      </c>
      <c r="CY362" t="str">
        <f>""</f>
        <v/>
      </c>
      <c r="CZ362" t="str">
        <f>""</f>
        <v/>
      </c>
      <c r="DA362" t="str">
        <f>""</f>
        <v/>
      </c>
      <c r="DB362" t="str">
        <f>""</f>
        <v/>
      </c>
      <c r="DC362" t="str">
        <f>""</f>
        <v/>
      </c>
      <c r="DD362" t="str">
        <f>""</f>
        <v/>
      </c>
      <c r="DE362" t="str">
        <f>""</f>
        <v/>
      </c>
      <c r="DF362" t="str">
        <f>""</f>
        <v/>
      </c>
      <c r="DG362" t="str">
        <f>""</f>
        <v/>
      </c>
      <c r="DH362" t="str">
        <f>""</f>
        <v/>
      </c>
      <c r="DI362" t="str">
        <f>""</f>
        <v/>
      </c>
      <c r="DJ362" t="str">
        <f>""</f>
        <v/>
      </c>
      <c r="DK362" t="str">
        <f>""</f>
        <v/>
      </c>
      <c r="DL362" t="str">
        <f>""</f>
        <v/>
      </c>
      <c r="DM362" t="str">
        <f>""</f>
        <v/>
      </c>
      <c r="DN362" t="str">
        <f>""</f>
        <v/>
      </c>
      <c r="DO362" t="str">
        <f>""</f>
        <v/>
      </c>
      <c r="DP362" t="str">
        <f>""</f>
        <v/>
      </c>
      <c r="DQ362" t="str">
        <f>""</f>
        <v/>
      </c>
      <c r="DR362" t="str">
        <f>""</f>
        <v/>
      </c>
      <c r="DS362" t="str">
        <f>""</f>
        <v/>
      </c>
      <c r="DT362" t="str">
        <f>""</f>
        <v/>
      </c>
      <c r="DU362" t="str">
        <f>""</f>
        <v/>
      </c>
      <c r="DV362" t="str">
        <f>""</f>
        <v/>
      </c>
      <c r="DW362" t="str">
        <f>""</f>
        <v/>
      </c>
      <c r="DX362" t="str">
        <f>""</f>
        <v/>
      </c>
      <c r="DY362" t="str">
        <f>""</f>
        <v/>
      </c>
      <c r="DZ362" t="str">
        <f>""</f>
        <v/>
      </c>
      <c r="EA362" t="str">
        <f>""</f>
        <v/>
      </c>
      <c r="EB362" t="str">
        <f>""</f>
        <v/>
      </c>
      <c r="EC362" t="str">
        <f>""</f>
        <v/>
      </c>
      <c r="ED362" t="str">
        <f>""</f>
        <v/>
      </c>
      <c r="EE362" t="str">
        <f>""</f>
        <v/>
      </c>
      <c r="EF362" t="str">
        <f>""</f>
        <v/>
      </c>
      <c r="EG362" t="str">
        <f>""</f>
        <v/>
      </c>
      <c r="EH362" t="str">
        <f>""</f>
        <v/>
      </c>
      <c r="EI362" t="str">
        <f>""</f>
        <v/>
      </c>
      <c r="EJ362" t="str">
        <f>""</f>
        <v/>
      </c>
      <c r="EK362" t="str">
        <f>""</f>
        <v/>
      </c>
      <c r="EL362" t="str">
        <f>""</f>
        <v/>
      </c>
      <c r="EM362" t="str">
        <f>""</f>
        <v/>
      </c>
      <c r="EN362" t="str">
        <f>""</f>
        <v/>
      </c>
      <c r="EO362" t="str">
        <f>""</f>
        <v/>
      </c>
      <c r="EP362" t="str">
        <f>""</f>
        <v/>
      </c>
      <c r="EQ362" t="str">
        <f>""</f>
        <v/>
      </c>
      <c r="ER362" t="str">
        <f>""</f>
        <v/>
      </c>
      <c r="ES362" t="str">
        <f>""</f>
        <v/>
      </c>
      <c r="ET362" t="str">
        <f>""</f>
        <v/>
      </c>
      <c r="EU362" t="str">
        <f>""</f>
        <v/>
      </c>
      <c r="EV362" t="str">
        <f>""</f>
        <v/>
      </c>
      <c r="EW362" t="str">
        <f>""</f>
        <v/>
      </c>
      <c r="EX362" t="str">
        <f>""</f>
        <v/>
      </c>
      <c r="EY362" t="str">
        <f>""</f>
        <v/>
      </c>
      <c r="EZ362" t="str">
        <f>""</f>
        <v/>
      </c>
      <c r="FA362" t="str">
        <f>""</f>
        <v/>
      </c>
      <c r="FB362" t="str">
        <f>""</f>
        <v/>
      </c>
      <c r="FC362" t="str">
        <f>""</f>
        <v/>
      </c>
      <c r="FD362" t="str">
        <f>""</f>
        <v/>
      </c>
      <c r="FE362" t="str">
        <f>""</f>
        <v/>
      </c>
      <c r="FF362" t="str">
        <f>""</f>
        <v/>
      </c>
      <c r="FG362" t="str">
        <f>""</f>
        <v/>
      </c>
      <c r="FH362" t="str">
        <f>""</f>
        <v/>
      </c>
      <c r="FI362" t="str">
        <f>""</f>
        <v/>
      </c>
      <c r="FJ362" t="str">
        <f>""</f>
        <v/>
      </c>
      <c r="FK362" t="str">
        <f>""</f>
        <v/>
      </c>
      <c r="FL362" t="str">
        <f>""</f>
        <v/>
      </c>
      <c r="FM362" t="str">
        <f>""</f>
        <v/>
      </c>
      <c r="FN362" t="str">
        <f>""</f>
        <v/>
      </c>
      <c r="FO362" t="str">
        <f>""</f>
        <v/>
      </c>
      <c r="FP362" t="str">
        <f>""</f>
        <v/>
      </c>
      <c r="FQ362" t="str">
        <f>""</f>
        <v/>
      </c>
    </row>
    <row r="363" spans="1:173">
      <c r="A363" t="str">
        <f>$A$154</f>
        <v xml:space="preserve">    AvalonBay Communities Inc</v>
      </c>
      <c r="B363" t="str">
        <f>$B$154</f>
        <v>AVB US Equity</v>
      </c>
      <c r="C363" t="str">
        <f>$C$154</f>
        <v>BE895</v>
      </c>
      <c r="D363" t="str">
        <f>$D$154</f>
        <v>BEST_AFFOPS</v>
      </c>
      <c r="E363" t="str">
        <f>$E$154</f>
        <v>动态</v>
      </c>
      <c r="F363" t="str">
        <f ca="1">BDH($B$154,$C$154,$B$250,$B$251,CONCATENATE("Per=",$B$248),"Dts=H","Dir=H",CONCATENATE("Points=",$B$249),"Sort=R","Days=A","Fill=B","BE997=17Y",CONCATENATE("FX=", $B$247) )</f>
        <v>#N/A Authorization</v>
      </c>
      <c r="CL363" t="str">
        <f>""</f>
        <v/>
      </c>
      <c r="CM363" t="str">
        <f>""</f>
        <v/>
      </c>
      <c r="CN363" t="str">
        <f>""</f>
        <v/>
      </c>
      <c r="CO363" t="str">
        <f>""</f>
        <v/>
      </c>
      <c r="CP363" t="str">
        <f>""</f>
        <v/>
      </c>
      <c r="CQ363" t="str">
        <f>""</f>
        <v/>
      </c>
      <c r="CR363" t="str">
        <f>""</f>
        <v/>
      </c>
      <c r="CS363" t="str">
        <f>""</f>
        <v/>
      </c>
      <c r="CT363" t="str">
        <f>""</f>
        <v/>
      </c>
      <c r="CU363" t="str">
        <f>""</f>
        <v/>
      </c>
      <c r="CV363" t="str">
        <f>""</f>
        <v/>
      </c>
      <c r="CW363" t="str">
        <f>""</f>
        <v/>
      </c>
      <c r="CX363" t="str">
        <f>""</f>
        <v/>
      </c>
      <c r="CY363" t="str">
        <f>""</f>
        <v/>
      </c>
      <c r="CZ363" t="str">
        <f>""</f>
        <v/>
      </c>
      <c r="DA363" t="str">
        <f>""</f>
        <v/>
      </c>
      <c r="DB363" t="str">
        <f>""</f>
        <v/>
      </c>
      <c r="DC363" t="str">
        <f>""</f>
        <v/>
      </c>
      <c r="DD363" t="str">
        <f>""</f>
        <v/>
      </c>
      <c r="DE363" t="str">
        <f>""</f>
        <v/>
      </c>
      <c r="DF363" t="str">
        <f>""</f>
        <v/>
      </c>
      <c r="DG363" t="str">
        <f>""</f>
        <v/>
      </c>
      <c r="DH363" t="str">
        <f>""</f>
        <v/>
      </c>
      <c r="DI363" t="str">
        <f>""</f>
        <v/>
      </c>
      <c r="DJ363" t="str">
        <f>""</f>
        <v/>
      </c>
      <c r="DK363" t="str">
        <f>""</f>
        <v/>
      </c>
      <c r="DL363" t="str">
        <f>""</f>
        <v/>
      </c>
      <c r="DM363" t="str">
        <f>""</f>
        <v/>
      </c>
      <c r="DN363" t="str">
        <f>""</f>
        <v/>
      </c>
      <c r="DO363" t="str">
        <f>""</f>
        <v/>
      </c>
      <c r="DP363" t="str">
        <f>""</f>
        <v/>
      </c>
      <c r="DQ363" t="str">
        <f>""</f>
        <v/>
      </c>
      <c r="DR363" t="str">
        <f>""</f>
        <v/>
      </c>
      <c r="DS363" t="str">
        <f>""</f>
        <v/>
      </c>
      <c r="DT363" t="str">
        <f>""</f>
        <v/>
      </c>
      <c r="DU363" t="str">
        <f>""</f>
        <v/>
      </c>
      <c r="DV363" t="str">
        <f>""</f>
        <v/>
      </c>
      <c r="DW363" t="str">
        <f>""</f>
        <v/>
      </c>
      <c r="DX363" t="str">
        <f>""</f>
        <v/>
      </c>
      <c r="DY363" t="str">
        <f>""</f>
        <v/>
      </c>
      <c r="DZ363" t="str">
        <f>""</f>
        <v/>
      </c>
      <c r="EA363" t="str">
        <f>""</f>
        <v/>
      </c>
      <c r="EB363" t="str">
        <f>""</f>
        <v/>
      </c>
      <c r="EC363" t="str">
        <f>""</f>
        <v/>
      </c>
      <c r="ED363" t="str">
        <f>""</f>
        <v/>
      </c>
      <c r="EE363" t="str">
        <f>""</f>
        <v/>
      </c>
      <c r="EF363" t="str">
        <f>""</f>
        <v/>
      </c>
      <c r="EG363" t="str">
        <f>""</f>
        <v/>
      </c>
      <c r="EH363" t="str">
        <f>""</f>
        <v/>
      </c>
      <c r="EI363" t="str">
        <f>""</f>
        <v/>
      </c>
      <c r="EJ363" t="str">
        <f>""</f>
        <v/>
      </c>
      <c r="EK363" t="str">
        <f>""</f>
        <v/>
      </c>
      <c r="EL363" t="str">
        <f>""</f>
        <v/>
      </c>
      <c r="EM363" t="str">
        <f>""</f>
        <v/>
      </c>
      <c r="EN363" t="str">
        <f>""</f>
        <v/>
      </c>
      <c r="EO363" t="str">
        <f>""</f>
        <v/>
      </c>
      <c r="EP363" t="str">
        <f>""</f>
        <v/>
      </c>
      <c r="EQ363" t="str">
        <f>""</f>
        <v/>
      </c>
      <c r="ER363" t="str">
        <f>""</f>
        <v/>
      </c>
      <c r="ES363" t="str">
        <f>""</f>
        <v/>
      </c>
      <c r="ET363" t="str">
        <f>""</f>
        <v/>
      </c>
      <c r="EU363" t="str">
        <f>""</f>
        <v/>
      </c>
      <c r="EV363" t="str">
        <f>""</f>
        <v/>
      </c>
      <c r="EW363" t="str">
        <f>""</f>
        <v/>
      </c>
      <c r="EX363" t="str">
        <f>""</f>
        <v/>
      </c>
      <c r="EY363" t="str">
        <f>""</f>
        <v/>
      </c>
      <c r="EZ363" t="str">
        <f>""</f>
        <v/>
      </c>
      <c r="FA363" t="str">
        <f>""</f>
        <v/>
      </c>
      <c r="FB363" t="str">
        <f>""</f>
        <v/>
      </c>
      <c r="FC363" t="str">
        <f>""</f>
        <v/>
      </c>
      <c r="FD363" t="str">
        <f>""</f>
        <v/>
      </c>
      <c r="FE363" t="str">
        <f>""</f>
        <v/>
      </c>
      <c r="FF363" t="str">
        <f>""</f>
        <v/>
      </c>
      <c r="FG363" t="str">
        <f>""</f>
        <v/>
      </c>
      <c r="FH363" t="str">
        <f>""</f>
        <v/>
      </c>
      <c r="FI363" t="str">
        <f>""</f>
        <v/>
      </c>
      <c r="FJ363" t="str">
        <f>""</f>
        <v/>
      </c>
      <c r="FK363" t="str">
        <f>""</f>
        <v/>
      </c>
      <c r="FL363" t="str">
        <f>""</f>
        <v/>
      </c>
      <c r="FM363" t="str">
        <f>""</f>
        <v/>
      </c>
      <c r="FN363" t="str">
        <f>""</f>
        <v/>
      </c>
      <c r="FO363" t="str">
        <f>""</f>
        <v/>
      </c>
      <c r="FP363" t="str">
        <f>""</f>
        <v/>
      </c>
      <c r="FQ363" t="str">
        <f>""</f>
        <v/>
      </c>
    </row>
    <row r="364" spans="1:173">
      <c r="A364" t="str">
        <f>$A$155</f>
        <v xml:space="preserve">    Camden Property Trust</v>
      </c>
      <c r="B364" t="str">
        <f>$B$155</f>
        <v>CPT US Equity</v>
      </c>
      <c r="C364" t="str">
        <f>$C$155</f>
        <v>BE895</v>
      </c>
      <c r="D364" t="str">
        <f>$D$155</f>
        <v>BEST_AFFOPS</v>
      </c>
      <c r="E364" t="str">
        <f>$E$155</f>
        <v>动态</v>
      </c>
      <c r="F364" t="str">
        <f ca="1">BDH($B$155,$C$155,$B$250,$B$251,CONCATENATE("Per=",$B$248),"Dts=H","Dir=H",CONCATENATE("Points=",$B$249),"Sort=R","Days=A","Fill=B","BE997=17Y",CONCATENATE("FX=", $B$247) )</f>
        <v>#N/A Authorization</v>
      </c>
      <c r="CL364" t="str">
        <f>""</f>
        <v/>
      </c>
      <c r="CM364" t="str">
        <f>""</f>
        <v/>
      </c>
      <c r="CN364" t="str">
        <f>""</f>
        <v/>
      </c>
      <c r="CO364" t="str">
        <f>""</f>
        <v/>
      </c>
      <c r="CP364" t="str">
        <f>""</f>
        <v/>
      </c>
      <c r="CQ364" t="str">
        <f>""</f>
        <v/>
      </c>
      <c r="CR364" t="str">
        <f>""</f>
        <v/>
      </c>
      <c r="CS364" t="str">
        <f>""</f>
        <v/>
      </c>
      <c r="CT364" t="str">
        <f>""</f>
        <v/>
      </c>
      <c r="CU364" t="str">
        <f>""</f>
        <v/>
      </c>
      <c r="CV364" t="str">
        <f>""</f>
        <v/>
      </c>
      <c r="CW364" t="str">
        <f>""</f>
        <v/>
      </c>
      <c r="CX364" t="str">
        <f>""</f>
        <v/>
      </c>
      <c r="CY364" t="str">
        <f>""</f>
        <v/>
      </c>
      <c r="CZ364" t="str">
        <f>""</f>
        <v/>
      </c>
      <c r="DA364" t="str">
        <f>""</f>
        <v/>
      </c>
      <c r="DB364" t="str">
        <f>""</f>
        <v/>
      </c>
      <c r="DC364" t="str">
        <f>""</f>
        <v/>
      </c>
      <c r="DD364" t="str">
        <f>""</f>
        <v/>
      </c>
      <c r="DE364" t="str">
        <f>""</f>
        <v/>
      </c>
      <c r="DF364" t="str">
        <f>""</f>
        <v/>
      </c>
      <c r="DG364" t="str">
        <f>""</f>
        <v/>
      </c>
      <c r="DH364" t="str">
        <f>""</f>
        <v/>
      </c>
      <c r="DI364" t="str">
        <f>""</f>
        <v/>
      </c>
      <c r="DJ364" t="str">
        <f>""</f>
        <v/>
      </c>
      <c r="DK364" t="str">
        <f>""</f>
        <v/>
      </c>
      <c r="DL364" t="str">
        <f>""</f>
        <v/>
      </c>
      <c r="DM364" t="str">
        <f>""</f>
        <v/>
      </c>
      <c r="DN364" t="str">
        <f>""</f>
        <v/>
      </c>
      <c r="DO364" t="str">
        <f>""</f>
        <v/>
      </c>
      <c r="DP364" t="str">
        <f>""</f>
        <v/>
      </c>
      <c r="DQ364" t="str">
        <f>""</f>
        <v/>
      </c>
      <c r="DR364" t="str">
        <f>""</f>
        <v/>
      </c>
      <c r="DS364" t="str">
        <f>""</f>
        <v/>
      </c>
      <c r="DT364" t="str">
        <f>""</f>
        <v/>
      </c>
      <c r="DU364" t="str">
        <f>""</f>
        <v/>
      </c>
      <c r="DV364" t="str">
        <f>""</f>
        <v/>
      </c>
      <c r="DW364" t="str">
        <f>""</f>
        <v/>
      </c>
      <c r="DX364" t="str">
        <f>""</f>
        <v/>
      </c>
      <c r="DY364" t="str">
        <f>""</f>
        <v/>
      </c>
      <c r="DZ364" t="str">
        <f>""</f>
        <v/>
      </c>
      <c r="EA364" t="str">
        <f>""</f>
        <v/>
      </c>
      <c r="EB364" t="str">
        <f>""</f>
        <v/>
      </c>
      <c r="EC364" t="str">
        <f>""</f>
        <v/>
      </c>
      <c r="ED364" t="str">
        <f>""</f>
        <v/>
      </c>
      <c r="EE364" t="str">
        <f>""</f>
        <v/>
      </c>
      <c r="EF364" t="str">
        <f>""</f>
        <v/>
      </c>
      <c r="EG364" t="str">
        <f>""</f>
        <v/>
      </c>
      <c r="EH364" t="str">
        <f>""</f>
        <v/>
      </c>
      <c r="EI364" t="str">
        <f>""</f>
        <v/>
      </c>
      <c r="EJ364" t="str">
        <f>""</f>
        <v/>
      </c>
      <c r="EK364" t="str">
        <f>""</f>
        <v/>
      </c>
      <c r="EL364" t="str">
        <f>""</f>
        <v/>
      </c>
      <c r="EM364" t="str">
        <f>""</f>
        <v/>
      </c>
      <c r="EN364" t="str">
        <f>""</f>
        <v/>
      </c>
      <c r="EO364" t="str">
        <f>""</f>
        <v/>
      </c>
      <c r="EP364" t="str">
        <f>""</f>
        <v/>
      </c>
      <c r="EQ364" t="str">
        <f>""</f>
        <v/>
      </c>
      <c r="ER364" t="str">
        <f>""</f>
        <v/>
      </c>
      <c r="ES364" t="str">
        <f>""</f>
        <v/>
      </c>
      <c r="ET364" t="str">
        <f>""</f>
        <v/>
      </c>
      <c r="EU364" t="str">
        <f>""</f>
        <v/>
      </c>
      <c r="EV364" t="str">
        <f>""</f>
        <v/>
      </c>
      <c r="EW364" t="str">
        <f>""</f>
        <v/>
      </c>
      <c r="EX364" t="str">
        <f>""</f>
        <v/>
      </c>
      <c r="EY364" t="str">
        <f>""</f>
        <v/>
      </c>
      <c r="EZ364" t="str">
        <f>""</f>
        <v/>
      </c>
      <c r="FA364" t="str">
        <f>""</f>
        <v/>
      </c>
      <c r="FB364" t="str">
        <f>""</f>
        <v/>
      </c>
      <c r="FC364" t="str">
        <f>""</f>
        <v/>
      </c>
      <c r="FD364" t="str">
        <f>""</f>
        <v/>
      </c>
      <c r="FE364" t="str">
        <f>""</f>
        <v/>
      </c>
      <c r="FF364" t="str">
        <f>""</f>
        <v/>
      </c>
      <c r="FG364" t="str">
        <f>""</f>
        <v/>
      </c>
      <c r="FH364" t="str">
        <f>""</f>
        <v/>
      </c>
      <c r="FI364" t="str">
        <f>""</f>
        <v/>
      </c>
      <c r="FJ364" t="str">
        <f>""</f>
        <v/>
      </c>
      <c r="FK364" t="str">
        <f>""</f>
        <v/>
      </c>
      <c r="FL364" t="str">
        <f>""</f>
        <v/>
      </c>
      <c r="FM364" t="str">
        <f>""</f>
        <v/>
      </c>
      <c r="FN364" t="str">
        <f>""</f>
        <v/>
      </c>
      <c r="FO364" t="str">
        <f>""</f>
        <v/>
      </c>
      <c r="FP364" t="str">
        <f>""</f>
        <v/>
      </c>
      <c r="FQ364" t="str">
        <f>""</f>
        <v/>
      </c>
    </row>
    <row r="365" spans="1:173">
      <c r="A365" t="str">
        <f>$A$156</f>
        <v xml:space="preserve">    Equity Residential</v>
      </c>
      <c r="B365" t="str">
        <f>$B$156</f>
        <v>EQR US Equity</v>
      </c>
      <c r="C365" t="str">
        <f>$C$156</f>
        <v>BE895</v>
      </c>
      <c r="D365" t="str">
        <f>$D$156</f>
        <v>BEST_AFFOPS</v>
      </c>
      <c r="E365" t="str">
        <f>$E$156</f>
        <v>动态</v>
      </c>
      <c r="F365" t="str">
        <f ca="1">BDH($B$156,$C$156,$B$250,$B$251,CONCATENATE("Per=",$B$248),"Dts=H","Dir=H",CONCATENATE("Points=",$B$249),"Sort=R","Days=A","Fill=B","BE997=17Y",CONCATENATE("FX=", $B$247) )</f>
        <v>#N/A Authorization</v>
      </c>
      <c r="CL365" t="str">
        <f>""</f>
        <v/>
      </c>
      <c r="CM365" t="str">
        <f>""</f>
        <v/>
      </c>
      <c r="CN365" t="str">
        <f>""</f>
        <v/>
      </c>
      <c r="CO365" t="str">
        <f>""</f>
        <v/>
      </c>
      <c r="CP365" t="str">
        <f>""</f>
        <v/>
      </c>
      <c r="CQ365" t="str">
        <f>""</f>
        <v/>
      </c>
      <c r="CR365" t="str">
        <f>""</f>
        <v/>
      </c>
      <c r="CS365" t="str">
        <f>""</f>
        <v/>
      </c>
      <c r="CT365" t="str">
        <f>""</f>
        <v/>
      </c>
      <c r="CU365" t="str">
        <f>""</f>
        <v/>
      </c>
      <c r="CV365" t="str">
        <f>""</f>
        <v/>
      </c>
      <c r="CW365" t="str">
        <f>""</f>
        <v/>
      </c>
      <c r="CX365" t="str">
        <f>""</f>
        <v/>
      </c>
      <c r="CY365" t="str">
        <f>""</f>
        <v/>
      </c>
      <c r="CZ365" t="str">
        <f>""</f>
        <v/>
      </c>
      <c r="DA365" t="str">
        <f>""</f>
        <v/>
      </c>
      <c r="DB365" t="str">
        <f>""</f>
        <v/>
      </c>
      <c r="DC365" t="str">
        <f>""</f>
        <v/>
      </c>
      <c r="DD365" t="str">
        <f>""</f>
        <v/>
      </c>
      <c r="DE365" t="str">
        <f>""</f>
        <v/>
      </c>
      <c r="DF365" t="str">
        <f>""</f>
        <v/>
      </c>
      <c r="DG365" t="str">
        <f>""</f>
        <v/>
      </c>
      <c r="DH365" t="str">
        <f>""</f>
        <v/>
      </c>
      <c r="DI365" t="str">
        <f>""</f>
        <v/>
      </c>
      <c r="DJ365" t="str">
        <f>""</f>
        <v/>
      </c>
      <c r="DK365" t="str">
        <f>""</f>
        <v/>
      </c>
      <c r="DL365" t="str">
        <f>""</f>
        <v/>
      </c>
      <c r="DM365" t="str">
        <f>""</f>
        <v/>
      </c>
      <c r="DN365" t="str">
        <f>""</f>
        <v/>
      </c>
      <c r="DO365" t="str">
        <f>""</f>
        <v/>
      </c>
      <c r="DP365" t="str">
        <f>""</f>
        <v/>
      </c>
      <c r="DQ365" t="str">
        <f>""</f>
        <v/>
      </c>
      <c r="DR365" t="str">
        <f>""</f>
        <v/>
      </c>
      <c r="DS365" t="str">
        <f>""</f>
        <v/>
      </c>
      <c r="DT365" t="str">
        <f>""</f>
        <v/>
      </c>
      <c r="DU365" t="str">
        <f>""</f>
        <v/>
      </c>
      <c r="DV365" t="str">
        <f>""</f>
        <v/>
      </c>
      <c r="DW365" t="str">
        <f>""</f>
        <v/>
      </c>
      <c r="DX365" t="str">
        <f>""</f>
        <v/>
      </c>
      <c r="DY365" t="str">
        <f>""</f>
        <v/>
      </c>
      <c r="DZ365" t="str">
        <f>""</f>
        <v/>
      </c>
      <c r="EA365" t="str">
        <f>""</f>
        <v/>
      </c>
      <c r="EB365" t="str">
        <f>""</f>
        <v/>
      </c>
      <c r="EC365" t="str">
        <f>""</f>
        <v/>
      </c>
      <c r="ED365" t="str">
        <f>""</f>
        <v/>
      </c>
      <c r="EE365" t="str">
        <f>""</f>
        <v/>
      </c>
      <c r="EF365" t="str">
        <f>""</f>
        <v/>
      </c>
      <c r="EG365" t="str">
        <f>""</f>
        <v/>
      </c>
      <c r="EH365" t="str">
        <f>""</f>
        <v/>
      </c>
      <c r="EI365" t="str">
        <f>""</f>
        <v/>
      </c>
      <c r="EJ365" t="str">
        <f>""</f>
        <v/>
      </c>
      <c r="EK365" t="str">
        <f>""</f>
        <v/>
      </c>
      <c r="EL365" t="str">
        <f>""</f>
        <v/>
      </c>
      <c r="EM365" t="str">
        <f>""</f>
        <v/>
      </c>
      <c r="EN365" t="str">
        <f>""</f>
        <v/>
      </c>
      <c r="EO365" t="str">
        <f>""</f>
        <v/>
      </c>
      <c r="EP365" t="str">
        <f>""</f>
        <v/>
      </c>
      <c r="EQ365" t="str">
        <f>""</f>
        <v/>
      </c>
      <c r="ER365" t="str">
        <f>""</f>
        <v/>
      </c>
      <c r="ES365" t="str">
        <f>""</f>
        <v/>
      </c>
      <c r="ET365" t="str">
        <f>""</f>
        <v/>
      </c>
      <c r="EU365" t="str">
        <f>""</f>
        <v/>
      </c>
      <c r="EV365" t="str">
        <f>""</f>
        <v/>
      </c>
      <c r="EW365" t="str">
        <f>""</f>
        <v/>
      </c>
      <c r="EX365" t="str">
        <f>""</f>
        <v/>
      </c>
      <c r="EY365" t="str">
        <f>""</f>
        <v/>
      </c>
      <c r="EZ365" t="str">
        <f>""</f>
        <v/>
      </c>
      <c r="FA365" t="str">
        <f>""</f>
        <v/>
      </c>
      <c r="FB365" t="str">
        <f>""</f>
        <v/>
      </c>
      <c r="FC365" t="str">
        <f>""</f>
        <v/>
      </c>
      <c r="FD365" t="str">
        <f>""</f>
        <v/>
      </c>
      <c r="FE365" t="str">
        <f>""</f>
        <v/>
      </c>
      <c r="FF365" t="str">
        <f>""</f>
        <v/>
      </c>
      <c r="FG365" t="str">
        <f>""</f>
        <v/>
      </c>
      <c r="FH365" t="str">
        <f>""</f>
        <v/>
      </c>
      <c r="FI365" t="str">
        <f>""</f>
        <v/>
      </c>
      <c r="FJ365" t="str">
        <f>""</f>
        <v/>
      </c>
      <c r="FK365" t="str">
        <f>""</f>
        <v/>
      </c>
      <c r="FL365" t="str">
        <f>""</f>
        <v/>
      </c>
      <c r="FM365" t="str">
        <f>""</f>
        <v/>
      </c>
      <c r="FN365" t="str">
        <f>""</f>
        <v/>
      </c>
      <c r="FO365" t="str">
        <f>""</f>
        <v/>
      </c>
      <c r="FP365" t="str">
        <f>""</f>
        <v/>
      </c>
      <c r="FQ365" t="str">
        <f>""</f>
        <v/>
      </c>
    </row>
    <row r="366" spans="1:173">
      <c r="A366" t="str">
        <f>$A$157</f>
        <v xml:space="preserve">    Essex Property Trust Inc</v>
      </c>
      <c r="B366" t="str">
        <f>$B$157</f>
        <v>ESS US Equity</v>
      </c>
      <c r="C366" t="str">
        <f>$C$157</f>
        <v>BE895</v>
      </c>
      <c r="D366" t="str">
        <f>$D$157</f>
        <v>BEST_AFFOPS</v>
      </c>
      <c r="E366" t="str">
        <f>$E$157</f>
        <v>动态</v>
      </c>
      <c r="F366" t="str">
        <f ca="1">BDH($B$157,$C$157,$B$250,$B$251,CONCATENATE("Per=",$B$248),"Dts=H","Dir=H",CONCATENATE("Points=",$B$249),"Sort=R","Days=A","Fill=B","BE997=17Y",CONCATENATE("FX=", $B$247) )</f>
        <v>#N/A Authorization</v>
      </c>
      <c r="CL366" t="str">
        <f>""</f>
        <v/>
      </c>
      <c r="CM366" t="str">
        <f>""</f>
        <v/>
      </c>
      <c r="CN366" t="str">
        <f>""</f>
        <v/>
      </c>
      <c r="CO366" t="str">
        <f>""</f>
        <v/>
      </c>
      <c r="CP366" t="str">
        <f>""</f>
        <v/>
      </c>
      <c r="CQ366" t="str">
        <f>""</f>
        <v/>
      </c>
      <c r="CR366" t="str">
        <f>""</f>
        <v/>
      </c>
      <c r="CS366" t="str">
        <f>""</f>
        <v/>
      </c>
      <c r="CT366" t="str">
        <f>""</f>
        <v/>
      </c>
      <c r="CU366" t="str">
        <f>""</f>
        <v/>
      </c>
      <c r="CV366" t="str">
        <f>""</f>
        <v/>
      </c>
      <c r="CW366" t="str">
        <f>""</f>
        <v/>
      </c>
      <c r="CX366" t="str">
        <f>""</f>
        <v/>
      </c>
      <c r="CY366" t="str">
        <f>""</f>
        <v/>
      </c>
      <c r="CZ366" t="str">
        <f>""</f>
        <v/>
      </c>
      <c r="DA366" t="str">
        <f>""</f>
        <v/>
      </c>
      <c r="DB366" t="str">
        <f>""</f>
        <v/>
      </c>
      <c r="DC366" t="str">
        <f>""</f>
        <v/>
      </c>
      <c r="DD366" t="str">
        <f>""</f>
        <v/>
      </c>
      <c r="DE366" t="str">
        <f>""</f>
        <v/>
      </c>
      <c r="DF366" t="str">
        <f>""</f>
        <v/>
      </c>
      <c r="DG366" t="str">
        <f>""</f>
        <v/>
      </c>
      <c r="DH366" t="str">
        <f>""</f>
        <v/>
      </c>
      <c r="DI366" t="str">
        <f>""</f>
        <v/>
      </c>
      <c r="DJ366" t="str">
        <f>""</f>
        <v/>
      </c>
      <c r="DK366" t="str">
        <f>""</f>
        <v/>
      </c>
      <c r="DL366" t="str">
        <f>""</f>
        <v/>
      </c>
      <c r="DM366" t="str">
        <f>""</f>
        <v/>
      </c>
      <c r="DN366" t="str">
        <f>""</f>
        <v/>
      </c>
      <c r="DO366" t="str">
        <f>""</f>
        <v/>
      </c>
      <c r="DP366" t="str">
        <f>""</f>
        <v/>
      </c>
      <c r="DQ366" t="str">
        <f>""</f>
        <v/>
      </c>
      <c r="DR366" t="str">
        <f>""</f>
        <v/>
      </c>
      <c r="DS366" t="str">
        <f>""</f>
        <v/>
      </c>
      <c r="DT366" t="str">
        <f>""</f>
        <v/>
      </c>
      <c r="DU366" t="str">
        <f>""</f>
        <v/>
      </c>
      <c r="DV366" t="str">
        <f>""</f>
        <v/>
      </c>
      <c r="DW366" t="str">
        <f>""</f>
        <v/>
      </c>
      <c r="DX366" t="str">
        <f>""</f>
        <v/>
      </c>
      <c r="DY366" t="str">
        <f>""</f>
        <v/>
      </c>
      <c r="DZ366" t="str">
        <f>""</f>
        <v/>
      </c>
      <c r="EA366" t="str">
        <f>""</f>
        <v/>
      </c>
      <c r="EB366" t="str">
        <f>""</f>
        <v/>
      </c>
      <c r="EC366" t="str">
        <f>""</f>
        <v/>
      </c>
      <c r="ED366" t="str">
        <f>""</f>
        <v/>
      </c>
      <c r="EE366" t="str">
        <f>""</f>
        <v/>
      </c>
      <c r="EF366" t="str">
        <f>""</f>
        <v/>
      </c>
      <c r="EG366" t="str">
        <f>""</f>
        <v/>
      </c>
      <c r="EH366" t="str">
        <f>""</f>
        <v/>
      </c>
      <c r="EI366" t="str">
        <f>""</f>
        <v/>
      </c>
      <c r="EJ366" t="str">
        <f>""</f>
        <v/>
      </c>
      <c r="EK366" t="str">
        <f>""</f>
        <v/>
      </c>
      <c r="EL366" t="str">
        <f>""</f>
        <v/>
      </c>
      <c r="EM366" t="str">
        <f>""</f>
        <v/>
      </c>
      <c r="EN366" t="str">
        <f>""</f>
        <v/>
      </c>
      <c r="EO366" t="str">
        <f>""</f>
        <v/>
      </c>
      <c r="EP366" t="str">
        <f>""</f>
        <v/>
      </c>
      <c r="EQ366" t="str">
        <f>""</f>
        <v/>
      </c>
      <c r="ER366" t="str">
        <f>""</f>
        <v/>
      </c>
      <c r="ES366" t="str">
        <f>""</f>
        <v/>
      </c>
      <c r="ET366" t="str">
        <f>""</f>
        <v/>
      </c>
      <c r="EU366" t="str">
        <f>""</f>
        <v/>
      </c>
      <c r="EV366" t="str">
        <f>""</f>
        <v/>
      </c>
      <c r="EW366" t="str">
        <f>""</f>
        <v/>
      </c>
      <c r="EX366" t="str">
        <f>""</f>
        <v/>
      </c>
      <c r="EY366" t="str">
        <f>""</f>
        <v/>
      </c>
      <c r="EZ366" t="str">
        <f>""</f>
        <v/>
      </c>
      <c r="FA366" t="str">
        <f>""</f>
        <v/>
      </c>
      <c r="FB366" t="str">
        <f>""</f>
        <v/>
      </c>
      <c r="FC366" t="str">
        <f>""</f>
        <v/>
      </c>
      <c r="FD366" t="str">
        <f>""</f>
        <v/>
      </c>
      <c r="FE366" t="str">
        <f>""</f>
        <v/>
      </c>
      <c r="FF366" t="str">
        <f>""</f>
        <v/>
      </c>
      <c r="FG366" t="str">
        <f>""</f>
        <v/>
      </c>
      <c r="FH366" t="str">
        <f>""</f>
        <v/>
      </c>
      <c r="FI366" t="str">
        <f>""</f>
        <v/>
      </c>
      <c r="FJ366" t="str">
        <f>""</f>
        <v/>
      </c>
      <c r="FK366" t="str">
        <f>""</f>
        <v/>
      </c>
      <c r="FL366" t="str">
        <f>""</f>
        <v/>
      </c>
      <c r="FM366" t="str">
        <f>""</f>
        <v/>
      </c>
      <c r="FN366" t="str">
        <f>""</f>
        <v/>
      </c>
      <c r="FO366" t="str">
        <f>""</f>
        <v/>
      </c>
      <c r="FP366" t="str">
        <f>""</f>
        <v/>
      </c>
      <c r="FQ366" t="str">
        <f>""</f>
        <v/>
      </c>
    </row>
    <row r="367" spans="1:173">
      <c r="A367" t="str">
        <f>$A$158</f>
        <v xml:space="preserve">    Mid-America Apartment Communit</v>
      </c>
      <c r="B367" t="str">
        <f>$B$158</f>
        <v>MAA US Equity</v>
      </c>
      <c r="C367" t="str">
        <f>$C$158</f>
        <v>BE895</v>
      </c>
      <c r="D367" t="str">
        <f>$D$158</f>
        <v>BEST_AFFOPS</v>
      </c>
      <c r="E367" t="str">
        <f>$E$158</f>
        <v>动态</v>
      </c>
      <c r="F367" t="str">
        <f ca="1">BDH($B$158,$C$158,$B$250,$B$251,CONCATENATE("Per=",$B$248),"Dts=H","Dir=H",CONCATENATE("Points=",$B$249),"Sort=R","Days=A","Fill=B","BE997=17Y",CONCATENATE("FX=", $B$247) )</f>
        <v>#N/A Authorization</v>
      </c>
      <c r="CL367" t="str">
        <f>""</f>
        <v/>
      </c>
      <c r="CM367" t="str">
        <f>""</f>
        <v/>
      </c>
      <c r="CN367" t="str">
        <f>""</f>
        <v/>
      </c>
      <c r="CO367" t="str">
        <f>""</f>
        <v/>
      </c>
      <c r="CP367" t="str">
        <f>""</f>
        <v/>
      </c>
      <c r="CQ367" t="str">
        <f>""</f>
        <v/>
      </c>
      <c r="CR367" t="str">
        <f>""</f>
        <v/>
      </c>
      <c r="CS367" t="str">
        <f>""</f>
        <v/>
      </c>
      <c r="CT367" t="str">
        <f>""</f>
        <v/>
      </c>
      <c r="CU367" t="str">
        <f>""</f>
        <v/>
      </c>
      <c r="CV367" t="str">
        <f>""</f>
        <v/>
      </c>
      <c r="CW367" t="str">
        <f>""</f>
        <v/>
      </c>
      <c r="CX367" t="str">
        <f>""</f>
        <v/>
      </c>
      <c r="CY367" t="str">
        <f>""</f>
        <v/>
      </c>
      <c r="CZ367" t="str">
        <f>""</f>
        <v/>
      </c>
      <c r="DA367" t="str">
        <f>""</f>
        <v/>
      </c>
      <c r="DB367" t="str">
        <f>""</f>
        <v/>
      </c>
      <c r="DC367" t="str">
        <f>""</f>
        <v/>
      </c>
      <c r="DD367" t="str">
        <f>""</f>
        <v/>
      </c>
      <c r="DE367" t="str">
        <f>""</f>
        <v/>
      </c>
      <c r="DF367" t="str">
        <f>""</f>
        <v/>
      </c>
      <c r="DG367" t="str">
        <f>""</f>
        <v/>
      </c>
      <c r="DH367" t="str">
        <f>""</f>
        <v/>
      </c>
      <c r="DI367" t="str">
        <f>""</f>
        <v/>
      </c>
      <c r="DJ367" t="str">
        <f>""</f>
        <v/>
      </c>
      <c r="DK367" t="str">
        <f>""</f>
        <v/>
      </c>
      <c r="DL367" t="str">
        <f>""</f>
        <v/>
      </c>
      <c r="DM367" t="str">
        <f>""</f>
        <v/>
      </c>
      <c r="DN367" t="str">
        <f>""</f>
        <v/>
      </c>
      <c r="DO367" t="str">
        <f>""</f>
        <v/>
      </c>
      <c r="DP367" t="str">
        <f>""</f>
        <v/>
      </c>
      <c r="DQ367" t="str">
        <f>""</f>
        <v/>
      </c>
      <c r="DR367" t="str">
        <f>""</f>
        <v/>
      </c>
      <c r="DS367" t="str">
        <f>""</f>
        <v/>
      </c>
      <c r="DT367" t="str">
        <f>""</f>
        <v/>
      </c>
      <c r="DU367" t="str">
        <f>""</f>
        <v/>
      </c>
      <c r="DV367" t="str">
        <f>""</f>
        <v/>
      </c>
      <c r="DW367" t="str">
        <f>""</f>
        <v/>
      </c>
      <c r="DX367" t="str">
        <f>""</f>
        <v/>
      </c>
      <c r="DY367" t="str">
        <f>""</f>
        <v/>
      </c>
      <c r="DZ367" t="str">
        <f>""</f>
        <v/>
      </c>
      <c r="EA367" t="str">
        <f>""</f>
        <v/>
      </c>
      <c r="EB367" t="str">
        <f>""</f>
        <v/>
      </c>
      <c r="EC367" t="str">
        <f>""</f>
        <v/>
      </c>
      <c r="ED367" t="str">
        <f>""</f>
        <v/>
      </c>
      <c r="EE367" t="str">
        <f>""</f>
        <v/>
      </c>
      <c r="EF367" t="str">
        <f>""</f>
        <v/>
      </c>
      <c r="EG367" t="str">
        <f>""</f>
        <v/>
      </c>
      <c r="EH367" t="str">
        <f>""</f>
        <v/>
      </c>
      <c r="EI367" t="str">
        <f>""</f>
        <v/>
      </c>
      <c r="EJ367" t="str">
        <f>""</f>
        <v/>
      </c>
      <c r="EK367" t="str">
        <f>""</f>
        <v/>
      </c>
      <c r="EL367" t="str">
        <f>""</f>
        <v/>
      </c>
      <c r="EM367" t="str">
        <f>""</f>
        <v/>
      </c>
      <c r="EN367" t="str">
        <f>""</f>
        <v/>
      </c>
      <c r="EO367" t="str">
        <f>""</f>
        <v/>
      </c>
      <c r="EP367" t="str">
        <f>""</f>
        <v/>
      </c>
      <c r="EQ367" t="str">
        <f>""</f>
        <v/>
      </c>
      <c r="ER367" t="str">
        <f>""</f>
        <v/>
      </c>
      <c r="ES367" t="str">
        <f>""</f>
        <v/>
      </c>
      <c r="ET367" t="str">
        <f>""</f>
        <v/>
      </c>
      <c r="EU367" t="str">
        <f>""</f>
        <v/>
      </c>
      <c r="EV367" t="str">
        <f>""</f>
        <v/>
      </c>
      <c r="EW367" t="str">
        <f>""</f>
        <v/>
      </c>
      <c r="EX367" t="str">
        <f>""</f>
        <v/>
      </c>
      <c r="EY367" t="str">
        <f>""</f>
        <v/>
      </c>
      <c r="EZ367" t="str">
        <f>""</f>
        <v/>
      </c>
      <c r="FA367" t="str">
        <f>""</f>
        <v/>
      </c>
      <c r="FB367" t="str">
        <f>""</f>
        <v/>
      </c>
      <c r="FC367" t="str">
        <f>""</f>
        <v/>
      </c>
      <c r="FD367" t="str">
        <f>""</f>
        <v/>
      </c>
      <c r="FE367" t="str">
        <f>""</f>
        <v/>
      </c>
      <c r="FF367" t="str">
        <f>""</f>
        <v/>
      </c>
      <c r="FG367" t="str">
        <f>""</f>
        <v/>
      </c>
      <c r="FH367" t="str">
        <f>""</f>
        <v/>
      </c>
      <c r="FI367" t="str">
        <f>""</f>
        <v/>
      </c>
      <c r="FJ367" t="str">
        <f>""</f>
        <v/>
      </c>
      <c r="FK367" t="str">
        <f>""</f>
        <v/>
      </c>
      <c r="FL367" t="str">
        <f>""</f>
        <v/>
      </c>
      <c r="FM367" t="str">
        <f>""</f>
        <v/>
      </c>
      <c r="FN367" t="str">
        <f>""</f>
        <v/>
      </c>
      <c r="FO367" t="str">
        <f>""</f>
        <v/>
      </c>
      <c r="FP367" t="str">
        <f>""</f>
        <v/>
      </c>
      <c r="FQ367" t="str">
        <f>""</f>
        <v/>
      </c>
    </row>
    <row r="368" spans="1:173">
      <c r="A368" t="str">
        <f>$A$159</f>
        <v xml:space="preserve">    Monogram Residential Trust Inc</v>
      </c>
      <c r="B368" t="str">
        <f>$B$159</f>
        <v>MORE US Equity</v>
      </c>
      <c r="C368" t="str">
        <f>$C$159</f>
        <v>BE895</v>
      </c>
      <c r="D368" t="str">
        <f>$D$159</f>
        <v>BEST_AFFOPS</v>
      </c>
      <c r="E368" t="str">
        <f>$E$159</f>
        <v>动态</v>
      </c>
      <c r="F368" t="str">
        <f ca="1">BDH($B$159,$C$159,$B$250,$B$251,CONCATENATE("Per=",$B$248),"Dts=H","Dir=H",CONCATENATE("Points=",$B$249),"Sort=R","Days=A","Fill=B","BE997=17Y",CONCATENATE("FX=", $B$247) )</f>
        <v>#N/A Authorization</v>
      </c>
      <c r="CL368" t="str">
        <f>""</f>
        <v/>
      </c>
      <c r="CM368" t="str">
        <f>""</f>
        <v/>
      </c>
      <c r="CN368" t="str">
        <f>""</f>
        <v/>
      </c>
      <c r="CO368" t="str">
        <f>""</f>
        <v/>
      </c>
      <c r="CP368" t="str">
        <f>""</f>
        <v/>
      </c>
      <c r="CQ368" t="str">
        <f>""</f>
        <v/>
      </c>
      <c r="CR368" t="str">
        <f>""</f>
        <v/>
      </c>
      <c r="CS368" t="str">
        <f>""</f>
        <v/>
      </c>
      <c r="CT368" t="str">
        <f>""</f>
        <v/>
      </c>
      <c r="CU368" t="str">
        <f>""</f>
        <v/>
      </c>
      <c r="CV368" t="str">
        <f>""</f>
        <v/>
      </c>
      <c r="CW368" t="str">
        <f>""</f>
        <v/>
      </c>
      <c r="CX368" t="str">
        <f>""</f>
        <v/>
      </c>
      <c r="CY368" t="str">
        <f>""</f>
        <v/>
      </c>
      <c r="CZ368" t="str">
        <f>""</f>
        <v/>
      </c>
      <c r="DA368" t="str">
        <f>""</f>
        <v/>
      </c>
      <c r="DB368" t="str">
        <f>""</f>
        <v/>
      </c>
      <c r="DC368" t="str">
        <f>""</f>
        <v/>
      </c>
      <c r="DD368" t="str">
        <f>""</f>
        <v/>
      </c>
      <c r="DE368" t="str">
        <f>""</f>
        <v/>
      </c>
      <c r="DF368" t="str">
        <f>""</f>
        <v/>
      </c>
      <c r="DG368" t="str">
        <f>""</f>
        <v/>
      </c>
      <c r="DH368" t="str">
        <f>""</f>
        <v/>
      </c>
      <c r="DI368" t="str">
        <f>""</f>
        <v/>
      </c>
      <c r="DJ368" t="str">
        <f>""</f>
        <v/>
      </c>
      <c r="DK368" t="str">
        <f>""</f>
        <v/>
      </c>
      <c r="DL368" t="str">
        <f>""</f>
        <v/>
      </c>
      <c r="DM368" t="str">
        <f>""</f>
        <v/>
      </c>
      <c r="DN368" t="str">
        <f>""</f>
        <v/>
      </c>
      <c r="DO368" t="str">
        <f>""</f>
        <v/>
      </c>
      <c r="DP368" t="str">
        <f>""</f>
        <v/>
      </c>
      <c r="DQ368" t="str">
        <f>""</f>
        <v/>
      </c>
      <c r="DR368" t="str">
        <f>""</f>
        <v/>
      </c>
      <c r="DS368" t="str">
        <f>""</f>
        <v/>
      </c>
      <c r="DT368" t="str">
        <f>""</f>
        <v/>
      </c>
      <c r="DU368" t="str">
        <f>""</f>
        <v/>
      </c>
      <c r="DV368" t="str">
        <f>""</f>
        <v/>
      </c>
      <c r="DW368" t="str">
        <f>""</f>
        <v/>
      </c>
      <c r="DX368" t="str">
        <f>""</f>
        <v/>
      </c>
      <c r="DY368" t="str">
        <f>""</f>
        <v/>
      </c>
      <c r="DZ368" t="str">
        <f>""</f>
        <v/>
      </c>
      <c r="EA368" t="str">
        <f>""</f>
        <v/>
      </c>
      <c r="EB368" t="str">
        <f>""</f>
        <v/>
      </c>
      <c r="EC368" t="str">
        <f>""</f>
        <v/>
      </c>
      <c r="ED368" t="str">
        <f>""</f>
        <v/>
      </c>
      <c r="EE368" t="str">
        <f>""</f>
        <v/>
      </c>
      <c r="EF368" t="str">
        <f>""</f>
        <v/>
      </c>
      <c r="EG368" t="str">
        <f>""</f>
        <v/>
      </c>
      <c r="EH368" t="str">
        <f>""</f>
        <v/>
      </c>
      <c r="EI368" t="str">
        <f>""</f>
        <v/>
      </c>
      <c r="EJ368" t="str">
        <f>""</f>
        <v/>
      </c>
      <c r="EK368" t="str">
        <f>""</f>
        <v/>
      </c>
      <c r="EL368" t="str">
        <f>""</f>
        <v/>
      </c>
      <c r="EM368" t="str">
        <f>""</f>
        <v/>
      </c>
      <c r="EN368" t="str">
        <f>""</f>
        <v/>
      </c>
      <c r="EO368" t="str">
        <f>""</f>
        <v/>
      </c>
      <c r="EP368" t="str">
        <f>""</f>
        <v/>
      </c>
      <c r="EQ368" t="str">
        <f>""</f>
        <v/>
      </c>
      <c r="ER368" t="str">
        <f>""</f>
        <v/>
      </c>
      <c r="ES368" t="str">
        <f>""</f>
        <v/>
      </c>
      <c r="ET368" t="str">
        <f>""</f>
        <v/>
      </c>
      <c r="EU368" t="str">
        <f>""</f>
        <v/>
      </c>
      <c r="EV368" t="str">
        <f>""</f>
        <v/>
      </c>
      <c r="EW368" t="str">
        <f>""</f>
        <v/>
      </c>
      <c r="EX368" t="str">
        <f>""</f>
        <v/>
      </c>
      <c r="EY368" t="str">
        <f>""</f>
        <v/>
      </c>
      <c r="EZ368" t="str">
        <f>""</f>
        <v/>
      </c>
      <c r="FA368" t="str">
        <f>""</f>
        <v/>
      </c>
      <c r="FB368" t="str">
        <f>""</f>
        <v/>
      </c>
      <c r="FC368" t="str">
        <f>""</f>
        <v/>
      </c>
      <c r="FD368" t="str">
        <f>""</f>
        <v/>
      </c>
      <c r="FE368" t="str">
        <f>""</f>
        <v/>
      </c>
      <c r="FF368" t="str">
        <f>""</f>
        <v/>
      </c>
      <c r="FG368" t="str">
        <f>""</f>
        <v/>
      </c>
      <c r="FH368" t="str">
        <f>""</f>
        <v/>
      </c>
      <c r="FI368" t="str">
        <f>""</f>
        <v/>
      </c>
      <c r="FJ368" t="str">
        <f>""</f>
        <v/>
      </c>
      <c r="FK368" t="str">
        <f>""</f>
        <v/>
      </c>
      <c r="FL368" t="str">
        <f>""</f>
        <v/>
      </c>
      <c r="FM368" t="str">
        <f>""</f>
        <v/>
      </c>
      <c r="FN368" t="str">
        <f>""</f>
        <v/>
      </c>
      <c r="FO368" t="str">
        <f>""</f>
        <v/>
      </c>
      <c r="FP368" t="str">
        <f>""</f>
        <v/>
      </c>
      <c r="FQ368" t="str">
        <f>""</f>
        <v/>
      </c>
    </row>
    <row r="369" spans="1:173">
      <c r="A369" t="str">
        <f>$A$160</f>
        <v xml:space="preserve">    UDR Inc</v>
      </c>
      <c r="B369" t="str">
        <f>$B$160</f>
        <v>UDR US Equity</v>
      </c>
      <c r="C369" t="str">
        <f>$C$160</f>
        <v>BE895</v>
      </c>
      <c r="D369" t="str">
        <f>$D$160</f>
        <v>BEST_AFFOPS</v>
      </c>
      <c r="E369" t="str">
        <f>$E$160</f>
        <v>动态</v>
      </c>
      <c r="F369" t="str">
        <f ca="1">BDH($B$160,$C$160,$B$250,$B$251,CONCATENATE("Per=",$B$248),"Dts=H","Dir=H",CONCATENATE("Points=",$B$249),"Sort=R","Days=A","Fill=B","BE997=17Y",CONCATENATE("FX=", $B$247) )</f>
        <v>#N/A Authorization</v>
      </c>
      <c r="CL369" t="str">
        <f>""</f>
        <v/>
      </c>
      <c r="CM369" t="str">
        <f>""</f>
        <v/>
      </c>
      <c r="CN369" t="str">
        <f>""</f>
        <v/>
      </c>
      <c r="CO369" t="str">
        <f>""</f>
        <v/>
      </c>
      <c r="CP369" t="str">
        <f>""</f>
        <v/>
      </c>
      <c r="CQ369" t="str">
        <f>""</f>
        <v/>
      </c>
      <c r="CR369" t="str">
        <f>""</f>
        <v/>
      </c>
      <c r="CS369" t="str">
        <f>""</f>
        <v/>
      </c>
      <c r="CT369" t="str">
        <f>""</f>
        <v/>
      </c>
      <c r="CU369" t="str">
        <f>""</f>
        <v/>
      </c>
      <c r="CV369" t="str">
        <f>""</f>
        <v/>
      </c>
      <c r="CW369" t="str">
        <f>""</f>
        <v/>
      </c>
      <c r="CX369" t="str">
        <f>""</f>
        <v/>
      </c>
      <c r="CY369" t="str">
        <f>""</f>
        <v/>
      </c>
      <c r="CZ369" t="str">
        <f>""</f>
        <v/>
      </c>
      <c r="DA369" t="str">
        <f>""</f>
        <v/>
      </c>
      <c r="DB369" t="str">
        <f>""</f>
        <v/>
      </c>
      <c r="DC369" t="str">
        <f>""</f>
        <v/>
      </c>
      <c r="DD369" t="str">
        <f>""</f>
        <v/>
      </c>
      <c r="DE369" t="str">
        <f>""</f>
        <v/>
      </c>
      <c r="DF369" t="str">
        <f>""</f>
        <v/>
      </c>
      <c r="DG369" t="str">
        <f>""</f>
        <v/>
      </c>
      <c r="DH369" t="str">
        <f>""</f>
        <v/>
      </c>
      <c r="DI369" t="str">
        <f>""</f>
        <v/>
      </c>
      <c r="DJ369" t="str">
        <f>""</f>
        <v/>
      </c>
      <c r="DK369" t="str">
        <f>""</f>
        <v/>
      </c>
      <c r="DL369" t="str">
        <f>""</f>
        <v/>
      </c>
      <c r="DM369" t="str">
        <f>""</f>
        <v/>
      </c>
      <c r="DN369" t="str">
        <f>""</f>
        <v/>
      </c>
      <c r="DO369" t="str">
        <f>""</f>
        <v/>
      </c>
      <c r="DP369" t="str">
        <f>""</f>
        <v/>
      </c>
      <c r="DQ369" t="str">
        <f>""</f>
        <v/>
      </c>
      <c r="DR369" t="str">
        <f>""</f>
        <v/>
      </c>
      <c r="DS369" t="str">
        <f>""</f>
        <v/>
      </c>
      <c r="DT369" t="str">
        <f>""</f>
        <v/>
      </c>
      <c r="DU369" t="str">
        <f>""</f>
        <v/>
      </c>
      <c r="DV369" t="str">
        <f>""</f>
        <v/>
      </c>
      <c r="DW369" t="str">
        <f>""</f>
        <v/>
      </c>
      <c r="DX369" t="str">
        <f>""</f>
        <v/>
      </c>
      <c r="DY369" t="str">
        <f>""</f>
        <v/>
      </c>
      <c r="DZ369" t="str">
        <f>""</f>
        <v/>
      </c>
      <c r="EA369" t="str">
        <f>""</f>
        <v/>
      </c>
      <c r="EB369" t="str">
        <f>""</f>
        <v/>
      </c>
      <c r="EC369" t="str">
        <f>""</f>
        <v/>
      </c>
      <c r="ED369" t="str">
        <f>""</f>
        <v/>
      </c>
      <c r="EE369" t="str">
        <f>""</f>
        <v/>
      </c>
      <c r="EF369" t="str">
        <f>""</f>
        <v/>
      </c>
      <c r="EG369" t="str">
        <f>""</f>
        <v/>
      </c>
      <c r="EH369" t="str">
        <f>""</f>
        <v/>
      </c>
      <c r="EI369" t="str">
        <f>""</f>
        <v/>
      </c>
      <c r="EJ369" t="str">
        <f>""</f>
        <v/>
      </c>
      <c r="EK369" t="str">
        <f>""</f>
        <v/>
      </c>
      <c r="EL369" t="str">
        <f>""</f>
        <v/>
      </c>
      <c r="EM369" t="str">
        <f>""</f>
        <v/>
      </c>
      <c r="EN369" t="str">
        <f>""</f>
        <v/>
      </c>
      <c r="EO369" t="str">
        <f>""</f>
        <v/>
      </c>
      <c r="EP369" t="str">
        <f>""</f>
        <v/>
      </c>
      <c r="EQ369" t="str">
        <f>""</f>
        <v/>
      </c>
      <c r="ER369" t="str">
        <f>""</f>
        <v/>
      </c>
      <c r="ES369" t="str">
        <f>""</f>
        <v/>
      </c>
      <c r="ET369" t="str">
        <f>""</f>
        <v/>
      </c>
      <c r="EU369" t="str">
        <f>""</f>
        <v/>
      </c>
      <c r="EV369" t="str">
        <f>""</f>
        <v/>
      </c>
      <c r="EW369" t="str">
        <f>""</f>
        <v/>
      </c>
      <c r="EX369" t="str">
        <f>""</f>
        <v/>
      </c>
      <c r="EY369" t="str">
        <f>""</f>
        <v/>
      </c>
      <c r="EZ369" t="str">
        <f>""</f>
        <v/>
      </c>
      <c r="FA369" t="str">
        <f>""</f>
        <v/>
      </c>
      <c r="FB369" t="str">
        <f>""</f>
        <v/>
      </c>
      <c r="FC369" t="str">
        <f>""</f>
        <v/>
      </c>
      <c r="FD369" t="str">
        <f>""</f>
        <v/>
      </c>
      <c r="FE369" t="str">
        <f>""</f>
        <v/>
      </c>
      <c r="FF369" t="str">
        <f>""</f>
        <v/>
      </c>
      <c r="FG369" t="str">
        <f>""</f>
        <v/>
      </c>
      <c r="FH369" t="str">
        <f>""</f>
        <v/>
      </c>
      <c r="FI369" t="str">
        <f>""</f>
        <v/>
      </c>
      <c r="FJ369" t="str">
        <f>""</f>
        <v/>
      </c>
      <c r="FK369" t="str">
        <f>""</f>
        <v/>
      </c>
      <c r="FL369" t="str">
        <f>""</f>
        <v/>
      </c>
      <c r="FM369" t="str">
        <f>""</f>
        <v/>
      </c>
      <c r="FN369" t="str">
        <f>""</f>
        <v/>
      </c>
      <c r="FO369" t="str">
        <f>""</f>
        <v/>
      </c>
      <c r="FP369" t="str">
        <f>""</f>
        <v/>
      </c>
      <c r="FQ369" t="str">
        <f>""</f>
        <v/>
      </c>
    </row>
    <row r="370" spans="1:173">
      <c r="A370" t="str">
        <f>$A$162</f>
        <v xml:space="preserve">    Apartment Investment &amp; Managem</v>
      </c>
      <c r="B370" t="str">
        <f>$B$162</f>
        <v>AIV US Equity</v>
      </c>
      <c r="C370" t="str">
        <f>$C$162</f>
        <v>BE895</v>
      </c>
      <c r="D370" t="str">
        <f>$D$162</f>
        <v>BEST_AFFOPS</v>
      </c>
      <c r="E370" t="str">
        <f>$E$162</f>
        <v>动态</v>
      </c>
      <c r="F370" t="str">
        <f ca="1">BDH($B$162,$C$162,$B$250,$B$251,CONCATENATE("Per=",$B$248),"Dts=H","Dir=H",CONCATENATE("Points=",$B$249),"Sort=R","Days=A","Fill=B","BE997=18Y",CONCATENATE("FX=", $B$247) )</f>
        <v>#N/A Authorization</v>
      </c>
      <c r="CL370" t="str">
        <f>""</f>
        <v/>
      </c>
      <c r="CM370" t="str">
        <f>""</f>
        <v/>
      </c>
      <c r="CN370" t="str">
        <f>""</f>
        <v/>
      </c>
      <c r="CO370" t="str">
        <f>""</f>
        <v/>
      </c>
      <c r="CP370" t="str">
        <f>""</f>
        <v/>
      </c>
      <c r="CQ370" t="str">
        <f>""</f>
        <v/>
      </c>
      <c r="CR370" t="str">
        <f>""</f>
        <v/>
      </c>
      <c r="CS370" t="str">
        <f>""</f>
        <v/>
      </c>
      <c r="CT370" t="str">
        <f>""</f>
        <v/>
      </c>
      <c r="CU370" t="str">
        <f>""</f>
        <v/>
      </c>
      <c r="CV370" t="str">
        <f>""</f>
        <v/>
      </c>
      <c r="CW370" t="str">
        <f>""</f>
        <v/>
      </c>
      <c r="CX370" t="str">
        <f>""</f>
        <v/>
      </c>
      <c r="CY370" t="str">
        <f>""</f>
        <v/>
      </c>
      <c r="CZ370" t="str">
        <f>""</f>
        <v/>
      </c>
      <c r="DA370" t="str">
        <f>""</f>
        <v/>
      </c>
      <c r="DB370" t="str">
        <f>""</f>
        <v/>
      </c>
      <c r="DC370" t="str">
        <f>""</f>
        <v/>
      </c>
      <c r="DD370" t="str">
        <f>""</f>
        <v/>
      </c>
      <c r="DE370" t="str">
        <f>""</f>
        <v/>
      </c>
      <c r="DF370" t="str">
        <f>""</f>
        <v/>
      </c>
      <c r="DG370" t="str">
        <f>""</f>
        <v/>
      </c>
      <c r="DH370" t="str">
        <f>""</f>
        <v/>
      </c>
      <c r="DI370" t="str">
        <f>""</f>
        <v/>
      </c>
      <c r="DJ370" t="str">
        <f>""</f>
        <v/>
      </c>
      <c r="DK370" t="str">
        <f>""</f>
        <v/>
      </c>
      <c r="DL370" t="str">
        <f>""</f>
        <v/>
      </c>
      <c r="DM370" t="str">
        <f>""</f>
        <v/>
      </c>
      <c r="DN370" t="str">
        <f>""</f>
        <v/>
      </c>
      <c r="DO370" t="str">
        <f>""</f>
        <v/>
      </c>
      <c r="DP370" t="str">
        <f>""</f>
        <v/>
      </c>
      <c r="DQ370" t="str">
        <f>""</f>
        <v/>
      </c>
      <c r="DR370" t="str">
        <f>""</f>
        <v/>
      </c>
      <c r="DS370" t="str">
        <f>""</f>
        <v/>
      </c>
      <c r="DT370" t="str">
        <f>""</f>
        <v/>
      </c>
      <c r="DU370" t="str">
        <f>""</f>
        <v/>
      </c>
      <c r="DV370" t="str">
        <f>""</f>
        <v/>
      </c>
      <c r="DW370" t="str">
        <f>""</f>
        <v/>
      </c>
      <c r="DX370" t="str">
        <f>""</f>
        <v/>
      </c>
      <c r="DY370" t="str">
        <f>""</f>
        <v/>
      </c>
      <c r="DZ370" t="str">
        <f>""</f>
        <v/>
      </c>
      <c r="EA370" t="str">
        <f>""</f>
        <v/>
      </c>
      <c r="EB370" t="str">
        <f>""</f>
        <v/>
      </c>
      <c r="EC370" t="str">
        <f>""</f>
        <v/>
      </c>
      <c r="ED370" t="str">
        <f>""</f>
        <v/>
      </c>
      <c r="EE370" t="str">
        <f>""</f>
        <v/>
      </c>
      <c r="EF370" t="str">
        <f>""</f>
        <v/>
      </c>
      <c r="EG370" t="str">
        <f>""</f>
        <v/>
      </c>
      <c r="EH370" t="str">
        <f>""</f>
        <v/>
      </c>
      <c r="EI370" t="str">
        <f>""</f>
        <v/>
      </c>
      <c r="EJ370" t="str">
        <f>""</f>
        <v/>
      </c>
      <c r="EK370" t="str">
        <f>""</f>
        <v/>
      </c>
      <c r="EL370" t="str">
        <f>""</f>
        <v/>
      </c>
      <c r="EM370" t="str">
        <f>""</f>
        <v/>
      </c>
      <c r="EN370" t="str">
        <f>""</f>
        <v/>
      </c>
      <c r="EO370" t="str">
        <f>""</f>
        <v/>
      </c>
      <c r="EP370" t="str">
        <f>""</f>
        <v/>
      </c>
      <c r="EQ370" t="str">
        <f>""</f>
        <v/>
      </c>
      <c r="ER370" t="str">
        <f>""</f>
        <v/>
      </c>
      <c r="ES370" t="str">
        <f>""</f>
        <v/>
      </c>
      <c r="ET370" t="str">
        <f>""</f>
        <v/>
      </c>
      <c r="EU370" t="str">
        <f>""</f>
        <v/>
      </c>
      <c r="EV370" t="str">
        <f>""</f>
        <v/>
      </c>
      <c r="EW370" t="str">
        <f>""</f>
        <v/>
      </c>
      <c r="EX370" t="str">
        <f>""</f>
        <v/>
      </c>
      <c r="EY370" t="str">
        <f>""</f>
        <v/>
      </c>
      <c r="EZ370" t="str">
        <f>""</f>
        <v/>
      </c>
      <c r="FA370" t="str">
        <f>""</f>
        <v/>
      </c>
      <c r="FB370" t="str">
        <f>""</f>
        <v/>
      </c>
      <c r="FC370" t="str">
        <f>""</f>
        <v/>
      </c>
      <c r="FD370" t="str">
        <f>""</f>
        <v/>
      </c>
      <c r="FE370" t="str">
        <f>""</f>
        <v/>
      </c>
      <c r="FF370" t="str">
        <f>""</f>
        <v/>
      </c>
      <c r="FG370" t="str">
        <f>""</f>
        <v/>
      </c>
      <c r="FH370" t="str">
        <f>""</f>
        <v/>
      </c>
      <c r="FI370" t="str">
        <f>""</f>
        <v/>
      </c>
      <c r="FJ370" t="str">
        <f>""</f>
        <v/>
      </c>
      <c r="FK370" t="str">
        <f>""</f>
        <v/>
      </c>
      <c r="FL370" t="str">
        <f>""</f>
        <v/>
      </c>
      <c r="FM370" t="str">
        <f>""</f>
        <v/>
      </c>
      <c r="FN370" t="str">
        <f>""</f>
        <v/>
      </c>
      <c r="FO370" t="str">
        <f>""</f>
        <v/>
      </c>
      <c r="FP370" t="str">
        <f>""</f>
        <v/>
      </c>
      <c r="FQ370" t="str">
        <f>""</f>
        <v/>
      </c>
    </row>
    <row r="371" spans="1:173">
      <c r="A371" t="str">
        <f>$A$163</f>
        <v xml:space="preserve">    AvalonBay Communities Inc</v>
      </c>
      <c r="B371" t="str">
        <f>$B$163</f>
        <v>AVB US Equity</v>
      </c>
      <c r="C371" t="str">
        <f>$C$163</f>
        <v>BE895</v>
      </c>
      <c r="D371" t="str">
        <f>$D$163</f>
        <v>BEST_AFFOPS</v>
      </c>
      <c r="E371" t="str">
        <f>$E$163</f>
        <v>动态</v>
      </c>
      <c r="F371" t="str">
        <f ca="1">BDH($B$163,$C$163,$B$250,$B$251,CONCATENATE("Per=",$B$248),"Dts=H","Dir=H",CONCATENATE("Points=",$B$249),"Sort=R","Days=A","Fill=B","BE997=18Y",CONCATENATE("FX=", $B$247) )</f>
        <v>#N/A Authorization</v>
      </c>
      <c r="CL371" t="str">
        <f>""</f>
        <v/>
      </c>
      <c r="CM371" t="str">
        <f>""</f>
        <v/>
      </c>
      <c r="CN371" t="str">
        <f>""</f>
        <v/>
      </c>
      <c r="CO371" t="str">
        <f>""</f>
        <v/>
      </c>
      <c r="CP371" t="str">
        <f>""</f>
        <v/>
      </c>
      <c r="CQ371" t="str">
        <f>""</f>
        <v/>
      </c>
      <c r="CR371" t="str">
        <f>""</f>
        <v/>
      </c>
      <c r="CS371" t="str">
        <f>""</f>
        <v/>
      </c>
      <c r="CT371" t="str">
        <f>""</f>
        <v/>
      </c>
      <c r="CU371" t="str">
        <f>""</f>
        <v/>
      </c>
      <c r="CV371" t="str">
        <f>""</f>
        <v/>
      </c>
      <c r="CW371" t="str">
        <f>""</f>
        <v/>
      </c>
      <c r="CX371" t="str">
        <f>""</f>
        <v/>
      </c>
      <c r="CY371" t="str">
        <f>""</f>
        <v/>
      </c>
      <c r="CZ371" t="str">
        <f>""</f>
        <v/>
      </c>
      <c r="DA371" t="str">
        <f>""</f>
        <v/>
      </c>
      <c r="DB371" t="str">
        <f>""</f>
        <v/>
      </c>
      <c r="DC371" t="str">
        <f>""</f>
        <v/>
      </c>
      <c r="DD371" t="str">
        <f>""</f>
        <v/>
      </c>
      <c r="DE371" t="str">
        <f>""</f>
        <v/>
      </c>
      <c r="DF371" t="str">
        <f>""</f>
        <v/>
      </c>
      <c r="DG371" t="str">
        <f>""</f>
        <v/>
      </c>
      <c r="DH371" t="str">
        <f>""</f>
        <v/>
      </c>
      <c r="DI371" t="str">
        <f>""</f>
        <v/>
      </c>
      <c r="DJ371" t="str">
        <f>""</f>
        <v/>
      </c>
      <c r="DK371" t="str">
        <f>""</f>
        <v/>
      </c>
      <c r="DL371" t="str">
        <f>""</f>
        <v/>
      </c>
      <c r="DM371" t="str">
        <f>""</f>
        <v/>
      </c>
      <c r="DN371" t="str">
        <f>""</f>
        <v/>
      </c>
      <c r="DO371" t="str">
        <f>""</f>
        <v/>
      </c>
      <c r="DP371" t="str">
        <f>""</f>
        <v/>
      </c>
      <c r="DQ371" t="str">
        <f>""</f>
        <v/>
      </c>
      <c r="DR371" t="str">
        <f>""</f>
        <v/>
      </c>
      <c r="DS371" t="str">
        <f>""</f>
        <v/>
      </c>
      <c r="DT371" t="str">
        <f>""</f>
        <v/>
      </c>
      <c r="DU371" t="str">
        <f>""</f>
        <v/>
      </c>
      <c r="DV371" t="str">
        <f>""</f>
        <v/>
      </c>
      <c r="DW371" t="str">
        <f>""</f>
        <v/>
      </c>
      <c r="DX371" t="str">
        <f>""</f>
        <v/>
      </c>
      <c r="DY371" t="str">
        <f>""</f>
        <v/>
      </c>
      <c r="DZ371" t="str">
        <f>""</f>
        <v/>
      </c>
      <c r="EA371" t="str">
        <f>""</f>
        <v/>
      </c>
      <c r="EB371" t="str">
        <f>""</f>
        <v/>
      </c>
      <c r="EC371" t="str">
        <f>""</f>
        <v/>
      </c>
      <c r="ED371" t="str">
        <f>""</f>
        <v/>
      </c>
      <c r="EE371" t="str">
        <f>""</f>
        <v/>
      </c>
      <c r="EF371" t="str">
        <f>""</f>
        <v/>
      </c>
      <c r="EG371" t="str">
        <f>""</f>
        <v/>
      </c>
      <c r="EH371" t="str">
        <f>""</f>
        <v/>
      </c>
      <c r="EI371" t="str">
        <f>""</f>
        <v/>
      </c>
      <c r="EJ371" t="str">
        <f>""</f>
        <v/>
      </c>
      <c r="EK371" t="str">
        <f>""</f>
        <v/>
      </c>
      <c r="EL371" t="str">
        <f>""</f>
        <v/>
      </c>
      <c r="EM371" t="str">
        <f>""</f>
        <v/>
      </c>
      <c r="EN371" t="str">
        <f>""</f>
        <v/>
      </c>
      <c r="EO371" t="str">
        <f>""</f>
        <v/>
      </c>
      <c r="EP371" t="str">
        <f>""</f>
        <v/>
      </c>
      <c r="EQ371" t="str">
        <f>""</f>
        <v/>
      </c>
      <c r="ER371" t="str">
        <f>""</f>
        <v/>
      </c>
      <c r="ES371" t="str">
        <f>""</f>
        <v/>
      </c>
      <c r="ET371" t="str">
        <f>""</f>
        <v/>
      </c>
      <c r="EU371" t="str">
        <f>""</f>
        <v/>
      </c>
      <c r="EV371" t="str">
        <f>""</f>
        <v/>
      </c>
      <c r="EW371" t="str">
        <f>""</f>
        <v/>
      </c>
      <c r="EX371" t="str">
        <f>""</f>
        <v/>
      </c>
      <c r="EY371" t="str">
        <f>""</f>
        <v/>
      </c>
      <c r="EZ371" t="str">
        <f>""</f>
        <v/>
      </c>
      <c r="FA371" t="str">
        <f>""</f>
        <v/>
      </c>
      <c r="FB371" t="str">
        <f>""</f>
        <v/>
      </c>
      <c r="FC371" t="str">
        <f>""</f>
        <v/>
      </c>
      <c r="FD371" t="str">
        <f>""</f>
        <v/>
      </c>
      <c r="FE371" t="str">
        <f>""</f>
        <v/>
      </c>
      <c r="FF371" t="str">
        <f>""</f>
        <v/>
      </c>
      <c r="FG371" t="str">
        <f>""</f>
        <v/>
      </c>
      <c r="FH371" t="str">
        <f>""</f>
        <v/>
      </c>
      <c r="FI371" t="str">
        <f>""</f>
        <v/>
      </c>
      <c r="FJ371" t="str">
        <f>""</f>
        <v/>
      </c>
      <c r="FK371" t="str">
        <f>""</f>
        <v/>
      </c>
      <c r="FL371" t="str">
        <f>""</f>
        <v/>
      </c>
      <c r="FM371" t="str">
        <f>""</f>
        <v/>
      </c>
      <c r="FN371" t="str">
        <f>""</f>
        <v/>
      </c>
      <c r="FO371" t="str">
        <f>""</f>
        <v/>
      </c>
      <c r="FP371" t="str">
        <f>""</f>
        <v/>
      </c>
      <c r="FQ371" t="str">
        <f>""</f>
        <v/>
      </c>
    </row>
    <row r="372" spans="1:173">
      <c r="A372" t="str">
        <f>$A$164</f>
        <v xml:space="preserve">    Camden Property Trust</v>
      </c>
      <c r="B372" t="str">
        <f>$B$164</f>
        <v>CPT US Equity</v>
      </c>
      <c r="C372" t="str">
        <f>$C$164</f>
        <v>BE895</v>
      </c>
      <c r="D372" t="str">
        <f>$D$164</f>
        <v>BEST_AFFOPS</v>
      </c>
      <c r="E372" t="str">
        <f>$E$164</f>
        <v>动态</v>
      </c>
      <c r="F372" t="str">
        <f ca="1">BDH($B$164,$C$164,$B$250,$B$251,CONCATENATE("Per=",$B$248),"Dts=H","Dir=H",CONCATENATE("Points=",$B$249),"Sort=R","Days=A","Fill=B","BE997=18Y",CONCATENATE("FX=", $B$247) )</f>
        <v>#N/A Authorization</v>
      </c>
      <c r="CL372" t="str">
        <f>""</f>
        <v/>
      </c>
      <c r="CM372" t="str">
        <f>""</f>
        <v/>
      </c>
      <c r="CN372" t="str">
        <f>""</f>
        <v/>
      </c>
      <c r="CO372" t="str">
        <f>""</f>
        <v/>
      </c>
      <c r="CP372" t="str">
        <f>""</f>
        <v/>
      </c>
      <c r="CQ372" t="str">
        <f>""</f>
        <v/>
      </c>
      <c r="CR372" t="str">
        <f>""</f>
        <v/>
      </c>
      <c r="CS372" t="str">
        <f>""</f>
        <v/>
      </c>
      <c r="CT372" t="str">
        <f>""</f>
        <v/>
      </c>
      <c r="CU372" t="str">
        <f>""</f>
        <v/>
      </c>
      <c r="CV372" t="str">
        <f>""</f>
        <v/>
      </c>
      <c r="CW372" t="str">
        <f>""</f>
        <v/>
      </c>
      <c r="CX372" t="str">
        <f>""</f>
        <v/>
      </c>
      <c r="CY372" t="str">
        <f>""</f>
        <v/>
      </c>
      <c r="CZ372" t="str">
        <f>""</f>
        <v/>
      </c>
      <c r="DA372" t="str">
        <f>""</f>
        <v/>
      </c>
      <c r="DB372" t="str">
        <f>""</f>
        <v/>
      </c>
      <c r="DC372" t="str">
        <f>""</f>
        <v/>
      </c>
      <c r="DD372" t="str">
        <f>""</f>
        <v/>
      </c>
      <c r="DE372" t="str">
        <f>""</f>
        <v/>
      </c>
      <c r="DF372" t="str">
        <f>""</f>
        <v/>
      </c>
      <c r="DG372" t="str">
        <f>""</f>
        <v/>
      </c>
      <c r="DH372" t="str">
        <f>""</f>
        <v/>
      </c>
      <c r="DI372" t="str">
        <f>""</f>
        <v/>
      </c>
      <c r="DJ372" t="str">
        <f>""</f>
        <v/>
      </c>
      <c r="DK372" t="str">
        <f>""</f>
        <v/>
      </c>
      <c r="DL372" t="str">
        <f>""</f>
        <v/>
      </c>
      <c r="DM372" t="str">
        <f>""</f>
        <v/>
      </c>
      <c r="DN372" t="str">
        <f>""</f>
        <v/>
      </c>
      <c r="DO372" t="str">
        <f>""</f>
        <v/>
      </c>
      <c r="DP372" t="str">
        <f>""</f>
        <v/>
      </c>
      <c r="DQ372" t="str">
        <f>""</f>
        <v/>
      </c>
      <c r="DR372" t="str">
        <f>""</f>
        <v/>
      </c>
      <c r="DS372" t="str">
        <f>""</f>
        <v/>
      </c>
      <c r="DT372" t="str">
        <f>""</f>
        <v/>
      </c>
      <c r="DU372" t="str">
        <f>""</f>
        <v/>
      </c>
      <c r="DV372" t="str">
        <f>""</f>
        <v/>
      </c>
      <c r="DW372" t="str">
        <f>""</f>
        <v/>
      </c>
      <c r="DX372" t="str">
        <f>""</f>
        <v/>
      </c>
      <c r="DY372" t="str">
        <f>""</f>
        <v/>
      </c>
      <c r="DZ372" t="str">
        <f>""</f>
        <v/>
      </c>
      <c r="EA372" t="str">
        <f>""</f>
        <v/>
      </c>
      <c r="EB372" t="str">
        <f>""</f>
        <v/>
      </c>
      <c r="EC372" t="str">
        <f>""</f>
        <v/>
      </c>
      <c r="ED372" t="str">
        <f>""</f>
        <v/>
      </c>
      <c r="EE372" t="str">
        <f>""</f>
        <v/>
      </c>
      <c r="EF372" t="str">
        <f>""</f>
        <v/>
      </c>
      <c r="EG372" t="str">
        <f>""</f>
        <v/>
      </c>
      <c r="EH372" t="str">
        <f>""</f>
        <v/>
      </c>
      <c r="EI372" t="str">
        <f>""</f>
        <v/>
      </c>
      <c r="EJ372" t="str">
        <f>""</f>
        <v/>
      </c>
      <c r="EK372" t="str">
        <f>""</f>
        <v/>
      </c>
      <c r="EL372" t="str">
        <f>""</f>
        <v/>
      </c>
      <c r="EM372" t="str">
        <f>""</f>
        <v/>
      </c>
      <c r="EN372" t="str">
        <f>""</f>
        <v/>
      </c>
      <c r="EO372" t="str">
        <f>""</f>
        <v/>
      </c>
      <c r="EP372" t="str">
        <f>""</f>
        <v/>
      </c>
      <c r="EQ372" t="str">
        <f>""</f>
        <v/>
      </c>
      <c r="ER372" t="str">
        <f>""</f>
        <v/>
      </c>
      <c r="ES372" t="str">
        <f>""</f>
        <v/>
      </c>
      <c r="ET372" t="str">
        <f>""</f>
        <v/>
      </c>
      <c r="EU372" t="str">
        <f>""</f>
        <v/>
      </c>
      <c r="EV372" t="str">
        <f>""</f>
        <v/>
      </c>
      <c r="EW372" t="str">
        <f>""</f>
        <v/>
      </c>
      <c r="EX372" t="str">
        <f>""</f>
        <v/>
      </c>
      <c r="EY372" t="str">
        <f>""</f>
        <v/>
      </c>
      <c r="EZ372" t="str">
        <f>""</f>
        <v/>
      </c>
      <c r="FA372" t="str">
        <f>""</f>
        <v/>
      </c>
      <c r="FB372" t="str">
        <f>""</f>
        <v/>
      </c>
      <c r="FC372" t="str">
        <f>""</f>
        <v/>
      </c>
      <c r="FD372" t="str">
        <f>""</f>
        <v/>
      </c>
      <c r="FE372" t="str">
        <f>""</f>
        <v/>
      </c>
      <c r="FF372" t="str">
        <f>""</f>
        <v/>
      </c>
      <c r="FG372" t="str">
        <f>""</f>
        <v/>
      </c>
      <c r="FH372" t="str">
        <f>""</f>
        <v/>
      </c>
      <c r="FI372" t="str">
        <f>""</f>
        <v/>
      </c>
      <c r="FJ372" t="str">
        <f>""</f>
        <v/>
      </c>
      <c r="FK372" t="str">
        <f>""</f>
        <v/>
      </c>
      <c r="FL372" t="str">
        <f>""</f>
        <v/>
      </c>
      <c r="FM372" t="str">
        <f>""</f>
        <v/>
      </c>
      <c r="FN372" t="str">
        <f>""</f>
        <v/>
      </c>
      <c r="FO372" t="str">
        <f>""</f>
        <v/>
      </c>
      <c r="FP372" t="str">
        <f>""</f>
        <v/>
      </c>
      <c r="FQ372" t="str">
        <f>""</f>
        <v/>
      </c>
    </row>
    <row r="373" spans="1:173">
      <c r="A373" t="str">
        <f>$A$165</f>
        <v xml:space="preserve">    Equity Residential</v>
      </c>
      <c r="B373" t="str">
        <f>$B$165</f>
        <v>EQR US Equity</v>
      </c>
      <c r="C373" t="str">
        <f>$C$165</f>
        <v>BE895</v>
      </c>
      <c r="D373" t="str">
        <f>$D$165</f>
        <v>BEST_AFFOPS</v>
      </c>
      <c r="E373" t="str">
        <f>$E$165</f>
        <v>动态</v>
      </c>
      <c r="F373" t="str">
        <f ca="1">BDH($B$165,$C$165,$B$250,$B$251,CONCATENATE("Per=",$B$248),"Dts=H","Dir=H",CONCATENATE("Points=",$B$249),"Sort=R","Days=A","Fill=B","BE997=18Y",CONCATENATE("FX=", $B$247) )</f>
        <v>#N/A Authorization</v>
      </c>
      <c r="CL373" t="str">
        <f>""</f>
        <v/>
      </c>
      <c r="CM373" t="str">
        <f>""</f>
        <v/>
      </c>
      <c r="CN373" t="str">
        <f>""</f>
        <v/>
      </c>
      <c r="CO373" t="str">
        <f>""</f>
        <v/>
      </c>
      <c r="CP373" t="str">
        <f>""</f>
        <v/>
      </c>
      <c r="CQ373" t="str">
        <f>""</f>
        <v/>
      </c>
      <c r="CR373" t="str">
        <f>""</f>
        <v/>
      </c>
      <c r="CS373" t="str">
        <f>""</f>
        <v/>
      </c>
      <c r="CT373" t="str">
        <f>""</f>
        <v/>
      </c>
      <c r="CU373" t="str">
        <f>""</f>
        <v/>
      </c>
      <c r="CV373" t="str">
        <f>""</f>
        <v/>
      </c>
      <c r="CW373" t="str">
        <f>""</f>
        <v/>
      </c>
      <c r="CX373" t="str">
        <f>""</f>
        <v/>
      </c>
      <c r="CY373" t="str">
        <f>""</f>
        <v/>
      </c>
      <c r="CZ373" t="str">
        <f>""</f>
        <v/>
      </c>
      <c r="DA373" t="str">
        <f>""</f>
        <v/>
      </c>
      <c r="DB373" t="str">
        <f>""</f>
        <v/>
      </c>
      <c r="DC373" t="str">
        <f>""</f>
        <v/>
      </c>
      <c r="DD373" t="str">
        <f>""</f>
        <v/>
      </c>
      <c r="DE373" t="str">
        <f>""</f>
        <v/>
      </c>
      <c r="DF373" t="str">
        <f>""</f>
        <v/>
      </c>
      <c r="DG373" t="str">
        <f>""</f>
        <v/>
      </c>
      <c r="DH373" t="str">
        <f>""</f>
        <v/>
      </c>
      <c r="DI373" t="str">
        <f>""</f>
        <v/>
      </c>
      <c r="DJ373" t="str">
        <f>""</f>
        <v/>
      </c>
      <c r="DK373" t="str">
        <f>""</f>
        <v/>
      </c>
      <c r="DL373" t="str">
        <f>""</f>
        <v/>
      </c>
      <c r="DM373" t="str">
        <f>""</f>
        <v/>
      </c>
      <c r="DN373" t="str">
        <f>""</f>
        <v/>
      </c>
      <c r="DO373" t="str">
        <f>""</f>
        <v/>
      </c>
      <c r="DP373" t="str">
        <f>""</f>
        <v/>
      </c>
      <c r="DQ373" t="str">
        <f>""</f>
        <v/>
      </c>
      <c r="DR373" t="str">
        <f>""</f>
        <v/>
      </c>
      <c r="DS373" t="str">
        <f>""</f>
        <v/>
      </c>
      <c r="DT373" t="str">
        <f>""</f>
        <v/>
      </c>
      <c r="DU373" t="str">
        <f>""</f>
        <v/>
      </c>
      <c r="DV373" t="str">
        <f>""</f>
        <v/>
      </c>
      <c r="DW373" t="str">
        <f>""</f>
        <v/>
      </c>
      <c r="DX373" t="str">
        <f>""</f>
        <v/>
      </c>
      <c r="DY373" t="str">
        <f>""</f>
        <v/>
      </c>
      <c r="DZ373" t="str">
        <f>""</f>
        <v/>
      </c>
      <c r="EA373" t="str">
        <f>""</f>
        <v/>
      </c>
      <c r="EB373" t="str">
        <f>""</f>
        <v/>
      </c>
      <c r="EC373" t="str">
        <f>""</f>
        <v/>
      </c>
      <c r="ED373" t="str">
        <f>""</f>
        <v/>
      </c>
      <c r="EE373" t="str">
        <f>""</f>
        <v/>
      </c>
      <c r="EF373" t="str">
        <f>""</f>
        <v/>
      </c>
      <c r="EG373" t="str">
        <f>""</f>
        <v/>
      </c>
      <c r="EH373" t="str">
        <f>""</f>
        <v/>
      </c>
      <c r="EI373" t="str">
        <f>""</f>
        <v/>
      </c>
      <c r="EJ373" t="str">
        <f>""</f>
        <v/>
      </c>
      <c r="EK373" t="str">
        <f>""</f>
        <v/>
      </c>
      <c r="EL373" t="str">
        <f>""</f>
        <v/>
      </c>
      <c r="EM373" t="str">
        <f>""</f>
        <v/>
      </c>
      <c r="EN373" t="str">
        <f>""</f>
        <v/>
      </c>
      <c r="EO373" t="str">
        <f>""</f>
        <v/>
      </c>
      <c r="EP373" t="str">
        <f>""</f>
        <v/>
      </c>
      <c r="EQ373" t="str">
        <f>""</f>
        <v/>
      </c>
      <c r="ER373" t="str">
        <f>""</f>
        <v/>
      </c>
      <c r="ES373" t="str">
        <f>""</f>
        <v/>
      </c>
      <c r="ET373" t="str">
        <f>""</f>
        <v/>
      </c>
      <c r="EU373" t="str">
        <f>""</f>
        <v/>
      </c>
      <c r="EV373" t="str">
        <f>""</f>
        <v/>
      </c>
      <c r="EW373" t="str">
        <f>""</f>
        <v/>
      </c>
      <c r="EX373" t="str">
        <f>""</f>
        <v/>
      </c>
      <c r="EY373" t="str">
        <f>""</f>
        <v/>
      </c>
      <c r="EZ373" t="str">
        <f>""</f>
        <v/>
      </c>
      <c r="FA373" t="str">
        <f>""</f>
        <v/>
      </c>
      <c r="FB373" t="str">
        <f>""</f>
        <v/>
      </c>
      <c r="FC373" t="str">
        <f>""</f>
        <v/>
      </c>
      <c r="FD373" t="str">
        <f>""</f>
        <v/>
      </c>
      <c r="FE373" t="str">
        <f>""</f>
        <v/>
      </c>
      <c r="FF373" t="str">
        <f>""</f>
        <v/>
      </c>
      <c r="FG373" t="str">
        <f>""</f>
        <v/>
      </c>
      <c r="FH373" t="str">
        <f>""</f>
        <v/>
      </c>
      <c r="FI373" t="str">
        <f>""</f>
        <v/>
      </c>
      <c r="FJ373" t="str">
        <f>""</f>
        <v/>
      </c>
      <c r="FK373" t="str">
        <f>""</f>
        <v/>
      </c>
      <c r="FL373" t="str">
        <f>""</f>
        <v/>
      </c>
      <c r="FM373" t="str">
        <f>""</f>
        <v/>
      </c>
      <c r="FN373" t="str">
        <f>""</f>
        <v/>
      </c>
      <c r="FO373" t="str">
        <f>""</f>
        <v/>
      </c>
      <c r="FP373" t="str">
        <f>""</f>
        <v/>
      </c>
      <c r="FQ373" t="str">
        <f>""</f>
        <v/>
      </c>
    </row>
    <row r="374" spans="1:173">
      <c r="A374" t="str">
        <f>$A$166</f>
        <v xml:space="preserve">    Essex Property Trust Inc</v>
      </c>
      <c r="B374" t="str">
        <f>$B$166</f>
        <v>ESS US Equity</v>
      </c>
      <c r="C374" t="str">
        <f>$C$166</f>
        <v>BE895</v>
      </c>
      <c r="D374" t="str">
        <f>$D$166</f>
        <v>BEST_AFFOPS</v>
      </c>
      <c r="E374" t="str">
        <f>$E$166</f>
        <v>动态</v>
      </c>
      <c r="F374" t="str">
        <f ca="1">BDH($B$166,$C$166,$B$250,$B$251,CONCATENATE("Per=",$B$248),"Dts=H","Dir=H",CONCATENATE("Points=",$B$249),"Sort=R","Days=A","Fill=B","BE997=18Y",CONCATENATE("FX=", $B$247) )</f>
        <v>#N/A Authorization</v>
      </c>
      <c r="CL374" t="str">
        <f>""</f>
        <v/>
      </c>
      <c r="CM374" t="str">
        <f>""</f>
        <v/>
      </c>
      <c r="CN374" t="str">
        <f>""</f>
        <v/>
      </c>
      <c r="CO374" t="str">
        <f>""</f>
        <v/>
      </c>
      <c r="CP374" t="str">
        <f>""</f>
        <v/>
      </c>
      <c r="CQ374" t="str">
        <f>""</f>
        <v/>
      </c>
      <c r="CR374" t="str">
        <f>""</f>
        <v/>
      </c>
      <c r="CS374" t="str">
        <f>""</f>
        <v/>
      </c>
      <c r="CT374" t="str">
        <f>""</f>
        <v/>
      </c>
      <c r="CU374" t="str">
        <f>""</f>
        <v/>
      </c>
      <c r="CV374" t="str">
        <f>""</f>
        <v/>
      </c>
      <c r="CW374" t="str">
        <f>""</f>
        <v/>
      </c>
      <c r="CX374" t="str">
        <f>""</f>
        <v/>
      </c>
      <c r="CY374" t="str">
        <f>""</f>
        <v/>
      </c>
      <c r="CZ374" t="str">
        <f>""</f>
        <v/>
      </c>
      <c r="DA374" t="str">
        <f>""</f>
        <v/>
      </c>
      <c r="DB374" t="str">
        <f>""</f>
        <v/>
      </c>
      <c r="DC374" t="str">
        <f>""</f>
        <v/>
      </c>
      <c r="DD374" t="str">
        <f>""</f>
        <v/>
      </c>
      <c r="DE374" t="str">
        <f>""</f>
        <v/>
      </c>
      <c r="DF374" t="str">
        <f>""</f>
        <v/>
      </c>
      <c r="DG374" t="str">
        <f>""</f>
        <v/>
      </c>
      <c r="DH374" t="str">
        <f>""</f>
        <v/>
      </c>
      <c r="DI374" t="str">
        <f>""</f>
        <v/>
      </c>
      <c r="DJ374" t="str">
        <f>""</f>
        <v/>
      </c>
      <c r="DK374" t="str">
        <f>""</f>
        <v/>
      </c>
      <c r="DL374" t="str">
        <f>""</f>
        <v/>
      </c>
      <c r="DM374" t="str">
        <f>""</f>
        <v/>
      </c>
      <c r="DN374" t="str">
        <f>""</f>
        <v/>
      </c>
      <c r="DO374" t="str">
        <f>""</f>
        <v/>
      </c>
      <c r="DP374" t="str">
        <f>""</f>
        <v/>
      </c>
      <c r="DQ374" t="str">
        <f>""</f>
        <v/>
      </c>
      <c r="DR374" t="str">
        <f>""</f>
        <v/>
      </c>
      <c r="DS374" t="str">
        <f>""</f>
        <v/>
      </c>
      <c r="DT374" t="str">
        <f>""</f>
        <v/>
      </c>
      <c r="DU374" t="str">
        <f>""</f>
        <v/>
      </c>
      <c r="DV374" t="str">
        <f>""</f>
        <v/>
      </c>
      <c r="DW374" t="str">
        <f>""</f>
        <v/>
      </c>
      <c r="DX374" t="str">
        <f>""</f>
        <v/>
      </c>
      <c r="DY374" t="str">
        <f>""</f>
        <v/>
      </c>
      <c r="DZ374" t="str">
        <f>""</f>
        <v/>
      </c>
      <c r="EA374" t="str">
        <f>""</f>
        <v/>
      </c>
      <c r="EB374" t="str">
        <f>""</f>
        <v/>
      </c>
      <c r="EC374" t="str">
        <f>""</f>
        <v/>
      </c>
      <c r="ED374" t="str">
        <f>""</f>
        <v/>
      </c>
      <c r="EE374" t="str">
        <f>""</f>
        <v/>
      </c>
      <c r="EF374" t="str">
        <f>""</f>
        <v/>
      </c>
      <c r="EG374" t="str">
        <f>""</f>
        <v/>
      </c>
      <c r="EH374" t="str">
        <f>""</f>
        <v/>
      </c>
      <c r="EI374" t="str">
        <f>""</f>
        <v/>
      </c>
      <c r="EJ374" t="str">
        <f>""</f>
        <v/>
      </c>
      <c r="EK374" t="str">
        <f>""</f>
        <v/>
      </c>
      <c r="EL374" t="str">
        <f>""</f>
        <v/>
      </c>
      <c r="EM374" t="str">
        <f>""</f>
        <v/>
      </c>
      <c r="EN374" t="str">
        <f>""</f>
        <v/>
      </c>
      <c r="EO374" t="str">
        <f>""</f>
        <v/>
      </c>
      <c r="EP374" t="str">
        <f>""</f>
        <v/>
      </c>
      <c r="EQ374" t="str">
        <f>""</f>
        <v/>
      </c>
      <c r="ER374" t="str">
        <f>""</f>
        <v/>
      </c>
      <c r="ES374" t="str">
        <f>""</f>
        <v/>
      </c>
      <c r="ET374" t="str">
        <f>""</f>
        <v/>
      </c>
      <c r="EU374" t="str">
        <f>""</f>
        <v/>
      </c>
      <c r="EV374" t="str">
        <f>""</f>
        <v/>
      </c>
      <c r="EW374" t="str">
        <f>""</f>
        <v/>
      </c>
      <c r="EX374" t="str">
        <f>""</f>
        <v/>
      </c>
      <c r="EY374" t="str">
        <f>""</f>
        <v/>
      </c>
      <c r="EZ374" t="str">
        <f>""</f>
        <v/>
      </c>
      <c r="FA374" t="str">
        <f>""</f>
        <v/>
      </c>
      <c r="FB374" t="str">
        <f>""</f>
        <v/>
      </c>
      <c r="FC374" t="str">
        <f>""</f>
        <v/>
      </c>
      <c r="FD374" t="str">
        <f>""</f>
        <v/>
      </c>
      <c r="FE374" t="str">
        <f>""</f>
        <v/>
      </c>
      <c r="FF374" t="str">
        <f>""</f>
        <v/>
      </c>
      <c r="FG374" t="str">
        <f>""</f>
        <v/>
      </c>
      <c r="FH374" t="str">
        <f>""</f>
        <v/>
      </c>
      <c r="FI374" t="str">
        <f>""</f>
        <v/>
      </c>
      <c r="FJ374" t="str">
        <f>""</f>
        <v/>
      </c>
      <c r="FK374" t="str">
        <f>""</f>
        <v/>
      </c>
      <c r="FL374" t="str">
        <f>""</f>
        <v/>
      </c>
      <c r="FM374" t="str">
        <f>""</f>
        <v/>
      </c>
      <c r="FN374" t="str">
        <f>""</f>
        <v/>
      </c>
      <c r="FO374" t="str">
        <f>""</f>
        <v/>
      </c>
      <c r="FP374" t="str">
        <f>""</f>
        <v/>
      </c>
      <c r="FQ374" t="str">
        <f>""</f>
        <v/>
      </c>
    </row>
    <row r="375" spans="1:173">
      <c r="A375" t="str">
        <f>$A$167</f>
        <v xml:space="preserve">    Mid-America Apartment Communit</v>
      </c>
      <c r="B375" t="str">
        <f>$B$167</f>
        <v>MAA US Equity</v>
      </c>
      <c r="C375" t="str">
        <f>$C$167</f>
        <v>BE895</v>
      </c>
      <c r="D375" t="str">
        <f>$D$167</f>
        <v>BEST_AFFOPS</v>
      </c>
      <c r="E375" t="str">
        <f>$E$167</f>
        <v>动态</v>
      </c>
      <c r="F375" t="str">
        <f ca="1">BDH($B$167,$C$167,$B$250,$B$251,CONCATENATE("Per=",$B$248),"Dts=H","Dir=H",CONCATENATE("Points=",$B$249),"Sort=R","Days=A","Fill=B","BE997=18Y",CONCATENATE("FX=", $B$247) )</f>
        <v>#N/A Authorization</v>
      </c>
      <c r="CL375" t="str">
        <f>""</f>
        <v/>
      </c>
      <c r="CM375" t="str">
        <f>""</f>
        <v/>
      </c>
      <c r="CN375" t="str">
        <f>""</f>
        <v/>
      </c>
      <c r="CO375" t="str">
        <f>""</f>
        <v/>
      </c>
      <c r="CP375" t="str">
        <f>""</f>
        <v/>
      </c>
      <c r="CQ375" t="str">
        <f>""</f>
        <v/>
      </c>
      <c r="CR375" t="str">
        <f>""</f>
        <v/>
      </c>
      <c r="CS375" t="str">
        <f>""</f>
        <v/>
      </c>
      <c r="CT375" t="str">
        <f>""</f>
        <v/>
      </c>
      <c r="CU375" t="str">
        <f>""</f>
        <v/>
      </c>
      <c r="CV375" t="str">
        <f>""</f>
        <v/>
      </c>
      <c r="CW375" t="str">
        <f>""</f>
        <v/>
      </c>
      <c r="CX375" t="str">
        <f>""</f>
        <v/>
      </c>
      <c r="CY375" t="str">
        <f>""</f>
        <v/>
      </c>
      <c r="CZ375" t="str">
        <f>""</f>
        <v/>
      </c>
      <c r="DA375" t="str">
        <f>""</f>
        <v/>
      </c>
      <c r="DB375" t="str">
        <f>""</f>
        <v/>
      </c>
      <c r="DC375" t="str">
        <f>""</f>
        <v/>
      </c>
      <c r="DD375" t="str">
        <f>""</f>
        <v/>
      </c>
      <c r="DE375" t="str">
        <f>""</f>
        <v/>
      </c>
      <c r="DF375" t="str">
        <f>""</f>
        <v/>
      </c>
      <c r="DG375" t="str">
        <f>""</f>
        <v/>
      </c>
      <c r="DH375" t="str">
        <f>""</f>
        <v/>
      </c>
      <c r="DI375" t="str">
        <f>""</f>
        <v/>
      </c>
      <c r="DJ375" t="str">
        <f>""</f>
        <v/>
      </c>
      <c r="DK375" t="str">
        <f>""</f>
        <v/>
      </c>
      <c r="DL375" t="str">
        <f>""</f>
        <v/>
      </c>
      <c r="DM375" t="str">
        <f>""</f>
        <v/>
      </c>
      <c r="DN375" t="str">
        <f>""</f>
        <v/>
      </c>
      <c r="DO375" t="str">
        <f>""</f>
        <v/>
      </c>
      <c r="DP375" t="str">
        <f>""</f>
        <v/>
      </c>
      <c r="DQ375" t="str">
        <f>""</f>
        <v/>
      </c>
      <c r="DR375" t="str">
        <f>""</f>
        <v/>
      </c>
      <c r="DS375" t="str">
        <f>""</f>
        <v/>
      </c>
      <c r="DT375" t="str">
        <f>""</f>
        <v/>
      </c>
      <c r="DU375" t="str">
        <f>""</f>
        <v/>
      </c>
      <c r="DV375" t="str">
        <f>""</f>
        <v/>
      </c>
      <c r="DW375" t="str">
        <f>""</f>
        <v/>
      </c>
      <c r="DX375" t="str">
        <f>""</f>
        <v/>
      </c>
      <c r="DY375" t="str">
        <f>""</f>
        <v/>
      </c>
      <c r="DZ375" t="str">
        <f>""</f>
        <v/>
      </c>
      <c r="EA375" t="str">
        <f>""</f>
        <v/>
      </c>
      <c r="EB375" t="str">
        <f>""</f>
        <v/>
      </c>
      <c r="EC375" t="str">
        <f>""</f>
        <v/>
      </c>
      <c r="ED375" t="str">
        <f>""</f>
        <v/>
      </c>
      <c r="EE375" t="str">
        <f>""</f>
        <v/>
      </c>
      <c r="EF375" t="str">
        <f>""</f>
        <v/>
      </c>
      <c r="EG375" t="str">
        <f>""</f>
        <v/>
      </c>
      <c r="EH375" t="str">
        <f>""</f>
        <v/>
      </c>
      <c r="EI375" t="str">
        <f>""</f>
        <v/>
      </c>
      <c r="EJ375" t="str">
        <f>""</f>
        <v/>
      </c>
      <c r="EK375" t="str">
        <f>""</f>
        <v/>
      </c>
      <c r="EL375" t="str">
        <f>""</f>
        <v/>
      </c>
      <c r="EM375" t="str">
        <f>""</f>
        <v/>
      </c>
      <c r="EN375" t="str">
        <f>""</f>
        <v/>
      </c>
      <c r="EO375" t="str">
        <f>""</f>
        <v/>
      </c>
      <c r="EP375" t="str">
        <f>""</f>
        <v/>
      </c>
      <c r="EQ375" t="str">
        <f>""</f>
        <v/>
      </c>
      <c r="ER375" t="str">
        <f>""</f>
        <v/>
      </c>
      <c r="ES375" t="str">
        <f>""</f>
        <v/>
      </c>
      <c r="ET375" t="str">
        <f>""</f>
        <v/>
      </c>
      <c r="EU375" t="str">
        <f>""</f>
        <v/>
      </c>
      <c r="EV375" t="str">
        <f>""</f>
        <v/>
      </c>
      <c r="EW375" t="str">
        <f>""</f>
        <v/>
      </c>
      <c r="EX375" t="str">
        <f>""</f>
        <v/>
      </c>
      <c r="EY375" t="str">
        <f>""</f>
        <v/>
      </c>
      <c r="EZ375" t="str">
        <f>""</f>
        <v/>
      </c>
      <c r="FA375" t="str">
        <f>""</f>
        <v/>
      </c>
      <c r="FB375" t="str">
        <f>""</f>
        <v/>
      </c>
      <c r="FC375" t="str">
        <f>""</f>
        <v/>
      </c>
      <c r="FD375" t="str">
        <f>""</f>
        <v/>
      </c>
      <c r="FE375" t="str">
        <f>""</f>
        <v/>
      </c>
      <c r="FF375" t="str">
        <f>""</f>
        <v/>
      </c>
      <c r="FG375" t="str">
        <f>""</f>
        <v/>
      </c>
      <c r="FH375" t="str">
        <f>""</f>
        <v/>
      </c>
      <c r="FI375" t="str">
        <f>""</f>
        <v/>
      </c>
      <c r="FJ375" t="str">
        <f>""</f>
        <v/>
      </c>
      <c r="FK375" t="str">
        <f>""</f>
        <v/>
      </c>
      <c r="FL375" t="str">
        <f>""</f>
        <v/>
      </c>
      <c r="FM375" t="str">
        <f>""</f>
        <v/>
      </c>
      <c r="FN375" t="str">
        <f>""</f>
        <v/>
      </c>
      <c r="FO375" t="str">
        <f>""</f>
        <v/>
      </c>
      <c r="FP375" t="str">
        <f>""</f>
        <v/>
      </c>
      <c r="FQ375" t="str">
        <f>""</f>
        <v/>
      </c>
    </row>
    <row r="376" spans="1:173">
      <c r="A376" t="str">
        <f>$A$168</f>
        <v xml:space="preserve">    Monogram Residential Trust Inc</v>
      </c>
      <c r="B376" t="str">
        <f>$B$168</f>
        <v>MORE US Equity</v>
      </c>
      <c r="C376" t="str">
        <f>$C$168</f>
        <v>BE895</v>
      </c>
      <c r="D376" t="str">
        <f>$D$168</f>
        <v>BEST_AFFOPS</v>
      </c>
      <c r="E376" t="str">
        <f>$E$168</f>
        <v>动态</v>
      </c>
      <c r="F376" t="str">
        <f ca="1">BDH($B$168,$C$168,$B$250,$B$251,CONCATENATE("Per=",$B$248),"Dts=H","Dir=H",CONCATENATE("Points=",$B$249),"Sort=R","Days=A","Fill=B","BE997=18Y",CONCATENATE("FX=", $B$247) )</f>
        <v>#N/A Authorization</v>
      </c>
      <c r="CL376" t="str">
        <f>""</f>
        <v/>
      </c>
      <c r="CM376" t="str">
        <f>""</f>
        <v/>
      </c>
      <c r="CN376" t="str">
        <f>""</f>
        <v/>
      </c>
      <c r="CO376" t="str">
        <f>""</f>
        <v/>
      </c>
      <c r="CP376" t="str">
        <f>""</f>
        <v/>
      </c>
      <c r="CQ376" t="str">
        <f>""</f>
        <v/>
      </c>
      <c r="CR376" t="str">
        <f>""</f>
        <v/>
      </c>
      <c r="CS376" t="str">
        <f>""</f>
        <v/>
      </c>
      <c r="CT376" t="str">
        <f>""</f>
        <v/>
      </c>
      <c r="CU376" t="str">
        <f>""</f>
        <v/>
      </c>
      <c r="CV376" t="str">
        <f>""</f>
        <v/>
      </c>
      <c r="CW376" t="str">
        <f>""</f>
        <v/>
      </c>
      <c r="CX376" t="str">
        <f>""</f>
        <v/>
      </c>
      <c r="CY376" t="str">
        <f>""</f>
        <v/>
      </c>
      <c r="CZ376" t="str">
        <f>""</f>
        <v/>
      </c>
      <c r="DA376" t="str">
        <f>""</f>
        <v/>
      </c>
      <c r="DB376" t="str">
        <f>""</f>
        <v/>
      </c>
      <c r="DC376" t="str">
        <f>""</f>
        <v/>
      </c>
      <c r="DD376" t="str">
        <f>""</f>
        <v/>
      </c>
      <c r="DE376" t="str">
        <f>""</f>
        <v/>
      </c>
      <c r="DF376" t="str">
        <f>""</f>
        <v/>
      </c>
      <c r="DG376" t="str">
        <f>""</f>
        <v/>
      </c>
      <c r="DH376" t="str">
        <f>""</f>
        <v/>
      </c>
      <c r="DI376" t="str">
        <f>""</f>
        <v/>
      </c>
      <c r="DJ376" t="str">
        <f>""</f>
        <v/>
      </c>
      <c r="DK376" t="str">
        <f>""</f>
        <v/>
      </c>
      <c r="DL376" t="str">
        <f>""</f>
        <v/>
      </c>
      <c r="DM376" t="str">
        <f>""</f>
        <v/>
      </c>
      <c r="DN376" t="str">
        <f>""</f>
        <v/>
      </c>
      <c r="DO376" t="str">
        <f>""</f>
        <v/>
      </c>
      <c r="DP376" t="str">
        <f>""</f>
        <v/>
      </c>
      <c r="DQ376" t="str">
        <f>""</f>
        <v/>
      </c>
      <c r="DR376" t="str">
        <f>""</f>
        <v/>
      </c>
      <c r="DS376" t="str">
        <f>""</f>
        <v/>
      </c>
      <c r="DT376" t="str">
        <f>""</f>
        <v/>
      </c>
      <c r="DU376" t="str">
        <f>""</f>
        <v/>
      </c>
      <c r="DV376" t="str">
        <f>""</f>
        <v/>
      </c>
      <c r="DW376" t="str">
        <f>""</f>
        <v/>
      </c>
      <c r="DX376" t="str">
        <f>""</f>
        <v/>
      </c>
      <c r="DY376" t="str">
        <f>""</f>
        <v/>
      </c>
      <c r="DZ376" t="str">
        <f>""</f>
        <v/>
      </c>
      <c r="EA376" t="str">
        <f>""</f>
        <v/>
      </c>
      <c r="EB376" t="str">
        <f>""</f>
        <v/>
      </c>
      <c r="EC376" t="str">
        <f>""</f>
        <v/>
      </c>
      <c r="ED376" t="str">
        <f>""</f>
        <v/>
      </c>
      <c r="EE376" t="str">
        <f>""</f>
        <v/>
      </c>
      <c r="EF376" t="str">
        <f>""</f>
        <v/>
      </c>
      <c r="EG376" t="str">
        <f>""</f>
        <v/>
      </c>
      <c r="EH376" t="str">
        <f>""</f>
        <v/>
      </c>
      <c r="EI376" t="str">
        <f>""</f>
        <v/>
      </c>
      <c r="EJ376" t="str">
        <f>""</f>
        <v/>
      </c>
      <c r="EK376" t="str">
        <f>""</f>
        <v/>
      </c>
      <c r="EL376" t="str">
        <f>""</f>
        <v/>
      </c>
      <c r="EM376" t="str">
        <f>""</f>
        <v/>
      </c>
      <c r="EN376" t="str">
        <f>""</f>
        <v/>
      </c>
      <c r="EO376" t="str">
        <f>""</f>
        <v/>
      </c>
      <c r="EP376" t="str">
        <f>""</f>
        <v/>
      </c>
      <c r="EQ376" t="str">
        <f>""</f>
        <v/>
      </c>
      <c r="ER376" t="str">
        <f>""</f>
        <v/>
      </c>
      <c r="ES376" t="str">
        <f>""</f>
        <v/>
      </c>
      <c r="ET376" t="str">
        <f>""</f>
        <v/>
      </c>
      <c r="EU376" t="str">
        <f>""</f>
        <v/>
      </c>
      <c r="EV376" t="str">
        <f>""</f>
        <v/>
      </c>
      <c r="EW376" t="str">
        <f>""</f>
        <v/>
      </c>
      <c r="EX376" t="str">
        <f>""</f>
        <v/>
      </c>
      <c r="EY376" t="str">
        <f>""</f>
        <v/>
      </c>
      <c r="EZ376" t="str">
        <f>""</f>
        <v/>
      </c>
      <c r="FA376" t="str">
        <f>""</f>
        <v/>
      </c>
      <c r="FB376" t="str">
        <f>""</f>
        <v/>
      </c>
      <c r="FC376" t="str">
        <f>""</f>
        <v/>
      </c>
      <c r="FD376" t="str">
        <f>""</f>
        <v/>
      </c>
      <c r="FE376" t="str">
        <f>""</f>
        <v/>
      </c>
      <c r="FF376" t="str">
        <f>""</f>
        <v/>
      </c>
      <c r="FG376" t="str">
        <f>""</f>
        <v/>
      </c>
      <c r="FH376" t="str">
        <f>""</f>
        <v/>
      </c>
      <c r="FI376" t="str">
        <f>""</f>
        <v/>
      </c>
      <c r="FJ376" t="str">
        <f>""</f>
        <v/>
      </c>
      <c r="FK376" t="str">
        <f>""</f>
        <v/>
      </c>
      <c r="FL376" t="str">
        <f>""</f>
        <v/>
      </c>
      <c r="FM376" t="str">
        <f>""</f>
        <v/>
      </c>
      <c r="FN376" t="str">
        <f>""</f>
        <v/>
      </c>
      <c r="FO376" t="str">
        <f>""</f>
        <v/>
      </c>
      <c r="FP376" t="str">
        <f>""</f>
        <v/>
      </c>
      <c r="FQ376" t="str">
        <f>""</f>
        <v/>
      </c>
    </row>
    <row r="377" spans="1:173">
      <c r="A377" t="str">
        <f>$A$169</f>
        <v xml:space="preserve">    UDR Inc</v>
      </c>
      <c r="B377" t="str">
        <f>$B$169</f>
        <v>UDR US Equity</v>
      </c>
      <c r="C377" t="str">
        <f>$C$169</f>
        <v>BE895</v>
      </c>
      <c r="D377" t="str">
        <f>$D$169</f>
        <v>BEST_AFFOPS</v>
      </c>
      <c r="E377" t="str">
        <f>$E$169</f>
        <v>动态</v>
      </c>
      <c r="F377" t="str">
        <f ca="1">BDH($B$169,$C$169,$B$250,$B$251,CONCATENATE("Per=",$B$248),"Dts=H","Dir=H",CONCATENATE("Points=",$B$249),"Sort=R","Days=A","Fill=B","BE997=18Y",CONCATENATE("FX=", $B$247) )</f>
        <v>#N/A Authorization</v>
      </c>
      <c r="CL377" t="str">
        <f>""</f>
        <v/>
      </c>
      <c r="CM377" t="str">
        <f>""</f>
        <v/>
      </c>
      <c r="CN377" t="str">
        <f>""</f>
        <v/>
      </c>
      <c r="CO377" t="str">
        <f>""</f>
        <v/>
      </c>
      <c r="CP377" t="str">
        <f>""</f>
        <v/>
      </c>
      <c r="CQ377" t="str">
        <f>""</f>
        <v/>
      </c>
      <c r="CR377" t="str">
        <f>""</f>
        <v/>
      </c>
      <c r="CS377" t="str">
        <f>""</f>
        <v/>
      </c>
      <c r="CT377" t="str">
        <f>""</f>
        <v/>
      </c>
      <c r="CU377" t="str">
        <f>""</f>
        <v/>
      </c>
      <c r="CV377" t="str">
        <f>""</f>
        <v/>
      </c>
      <c r="CW377" t="str">
        <f>""</f>
        <v/>
      </c>
      <c r="CX377" t="str">
        <f>""</f>
        <v/>
      </c>
      <c r="CY377" t="str">
        <f>""</f>
        <v/>
      </c>
      <c r="CZ377" t="str">
        <f>""</f>
        <v/>
      </c>
      <c r="DA377" t="str">
        <f>""</f>
        <v/>
      </c>
      <c r="DB377" t="str">
        <f>""</f>
        <v/>
      </c>
      <c r="DC377" t="str">
        <f>""</f>
        <v/>
      </c>
      <c r="DD377" t="str">
        <f>""</f>
        <v/>
      </c>
      <c r="DE377" t="str">
        <f>""</f>
        <v/>
      </c>
      <c r="DF377" t="str">
        <f>""</f>
        <v/>
      </c>
      <c r="DG377" t="str">
        <f>""</f>
        <v/>
      </c>
      <c r="DH377" t="str">
        <f>""</f>
        <v/>
      </c>
      <c r="DI377" t="str">
        <f>""</f>
        <v/>
      </c>
      <c r="DJ377" t="str">
        <f>""</f>
        <v/>
      </c>
      <c r="DK377" t="str">
        <f>""</f>
        <v/>
      </c>
      <c r="DL377" t="str">
        <f>""</f>
        <v/>
      </c>
      <c r="DM377" t="str">
        <f>""</f>
        <v/>
      </c>
      <c r="DN377" t="str">
        <f>""</f>
        <v/>
      </c>
      <c r="DO377" t="str">
        <f>""</f>
        <v/>
      </c>
      <c r="DP377" t="str">
        <f>""</f>
        <v/>
      </c>
      <c r="DQ377" t="str">
        <f>""</f>
        <v/>
      </c>
      <c r="DR377" t="str">
        <f>""</f>
        <v/>
      </c>
      <c r="DS377" t="str">
        <f>""</f>
        <v/>
      </c>
      <c r="DT377" t="str">
        <f>""</f>
        <v/>
      </c>
      <c r="DU377" t="str">
        <f>""</f>
        <v/>
      </c>
      <c r="DV377" t="str">
        <f>""</f>
        <v/>
      </c>
      <c r="DW377" t="str">
        <f>""</f>
        <v/>
      </c>
      <c r="DX377" t="str">
        <f>""</f>
        <v/>
      </c>
      <c r="DY377" t="str">
        <f>""</f>
        <v/>
      </c>
      <c r="DZ377" t="str">
        <f>""</f>
        <v/>
      </c>
      <c r="EA377" t="str">
        <f>""</f>
        <v/>
      </c>
      <c r="EB377" t="str">
        <f>""</f>
        <v/>
      </c>
      <c r="EC377" t="str">
        <f>""</f>
        <v/>
      </c>
      <c r="ED377" t="str">
        <f>""</f>
        <v/>
      </c>
      <c r="EE377" t="str">
        <f>""</f>
        <v/>
      </c>
      <c r="EF377" t="str">
        <f>""</f>
        <v/>
      </c>
      <c r="EG377" t="str">
        <f>""</f>
        <v/>
      </c>
      <c r="EH377" t="str">
        <f>""</f>
        <v/>
      </c>
      <c r="EI377" t="str">
        <f>""</f>
        <v/>
      </c>
      <c r="EJ377" t="str">
        <f>""</f>
        <v/>
      </c>
      <c r="EK377" t="str">
        <f>""</f>
        <v/>
      </c>
      <c r="EL377" t="str">
        <f>""</f>
        <v/>
      </c>
      <c r="EM377" t="str">
        <f>""</f>
        <v/>
      </c>
      <c r="EN377" t="str">
        <f>""</f>
        <v/>
      </c>
      <c r="EO377" t="str">
        <f>""</f>
        <v/>
      </c>
      <c r="EP377" t="str">
        <f>""</f>
        <v/>
      </c>
      <c r="EQ377" t="str">
        <f>""</f>
        <v/>
      </c>
      <c r="ER377" t="str">
        <f>""</f>
        <v/>
      </c>
      <c r="ES377" t="str">
        <f>""</f>
        <v/>
      </c>
      <c r="ET377" t="str">
        <f>""</f>
        <v/>
      </c>
      <c r="EU377" t="str">
        <f>""</f>
        <v/>
      </c>
      <c r="EV377" t="str">
        <f>""</f>
        <v/>
      </c>
      <c r="EW377" t="str">
        <f>""</f>
        <v/>
      </c>
      <c r="EX377" t="str">
        <f>""</f>
        <v/>
      </c>
      <c r="EY377" t="str">
        <f>""</f>
        <v/>
      </c>
      <c r="EZ377" t="str">
        <f>""</f>
        <v/>
      </c>
      <c r="FA377" t="str">
        <f>""</f>
        <v/>
      </c>
      <c r="FB377" t="str">
        <f>""</f>
        <v/>
      </c>
      <c r="FC377" t="str">
        <f>""</f>
        <v/>
      </c>
      <c r="FD377" t="str">
        <f>""</f>
        <v/>
      </c>
      <c r="FE377" t="str">
        <f>""</f>
        <v/>
      </c>
      <c r="FF377" t="str">
        <f>""</f>
        <v/>
      </c>
      <c r="FG377" t="str">
        <f>""</f>
        <v/>
      </c>
      <c r="FH377" t="str">
        <f>""</f>
        <v/>
      </c>
      <c r="FI377" t="str">
        <f>""</f>
        <v/>
      </c>
      <c r="FJ377" t="str">
        <f>""</f>
        <v/>
      </c>
      <c r="FK377" t="str">
        <f>""</f>
        <v/>
      </c>
      <c r="FL377" t="str">
        <f>""</f>
        <v/>
      </c>
      <c r="FM377" t="str">
        <f>""</f>
        <v/>
      </c>
      <c r="FN377" t="str">
        <f>""</f>
        <v/>
      </c>
      <c r="FO377" t="str">
        <f>""</f>
        <v/>
      </c>
      <c r="FP377" t="str">
        <f>""</f>
        <v/>
      </c>
      <c r="FQ377" t="str">
        <f>""</f>
        <v/>
      </c>
    </row>
    <row r="378" spans="1:173">
      <c r="A378" t="str">
        <f>$A$171</f>
        <v xml:space="preserve">    公寓投资与管理</v>
      </c>
      <c r="B378" t="str">
        <f>$B$171</f>
        <v>AIV US Equity</v>
      </c>
      <c r="C378" t="str">
        <f>$C$171</f>
        <v>RR106</v>
      </c>
      <c r="D378" t="str">
        <f>$D$171</f>
        <v>FFO_PAYOUT_RATIO</v>
      </c>
      <c r="E378" t="str">
        <f>$E$171</f>
        <v>动态</v>
      </c>
      <c r="F378" t="str">
        <f ca="1">BDH($B$171,$C$171,$B$250,$B$251,CONCATENATE("Per=",$B$248),"Dts=H","Dir=H",CONCATENATE("Points=",$B$249),"Sort=R","Days=A","Fill=B",CONCATENATE("FX=", $B$247) )</f>
        <v>#N/A Authorization</v>
      </c>
      <c r="CL378" t="str">
        <f>""</f>
        <v/>
      </c>
      <c r="CM378" t="str">
        <f>""</f>
        <v/>
      </c>
      <c r="CN378" t="str">
        <f>""</f>
        <v/>
      </c>
      <c r="CO378" t="str">
        <f>""</f>
        <v/>
      </c>
      <c r="CP378" t="str">
        <f>""</f>
        <v/>
      </c>
      <c r="CQ378" t="str">
        <f>""</f>
        <v/>
      </c>
      <c r="CR378" t="str">
        <f>""</f>
        <v/>
      </c>
      <c r="CS378" t="str">
        <f>""</f>
        <v/>
      </c>
      <c r="CT378" t="str">
        <f>""</f>
        <v/>
      </c>
      <c r="CU378" t="str">
        <f>""</f>
        <v/>
      </c>
      <c r="CV378" t="str">
        <f>""</f>
        <v/>
      </c>
      <c r="CW378" t="str">
        <f>""</f>
        <v/>
      </c>
      <c r="CX378" t="str">
        <f>""</f>
        <v/>
      </c>
      <c r="CY378" t="str">
        <f>""</f>
        <v/>
      </c>
      <c r="CZ378" t="str">
        <f>""</f>
        <v/>
      </c>
      <c r="DA378" t="str">
        <f>""</f>
        <v/>
      </c>
      <c r="DB378" t="str">
        <f>""</f>
        <v/>
      </c>
      <c r="DC378" t="str">
        <f>""</f>
        <v/>
      </c>
      <c r="DD378" t="str">
        <f>""</f>
        <v/>
      </c>
      <c r="DE378" t="str">
        <f>""</f>
        <v/>
      </c>
      <c r="DF378" t="str">
        <f>""</f>
        <v/>
      </c>
      <c r="DG378" t="str">
        <f>""</f>
        <v/>
      </c>
      <c r="DH378" t="str">
        <f>""</f>
        <v/>
      </c>
      <c r="DI378" t="str">
        <f>""</f>
        <v/>
      </c>
      <c r="DJ378" t="str">
        <f>""</f>
        <v/>
      </c>
      <c r="DK378" t="str">
        <f>""</f>
        <v/>
      </c>
      <c r="DL378" t="str">
        <f>""</f>
        <v/>
      </c>
      <c r="DM378" t="str">
        <f>""</f>
        <v/>
      </c>
      <c r="DN378" t="str">
        <f>""</f>
        <v/>
      </c>
      <c r="DO378" t="str">
        <f>""</f>
        <v/>
      </c>
      <c r="DP378" t="str">
        <f>""</f>
        <v/>
      </c>
      <c r="DQ378" t="str">
        <f>""</f>
        <v/>
      </c>
      <c r="DR378" t="str">
        <f>""</f>
        <v/>
      </c>
      <c r="DS378" t="str">
        <f>""</f>
        <v/>
      </c>
      <c r="DT378" t="str">
        <f>""</f>
        <v/>
      </c>
      <c r="DU378" t="str">
        <f>""</f>
        <v/>
      </c>
      <c r="DV378" t="str">
        <f>""</f>
        <v/>
      </c>
      <c r="DW378" t="str">
        <f>""</f>
        <v/>
      </c>
      <c r="DX378" t="str">
        <f>""</f>
        <v/>
      </c>
      <c r="DY378" t="str">
        <f>""</f>
        <v/>
      </c>
      <c r="DZ378" t="str">
        <f>""</f>
        <v/>
      </c>
      <c r="EA378" t="str">
        <f>""</f>
        <v/>
      </c>
      <c r="EB378" t="str">
        <f>""</f>
        <v/>
      </c>
      <c r="EC378" t="str">
        <f>""</f>
        <v/>
      </c>
      <c r="ED378" t="str">
        <f>""</f>
        <v/>
      </c>
      <c r="EE378" t="str">
        <f>""</f>
        <v/>
      </c>
      <c r="EF378" t="str">
        <f>""</f>
        <v/>
      </c>
      <c r="EG378" t="str">
        <f>""</f>
        <v/>
      </c>
      <c r="EH378" t="str">
        <f>""</f>
        <v/>
      </c>
      <c r="EI378" t="str">
        <f>""</f>
        <v/>
      </c>
      <c r="EJ378" t="str">
        <f>""</f>
        <v/>
      </c>
      <c r="EK378" t="str">
        <f>""</f>
        <v/>
      </c>
      <c r="EL378" t="str">
        <f>""</f>
        <v/>
      </c>
      <c r="EM378" t="str">
        <f>""</f>
        <v/>
      </c>
      <c r="EN378" t="str">
        <f>""</f>
        <v/>
      </c>
      <c r="EO378" t="str">
        <f>""</f>
        <v/>
      </c>
      <c r="EP378" t="str">
        <f>""</f>
        <v/>
      </c>
      <c r="EQ378" t="str">
        <f>""</f>
        <v/>
      </c>
      <c r="ER378" t="str">
        <f>""</f>
        <v/>
      </c>
      <c r="ES378" t="str">
        <f>""</f>
        <v/>
      </c>
      <c r="ET378" t="str">
        <f>""</f>
        <v/>
      </c>
      <c r="EU378" t="str">
        <f>""</f>
        <v/>
      </c>
      <c r="EV378" t="str">
        <f>""</f>
        <v/>
      </c>
      <c r="EW378" t="str">
        <f>""</f>
        <v/>
      </c>
      <c r="EX378" t="str">
        <f>""</f>
        <v/>
      </c>
      <c r="EY378" t="str">
        <f>""</f>
        <v/>
      </c>
      <c r="EZ378" t="str">
        <f>""</f>
        <v/>
      </c>
      <c r="FA378" t="str">
        <f>""</f>
        <v/>
      </c>
      <c r="FB378" t="str">
        <f>""</f>
        <v/>
      </c>
      <c r="FC378" t="str">
        <f>""</f>
        <v/>
      </c>
      <c r="FD378" t="str">
        <f>""</f>
        <v/>
      </c>
      <c r="FE378" t="str">
        <f>""</f>
        <v/>
      </c>
      <c r="FF378" t="str">
        <f>""</f>
        <v/>
      </c>
      <c r="FG378" t="str">
        <f>""</f>
        <v/>
      </c>
      <c r="FH378" t="str">
        <f>""</f>
        <v/>
      </c>
      <c r="FI378" t="str">
        <f>""</f>
        <v/>
      </c>
      <c r="FJ378" t="str">
        <f>""</f>
        <v/>
      </c>
      <c r="FK378" t="str">
        <f>""</f>
        <v/>
      </c>
      <c r="FL378" t="str">
        <f>""</f>
        <v/>
      </c>
      <c r="FM378" t="str">
        <f>""</f>
        <v/>
      </c>
      <c r="FN378" t="str">
        <f>""</f>
        <v/>
      </c>
      <c r="FO378" t="str">
        <f>""</f>
        <v/>
      </c>
      <c r="FP378" t="str">
        <f>""</f>
        <v/>
      </c>
      <c r="FQ378" t="str">
        <f>""</f>
        <v/>
      </c>
    </row>
    <row r="379" spans="1:173">
      <c r="A379" t="str">
        <f>$A$172</f>
        <v xml:space="preserve">    AvalonBay社区股份有限公司</v>
      </c>
      <c r="B379" t="str">
        <f>$B$172</f>
        <v>AVB US Equity</v>
      </c>
      <c r="C379" t="str">
        <f>$C$172</f>
        <v>RR106</v>
      </c>
      <c r="D379" t="str">
        <f>$D$172</f>
        <v>FFO_PAYOUT_RATIO</v>
      </c>
      <c r="E379" t="str">
        <f>$E$172</f>
        <v>动态</v>
      </c>
      <c r="F379" t="str">
        <f ca="1">BDH($B$172,$C$172,$B$250,$B$251,CONCATENATE("Per=",$B$248),"Dts=H","Dir=H",CONCATENATE("Points=",$B$249),"Sort=R","Days=A","Fill=B",CONCATENATE("FX=", $B$247) )</f>
        <v>#N/A Authorization</v>
      </c>
      <c r="CL379" t="str">
        <f>""</f>
        <v/>
      </c>
      <c r="CM379" t="str">
        <f>""</f>
        <v/>
      </c>
      <c r="CN379" t="str">
        <f>""</f>
        <v/>
      </c>
      <c r="CO379" t="str">
        <f>""</f>
        <v/>
      </c>
      <c r="CP379" t="str">
        <f>""</f>
        <v/>
      </c>
      <c r="CQ379" t="str">
        <f>""</f>
        <v/>
      </c>
      <c r="CR379" t="str">
        <f>""</f>
        <v/>
      </c>
      <c r="CS379" t="str">
        <f>""</f>
        <v/>
      </c>
      <c r="CT379" t="str">
        <f>""</f>
        <v/>
      </c>
      <c r="CU379" t="str">
        <f>""</f>
        <v/>
      </c>
      <c r="CV379" t="str">
        <f>""</f>
        <v/>
      </c>
      <c r="CW379" t="str">
        <f>""</f>
        <v/>
      </c>
      <c r="CX379" t="str">
        <f>""</f>
        <v/>
      </c>
      <c r="CY379" t="str">
        <f>""</f>
        <v/>
      </c>
      <c r="CZ379" t="str">
        <f>""</f>
        <v/>
      </c>
      <c r="DA379" t="str">
        <f>""</f>
        <v/>
      </c>
      <c r="DB379" t="str">
        <f>""</f>
        <v/>
      </c>
      <c r="DC379" t="str">
        <f>""</f>
        <v/>
      </c>
      <c r="DD379" t="str">
        <f>""</f>
        <v/>
      </c>
      <c r="DE379" t="str">
        <f>""</f>
        <v/>
      </c>
      <c r="DF379" t="str">
        <f>""</f>
        <v/>
      </c>
      <c r="DG379" t="str">
        <f>""</f>
        <v/>
      </c>
      <c r="DH379" t="str">
        <f>""</f>
        <v/>
      </c>
      <c r="DI379" t="str">
        <f>""</f>
        <v/>
      </c>
      <c r="DJ379" t="str">
        <f>""</f>
        <v/>
      </c>
      <c r="DK379" t="str">
        <f>""</f>
        <v/>
      </c>
      <c r="DL379" t="str">
        <f>""</f>
        <v/>
      </c>
      <c r="DM379" t="str">
        <f>""</f>
        <v/>
      </c>
      <c r="DN379" t="str">
        <f>""</f>
        <v/>
      </c>
      <c r="DO379" t="str">
        <f>""</f>
        <v/>
      </c>
      <c r="DP379" t="str">
        <f>""</f>
        <v/>
      </c>
      <c r="DQ379" t="str">
        <f>""</f>
        <v/>
      </c>
      <c r="DR379" t="str">
        <f>""</f>
        <v/>
      </c>
      <c r="DS379" t="str">
        <f>""</f>
        <v/>
      </c>
      <c r="DT379" t="str">
        <f>""</f>
        <v/>
      </c>
      <c r="DU379" t="str">
        <f>""</f>
        <v/>
      </c>
      <c r="DV379" t="str">
        <f>""</f>
        <v/>
      </c>
      <c r="DW379" t="str">
        <f>""</f>
        <v/>
      </c>
      <c r="DX379" t="str">
        <f>""</f>
        <v/>
      </c>
      <c r="DY379" t="str">
        <f>""</f>
        <v/>
      </c>
      <c r="DZ379" t="str">
        <f>""</f>
        <v/>
      </c>
      <c r="EA379" t="str">
        <f>""</f>
        <v/>
      </c>
      <c r="EB379" t="str">
        <f>""</f>
        <v/>
      </c>
      <c r="EC379" t="str">
        <f>""</f>
        <v/>
      </c>
      <c r="ED379" t="str">
        <f>""</f>
        <v/>
      </c>
      <c r="EE379" t="str">
        <f>""</f>
        <v/>
      </c>
      <c r="EF379" t="str">
        <f>""</f>
        <v/>
      </c>
      <c r="EG379" t="str">
        <f>""</f>
        <v/>
      </c>
      <c r="EH379" t="str">
        <f>""</f>
        <v/>
      </c>
      <c r="EI379" t="str">
        <f>""</f>
        <v/>
      </c>
      <c r="EJ379" t="str">
        <f>""</f>
        <v/>
      </c>
      <c r="EK379" t="str">
        <f>""</f>
        <v/>
      </c>
      <c r="EL379" t="str">
        <f>""</f>
        <v/>
      </c>
      <c r="EM379" t="str">
        <f>""</f>
        <v/>
      </c>
      <c r="EN379" t="str">
        <f>""</f>
        <v/>
      </c>
      <c r="EO379" t="str">
        <f>""</f>
        <v/>
      </c>
      <c r="EP379" t="str">
        <f>""</f>
        <v/>
      </c>
      <c r="EQ379" t="str">
        <f>""</f>
        <v/>
      </c>
      <c r="ER379" t="str">
        <f>""</f>
        <v/>
      </c>
      <c r="ES379" t="str">
        <f>""</f>
        <v/>
      </c>
      <c r="ET379" t="str">
        <f>""</f>
        <v/>
      </c>
      <c r="EU379" t="str">
        <f>""</f>
        <v/>
      </c>
      <c r="EV379" t="str">
        <f>""</f>
        <v/>
      </c>
      <c r="EW379" t="str">
        <f>""</f>
        <v/>
      </c>
      <c r="EX379" t="str">
        <f>""</f>
        <v/>
      </c>
      <c r="EY379" t="str">
        <f>""</f>
        <v/>
      </c>
      <c r="EZ379" t="str">
        <f>""</f>
        <v/>
      </c>
      <c r="FA379" t="str">
        <f>""</f>
        <v/>
      </c>
      <c r="FB379" t="str">
        <f>""</f>
        <v/>
      </c>
      <c r="FC379" t="str">
        <f>""</f>
        <v/>
      </c>
      <c r="FD379" t="str">
        <f>""</f>
        <v/>
      </c>
      <c r="FE379" t="str">
        <f>""</f>
        <v/>
      </c>
      <c r="FF379" t="str">
        <f>""</f>
        <v/>
      </c>
      <c r="FG379" t="str">
        <f>""</f>
        <v/>
      </c>
      <c r="FH379" t="str">
        <f>""</f>
        <v/>
      </c>
      <c r="FI379" t="str">
        <f>""</f>
        <v/>
      </c>
      <c r="FJ379" t="str">
        <f>""</f>
        <v/>
      </c>
      <c r="FK379" t="str">
        <f>""</f>
        <v/>
      </c>
      <c r="FL379" t="str">
        <f>""</f>
        <v/>
      </c>
      <c r="FM379" t="str">
        <f>""</f>
        <v/>
      </c>
      <c r="FN379" t="str">
        <f>""</f>
        <v/>
      </c>
      <c r="FO379" t="str">
        <f>""</f>
        <v/>
      </c>
      <c r="FP379" t="str">
        <f>""</f>
        <v/>
      </c>
      <c r="FQ379" t="str">
        <f>""</f>
        <v/>
      </c>
    </row>
    <row r="380" spans="1:173">
      <c r="A380" t="str">
        <f>$A$173</f>
        <v xml:space="preserve">    Camden 房地产信托公司</v>
      </c>
      <c r="B380" t="str">
        <f>$B$173</f>
        <v>CPT US Equity</v>
      </c>
      <c r="C380" t="str">
        <f>$C$173</f>
        <v>RR106</v>
      </c>
      <c r="D380" t="str">
        <f>$D$173</f>
        <v>FFO_PAYOUT_RATIO</v>
      </c>
      <c r="E380" t="str">
        <f>$E$173</f>
        <v>动态</v>
      </c>
      <c r="F380" t="str">
        <f ca="1">BDH($B$173,$C$173,$B$250,$B$251,CONCATENATE("Per=",$B$248),"Dts=H","Dir=H",CONCATENATE("Points=",$B$249),"Sort=R","Days=A","Fill=B",CONCATENATE("FX=", $B$247) )</f>
        <v>#N/A Authorization</v>
      </c>
      <c r="CL380" t="str">
        <f>""</f>
        <v/>
      </c>
      <c r="CM380" t="str">
        <f>""</f>
        <v/>
      </c>
      <c r="CN380" t="str">
        <f>""</f>
        <v/>
      </c>
      <c r="CO380" t="str">
        <f>""</f>
        <v/>
      </c>
      <c r="CP380" t="str">
        <f>""</f>
        <v/>
      </c>
      <c r="CQ380" t="str">
        <f>""</f>
        <v/>
      </c>
      <c r="CR380" t="str">
        <f>""</f>
        <v/>
      </c>
      <c r="CS380" t="str">
        <f>""</f>
        <v/>
      </c>
      <c r="CT380" t="str">
        <f>""</f>
        <v/>
      </c>
      <c r="CU380" t="str">
        <f>""</f>
        <v/>
      </c>
      <c r="CV380" t="str">
        <f>""</f>
        <v/>
      </c>
      <c r="CW380" t="str">
        <f>""</f>
        <v/>
      </c>
      <c r="CX380" t="str">
        <f>""</f>
        <v/>
      </c>
      <c r="CY380" t="str">
        <f>""</f>
        <v/>
      </c>
      <c r="CZ380" t="str">
        <f>""</f>
        <v/>
      </c>
      <c r="DA380" t="str">
        <f>""</f>
        <v/>
      </c>
      <c r="DB380" t="str">
        <f>""</f>
        <v/>
      </c>
      <c r="DC380" t="str">
        <f>""</f>
        <v/>
      </c>
      <c r="DD380" t="str">
        <f>""</f>
        <v/>
      </c>
      <c r="DE380" t="str">
        <f>""</f>
        <v/>
      </c>
      <c r="DF380" t="str">
        <f>""</f>
        <v/>
      </c>
      <c r="DG380" t="str">
        <f>""</f>
        <v/>
      </c>
      <c r="DH380" t="str">
        <f>""</f>
        <v/>
      </c>
      <c r="DI380" t="str">
        <f>""</f>
        <v/>
      </c>
      <c r="DJ380" t="str">
        <f>""</f>
        <v/>
      </c>
      <c r="DK380" t="str">
        <f>""</f>
        <v/>
      </c>
      <c r="DL380" t="str">
        <f>""</f>
        <v/>
      </c>
      <c r="DM380" t="str">
        <f>""</f>
        <v/>
      </c>
      <c r="DN380" t="str">
        <f>""</f>
        <v/>
      </c>
      <c r="DO380" t="str">
        <f>""</f>
        <v/>
      </c>
      <c r="DP380" t="str">
        <f>""</f>
        <v/>
      </c>
      <c r="DQ380" t="str">
        <f>""</f>
        <v/>
      </c>
      <c r="DR380" t="str">
        <f>""</f>
        <v/>
      </c>
      <c r="DS380" t="str">
        <f>""</f>
        <v/>
      </c>
      <c r="DT380" t="str">
        <f>""</f>
        <v/>
      </c>
      <c r="DU380" t="str">
        <f>""</f>
        <v/>
      </c>
      <c r="DV380" t="str">
        <f>""</f>
        <v/>
      </c>
      <c r="DW380" t="str">
        <f>""</f>
        <v/>
      </c>
      <c r="DX380" t="str">
        <f>""</f>
        <v/>
      </c>
      <c r="DY380" t="str">
        <f>""</f>
        <v/>
      </c>
      <c r="DZ380" t="str">
        <f>""</f>
        <v/>
      </c>
      <c r="EA380" t="str">
        <f>""</f>
        <v/>
      </c>
      <c r="EB380" t="str">
        <f>""</f>
        <v/>
      </c>
      <c r="EC380" t="str">
        <f>""</f>
        <v/>
      </c>
      <c r="ED380" t="str">
        <f>""</f>
        <v/>
      </c>
      <c r="EE380" t="str">
        <f>""</f>
        <v/>
      </c>
      <c r="EF380" t="str">
        <f>""</f>
        <v/>
      </c>
      <c r="EG380" t="str">
        <f>""</f>
        <v/>
      </c>
      <c r="EH380" t="str">
        <f>""</f>
        <v/>
      </c>
      <c r="EI380" t="str">
        <f>""</f>
        <v/>
      </c>
      <c r="EJ380" t="str">
        <f>""</f>
        <v/>
      </c>
      <c r="EK380" t="str">
        <f>""</f>
        <v/>
      </c>
      <c r="EL380" t="str">
        <f>""</f>
        <v/>
      </c>
      <c r="EM380" t="str">
        <f>""</f>
        <v/>
      </c>
      <c r="EN380" t="str">
        <f>""</f>
        <v/>
      </c>
      <c r="EO380" t="str">
        <f>""</f>
        <v/>
      </c>
      <c r="EP380" t="str">
        <f>""</f>
        <v/>
      </c>
      <c r="EQ380" t="str">
        <f>""</f>
        <v/>
      </c>
      <c r="ER380" t="str">
        <f>""</f>
        <v/>
      </c>
      <c r="ES380" t="str">
        <f>""</f>
        <v/>
      </c>
      <c r="ET380" t="str">
        <f>""</f>
        <v/>
      </c>
      <c r="EU380" t="str">
        <f>""</f>
        <v/>
      </c>
      <c r="EV380" t="str">
        <f>""</f>
        <v/>
      </c>
      <c r="EW380" t="str">
        <f>""</f>
        <v/>
      </c>
      <c r="EX380" t="str">
        <f>""</f>
        <v/>
      </c>
      <c r="EY380" t="str">
        <f>""</f>
        <v/>
      </c>
      <c r="EZ380" t="str">
        <f>""</f>
        <v/>
      </c>
      <c r="FA380" t="str">
        <f>""</f>
        <v/>
      </c>
      <c r="FB380" t="str">
        <f>""</f>
        <v/>
      </c>
      <c r="FC380" t="str">
        <f>""</f>
        <v/>
      </c>
      <c r="FD380" t="str">
        <f>""</f>
        <v/>
      </c>
      <c r="FE380" t="str">
        <f>""</f>
        <v/>
      </c>
      <c r="FF380" t="str">
        <f>""</f>
        <v/>
      </c>
      <c r="FG380" t="str">
        <f>""</f>
        <v/>
      </c>
      <c r="FH380" t="str">
        <f>""</f>
        <v/>
      </c>
      <c r="FI380" t="str">
        <f>""</f>
        <v/>
      </c>
      <c r="FJ380" t="str">
        <f>""</f>
        <v/>
      </c>
      <c r="FK380" t="str">
        <f>""</f>
        <v/>
      </c>
      <c r="FL380" t="str">
        <f>""</f>
        <v/>
      </c>
      <c r="FM380" t="str">
        <f>""</f>
        <v/>
      </c>
      <c r="FN380" t="str">
        <f>""</f>
        <v/>
      </c>
      <c r="FO380" t="str">
        <f>""</f>
        <v/>
      </c>
      <c r="FP380" t="str">
        <f>""</f>
        <v/>
      </c>
      <c r="FQ380" t="str">
        <f>""</f>
        <v/>
      </c>
    </row>
    <row r="381" spans="1:173">
      <c r="A381" t="str">
        <f>$A$174</f>
        <v xml:space="preserve">    公寓物业权益信托</v>
      </c>
      <c r="B381" t="str">
        <f>$B$174</f>
        <v>EQR US Equity</v>
      </c>
      <c r="C381" t="str">
        <f>$C$174</f>
        <v>RR106</v>
      </c>
      <c r="D381" t="str">
        <f>$D$174</f>
        <v>FFO_PAYOUT_RATIO</v>
      </c>
      <c r="E381" t="str">
        <f>$E$174</f>
        <v>动态</v>
      </c>
      <c r="F381" t="str">
        <f ca="1">BDH($B$174,$C$174,$B$250,$B$251,CONCATENATE("Per=",$B$248),"Dts=H","Dir=H",CONCATENATE("Points=",$B$249),"Sort=R","Days=A","Fill=B",CONCATENATE("FX=", $B$247) )</f>
        <v>#N/A Authorization</v>
      </c>
      <c r="CL381" t="str">
        <f>""</f>
        <v/>
      </c>
      <c r="CM381" t="str">
        <f>""</f>
        <v/>
      </c>
      <c r="CN381" t="str">
        <f>""</f>
        <v/>
      </c>
      <c r="CO381" t="str">
        <f>""</f>
        <v/>
      </c>
      <c r="CP381" t="str">
        <f>""</f>
        <v/>
      </c>
      <c r="CQ381" t="str">
        <f>""</f>
        <v/>
      </c>
      <c r="CR381" t="str">
        <f>""</f>
        <v/>
      </c>
      <c r="CS381" t="str">
        <f>""</f>
        <v/>
      </c>
      <c r="CT381" t="str">
        <f>""</f>
        <v/>
      </c>
      <c r="CU381" t="str">
        <f>""</f>
        <v/>
      </c>
      <c r="CV381" t="str">
        <f>""</f>
        <v/>
      </c>
      <c r="CW381" t="str">
        <f>""</f>
        <v/>
      </c>
      <c r="CX381" t="str">
        <f>""</f>
        <v/>
      </c>
      <c r="CY381" t="str">
        <f>""</f>
        <v/>
      </c>
      <c r="CZ381" t="str">
        <f>""</f>
        <v/>
      </c>
      <c r="DA381" t="str">
        <f>""</f>
        <v/>
      </c>
      <c r="DB381" t="str">
        <f>""</f>
        <v/>
      </c>
      <c r="DC381" t="str">
        <f>""</f>
        <v/>
      </c>
      <c r="DD381" t="str">
        <f>""</f>
        <v/>
      </c>
      <c r="DE381" t="str">
        <f>""</f>
        <v/>
      </c>
      <c r="DF381" t="str">
        <f>""</f>
        <v/>
      </c>
      <c r="DG381" t="str">
        <f>""</f>
        <v/>
      </c>
      <c r="DH381" t="str">
        <f>""</f>
        <v/>
      </c>
      <c r="DI381" t="str">
        <f>""</f>
        <v/>
      </c>
      <c r="DJ381" t="str">
        <f>""</f>
        <v/>
      </c>
      <c r="DK381" t="str">
        <f>""</f>
        <v/>
      </c>
      <c r="DL381" t="str">
        <f>""</f>
        <v/>
      </c>
      <c r="DM381" t="str">
        <f>""</f>
        <v/>
      </c>
      <c r="DN381" t="str">
        <f>""</f>
        <v/>
      </c>
      <c r="DO381" t="str">
        <f>""</f>
        <v/>
      </c>
      <c r="DP381" t="str">
        <f>""</f>
        <v/>
      </c>
      <c r="DQ381" t="str">
        <f>""</f>
        <v/>
      </c>
      <c r="DR381" t="str">
        <f>""</f>
        <v/>
      </c>
      <c r="DS381" t="str">
        <f>""</f>
        <v/>
      </c>
      <c r="DT381" t="str">
        <f>""</f>
        <v/>
      </c>
      <c r="DU381" t="str">
        <f>""</f>
        <v/>
      </c>
      <c r="DV381" t="str">
        <f>""</f>
        <v/>
      </c>
      <c r="DW381" t="str">
        <f>""</f>
        <v/>
      </c>
      <c r="DX381" t="str">
        <f>""</f>
        <v/>
      </c>
      <c r="DY381" t="str">
        <f>""</f>
        <v/>
      </c>
      <c r="DZ381" t="str">
        <f>""</f>
        <v/>
      </c>
      <c r="EA381" t="str">
        <f>""</f>
        <v/>
      </c>
      <c r="EB381" t="str">
        <f>""</f>
        <v/>
      </c>
      <c r="EC381" t="str">
        <f>""</f>
        <v/>
      </c>
      <c r="ED381" t="str">
        <f>""</f>
        <v/>
      </c>
      <c r="EE381" t="str">
        <f>""</f>
        <v/>
      </c>
      <c r="EF381" t="str">
        <f>""</f>
        <v/>
      </c>
      <c r="EG381" t="str">
        <f>""</f>
        <v/>
      </c>
      <c r="EH381" t="str">
        <f>""</f>
        <v/>
      </c>
      <c r="EI381" t="str">
        <f>""</f>
        <v/>
      </c>
      <c r="EJ381" t="str">
        <f>""</f>
        <v/>
      </c>
      <c r="EK381" t="str">
        <f>""</f>
        <v/>
      </c>
      <c r="EL381" t="str">
        <f>""</f>
        <v/>
      </c>
      <c r="EM381" t="str">
        <f>""</f>
        <v/>
      </c>
      <c r="EN381" t="str">
        <f>""</f>
        <v/>
      </c>
      <c r="EO381" t="str">
        <f>""</f>
        <v/>
      </c>
      <c r="EP381" t="str">
        <f>""</f>
        <v/>
      </c>
      <c r="EQ381" t="str">
        <f>""</f>
        <v/>
      </c>
      <c r="ER381" t="str">
        <f>""</f>
        <v/>
      </c>
      <c r="ES381" t="str">
        <f>""</f>
        <v/>
      </c>
      <c r="ET381" t="str">
        <f>""</f>
        <v/>
      </c>
      <c r="EU381" t="str">
        <f>""</f>
        <v/>
      </c>
      <c r="EV381" t="str">
        <f>""</f>
        <v/>
      </c>
      <c r="EW381" t="str">
        <f>""</f>
        <v/>
      </c>
      <c r="EX381" t="str">
        <f>""</f>
        <v/>
      </c>
      <c r="EY381" t="str">
        <f>""</f>
        <v/>
      </c>
      <c r="EZ381" t="str">
        <f>""</f>
        <v/>
      </c>
      <c r="FA381" t="str">
        <f>""</f>
        <v/>
      </c>
      <c r="FB381" t="str">
        <f>""</f>
        <v/>
      </c>
      <c r="FC381" t="str">
        <f>""</f>
        <v/>
      </c>
      <c r="FD381" t="str">
        <f>""</f>
        <v/>
      </c>
      <c r="FE381" t="str">
        <f>""</f>
        <v/>
      </c>
      <c r="FF381" t="str">
        <f>""</f>
        <v/>
      </c>
      <c r="FG381" t="str">
        <f>""</f>
        <v/>
      </c>
      <c r="FH381" t="str">
        <f>""</f>
        <v/>
      </c>
      <c r="FI381" t="str">
        <f>""</f>
        <v/>
      </c>
      <c r="FJ381" t="str">
        <f>""</f>
        <v/>
      </c>
      <c r="FK381" t="str">
        <f>""</f>
        <v/>
      </c>
      <c r="FL381" t="str">
        <f>""</f>
        <v/>
      </c>
      <c r="FM381" t="str">
        <f>""</f>
        <v/>
      </c>
      <c r="FN381" t="str">
        <f>""</f>
        <v/>
      </c>
      <c r="FO381" t="str">
        <f>""</f>
        <v/>
      </c>
      <c r="FP381" t="str">
        <f>""</f>
        <v/>
      </c>
      <c r="FQ381" t="str">
        <f>""</f>
        <v/>
      </c>
    </row>
    <row r="382" spans="1:173">
      <c r="A382" t="str">
        <f>$A$175</f>
        <v xml:space="preserve">    埃塞克斯房地产信托公司</v>
      </c>
      <c r="B382" t="str">
        <f>$B$175</f>
        <v>ESS US Equity</v>
      </c>
      <c r="C382" t="str">
        <f>$C$175</f>
        <v>RR106</v>
      </c>
      <c r="D382" t="str">
        <f>$D$175</f>
        <v>FFO_PAYOUT_RATIO</v>
      </c>
      <c r="E382" t="str">
        <f>$E$175</f>
        <v>动态</v>
      </c>
      <c r="F382" t="str">
        <f ca="1">BDH($B$175,$C$175,$B$250,$B$251,CONCATENATE("Per=",$B$248),"Dts=H","Dir=H",CONCATENATE("Points=",$B$249),"Sort=R","Days=A","Fill=B",CONCATENATE("FX=", $B$247) )</f>
        <v>#N/A Authorization</v>
      </c>
      <c r="CL382" t="str">
        <f>""</f>
        <v/>
      </c>
      <c r="CM382" t="str">
        <f>""</f>
        <v/>
      </c>
      <c r="CN382" t="str">
        <f>""</f>
        <v/>
      </c>
      <c r="CO382" t="str">
        <f>""</f>
        <v/>
      </c>
      <c r="CP382" t="str">
        <f>""</f>
        <v/>
      </c>
      <c r="CQ382" t="str">
        <f>""</f>
        <v/>
      </c>
      <c r="CR382" t="str">
        <f>""</f>
        <v/>
      </c>
      <c r="CS382" t="str">
        <f>""</f>
        <v/>
      </c>
      <c r="CT382" t="str">
        <f>""</f>
        <v/>
      </c>
      <c r="CU382" t="str">
        <f>""</f>
        <v/>
      </c>
      <c r="CV382" t="str">
        <f>""</f>
        <v/>
      </c>
      <c r="CW382" t="str">
        <f>""</f>
        <v/>
      </c>
      <c r="CX382" t="str">
        <f>""</f>
        <v/>
      </c>
      <c r="CY382" t="str">
        <f>""</f>
        <v/>
      </c>
      <c r="CZ382" t="str">
        <f>""</f>
        <v/>
      </c>
      <c r="DA382" t="str">
        <f>""</f>
        <v/>
      </c>
      <c r="DB382" t="str">
        <f>""</f>
        <v/>
      </c>
      <c r="DC382" t="str">
        <f>""</f>
        <v/>
      </c>
      <c r="DD382" t="str">
        <f>""</f>
        <v/>
      </c>
      <c r="DE382" t="str">
        <f>""</f>
        <v/>
      </c>
      <c r="DF382" t="str">
        <f>""</f>
        <v/>
      </c>
      <c r="DG382" t="str">
        <f>""</f>
        <v/>
      </c>
      <c r="DH382" t="str">
        <f>""</f>
        <v/>
      </c>
      <c r="DI382" t="str">
        <f>""</f>
        <v/>
      </c>
      <c r="DJ382" t="str">
        <f>""</f>
        <v/>
      </c>
      <c r="DK382" t="str">
        <f>""</f>
        <v/>
      </c>
      <c r="DL382" t="str">
        <f>""</f>
        <v/>
      </c>
      <c r="DM382" t="str">
        <f>""</f>
        <v/>
      </c>
      <c r="DN382" t="str">
        <f>""</f>
        <v/>
      </c>
      <c r="DO382" t="str">
        <f>""</f>
        <v/>
      </c>
      <c r="DP382" t="str">
        <f>""</f>
        <v/>
      </c>
      <c r="DQ382" t="str">
        <f>""</f>
        <v/>
      </c>
      <c r="DR382" t="str">
        <f>""</f>
        <v/>
      </c>
      <c r="DS382" t="str">
        <f>""</f>
        <v/>
      </c>
      <c r="DT382" t="str">
        <f>""</f>
        <v/>
      </c>
      <c r="DU382" t="str">
        <f>""</f>
        <v/>
      </c>
      <c r="DV382" t="str">
        <f>""</f>
        <v/>
      </c>
      <c r="DW382" t="str">
        <f>""</f>
        <v/>
      </c>
      <c r="DX382" t="str">
        <f>""</f>
        <v/>
      </c>
      <c r="DY382" t="str">
        <f>""</f>
        <v/>
      </c>
      <c r="DZ382" t="str">
        <f>""</f>
        <v/>
      </c>
      <c r="EA382" t="str">
        <f>""</f>
        <v/>
      </c>
      <c r="EB382" t="str">
        <f>""</f>
        <v/>
      </c>
      <c r="EC382" t="str">
        <f>""</f>
        <v/>
      </c>
      <c r="ED382" t="str">
        <f>""</f>
        <v/>
      </c>
      <c r="EE382" t="str">
        <f>""</f>
        <v/>
      </c>
      <c r="EF382" t="str">
        <f>""</f>
        <v/>
      </c>
      <c r="EG382" t="str">
        <f>""</f>
        <v/>
      </c>
      <c r="EH382" t="str">
        <f>""</f>
        <v/>
      </c>
      <c r="EI382" t="str">
        <f>""</f>
        <v/>
      </c>
      <c r="EJ382" t="str">
        <f>""</f>
        <v/>
      </c>
      <c r="EK382" t="str">
        <f>""</f>
        <v/>
      </c>
      <c r="EL382" t="str">
        <f>""</f>
        <v/>
      </c>
      <c r="EM382" t="str">
        <f>""</f>
        <v/>
      </c>
      <c r="EN382" t="str">
        <f>""</f>
        <v/>
      </c>
      <c r="EO382" t="str">
        <f>""</f>
        <v/>
      </c>
      <c r="EP382" t="str">
        <f>""</f>
        <v/>
      </c>
      <c r="EQ382" t="str">
        <f>""</f>
        <v/>
      </c>
      <c r="ER382" t="str">
        <f>""</f>
        <v/>
      </c>
      <c r="ES382" t="str">
        <f>""</f>
        <v/>
      </c>
      <c r="ET382" t="str">
        <f>""</f>
        <v/>
      </c>
      <c r="EU382" t="str">
        <f>""</f>
        <v/>
      </c>
      <c r="EV382" t="str">
        <f>""</f>
        <v/>
      </c>
      <c r="EW382" t="str">
        <f>""</f>
        <v/>
      </c>
      <c r="EX382" t="str">
        <f>""</f>
        <v/>
      </c>
      <c r="EY382" t="str">
        <f>""</f>
        <v/>
      </c>
      <c r="EZ382" t="str">
        <f>""</f>
        <v/>
      </c>
      <c r="FA382" t="str">
        <f>""</f>
        <v/>
      </c>
      <c r="FB382" t="str">
        <f>""</f>
        <v/>
      </c>
      <c r="FC382" t="str">
        <f>""</f>
        <v/>
      </c>
      <c r="FD382" t="str">
        <f>""</f>
        <v/>
      </c>
      <c r="FE382" t="str">
        <f>""</f>
        <v/>
      </c>
      <c r="FF382" t="str">
        <f>""</f>
        <v/>
      </c>
      <c r="FG382" t="str">
        <f>""</f>
        <v/>
      </c>
      <c r="FH382" t="str">
        <f>""</f>
        <v/>
      </c>
      <c r="FI382" t="str">
        <f>""</f>
        <v/>
      </c>
      <c r="FJ382" t="str">
        <f>""</f>
        <v/>
      </c>
      <c r="FK382" t="str">
        <f>""</f>
        <v/>
      </c>
      <c r="FL382" t="str">
        <f>""</f>
        <v/>
      </c>
      <c r="FM382" t="str">
        <f>""</f>
        <v/>
      </c>
      <c r="FN382" t="str">
        <f>""</f>
        <v/>
      </c>
      <c r="FO382" t="str">
        <f>""</f>
        <v/>
      </c>
      <c r="FP382" t="str">
        <f>""</f>
        <v/>
      </c>
      <c r="FQ382" t="str">
        <f>""</f>
        <v/>
      </c>
    </row>
    <row r="383" spans="1:173">
      <c r="A383" t="str">
        <f>$A$176</f>
        <v xml:space="preserve">    Mid-America Apartment Communities股份有限公司</v>
      </c>
      <c r="B383" t="str">
        <f>$B$176</f>
        <v>MAA US Equity</v>
      </c>
      <c r="C383" t="str">
        <f>$C$176</f>
        <v>RR106</v>
      </c>
      <c r="D383" t="str">
        <f>$D$176</f>
        <v>FFO_PAYOUT_RATIO</v>
      </c>
      <c r="E383" t="str">
        <f>$E$176</f>
        <v>动态</v>
      </c>
      <c r="F383" t="str">
        <f ca="1">BDH($B$176,$C$176,$B$250,$B$251,CONCATENATE("Per=",$B$248),"Dts=H","Dir=H",CONCATENATE("Points=",$B$249),"Sort=R","Days=A","Fill=B",CONCATENATE("FX=", $B$247) )</f>
        <v>#N/A Authorization</v>
      </c>
      <c r="CL383" t="str">
        <f>""</f>
        <v/>
      </c>
      <c r="CM383" t="str">
        <f>""</f>
        <v/>
      </c>
      <c r="CN383" t="str">
        <f>""</f>
        <v/>
      </c>
      <c r="CO383" t="str">
        <f>""</f>
        <v/>
      </c>
      <c r="CP383" t="str">
        <f>""</f>
        <v/>
      </c>
      <c r="CQ383" t="str">
        <f>""</f>
        <v/>
      </c>
      <c r="CR383" t="str">
        <f>""</f>
        <v/>
      </c>
      <c r="CS383" t="str">
        <f>""</f>
        <v/>
      </c>
      <c r="CT383" t="str">
        <f>""</f>
        <v/>
      </c>
      <c r="CU383" t="str">
        <f>""</f>
        <v/>
      </c>
      <c r="CV383" t="str">
        <f>""</f>
        <v/>
      </c>
      <c r="CW383" t="str">
        <f>""</f>
        <v/>
      </c>
      <c r="CX383" t="str">
        <f>""</f>
        <v/>
      </c>
      <c r="CY383" t="str">
        <f>""</f>
        <v/>
      </c>
      <c r="CZ383" t="str">
        <f>""</f>
        <v/>
      </c>
      <c r="DA383" t="str">
        <f>""</f>
        <v/>
      </c>
      <c r="DB383" t="str">
        <f>""</f>
        <v/>
      </c>
      <c r="DC383" t="str">
        <f>""</f>
        <v/>
      </c>
      <c r="DD383" t="str">
        <f>""</f>
        <v/>
      </c>
      <c r="DE383" t="str">
        <f>""</f>
        <v/>
      </c>
      <c r="DF383" t="str">
        <f>""</f>
        <v/>
      </c>
      <c r="DG383" t="str">
        <f>""</f>
        <v/>
      </c>
      <c r="DH383" t="str">
        <f>""</f>
        <v/>
      </c>
      <c r="DI383" t="str">
        <f>""</f>
        <v/>
      </c>
      <c r="DJ383" t="str">
        <f>""</f>
        <v/>
      </c>
      <c r="DK383" t="str">
        <f>""</f>
        <v/>
      </c>
      <c r="DL383" t="str">
        <f>""</f>
        <v/>
      </c>
      <c r="DM383" t="str">
        <f>""</f>
        <v/>
      </c>
      <c r="DN383" t="str">
        <f>""</f>
        <v/>
      </c>
      <c r="DO383" t="str">
        <f>""</f>
        <v/>
      </c>
      <c r="DP383" t="str">
        <f>""</f>
        <v/>
      </c>
      <c r="DQ383" t="str">
        <f>""</f>
        <v/>
      </c>
      <c r="DR383" t="str">
        <f>""</f>
        <v/>
      </c>
      <c r="DS383" t="str">
        <f>""</f>
        <v/>
      </c>
      <c r="DT383" t="str">
        <f>""</f>
        <v/>
      </c>
      <c r="DU383" t="str">
        <f>""</f>
        <v/>
      </c>
      <c r="DV383" t="str">
        <f>""</f>
        <v/>
      </c>
      <c r="DW383" t="str">
        <f>""</f>
        <v/>
      </c>
      <c r="DX383" t="str">
        <f>""</f>
        <v/>
      </c>
      <c r="DY383" t="str">
        <f>""</f>
        <v/>
      </c>
      <c r="DZ383" t="str">
        <f>""</f>
        <v/>
      </c>
      <c r="EA383" t="str">
        <f>""</f>
        <v/>
      </c>
      <c r="EB383" t="str">
        <f>""</f>
        <v/>
      </c>
      <c r="EC383" t="str">
        <f>""</f>
        <v/>
      </c>
      <c r="ED383" t="str">
        <f>""</f>
        <v/>
      </c>
      <c r="EE383" t="str">
        <f>""</f>
        <v/>
      </c>
      <c r="EF383" t="str">
        <f>""</f>
        <v/>
      </c>
      <c r="EG383" t="str">
        <f>""</f>
        <v/>
      </c>
      <c r="EH383" t="str">
        <f>""</f>
        <v/>
      </c>
      <c r="EI383" t="str">
        <f>""</f>
        <v/>
      </c>
      <c r="EJ383" t="str">
        <f>""</f>
        <v/>
      </c>
      <c r="EK383" t="str">
        <f>""</f>
        <v/>
      </c>
      <c r="EL383" t="str">
        <f>""</f>
        <v/>
      </c>
      <c r="EM383" t="str">
        <f>""</f>
        <v/>
      </c>
      <c r="EN383" t="str">
        <f>""</f>
        <v/>
      </c>
      <c r="EO383" t="str">
        <f>""</f>
        <v/>
      </c>
      <c r="EP383" t="str">
        <f>""</f>
        <v/>
      </c>
      <c r="EQ383" t="str">
        <f>""</f>
        <v/>
      </c>
      <c r="ER383" t="str">
        <f>""</f>
        <v/>
      </c>
      <c r="ES383" t="str">
        <f>""</f>
        <v/>
      </c>
      <c r="ET383" t="str">
        <f>""</f>
        <v/>
      </c>
      <c r="EU383" t="str">
        <f>""</f>
        <v/>
      </c>
      <c r="EV383" t="str">
        <f>""</f>
        <v/>
      </c>
      <c r="EW383" t="str">
        <f>""</f>
        <v/>
      </c>
      <c r="EX383" t="str">
        <f>""</f>
        <v/>
      </c>
      <c r="EY383" t="str">
        <f>""</f>
        <v/>
      </c>
      <c r="EZ383" t="str">
        <f>""</f>
        <v/>
      </c>
      <c r="FA383" t="str">
        <f>""</f>
        <v/>
      </c>
      <c r="FB383" t="str">
        <f>""</f>
        <v/>
      </c>
      <c r="FC383" t="str">
        <f>""</f>
        <v/>
      </c>
      <c r="FD383" t="str">
        <f>""</f>
        <v/>
      </c>
      <c r="FE383" t="str">
        <f>""</f>
        <v/>
      </c>
      <c r="FF383" t="str">
        <f>""</f>
        <v/>
      </c>
      <c r="FG383" t="str">
        <f>""</f>
        <v/>
      </c>
      <c r="FH383" t="str">
        <f>""</f>
        <v/>
      </c>
      <c r="FI383" t="str">
        <f>""</f>
        <v/>
      </c>
      <c r="FJ383" t="str">
        <f>""</f>
        <v/>
      </c>
      <c r="FK383" t="str">
        <f>""</f>
        <v/>
      </c>
      <c r="FL383" t="str">
        <f>""</f>
        <v/>
      </c>
      <c r="FM383" t="str">
        <f>""</f>
        <v/>
      </c>
      <c r="FN383" t="str">
        <f>""</f>
        <v/>
      </c>
      <c r="FO383" t="str">
        <f>""</f>
        <v/>
      </c>
      <c r="FP383" t="str">
        <f>""</f>
        <v/>
      </c>
      <c r="FQ383" t="str">
        <f>""</f>
        <v/>
      </c>
    </row>
    <row r="384" spans="1:173">
      <c r="A384" t="str">
        <f>$A$177</f>
        <v xml:space="preserve">    UDR 公司</v>
      </c>
      <c r="B384" t="str">
        <f>$B$177</f>
        <v>UDR US Equity</v>
      </c>
      <c r="C384" t="str">
        <f>$C$177</f>
        <v>RR106</v>
      </c>
      <c r="D384" t="str">
        <f>$D$177</f>
        <v>FFO_PAYOUT_RATIO</v>
      </c>
      <c r="E384" t="str">
        <f>$E$177</f>
        <v>动态</v>
      </c>
      <c r="F384" t="str">
        <f ca="1">BDH($B$177,$C$177,$B$250,$B$251,CONCATENATE("Per=",$B$248),"Dts=H","Dir=H",CONCATENATE("Points=",$B$249),"Sort=R","Days=A","Fill=B",CONCATENATE("FX=", $B$247) )</f>
        <v>#N/A Authorization</v>
      </c>
      <c r="CL384" t="str">
        <f>""</f>
        <v/>
      </c>
      <c r="CM384" t="str">
        <f>""</f>
        <v/>
      </c>
      <c r="CN384" t="str">
        <f>""</f>
        <v/>
      </c>
      <c r="CO384" t="str">
        <f>""</f>
        <v/>
      </c>
      <c r="CP384" t="str">
        <f>""</f>
        <v/>
      </c>
      <c r="CQ384" t="str">
        <f>""</f>
        <v/>
      </c>
      <c r="CR384" t="str">
        <f>""</f>
        <v/>
      </c>
      <c r="CS384" t="str">
        <f>""</f>
        <v/>
      </c>
      <c r="CT384" t="str">
        <f>""</f>
        <v/>
      </c>
      <c r="CU384" t="str">
        <f>""</f>
        <v/>
      </c>
      <c r="CV384" t="str">
        <f>""</f>
        <v/>
      </c>
      <c r="CW384" t="str">
        <f>""</f>
        <v/>
      </c>
      <c r="CX384" t="str">
        <f>""</f>
        <v/>
      </c>
      <c r="CY384" t="str">
        <f>""</f>
        <v/>
      </c>
      <c r="CZ384" t="str">
        <f>""</f>
        <v/>
      </c>
      <c r="DA384" t="str">
        <f>""</f>
        <v/>
      </c>
      <c r="DB384" t="str">
        <f>""</f>
        <v/>
      </c>
      <c r="DC384" t="str">
        <f>""</f>
        <v/>
      </c>
      <c r="DD384" t="str">
        <f>""</f>
        <v/>
      </c>
      <c r="DE384" t="str">
        <f>""</f>
        <v/>
      </c>
      <c r="DF384" t="str">
        <f>""</f>
        <v/>
      </c>
      <c r="DG384" t="str">
        <f>""</f>
        <v/>
      </c>
      <c r="DH384" t="str">
        <f>""</f>
        <v/>
      </c>
      <c r="DI384" t="str">
        <f>""</f>
        <v/>
      </c>
      <c r="DJ384" t="str">
        <f>""</f>
        <v/>
      </c>
      <c r="DK384" t="str">
        <f>""</f>
        <v/>
      </c>
      <c r="DL384" t="str">
        <f>""</f>
        <v/>
      </c>
      <c r="DM384" t="str">
        <f>""</f>
        <v/>
      </c>
      <c r="DN384" t="str">
        <f>""</f>
        <v/>
      </c>
      <c r="DO384" t="str">
        <f>""</f>
        <v/>
      </c>
      <c r="DP384" t="str">
        <f>""</f>
        <v/>
      </c>
      <c r="DQ384" t="str">
        <f>""</f>
        <v/>
      </c>
      <c r="DR384" t="str">
        <f>""</f>
        <v/>
      </c>
      <c r="DS384" t="str">
        <f>""</f>
        <v/>
      </c>
      <c r="DT384" t="str">
        <f>""</f>
        <v/>
      </c>
      <c r="DU384" t="str">
        <f>""</f>
        <v/>
      </c>
      <c r="DV384" t="str">
        <f>""</f>
        <v/>
      </c>
      <c r="DW384" t="str">
        <f>""</f>
        <v/>
      </c>
      <c r="DX384" t="str">
        <f>""</f>
        <v/>
      </c>
      <c r="DY384" t="str">
        <f>""</f>
        <v/>
      </c>
      <c r="DZ384" t="str">
        <f>""</f>
        <v/>
      </c>
      <c r="EA384" t="str">
        <f>""</f>
        <v/>
      </c>
      <c r="EB384" t="str">
        <f>""</f>
        <v/>
      </c>
      <c r="EC384" t="str">
        <f>""</f>
        <v/>
      </c>
      <c r="ED384" t="str">
        <f>""</f>
        <v/>
      </c>
      <c r="EE384" t="str">
        <f>""</f>
        <v/>
      </c>
      <c r="EF384" t="str">
        <f>""</f>
        <v/>
      </c>
      <c r="EG384" t="str">
        <f>""</f>
        <v/>
      </c>
      <c r="EH384" t="str">
        <f>""</f>
        <v/>
      </c>
      <c r="EI384" t="str">
        <f>""</f>
        <v/>
      </c>
      <c r="EJ384" t="str">
        <f>""</f>
        <v/>
      </c>
      <c r="EK384" t="str">
        <f>""</f>
        <v/>
      </c>
      <c r="EL384" t="str">
        <f>""</f>
        <v/>
      </c>
      <c r="EM384" t="str">
        <f>""</f>
        <v/>
      </c>
      <c r="EN384" t="str">
        <f>""</f>
        <v/>
      </c>
      <c r="EO384" t="str">
        <f>""</f>
        <v/>
      </c>
      <c r="EP384" t="str">
        <f>""</f>
        <v/>
      </c>
      <c r="EQ384" t="str">
        <f>""</f>
        <v/>
      </c>
      <c r="ER384" t="str">
        <f>""</f>
        <v/>
      </c>
      <c r="ES384" t="str">
        <f>""</f>
        <v/>
      </c>
      <c r="ET384" t="str">
        <f>""</f>
        <v/>
      </c>
      <c r="EU384" t="str">
        <f>""</f>
        <v/>
      </c>
      <c r="EV384" t="str">
        <f>""</f>
        <v/>
      </c>
      <c r="EW384" t="str">
        <f>""</f>
        <v/>
      </c>
      <c r="EX384" t="str">
        <f>""</f>
        <v/>
      </c>
      <c r="EY384" t="str">
        <f>""</f>
        <v/>
      </c>
      <c r="EZ384" t="str">
        <f>""</f>
        <v/>
      </c>
      <c r="FA384" t="str">
        <f>""</f>
        <v/>
      </c>
      <c r="FB384" t="str">
        <f>""</f>
        <v/>
      </c>
      <c r="FC384" t="str">
        <f>""</f>
        <v/>
      </c>
      <c r="FD384" t="str">
        <f>""</f>
        <v/>
      </c>
      <c r="FE384" t="str">
        <f>""</f>
        <v/>
      </c>
      <c r="FF384" t="str">
        <f>""</f>
        <v/>
      </c>
      <c r="FG384" t="str">
        <f>""</f>
        <v/>
      </c>
      <c r="FH384" t="str">
        <f>""</f>
        <v/>
      </c>
      <c r="FI384" t="str">
        <f>""</f>
        <v/>
      </c>
      <c r="FJ384" t="str">
        <f>""</f>
        <v/>
      </c>
      <c r="FK384" t="str">
        <f>""</f>
        <v/>
      </c>
      <c r="FL384" t="str">
        <f>""</f>
        <v/>
      </c>
      <c r="FM384" t="str">
        <f>""</f>
        <v/>
      </c>
      <c r="FN384" t="str">
        <f>""</f>
        <v/>
      </c>
      <c r="FO384" t="str">
        <f>""</f>
        <v/>
      </c>
      <c r="FP384" t="str">
        <f>""</f>
        <v/>
      </c>
      <c r="FQ384" t="str">
        <f>""</f>
        <v/>
      </c>
    </row>
    <row r="385" spans="1:173">
      <c r="A385" t="str">
        <f>$A$179</f>
        <v xml:space="preserve">    Apartment Investment &amp; Managem</v>
      </c>
      <c r="B385" t="str">
        <f>$B$179</f>
        <v>AIV US Equity</v>
      </c>
      <c r="C385" t="str">
        <f>$C$179</f>
        <v>F0928</v>
      </c>
      <c r="D385" t="str">
        <f>$D$179</f>
        <v>ADJUSTED_FFO_PAYOUT_RATIO</v>
      </c>
      <c r="E385" t="str">
        <f>$E$179</f>
        <v>动态</v>
      </c>
      <c r="F385" t="str">
        <f ca="1">BDH($B$179,$C$179,$B$250,$B$251,CONCATENATE("Per=",$B$248),"Dts=H","Dir=H",CONCATENATE("Points=",$B$249),"Sort=R","Days=A","Fill=B",CONCATENATE("FX=", $B$247) )</f>
        <v>#N/A Authorization</v>
      </c>
      <c r="CL385" t="str">
        <f>""</f>
        <v/>
      </c>
      <c r="CM385" t="str">
        <f>""</f>
        <v/>
      </c>
      <c r="CN385" t="str">
        <f>""</f>
        <v/>
      </c>
      <c r="CO385" t="str">
        <f>""</f>
        <v/>
      </c>
      <c r="CP385" t="str">
        <f>""</f>
        <v/>
      </c>
      <c r="CQ385" t="str">
        <f>""</f>
        <v/>
      </c>
      <c r="CR385" t="str">
        <f>""</f>
        <v/>
      </c>
      <c r="CS385" t="str">
        <f>""</f>
        <v/>
      </c>
      <c r="CT385" t="str">
        <f>""</f>
        <v/>
      </c>
      <c r="CU385" t="str">
        <f>""</f>
        <v/>
      </c>
      <c r="CV385" t="str">
        <f>""</f>
        <v/>
      </c>
      <c r="CW385" t="str">
        <f>""</f>
        <v/>
      </c>
      <c r="CX385" t="str">
        <f>""</f>
        <v/>
      </c>
      <c r="CY385" t="str">
        <f>""</f>
        <v/>
      </c>
      <c r="CZ385" t="str">
        <f>""</f>
        <v/>
      </c>
      <c r="DA385" t="str">
        <f>""</f>
        <v/>
      </c>
      <c r="DB385" t="str">
        <f>""</f>
        <v/>
      </c>
      <c r="DC385" t="str">
        <f>""</f>
        <v/>
      </c>
      <c r="DD385" t="str">
        <f>""</f>
        <v/>
      </c>
      <c r="DE385" t="str">
        <f>""</f>
        <v/>
      </c>
      <c r="DF385" t="str">
        <f>""</f>
        <v/>
      </c>
      <c r="DG385" t="str">
        <f>""</f>
        <v/>
      </c>
      <c r="DH385" t="str">
        <f>""</f>
        <v/>
      </c>
      <c r="DI385" t="str">
        <f>""</f>
        <v/>
      </c>
      <c r="DJ385" t="str">
        <f>""</f>
        <v/>
      </c>
      <c r="DK385" t="str">
        <f>""</f>
        <v/>
      </c>
      <c r="DL385" t="str">
        <f>""</f>
        <v/>
      </c>
      <c r="DM385" t="str">
        <f>""</f>
        <v/>
      </c>
      <c r="DN385" t="str">
        <f>""</f>
        <v/>
      </c>
      <c r="DO385" t="str">
        <f>""</f>
        <v/>
      </c>
      <c r="DP385" t="str">
        <f>""</f>
        <v/>
      </c>
      <c r="DQ385" t="str">
        <f>""</f>
        <v/>
      </c>
      <c r="DR385" t="str">
        <f>""</f>
        <v/>
      </c>
      <c r="DS385" t="str">
        <f>""</f>
        <v/>
      </c>
      <c r="DT385" t="str">
        <f>""</f>
        <v/>
      </c>
      <c r="DU385" t="str">
        <f>""</f>
        <v/>
      </c>
      <c r="DV385" t="str">
        <f>""</f>
        <v/>
      </c>
      <c r="DW385" t="str">
        <f>""</f>
        <v/>
      </c>
      <c r="DX385" t="str">
        <f>""</f>
        <v/>
      </c>
      <c r="DY385" t="str">
        <f>""</f>
        <v/>
      </c>
      <c r="DZ385" t="str">
        <f>""</f>
        <v/>
      </c>
      <c r="EA385" t="str">
        <f>""</f>
        <v/>
      </c>
      <c r="EB385" t="str">
        <f>""</f>
        <v/>
      </c>
      <c r="EC385" t="str">
        <f>""</f>
        <v/>
      </c>
      <c r="ED385" t="str">
        <f>""</f>
        <v/>
      </c>
      <c r="EE385" t="str">
        <f>""</f>
        <v/>
      </c>
      <c r="EF385" t="str">
        <f>""</f>
        <v/>
      </c>
      <c r="EG385" t="str">
        <f>""</f>
        <v/>
      </c>
      <c r="EH385" t="str">
        <f>""</f>
        <v/>
      </c>
      <c r="EI385" t="str">
        <f>""</f>
        <v/>
      </c>
      <c r="EJ385" t="str">
        <f>""</f>
        <v/>
      </c>
      <c r="EK385" t="str">
        <f>""</f>
        <v/>
      </c>
      <c r="EL385" t="str">
        <f>""</f>
        <v/>
      </c>
      <c r="EM385" t="str">
        <f>""</f>
        <v/>
      </c>
      <c r="EN385" t="str">
        <f>""</f>
        <v/>
      </c>
      <c r="EO385" t="str">
        <f>""</f>
        <v/>
      </c>
      <c r="EP385" t="str">
        <f>""</f>
        <v/>
      </c>
      <c r="EQ385" t="str">
        <f>""</f>
        <v/>
      </c>
      <c r="ER385" t="str">
        <f>""</f>
        <v/>
      </c>
      <c r="ES385" t="str">
        <f>""</f>
        <v/>
      </c>
      <c r="ET385" t="str">
        <f>""</f>
        <v/>
      </c>
      <c r="EU385" t="str">
        <f>""</f>
        <v/>
      </c>
      <c r="EV385" t="str">
        <f>""</f>
        <v/>
      </c>
      <c r="EW385" t="str">
        <f>""</f>
        <v/>
      </c>
      <c r="EX385" t="str">
        <f>""</f>
        <v/>
      </c>
      <c r="EY385" t="str">
        <f>""</f>
        <v/>
      </c>
      <c r="EZ385" t="str">
        <f>""</f>
        <v/>
      </c>
      <c r="FA385" t="str">
        <f>""</f>
        <v/>
      </c>
      <c r="FB385" t="str">
        <f>""</f>
        <v/>
      </c>
      <c r="FC385" t="str">
        <f>""</f>
        <v/>
      </c>
      <c r="FD385" t="str">
        <f>""</f>
        <v/>
      </c>
      <c r="FE385" t="str">
        <f>""</f>
        <v/>
      </c>
      <c r="FF385" t="str">
        <f>""</f>
        <v/>
      </c>
      <c r="FG385" t="str">
        <f>""</f>
        <v/>
      </c>
      <c r="FH385" t="str">
        <f>""</f>
        <v/>
      </c>
      <c r="FI385" t="str">
        <f>""</f>
        <v/>
      </c>
      <c r="FJ385" t="str">
        <f>""</f>
        <v/>
      </c>
      <c r="FK385" t="str">
        <f>""</f>
        <v/>
      </c>
      <c r="FL385" t="str">
        <f>""</f>
        <v/>
      </c>
      <c r="FM385" t="str">
        <f>""</f>
        <v/>
      </c>
      <c r="FN385" t="str">
        <f>""</f>
        <v/>
      </c>
      <c r="FO385" t="str">
        <f>""</f>
        <v/>
      </c>
      <c r="FP385" t="str">
        <f>""</f>
        <v/>
      </c>
      <c r="FQ385" t="str">
        <f>""</f>
        <v/>
      </c>
    </row>
    <row r="386" spans="1:173">
      <c r="A386" t="str">
        <f>$A$180</f>
        <v xml:space="preserve">    AvalonBay Communities Inc</v>
      </c>
      <c r="B386" t="str">
        <f>$B$180</f>
        <v>AVB US Equity</v>
      </c>
      <c r="C386" t="str">
        <f>$C$180</f>
        <v>F0928</v>
      </c>
      <c r="D386" t="str">
        <f>$D$180</f>
        <v>ADJUSTED_FFO_PAYOUT_RATIO</v>
      </c>
      <c r="E386" t="str">
        <f>$E$180</f>
        <v>动态</v>
      </c>
      <c r="F386" t="str">
        <f ca="1">BDH($B$180,$C$180,$B$250,$B$251,CONCATENATE("Per=",$B$248),"Dts=H","Dir=H",CONCATENATE("Points=",$B$249),"Sort=R","Days=A","Fill=B",CONCATENATE("FX=", $B$247) )</f>
        <v>#N/A Authorization</v>
      </c>
      <c r="CL386" t="str">
        <f>""</f>
        <v/>
      </c>
      <c r="CM386" t="str">
        <f>""</f>
        <v/>
      </c>
      <c r="CN386" t="str">
        <f>""</f>
        <v/>
      </c>
      <c r="CO386" t="str">
        <f>""</f>
        <v/>
      </c>
      <c r="CP386" t="str">
        <f>""</f>
        <v/>
      </c>
      <c r="CQ386" t="str">
        <f>""</f>
        <v/>
      </c>
      <c r="CR386" t="str">
        <f>""</f>
        <v/>
      </c>
      <c r="CS386" t="str">
        <f>""</f>
        <v/>
      </c>
      <c r="CT386" t="str">
        <f>""</f>
        <v/>
      </c>
      <c r="CU386" t="str">
        <f>""</f>
        <v/>
      </c>
      <c r="CV386" t="str">
        <f>""</f>
        <v/>
      </c>
      <c r="CW386" t="str">
        <f>""</f>
        <v/>
      </c>
      <c r="CX386" t="str">
        <f>""</f>
        <v/>
      </c>
      <c r="CY386" t="str">
        <f>""</f>
        <v/>
      </c>
      <c r="CZ386" t="str">
        <f>""</f>
        <v/>
      </c>
      <c r="DA386" t="str">
        <f>""</f>
        <v/>
      </c>
      <c r="DB386" t="str">
        <f>""</f>
        <v/>
      </c>
      <c r="DC386" t="str">
        <f>""</f>
        <v/>
      </c>
      <c r="DD386" t="str">
        <f>""</f>
        <v/>
      </c>
      <c r="DE386" t="str">
        <f>""</f>
        <v/>
      </c>
      <c r="DF386" t="str">
        <f>""</f>
        <v/>
      </c>
      <c r="DG386" t="str">
        <f>""</f>
        <v/>
      </c>
      <c r="DH386" t="str">
        <f>""</f>
        <v/>
      </c>
      <c r="DI386" t="str">
        <f>""</f>
        <v/>
      </c>
      <c r="DJ386" t="str">
        <f>""</f>
        <v/>
      </c>
      <c r="DK386" t="str">
        <f>""</f>
        <v/>
      </c>
      <c r="DL386" t="str">
        <f>""</f>
        <v/>
      </c>
      <c r="DM386" t="str">
        <f>""</f>
        <v/>
      </c>
      <c r="DN386" t="str">
        <f>""</f>
        <v/>
      </c>
      <c r="DO386" t="str">
        <f>""</f>
        <v/>
      </c>
      <c r="DP386" t="str">
        <f>""</f>
        <v/>
      </c>
      <c r="DQ386" t="str">
        <f>""</f>
        <v/>
      </c>
      <c r="DR386" t="str">
        <f>""</f>
        <v/>
      </c>
      <c r="DS386" t="str">
        <f>""</f>
        <v/>
      </c>
      <c r="DT386" t="str">
        <f>""</f>
        <v/>
      </c>
      <c r="DU386" t="str">
        <f>""</f>
        <v/>
      </c>
      <c r="DV386" t="str">
        <f>""</f>
        <v/>
      </c>
      <c r="DW386" t="str">
        <f>""</f>
        <v/>
      </c>
      <c r="DX386" t="str">
        <f>""</f>
        <v/>
      </c>
      <c r="DY386" t="str">
        <f>""</f>
        <v/>
      </c>
      <c r="DZ386" t="str">
        <f>""</f>
        <v/>
      </c>
      <c r="EA386" t="str">
        <f>""</f>
        <v/>
      </c>
      <c r="EB386" t="str">
        <f>""</f>
        <v/>
      </c>
      <c r="EC386" t="str">
        <f>""</f>
        <v/>
      </c>
      <c r="ED386" t="str">
        <f>""</f>
        <v/>
      </c>
      <c r="EE386" t="str">
        <f>""</f>
        <v/>
      </c>
      <c r="EF386" t="str">
        <f>""</f>
        <v/>
      </c>
      <c r="EG386" t="str">
        <f>""</f>
        <v/>
      </c>
      <c r="EH386" t="str">
        <f>""</f>
        <v/>
      </c>
      <c r="EI386" t="str">
        <f>""</f>
        <v/>
      </c>
      <c r="EJ386" t="str">
        <f>""</f>
        <v/>
      </c>
      <c r="EK386" t="str">
        <f>""</f>
        <v/>
      </c>
      <c r="EL386" t="str">
        <f>""</f>
        <v/>
      </c>
      <c r="EM386" t="str">
        <f>""</f>
        <v/>
      </c>
      <c r="EN386" t="str">
        <f>""</f>
        <v/>
      </c>
      <c r="EO386" t="str">
        <f>""</f>
        <v/>
      </c>
      <c r="EP386" t="str">
        <f>""</f>
        <v/>
      </c>
      <c r="EQ386" t="str">
        <f>""</f>
        <v/>
      </c>
      <c r="ER386" t="str">
        <f>""</f>
        <v/>
      </c>
      <c r="ES386" t="str">
        <f>""</f>
        <v/>
      </c>
      <c r="ET386" t="str">
        <f>""</f>
        <v/>
      </c>
      <c r="EU386" t="str">
        <f>""</f>
        <v/>
      </c>
      <c r="EV386" t="str">
        <f>""</f>
        <v/>
      </c>
      <c r="EW386" t="str">
        <f>""</f>
        <v/>
      </c>
      <c r="EX386" t="str">
        <f>""</f>
        <v/>
      </c>
      <c r="EY386" t="str">
        <f>""</f>
        <v/>
      </c>
      <c r="EZ386" t="str">
        <f>""</f>
        <v/>
      </c>
      <c r="FA386" t="str">
        <f>""</f>
        <v/>
      </c>
      <c r="FB386" t="str">
        <f>""</f>
        <v/>
      </c>
      <c r="FC386" t="str">
        <f>""</f>
        <v/>
      </c>
      <c r="FD386" t="str">
        <f>""</f>
        <v/>
      </c>
      <c r="FE386" t="str">
        <f>""</f>
        <v/>
      </c>
      <c r="FF386" t="str">
        <f>""</f>
        <v/>
      </c>
      <c r="FG386" t="str">
        <f>""</f>
        <v/>
      </c>
      <c r="FH386" t="str">
        <f>""</f>
        <v/>
      </c>
      <c r="FI386" t="str">
        <f>""</f>
        <v/>
      </c>
      <c r="FJ386" t="str">
        <f>""</f>
        <v/>
      </c>
      <c r="FK386" t="str">
        <f>""</f>
        <v/>
      </c>
      <c r="FL386" t="str">
        <f>""</f>
        <v/>
      </c>
      <c r="FM386" t="str">
        <f>""</f>
        <v/>
      </c>
      <c r="FN386" t="str">
        <f>""</f>
        <v/>
      </c>
      <c r="FO386" t="str">
        <f>""</f>
        <v/>
      </c>
      <c r="FP386" t="str">
        <f>""</f>
        <v/>
      </c>
      <c r="FQ386" t="str">
        <f>""</f>
        <v/>
      </c>
    </row>
    <row r="387" spans="1:173">
      <c r="A387" t="str">
        <f>$A$181</f>
        <v xml:space="preserve">    Camden Property Trust</v>
      </c>
      <c r="B387" t="str">
        <f>$B$181</f>
        <v>CPT US Equity</v>
      </c>
      <c r="C387" t="str">
        <f>$C$181</f>
        <v>F0928</v>
      </c>
      <c r="D387" t="str">
        <f>$D$181</f>
        <v>ADJUSTED_FFO_PAYOUT_RATIO</v>
      </c>
      <c r="E387" t="str">
        <f>$E$181</f>
        <v>动态</v>
      </c>
      <c r="F387" t="str">
        <f ca="1">BDH($B$181,$C$181,$B$250,$B$251,CONCATENATE("Per=",$B$248),"Dts=H","Dir=H",CONCATENATE("Points=",$B$249),"Sort=R","Days=A","Fill=B",CONCATENATE("FX=", $B$247) )</f>
        <v>#N/A Authorization</v>
      </c>
      <c r="CL387" t="str">
        <f>""</f>
        <v/>
      </c>
      <c r="CM387" t="str">
        <f>""</f>
        <v/>
      </c>
      <c r="CN387" t="str">
        <f>""</f>
        <v/>
      </c>
      <c r="CO387" t="str">
        <f>""</f>
        <v/>
      </c>
      <c r="CP387" t="str">
        <f>""</f>
        <v/>
      </c>
      <c r="CQ387" t="str">
        <f>""</f>
        <v/>
      </c>
      <c r="CR387" t="str">
        <f>""</f>
        <v/>
      </c>
      <c r="CS387" t="str">
        <f>""</f>
        <v/>
      </c>
      <c r="CT387" t="str">
        <f>""</f>
        <v/>
      </c>
      <c r="CU387" t="str">
        <f>""</f>
        <v/>
      </c>
      <c r="CV387" t="str">
        <f>""</f>
        <v/>
      </c>
      <c r="CW387" t="str">
        <f>""</f>
        <v/>
      </c>
      <c r="CX387" t="str">
        <f>""</f>
        <v/>
      </c>
      <c r="CY387" t="str">
        <f>""</f>
        <v/>
      </c>
      <c r="CZ387" t="str">
        <f>""</f>
        <v/>
      </c>
      <c r="DA387" t="str">
        <f>""</f>
        <v/>
      </c>
      <c r="DB387" t="str">
        <f>""</f>
        <v/>
      </c>
      <c r="DC387" t="str">
        <f>""</f>
        <v/>
      </c>
      <c r="DD387" t="str">
        <f>""</f>
        <v/>
      </c>
      <c r="DE387" t="str">
        <f>""</f>
        <v/>
      </c>
      <c r="DF387" t="str">
        <f>""</f>
        <v/>
      </c>
      <c r="DG387" t="str">
        <f>""</f>
        <v/>
      </c>
      <c r="DH387" t="str">
        <f>""</f>
        <v/>
      </c>
      <c r="DI387" t="str">
        <f>""</f>
        <v/>
      </c>
      <c r="DJ387" t="str">
        <f>""</f>
        <v/>
      </c>
      <c r="DK387" t="str">
        <f>""</f>
        <v/>
      </c>
      <c r="DL387" t="str">
        <f>""</f>
        <v/>
      </c>
      <c r="DM387" t="str">
        <f>""</f>
        <v/>
      </c>
      <c r="DN387" t="str">
        <f>""</f>
        <v/>
      </c>
      <c r="DO387" t="str">
        <f>""</f>
        <v/>
      </c>
      <c r="DP387" t="str">
        <f>""</f>
        <v/>
      </c>
      <c r="DQ387" t="str">
        <f>""</f>
        <v/>
      </c>
      <c r="DR387" t="str">
        <f>""</f>
        <v/>
      </c>
      <c r="DS387" t="str">
        <f>""</f>
        <v/>
      </c>
      <c r="DT387" t="str">
        <f>""</f>
        <v/>
      </c>
      <c r="DU387" t="str">
        <f>""</f>
        <v/>
      </c>
      <c r="DV387" t="str">
        <f>""</f>
        <v/>
      </c>
      <c r="DW387" t="str">
        <f>""</f>
        <v/>
      </c>
      <c r="DX387" t="str">
        <f>""</f>
        <v/>
      </c>
      <c r="DY387" t="str">
        <f>""</f>
        <v/>
      </c>
      <c r="DZ387" t="str">
        <f>""</f>
        <v/>
      </c>
      <c r="EA387" t="str">
        <f>""</f>
        <v/>
      </c>
      <c r="EB387" t="str">
        <f>""</f>
        <v/>
      </c>
      <c r="EC387" t="str">
        <f>""</f>
        <v/>
      </c>
      <c r="ED387" t="str">
        <f>""</f>
        <v/>
      </c>
      <c r="EE387" t="str">
        <f>""</f>
        <v/>
      </c>
      <c r="EF387" t="str">
        <f>""</f>
        <v/>
      </c>
      <c r="EG387" t="str">
        <f>""</f>
        <v/>
      </c>
      <c r="EH387" t="str">
        <f>""</f>
        <v/>
      </c>
      <c r="EI387" t="str">
        <f>""</f>
        <v/>
      </c>
      <c r="EJ387" t="str">
        <f>""</f>
        <v/>
      </c>
      <c r="EK387" t="str">
        <f>""</f>
        <v/>
      </c>
      <c r="EL387" t="str">
        <f>""</f>
        <v/>
      </c>
      <c r="EM387" t="str">
        <f>""</f>
        <v/>
      </c>
      <c r="EN387" t="str">
        <f>""</f>
        <v/>
      </c>
      <c r="EO387" t="str">
        <f>""</f>
        <v/>
      </c>
      <c r="EP387" t="str">
        <f>""</f>
        <v/>
      </c>
      <c r="EQ387" t="str">
        <f>""</f>
        <v/>
      </c>
      <c r="ER387" t="str">
        <f>""</f>
        <v/>
      </c>
      <c r="ES387" t="str">
        <f>""</f>
        <v/>
      </c>
      <c r="ET387" t="str">
        <f>""</f>
        <v/>
      </c>
      <c r="EU387" t="str">
        <f>""</f>
        <v/>
      </c>
      <c r="EV387" t="str">
        <f>""</f>
        <v/>
      </c>
      <c r="EW387" t="str">
        <f>""</f>
        <v/>
      </c>
      <c r="EX387" t="str">
        <f>""</f>
        <v/>
      </c>
      <c r="EY387" t="str">
        <f>""</f>
        <v/>
      </c>
      <c r="EZ387" t="str">
        <f>""</f>
        <v/>
      </c>
      <c r="FA387" t="str">
        <f>""</f>
        <v/>
      </c>
      <c r="FB387" t="str">
        <f>""</f>
        <v/>
      </c>
      <c r="FC387" t="str">
        <f>""</f>
        <v/>
      </c>
      <c r="FD387" t="str">
        <f>""</f>
        <v/>
      </c>
      <c r="FE387" t="str">
        <f>""</f>
        <v/>
      </c>
      <c r="FF387" t="str">
        <f>""</f>
        <v/>
      </c>
      <c r="FG387" t="str">
        <f>""</f>
        <v/>
      </c>
      <c r="FH387" t="str">
        <f>""</f>
        <v/>
      </c>
      <c r="FI387" t="str">
        <f>""</f>
        <v/>
      </c>
      <c r="FJ387" t="str">
        <f>""</f>
        <v/>
      </c>
      <c r="FK387" t="str">
        <f>""</f>
        <v/>
      </c>
      <c r="FL387" t="str">
        <f>""</f>
        <v/>
      </c>
      <c r="FM387" t="str">
        <f>""</f>
        <v/>
      </c>
      <c r="FN387" t="str">
        <f>""</f>
        <v/>
      </c>
      <c r="FO387" t="str">
        <f>""</f>
        <v/>
      </c>
      <c r="FP387" t="str">
        <f>""</f>
        <v/>
      </c>
      <c r="FQ387" t="str">
        <f>""</f>
        <v/>
      </c>
    </row>
    <row r="388" spans="1:173">
      <c r="A388" t="str">
        <f>$A$182</f>
        <v xml:space="preserve">    Equity Residential</v>
      </c>
      <c r="B388" t="str">
        <f>$B$182</f>
        <v>EQR US Equity</v>
      </c>
      <c r="C388" t="str">
        <f>$C$182</f>
        <v>F0928</v>
      </c>
      <c r="D388" t="str">
        <f>$D$182</f>
        <v>ADJUSTED_FFO_PAYOUT_RATIO</v>
      </c>
      <c r="E388" t="str">
        <f>$E$182</f>
        <v>动态</v>
      </c>
      <c r="F388" t="str">
        <f ca="1">BDH($B$182,$C$182,$B$250,$B$251,CONCATENATE("Per=",$B$248),"Dts=H","Dir=H",CONCATENATE("Points=",$B$249),"Sort=R","Days=A","Fill=B",CONCATENATE("FX=", $B$247) )</f>
        <v>#N/A Authorization</v>
      </c>
      <c r="CL388" t="str">
        <f>""</f>
        <v/>
      </c>
      <c r="CM388" t="str">
        <f>""</f>
        <v/>
      </c>
      <c r="CN388" t="str">
        <f>""</f>
        <v/>
      </c>
      <c r="CO388" t="str">
        <f>""</f>
        <v/>
      </c>
      <c r="CP388" t="str">
        <f>""</f>
        <v/>
      </c>
      <c r="CQ388" t="str">
        <f>""</f>
        <v/>
      </c>
      <c r="CR388" t="str">
        <f>""</f>
        <v/>
      </c>
      <c r="CS388" t="str">
        <f>""</f>
        <v/>
      </c>
      <c r="CT388" t="str">
        <f>""</f>
        <v/>
      </c>
      <c r="CU388" t="str">
        <f>""</f>
        <v/>
      </c>
      <c r="CV388" t="str">
        <f>""</f>
        <v/>
      </c>
      <c r="CW388" t="str">
        <f>""</f>
        <v/>
      </c>
      <c r="CX388" t="str">
        <f>""</f>
        <v/>
      </c>
      <c r="CY388" t="str">
        <f>""</f>
        <v/>
      </c>
      <c r="CZ388" t="str">
        <f>""</f>
        <v/>
      </c>
      <c r="DA388" t="str">
        <f>""</f>
        <v/>
      </c>
      <c r="DB388" t="str">
        <f>""</f>
        <v/>
      </c>
      <c r="DC388" t="str">
        <f>""</f>
        <v/>
      </c>
      <c r="DD388" t="str">
        <f>""</f>
        <v/>
      </c>
      <c r="DE388" t="str">
        <f>""</f>
        <v/>
      </c>
      <c r="DF388" t="str">
        <f>""</f>
        <v/>
      </c>
      <c r="DG388" t="str">
        <f>""</f>
        <v/>
      </c>
      <c r="DH388" t="str">
        <f>""</f>
        <v/>
      </c>
      <c r="DI388" t="str">
        <f>""</f>
        <v/>
      </c>
      <c r="DJ388" t="str">
        <f>""</f>
        <v/>
      </c>
      <c r="DK388" t="str">
        <f>""</f>
        <v/>
      </c>
      <c r="DL388" t="str">
        <f>""</f>
        <v/>
      </c>
      <c r="DM388" t="str">
        <f>""</f>
        <v/>
      </c>
      <c r="DN388" t="str">
        <f>""</f>
        <v/>
      </c>
      <c r="DO388" t="str">
        <f>""</f>
        <v/>
      </c>
      <c r="DP388" t="str">
        <f>""</f>
        <v/>
      </c>
      <c r="DQ388" t="str">
        <f>""</f>
        <v/>
      </c>
      <c r="DR388" t="str">
        <f>""</f>
        <v/>
      </c>
      <c r="DS388" t="str">
        <f>""</f>
        <v/>
      </c>
      <c r="DT388" t="str">
        <f>""</f>
        <v/>
      </c>
      <c r="DU388" t="str">
        <f>""</f>
        <v/>
      </c>
      <c r="DV388" t="str">
        <f>""</f>
        <v/>
      </c>
      <c r="DW388" t="str">
        <f>""</f>
        <v/>
      </c>
      <c r="DX388" t="str">
        <f>""</f>
        <v/>
      </c>
      <c r="DY388" t="str">
        <f>""</f>
        <v/>
      </c>
      <c r="DZ388" t="str">
        <f>""</f>
        <v/>
      </c>
      <c r="EA388" t="str">
        <f>""</f>
        <v/>
      </c>
      <c r="EB388" t="str">
        <f>""</f>
        <v/>
      </c>
      <c r="EC388" t="str">
        <f>""</f>
        <v/>
      </c>
      <c r="ED388" t="str">
        <f>""</f>
        <v/>
      </c>
      <c r="EE388" t="str">
        <f>""</f>
        <v/>
      </c>
      <c r="EF388" t="str">
        <f>""</f>
        <v/>
      </c>
      <c r="EG388" t="str">
        <f>""</f>
        <v/>
      </c>
      <c r="EH388" t="str">
        <f>""</f>
        <v/>
      </c>
      <c r="EI388" t="str">
        <f>""</f>
        <v/>
      </c>
      <c r="EJ388" t="str">
        <f>""</f>
        <v/>
      </c>
      <c r="EK388" t="str">
        <f>""</f>
        <v/>
      </c>
      <c r="EL388" t="str">
        <f>""</f>
        <v/>
      </c>
      <c r="EM388" t="str">
        <f>""</f>
        <v/>
      </c>
      <c r="EN388" t="str">
        <f>""</f>
        <v/>
      </c>
      <c r="EO388" t="str">
        <f>""</f>
        <v/>
      </c>
      <c r="EP388" t="str">
        <f>""</f>
        <v/>
      </c>
      <c r="EQ388" t="str">
        <f>""</f>
        <v/>
      </c>
      <c r="ER388" t="str">
        <f>""</f>
        <v/>
      </c>
      <c r="ES388" t="str">
        <f>""</f>
        <v/>
      </c>
      <c r="ET388" t="str">
        <f>""</f>
        <v/>
      </c>
      <c r="EU388" t="str">
        <f>""</f>
        <v/>
      </c>
      <c r="EV388" t="str">
        <f>""</f>
        <v/>
      </c>
      <c r="EW388" t="str">
        <f>""</f>
        <v/>
      </c>
      <c r="EX388" t="str">
        <f>""</f>
        <v/>
      </c>
      <c r="EY388" t="str">
        <f>""</f>
        <v/>
      </c>
      <c r="EZ388" t="str">
        <f>""</f>
        <v/>
      </c>
      <c r="FA388" t="str">
        <f>""</f>
        <v/>
      </c>
      <c r="FB388" t="str">
        <f>""</f>
        <v/>
      </c>
      <c r="FC388" t="str">
        <f>""</f>
        <v/>
      </c>
      <c r="FD388" t="str">
        <f>""</f>
        <v/>
      </c>
      <c r="FE388" t="str">
        <f>""</f>
        <v/>
      </c>
      <c r="FF388" t="str">
        <f>""</f>
        <v/>
      </c>
      <c r="FG388" t="str">
        <f>""</f>
        <v/>
      </c>
      <c r="FH388" t="str">
        <f>""</f>
        <v/>
      </c>
      <c r="FI388" t="str">
        <f>""</f>
        <v/>
      </c>
      <c r="FJ388" t="str">
        <f>""</f>
        <v/>
      </c>
      <c r="FK388" t="str">
        <f>""</f>
        <v/>
      </c>
      <c r="FL388" t="str">
        <f>""</f>
        <v/>
      </c>
      <c r="FM388" t="str">
        <f>""</f>
        <v/>
      </c>
      <c r="FN388" t="str">
        <f>""</f>
        <v/>
      </c>
      <c r="FO388" t="str">
        <f>""</f>
        <v/>
      </c>
      <c r="FP388" t="str">
        <f>""</f>
        <v/>
      </c>
      <c r="FQ388" t="str">
        <f>""</f>
        <v/>
      </c>
    </row>
    <row r="389" spans="1:173">
      <c r="A389" t="str">
        <f>$A$183</f>
        <v xml:space="preserve">    Essex Property Trust Inc</v>
      </c>
      <c r="B389" t="str">
        <f>$B$183</f>
        <v>ESS US Equity</v>
      </c>
      <c r="C389" t="str">
        <f>$C$183</f>
        <v>F0928</v>
      </c>
      <c r="D389" t="str">
        <f>$D$183</f>
        <v>ADJUSTED_FFO_PAYOUT_RATIO</v>
      </c>
      <c r="E389" t="str">
        <f>$E$183</f>
        <v>动态</v>
      </c>
      <c r="F389" t="str">
        <f ca="1">BDH($B$183,$C$183,$B$250,$B$251,CONCATENATE("Per=",$B$248),"Dts=H","Dir=H",CONCATENATE("Points=",$B$249),"Sort=R","Days=A","Fill=B",CONCATENATE("FX=", $B$247) )</f>
        <v>#N/A Authorization</v>
      </c>
      <c r="CL389" t="str">
        <f>""</f>
        <v/>
      </c>
      <c r="CM389" t="str">
        <f>""</f>
        <v/>
      </c>
      <c r="CN389" t="str">
        <f>""</f>
        <v/>
      </c>
      <c r="CO389" t="str">
        <f>""</f>
        <v/>
      </c>
      <c r="CP389" t="str">
        <f>""</f>
        <v/>
      </c>
      <c r="CQ389" t="str">
        <f>""</f>
        <v/>
      </c>
      <c r="CR389" t="str">
        <f>""</f>
        <v/>
      </c>
      <c r="CS389" t="str">
        <f>""</f>
        <v/>
      </c>
      <c r="CT389" t="str">
        <f>""</f>
        <v/>
      </c>
      <c r="CU389" t="str">
        <f>""</f>
        <v/>
      </c>
      <c r="CV389" t="str">
        <f>""</f>
        <v/>
      </c>
      <c r="CW389" t="str">
        <f>""</f>
        <v/>
      </c>
      <c r="CX389" t="str">
        <f>""</f>
        <v/>
      </c>
      <c r="CY389" t="str">
        <f>""</f>
        <v/>
      </c>
      <c r="CZ389" t="str">
        <f>""</f>
        <v/>
      </c>
      <c r="DA389" t="str">
        <f>""</f>
        <v/>
      </c>
      <c r="DB389" t="str">
        <f>""</f>
        <v/>
      </c>
      <c r="DC389" t="str">
        <f>""</f>
        <v/>
      </c>
      <c r="DD389" t="str">
        <f>""</f>
        <v/>
      </c>
      <c r="DE389" t="str">
        <f>""</f>
        <v/>
      </c>
      <c r="DF389" t="str">
        <f>""</f>
        <v/>
      </c>
      <c r="DG389" t="str">
        <f>""</f>
        <v/>
      </c>
      <c r="DH389" t="str">
        <f>""</f>
        <v/>
      </c>
      <c r="DI389" t="str">
        <f>""</f>
        <v/>
      </c>
      <c r="DJ389" t="str">
        <f>""</f>
        <v/>
      </c>
      <c r="DK389" t="str">
        <f>""</f>
        <v/>
      </c>
      <c r="DL389" t="str">
        <f>""</f>
        <v/>
      </c>
      <c r="DM389" t="str">
        <f>""</f>
        <v/>
      </c>
      <c r="DN389" t="str">
        <f>""</f>
        <v/>
      </c>
      <c r="DO389" t="str">
        <f>""</f>
        <v/>
      </c>
      <c r="DP389" t="str">
        <f>""</f>
        <v/>
      </c>
      <c r="DQ389" t="str">
        <f>""</f>
        <v/>
      </c>
      <c r="DR389" t="str">
        <f>""</f>
        <v/>
      </c>
      <c r="DS389" t="str">
        <f>""</f>
        <v/>
      </c>
      <c r="DT389" t="str">
        <f>""</f>
        <v/>
      </c>
      <c r="DU389" t="str">
        <f>""</f>
        <v/>
      </c>
      <c r="DV389" t="str">
        <f>""</f>
        <v/>
      </c>
      <c r="DW389" t="str">
        <f>""</f>
        <v/>
      </c>
      <c r="DX389" t="str">
        <f>""</f>
        <v/>
      </c>
      <c r="DY389" t="str">
        <f>""</f>
        <v/>
      </c>
      <c r="DZ389" t="str">
        <f>""</f>
        <v/>
      </c>
      <c r="EA389" t="str">
        <f>""</f>
        <v/>
      </c>
      <c r="EB389" t="str">
        <f>""</f>
        <v/>
      </c>
      <c r="EC389" t="str">
        <f>""</f>
        <v/>
      </c>
      <c r="ED389" t="str">
        <f>""</f>
        <v/>
      </c>
      <c r="EE389" t="str">
        <f>""</f>
        <v/>
      </c>
      <c r="EF389" t="str">
        <f>""</f>
        <v/>
      </c>
      <c r="EG389" t="str">
        <f>""</f>
        <v/>
      </c>
      <c r="EH389" t="str">
        <f>""</f>
        <v/>
      </c>
      <c r="EI389" t="str">
        <f>""</f>
        <v/>
      </c>
      <c r="EJ389" t="str">
        <f>""</f>
        <v/>
      </c>
      <c r="EK389" t="str">
        <f>""</f>
        <v/>
      </c>
      <c r="EL389" t="str">
        <f>""</f>
        <v/>
      </c>
      <c r="EM389" t="str">
        <f>""</f>
        <v/>
      </c>
      <c r="EN389" t="str">
        <f>""</f>
        <v/>
      </c>
      <c r="EO389" t="str">
        <f>""</f>
        <v/>
      </c>
      <c r="EP389" t="str">
        <f>""</f>
        <v/>
      </c>
      <c r="EQ389" t="str">
        <f>""</f>
        <v/>
      </c>
      <c r="ER389" t="str">
        <f>""</f>
        <v/>
      </c>
      <c r="ES389" t="str">
        <f>""</f>
        <v/>
      </c>
      <c r="ET389" t="str">
        <f>""</f>
        <v/>
      </c>
      <c r="EU389" t="str">
        <f>""</f>
        <v/>
      </c>
      <c r="EV389" t="str">
        <f>""</f>
        <v/>
      </c>
      <c r="EW389" t="str">
        <f>""</f>
        <v/>
      </c>
      <c r="EX389" t="str">
        <f>""</f>
        <v/>
      </c>
      <c r="EY389" t="str">
        <f>""</f>
        <v/>
      </c>
      <c r="EZ389" t="str">
        <f>""</f>
        <v/>
      </c>
      <c r="FA389" t="str">
        <f>""</f>
        <v/>
      </c>
      <c r="FB389" t="str">
        <f>""</f>
        <v/>
      </c>
      <c r="FC389" t="str">
        <f>""</f>
        <v/>
      </c>
      <c r="FD389" t="str">
        <f>""</f>
        <v/>
      </c>
      <c r="FE389" t="str">
        <f>""</f>
        <v/>
      </c>
      <c r="FF389" t="str">
        <f>""</f>
        <v/>
      </c>
      <c r="FG389" t="str">
        <f>""</f>
        <v/>
      </c>
      <c r="FH389" t="str">
        <f>""</f>
        <v/>
      </c>
      <c r="FI389" t="str">
        <f>""</f>
        <v/>
      </c>
      <c r="FJ389" t="str">
        <f>""</f>
        <v/>
      </c>
      <c r="FK389" t="str">
        <f>""</f>
        <v/>
      </c>
      <c r="FL389" t="str">
        <f>""</f>
        <v/>
      </c>
      <c r="FM389" t="str">
        <f>""</f>
        <v/>
      </c>
      <c r="FN389" t="str">
        <f>""</f>
        <v/>
      </c>
      <c r="FO389" t="str">
        <f>""</f>
        <v/>
      </c>
      <c r="FP389" t="str">
        <f>""</f>
        <v/>
      </c>
      <c r="FQ389" t="str">
        <f>""</f>
        <v/>
      </c>
    </row>
    <row r="390" spans="1:173">
      <c r="A390" t="str">
        <f>$A$184</f>
        <v xml:space="preserve">    Mid-America Apartment Communit</v>
      </c>
      <c r="B390" t="str">
        <f>$B$184</f>
        <v>MAA US Equity</v>
      </c>
      <c r="C390" t="str">
        <f>$C$184</f>
        <v>F0928</v>
      </c>
      <c r="D390" t="str">
        <f>$D$184</f>
        <v>ADJUSTED_FFO_PAYOUT_RATIO</v>
      </c>
      <c r="E390" t="str">
        <f>$E$184</f>
        <v>动态</v>
      </c>
      <c r="F390" t="str">
        <f ca="1">BDH($B$184,$C$184,$B$250,$B$251,CONCATENATE("Per=",$B$248),"Dts=H","Dir=H",CONCATENATE("Points=",$B$249),"Sort=R","Days=A","Fill=B",CONCATENATE("FX=", $B$247) )</f>
        <v>#N/A Authorization</v>
      </c>
      <c r="CL390" t="str">
        <f>""</f>
        <v/>
      </c>
      <c r="CM390" t="str">
        <f>""</f>
        <v/>
      </c>
      <c r="CN390" t="str">
        <f>""</f>
        <v/>
      </c>
      <c r="CO390" t="str">
        <f>""</f>
        <v/>
      </c>
      <c r="CP390" t="str">
        <f>""</f>
        <v/>
      </c>
      <c r="CQ390" t="str">
        <f>""</f>
        <v/>
      </c>
      <c r="CR390" t="str">
        <f>""</f>
        <v/>
      </c>
      <c r="CS390" t="str">
        <f>""</f>
        <v/>
      </c>
      <c r="CT390" t="str">
        <f>""</f>
        <v/>
      </c>
      <c r="CU390" t="str">
        <f>""</f>
        <v/>
      </c>
      <c r="CV390" t="str">
        <f>""</f>
        <v/>
      </c>
      <c r="CW390" t="str">
        <f>""</f>
        <v/>
      </c>
      <c r="CX390" t="str">
        <f>""</f>
        <v/>
      </c>
      <c r="CY390" t="str">
        <f>""</f>
        <v/>
      </c>
      <c r="CZ390" t="str">
        <f>""</f>
        <v/>
      </c>
      <c r="DA390" t="str">
        <f>""</f>
        <v/>
      </c>
      <c r="DB390" t="str">
        <f>""</f>
        <v/>
      </c>
      <c r="DC390" t="str">
        <f>""</f>
        <v/>
      </c>
      <c r="DD390" t="str">
        <f>""</f>
        <v/>
      </c>
      <c r="DE390" t="str">
        <f>""</f>
        <v/>
      </c>
      <c r="DF390" t="str">
        <f>""</f>
        <v/>
      </c>
      <c r="DG390" t="str">
        <f>""</f>
        <v/>
      </c>
      <c r="DH390" t="str">
        <f>""</f>
        <v/>
      </c>
      <c r="DI390" t="str">
        <f>""</f>
        <v/>
      </c>
      <c r="DJ390" t="str">
        <f>""</f>
        <v/>
      </c>
      <c r="DK390" t="str">
        <f>""</f>
        <v/>
      </c>
      <c r="DL390" t="str">
        <f>""</f>
        <v/>
      </c>
      <c r="DM390" t="str">
        <f>""</f>
        <v/>
      </c>
      <c r="DN390" t="str">
        <f>""</f>
        <v/>
      </c>
      <c r="DO390" t="str">
        <f>""</f>
        <v/>
      </c>
      <c r="DP390" t="str">
        <f>""</f>
        <v/>
      </c>
      <c r="DQ390" t="str">
        <f>""</f>
        <v/>
      </c>
      <c r="DR390" t="str">
        <f>""</f>
        <v/>
      </c>
      <c r="DS390" t="str">
        <f>""</f>
        <v/>
      </c>
      <c r="DT390" t="str">
        <f>""</f>
        <v/>
      </c>
      <c r="DU390" t="str">
        <f>""</f>
        <v/>
      </c>
      <c r="DV390" t="str">
        <f>""</f>
        <v/>
      </c>
      <c r="DW390" t="str">
        <f>""</f>
        <v/>
      </c>
      <c r="DX390" t="str">
        <f>""</f>
        <v/>
      </c>
      <c r="DY390" t="str">
        <f>""</f>
        <v/>
      </c>
      <c r="DZ390" t="str">
        <f>""</f>
        <v/>
      </c>
      <c r="EA390" t="str">
        <f>""</f>
        <v/>
      </c>
      <c r="EB390" t="str">
        <f>""</f>
        <v/>
      </c>
      <c r="EC390" t="str">
        <f>""</f>
        <v/>
      </c>
      <c r="ED390" t="str">
        <f>""</f>
        <v/>
      </c>
      <c r="EE390" t="str">
        <f>""</f>
        <v/>
      </c>
      <c r="EF390" t="str">
        <f>""</f>
        <v/>
      </c>
      <c r="EG390" t="str">
        <f>""</f>
        <v/>
      </c>
      <c r="EH390" t="str">
        <f>""</f>
        <v/>
      </c>
      <c r="EI390" t="str">
        <f>""</f>
        <v/>
      </c>
      <c r="EJ390" t="str">
        <f>""</f>
        <v/>
      </c>
      <c r="EK390" t="str">
        <f>""</f>
        <v/>
      </c>
      <c r="EL390" t="str">
        <f>""</f>
        <v/>
      </c>
      <c r="EM390" t="str">
        <f>""</f>
        <v/>
      </c>
      <c r="EN390" t="str">
        <f>""</f>
        <v/>
      </c>
      <c r="EO390" t="str">
        <f>""</f>
        <v/>
      </c>
      <c r="EP390" t="str">
        <f>""</f>
        <v/>
      </c>
      <c r="EQ390" t="str">
        <f>""</f>
        <v/>
      </c>
      <c r="ER390" t="str">
        <f>""</f>
        <v/>
      </c>
      <c r="ES390" t="str">
        <f>""</f>
        <v/>
      </c>
      <c r="ET390" t="str">
        <f>""</f>
        <v/>
      </c>
      <c r="EU390" t="str">
        <f>""</f>
        <v/>
      </c>
      <c r="EV390" t="str">
        <f>""</f>
        <v/>
      </c>
      <c r="EW390" t="str">
        <f>""</f>
        <v/>
      </c>
      <c r="EX390" t="str">
        <f>""</f>
        <v/>
      </c>
      <c r="EY390" t="str">
        <f>""</f>
        <v/>
      </c>
      <c r="EZ390" t="str">
        <f>""</f>
        <v/>
      </c>
      <c r="FA390" t="str">
        <f>""</f>
        <v/>
      </c>
      <c r="FB390" t="str">
        <f>""</f>
        <v/>
      </c>
      <c r="FC390" t="str">
        <f>""</f>
        <v/>
      </c>
      <c r="FD390" t="str">
        <f>""</f>
        <v/>
      </c>
      <c r="FE390" t="str">
        <f>""</f>
        <v/>
      </c>
      <c r="FF390" t="str">
        <f>""</f>
        <v/>
      </c>
      <c r="FG390" t="str">
        <f>""</f>
        <v/>
      </c>
      <c r="FH390" t="str">
        <f>""</f>
        <v/>
      </c>
      <c r="FI390" t="str">
        <f>""</f>
        <v/>
      </c>
      <c r="FJ390" t="str">
        <f>""</f>
        <v/>
      </c>
      <c r="FK390" t="str">
        <f>""</f>
        <v/>
      </c>
      <c r="FL390" t="str">
        <f>""</f>
        <v/>
      </c>
      <c r="FM390" t="str">
        <f>""</f>
        <v/>
      </c>
      <c r="FN390" t="str">
        <f>""</f>
        <v/>
      </c>
      <c r="FO390" t="str">
        <f>""</f>
        <v/>
      </c>
      <c r="FP390" t="str">
        <f>""</f>
        <v/>
      </c>
      <c r="FQ390" t="str">
        <f>""</f>
        <v/>
      </c>
    </row>
    <row r="391" spans="1:173">
      <c r="A391" t="str">
        <f>$A$185</f>
        <v xml:space="preserve">    Monogram Residential Trust Inc</v>
      </c>
      <c r="B391" t="str">
        <f>$B$185</f>
        <v>MORE US Equity</v>
      </c>
      <c r="C391" t="str">
        <f>$C$185</f>
        <v>F0928</v>
      </c>
      <c r="D391" t="str">
        <f>$D$185</f>
        <v>ADJUSTED_FFO_PAYOUT_RATIO</v>
      </c>
      <c r="E391" t="str">
        <f>$E$185</f>
        <v>动态</v>
      </c>
      <c r="F391" t="str">
        <f ca="1">BDH($B$185,$C$185,$B$250,$B$251,CONCATENATE("Per=",$B$248),"Dts=H","Dir=H",CONCATENATE("Points=",$B$249),"Sort=R","Days=A","Fill=B",CONCATENATE("FX=", $B$247) )</f>
        <v>#N/A Authorization</v>
      </c>
      <c r="CL391" t="str">
        <f>""</f>
        <v/>
      </c>
      <c r="CM391" t="str">
        <f>""</f>
        <v/>
      </c>
      <c r="CN391" t="str">
        <f>""</f>
        <v/>
      </c>
      <c r="CO391" t="str">
        <f>""</f>
        <v/>
      </c>
      <c r="CP391" t="str">
        <f>""</f>
        <v/>
      </c>
      <c r="CQ391" t="str">
        <f>""</f>
        <v/>
      </c>
      <c r="CR391" t="str">
        <f>""</f>
        <v/>
      </c>
      <c r="CS391" t="str">
        <f>""</f>
        <v/>
      </c>
      <c r="CT391" t="str">
        <f>""</f>
        <v/>
      </c>
      <c r="CU391" t="str">
        <f>""</f>
        <v/>
      </c>
      <c r="CV391" t="str">
        <f>""</f>
        <v/>
      </c>
      <c r="CW391" t="str">
        <f>""</f>
        <v/>
      </c>
      <c r="CX391" t="str">
        <f>""</f>
        <v/>
      </c>
      <c r="CY391" t="str">
        <f>""</f>
        <v/>
      </c>
      <c r="CZ391" t="str">
        <f>""</f>
        <v/>
      </c>
      <c r="DA391" t="str">
        <f>""</f>
        <v/>
      </c>
      <c r="DB391" t="str">
        <f>""</f>
        <v/>
      </c>
      <c r="DC391" t="str">
        <f>""</f>
        <v/>
      </c>
      <c r="DD391" t="str">
        <f>""</f>
        <v/>
      </c>
      <c r="DE391" t="str">
        <f>""</f>
        <v/>
      </c>
      <c r="DF391" t="str">
        <f>""</f>
        <v/>
      </c>
      <c r="DG391" t="str">
        <f>""</f>
        <v/>
      </c>
      <c r="DH391" t="str">
        <f>""</f>
        <v/>
      </c>
      <c r="DI391" t="str">
        <f>""</f>
        <v/>
      </c>
      <c r="DJ391" t="str">
        <f>""</f>
        <v/>
      </c>
      <c r="DK391" t="str">
        <f>""</f>
        <v/>
      </c>
      <c r="DL391" t="str">
        <f>""</f>
        <v/>
      </c>
      <c r="DM391" t="str">
        <f>""</f>
        <v/>
      </c>
      <c r="DN391" t="str">
        <f>""</f>
        <v/>
      </c>
      <c r="DO391" t="str">
        <f>""</f>
        <v/>
      </c>
      <c r="DP391" t="str">
        <f>""</f>
        <v/>
      </c>
      <c r="DQ391" t="str">
        <f>""</f>
        <v/>
      </c>
      <c r="DR391" t="str">
        <f>""</f>
        <v/>
      </c>
      <c r="DS391" t="str">
        <f>""</f>
        <v/>
      </c>
      <c r="DT391" t="str">
        <f>""</f>
        <v/>
      </c>
      <c r="DU391" t="str">
        <f>""</f>
        <v/>
      </c>
      <c r="DV391" t="str">
        <f>""</f>
        <v/>
      </c>
      <c r="DW391" t="str">
        <f>""</f>
        <v/>
      </c>
      <c r="DX391" t="str">
        <f>""</f>
        <v/>
      </c>
      <c r="DY391" t="str">
        <f>""</f>
        <v/>
      </c>
      <c r="DZ391" t="str">
        <f>""</f>
        <v/>
      </c>
      <c r="EA391" t="str">
        <f>""</f>
        <v/>
      </c>
      <c r="EB391" t="str">
        <f>""</f>
        <v/>
      </c>
      <c r="EC391" t="str">
        <f>""</f>
        <v/>
      </c>
      <c r="ED391" t="str">
        <f>""</f>
        <v/>
      </c>
      <c r="EE391" t="str">
        <f>""</f>
        <v/>
      </c>
      <c r="EF391" t="str">
        <f>""</f>
        <v/>
      </c>
      <c r="EG391" t="str">
        <f>""</f>
        <v/>
      </c>
      <c r="EH391" t="str">
        <f>""</f>
        <v/>
      </c>
      <c r="EI391" t="str">
        <f>""</f>
        <v/>
      </c>
      <c r="EJ391" t="str">
        <f>""</f>
        <v/>
      </c>
      <c r="EK391" t="str">
        <f>""</f>
        <v/>
      </c>
      <c r="EL391" t="str">
        <f>""</f>
        <v/>
      </c>
      <c r="EM391" t="str">
        <f>""</f>
        <v/>
      </c>
      <c r="EN391" t="str">
        <f>""</f>
        <v/>
      </c>
      <c r="EO391" t="str">
        <f>""</f>
        <v/>
      </c>
      <c r="EP391" t="str">
        <f>""</f>
        <v/>
      </c>
      <c r="EQ391" t="str">
        <f>""</f>
        <v/>
      </c>
      <c r="ER391" t="str">
        <f>""</f>
        <v/>
      </c>
      <c r="ES391" t="str">
        <f>""</f>
        <v/>
      </c>
      <c r="ET391" t="str">
        <f>""</f>
        <v/>
      </c>
      <c r="EU391" t="str">
        <f>""</f>
        <v/>
      </c>
      <c r="EV391" t="str">
        <f>""</f>
        <v/>
      </c>
      <c r="EW391" t="str">
        <f>""</f>
        <v/>
      </c>
      <c r="EX391" t="str">
        <f>""</f>
        <v/>
      </c>
      <c r="EY391" t="str">
        <f>""</f>
        <v/>
      </c>
      <c r="EZ391" t="str">
        <f>""</f>
        <v/>
      </c>
      <c r="FA391" t="str">
        <f>""</f>
        <v/>
      </c>
      <c r="FB391" t="str">
        <f>""</f>
        <v/>
      </c>
      <c r="FC391" t="str">
        <f>""</f>
        <v/>
      </c>
      <c r="FD391" t="str">
        <f>""</f>
        <v/>
      </c>
      <c r="FE391" t="str">
        <f>""</f>
        <v/>
      </c>
      <c r="FF391" t="str">
        <f>""</f>
        <v/>
      </c>
      <c r="FG391" t="str">
        <f>""</f>
        <v/>
      </c>
      <c r="FH391" t="str">
        <f>""</f>
        <v/>
      </c>
      <c r="FI391" t="str">
        <f>""</f>
        <v/>
      </c>
      <c r="FJ391" t="str">
        <f>""</f>
        <v/>
      </c>
      <c r="FK391" t="str">
        <f>""</f>
        <v/>
      </c>
      <c r="FL391" t="str">
        <f>""</f>
        <v/>
      </c>
      <c r="FM391" t="str">
        <f>""</f>
        <v/>
      </c>
      <c r="FN391" t="str">
        <f>""</f>
        <v/>
      </c>
      <c r="FO391" t="str">
        <f>""</f>
        <v/>
      </c>
      <c r="FP391" t="str">
        <f>""</f>
        <v/>
      </c>
      <c r="FQ391" t="str">
        <f>""</f>
        <v/>
      </c>
    </row>
    <row r="392" spans="1:173">
      <c r="A392" t="str">
        <f>$A$186</f>
        <v xml:space="preserve">    UDR Inc</v>
      </c>
      <c r="B392" t="str">
        <f>$B$186</f>
        <v>UDR US Equity</v>
      </c>
      <c r="C392" t="str">
        <f>$C$186</f>
        <v>F0928</v>
      </c>
      <c r="D392" t="str">
        <f>$D$186</f>
        <v>ADJUSTED_FFO_PAYOUT_RATIO</v>
      </c>
      <c r="E392" t="str">
        <f>$E$186</f>
        <v>动态</v>
      </c>
      <c r="F392" t="str">
        <f ca="1">BDH($B$186,$C$186,$B$250,$B$251,CONCATENATE("Per=",$B$248),"Dts=H","Dir=H",CONCATENATE("Points=",$B$249),"Sort=R","Days=A","Fill=B",CONCATENATE("FX=", $B$247) )</f>
        <v>#N/A Authorization</v>
      </c>
      <c r="CL392" t="str">
        <f>""</f>
        <v/>
      </c>
      <c r="CM392" t="str">
        <f>""</f>
        <v/>
      </c>
      <c r="CN392" t="str">
        <f>""</f>
        <v/>
      </c>
      <c r="CO392" t="str">
        <f>""</f>
        <v/>
      </c>
      <c r="CP392" t="str">
        <f>""</f>
        <v/>
      </c>
      <c r="CQ392" t="str">
        <f>""</f>
        <v/>
      </c>
      <c r="CR392" t="str">
        <f>""</f>
        <v/>
      </c>
      <c r="CS392" t="str">
        <f>""</f>
        <v/>
      </c>
      <c r="CT392" t="str">
        <f>""</f>
        <v/>
      </c>
      <c r="CU392" t="str">
        <f>""</f>
        <v/>
      </c>
      <c r="CV392" t="str">
        <f>""</f>
        <v/>
      </c>
      <c r="CW392" t="str">
        <f>""</f>
        <v/>
      </c>
      <c r="CX392" t="str">
        <f>""</f>
        <v/>
      </c>
      <c r="CY392" t="str">
        <f>""</f>
        <v/>
      </c>
      <c r="CZ392" t="str">
        <f>""</f>
        <v/>
      </c>
      <c r="DA392" t="str">
        <f>""</f>
        <v/>
      </c>
      <c r="DB392" t="str">
        <f>""</f>
        <v/>
      </c>
      <c r="DC392" t="str">
        <f>""</f>
        <v/>
      </c>
      <c r="DD392" t="str">
        <f>""</f>
        <v/>
      </c>
      <c r="DE392" t="str">
        <f>""</f>
        <v/>
      </c>
      <c r="DF392" t="str">
        <f>""</f>
        <v/>
      </c>
      <c r="DG392" t="str">
        <f>""</f>
        <v/>
      </c>
      <c r="DH392" t="str">
        <f>""</f>
        <v/>
      </c>
      <c r="DI392" t="str">
        <f>""</f>
        <v/>
      </c>
      <c r="DJ392" t="str">
        <f>""</f>
        <v/>
      </c>
      <c r="DK392" t="str">
        <f>""</f>
        <v/>
      </c>
      <c r="DL392" t="str">
        <f>""</f>
        <v/>
      </c>
      <c r="DM392" t="str">
        <f>""</f>
        <v/>
      </c>
      <c r="DN392" t="str">
        <f>""</f>
        <v/>
      </c>
      <c r="DO392" t="str">
        <f>""</f>
        <v/>
      </c>
      <c r="DP392" t="str">
        <f>""</f>
        <v/>
      </c>
      <c r="DQ392" t="str">
        <f>""</f>
        <v/>
      </c>
      <c r="DR392" t="str">
        <f>""</f>
        <v/>
      </c>
      <c r="DS392" t="str">
        <f>""</f>
        <v/>
      </c>
      <c r="DT392" t="str">
        <f>""</f>
        <v/>
      </c>
      <c r="DU392" t="str">
        <f>""</f>
        <v/>
      </c>
      <c r="DV392" t="str">
        <f>""</f>
        <v/>
      </c>
      <c r="DW392" t="str">
        <f>""</f>
        <v/>
      </c>
      <c r="DX392" t="str">
        <f>""</f>
        <v/>
      </c>
      <c r="DY392" t="str">
        <f>""</f>
        <v/>
      </c>
      <c r="DZ392" t="str">
        <f>""</f>
        <v/>
      </c>
      <c r="EA392" t="str">
        <f>""</f>
        <v/>
      </c>
      <c r="EB392" t="str">
        <f>""</f>
        <v/>
      </c>
      <c r="EC392" t="str">
        <f>""</f>
        <v/>
      </c>
      <c r="ED392" t="str">
        <f>""</f>
        <v/>
      </c>
      <c r="EE392" t="str">
        <f>""</f>
        <v/>
      </c>
      <c r="EF392" t="str">
        <f>""</f>
        <v/>
      </c>
      <c r="EG392" t="str">
        <f>""</f>
        <v/>
      </c>
      <c r="EH392" t="str">
        <f>""</f>
        <v/>
      </c>
      <c r="EI392" t="str">
        <f>""</f>
        <v/>
      </c>
      <c r="EJ392" t="str">
        <f>""</f>
        <v/>
      </c>
      <c r="EK392" t="str">
        <f>""</f>
        <v/>
      </c>
      <c r="EL392" t="str">
        <f>""</f>
        <v/>
      </c>
      <c r="EM392" t="str">
        <f>""</f>
        <v/>
      </c>
      <c r="EN392" t="str">
        <f>""</f>
        <v/>
      </c>
      <c r="EO392" t="str">
        <f>""</f>
        <v/>
      </c>
      <c r="EP392" t="str">
        <f>""</f>
        <v/>
      </c>
      <c r="EQ392" t="str">
        <f>""</f>
        <v/>
      </c>
      <c r="ER392" t="str">
        <f>""</f>
        <v/>
      </c>
      <c r="ES392" t="str">
        <f>""</f>
        <v/>
      </c>
      <c r="ET392" t="str">
        <f>""</f>
        <v/>
      </c>
      <c r="EU392" t="str">
        <f>""</f>
        <v/>
      </c>
      <c r="EV392" t="str">
        <f>""</f>
        <v/>
      </c>
      <c r="EW392" t="str">
        <f>""</f>
        <v/>
      </c>
      <c r="EX392" t="str">
        <f>""</f>
        <v/>
      </c>
      <c r="EY392" t="str">
        <f>""</f>
        <v/>
      </c>
      <c r="EZ392" t="str">
        <f>""</f>
        <v/>
      </c>
      <c r="FA392" t="str">
        <f>""</f>
        <v/>
      </c>
      <c r="FB392" t="str">
        <f>""</f>
        <v/>
      </c>
      <c r="FC392" t="str">
        <f>""</f>
        <v/>
      </c>
      <c r="FD392" t="str">
        <f>""</f>
        <v/>
      </c>
      <c r="FE392" t="str">
        <f>""</f>
        <v/>
      </c>
      <c r="FF392" t="str">
        <f>""</f>
        <v/>
      </c>
      <c r="FG392" t="str">
        <f>""</f>
        <v/>
      </c>
      <c r="FH392" t="str">
        <f>""</f>
        <v/>
      </c>
      <c r="FI392" t="str">
        <f>""</f>
        <v/>
      </c>
      <c r="FJ392" t="str">
        <f>""</f>
        <v/>
      </c>
      <c r="FK392" t="str">
        <f>""</f>
        <v/>
      </c>
      <c r="FL392" t="str">
        <f>""</f>
        <v/>
      </c>
      <c r="FM392" t="str">
        <f>""</f>
        <v/>
      </c>
      <c r="FN392" t="str">
        <f>""</f>
        <v/>
      </c>
      <c r="FO392" t="str">
        <f>""</f>
        <v/>
      </c>
      <c r="FP392" t="str">
        <f>""</f>
        <v/>
      </c>
      <c r="FQ392" t="str">
        <f>""</f>
        <v/>
      </c>
    </row>
    <row r="393" spans="1:173">
      <c r="A393" t="str">
        <f>$A$188</f>
        <v xml:space="preserve">    Apartment Investment &amp; Managem</v>
      </c>
      <c r="B393" t="str">
        <f>$B$188</f>
        <v>AIV US Equity</v>
      </c>
      <c r="C393" t="str">
        <f>$C$188</f>
        <v>F0929</v>
      </c>
      <c r="D393" t="str">
        <f>$D$188</f>
        <v>FUNDS_AVAIL_DIST_PAYOUT_RATIO</v>
      </c>
      <c r="E393" t="str">
        <f>$E$188</f>
        <v>动态</v>
      </c>
      <c r="F393" t="str">
        <f ca="1">BDH($B$188,$C$188,$B$250,$B$251,CONCATENATE("Per=",$B$248),"Dts=H","Dir=H",CONCATENATE("Points=",$B$249),"Sort=R","Days=A","Fill=B",CONCATENATE("FX=", $B$247) )</f>
        <v>#N/A Authorization</v>
      </c>
      <c r="CL393" t="str">
        <f>""</f>
        <v/>
      </c>
      <c r="CM393" t="str">
        <f>""</f>
        <v/>
      </c>
      <c r="CN393" t="str">
        <f>""</f>
        <v/>
      </c>
      <c r="CO393" t="str">
        <f>""</f>
        <v/>
      </c>
      <c r="CP393" t="str">
        <f>""</f>
        <v/>
      </c>
      <c r="CQ393" t="str">
        <f>""</f>
        <v/>
      </c>
      <c r="CR393" t="str">
        <f>""</f>
        <v/>
      </c>
      <c r="CS393" t="str">
        <f>""</f>
        <v/>
      </c>
      <c r="CT393" t="str">
        <f>""</f>
        <v/>
      </c>
      <c r="CU393" t="str">
        <f>""</f>
        <v/>
      </c>
      <c r="CV393" t="str">
        <f>""</f>
        <v/>
      </c>
      <c r="CW393" t="str">
        <f>""</f>
        <v/>
      </c>
      <c r="CX393" t="str">
        <f>""</f>
        <v/>
      </c>
      <c r="CY393" t="str">
        <f>""</f>
        <v/>
      </c>
      <c r="CZ393" t="str">
        <f>""</f>
        <v/>
      </c>
      <c r="DA393" t="str">
        <f>""</f>
        <v/>
      </c>
      <c r="DB393" t="str">
        <f>""</f>
        <v/>
      </c>
      <c r="DC393" t="str">
        <f>""</f>
        <v/>
      </c>
      <c r="DD393" t="str">
        <f>""</f>
        <v/>
      </c>
      <c r="DE393" t="str">
        <f>""</f>
        <v/>
      </c>
      <c r="DF393" t="str">
        <f>""</f>
        <v/>
      </c>
      <c r="DG393" t="str">
        <f>""</f>
        <v/>
      </c>
      <c r="DH393" t="str">
        <f>""</f>
        <v/>
      </c>
      <c r="DI393" t="str">
        <f>""</f>
        <v/>
      </c>
      <c r="DJ393" t="str">
        <f>""</f>
        <v/>
      </c>
      <c r="DK393" t="str">
        <f>""</f>
        <v/>
      </c>
      <c r="DL393" t="str">
        <f>""</f>
        <v/>
      </c>
      <c r="DM393" t="str">
        <f>""</f>
        <v/>
      </c>
      <c r="DN393" t="str">
        <f>""</f>
        <v/>
      </c>
      <c r="DO393" t="str">
        <f>""</f>
        <v/>
      </c>
      <c r="DP393" t="str">
        <f>""</f>
        <v/>
      </c>
      <c r="DQ393" t="str">
        <f>""</f>
        <v/>
      </c>
      <c r="DR393" t="str">
        <f>""</f>
        <v/>
      </c>
      <c r="DS393" t="str">
        <f>""</f>
        <v/>
      </c>
      <c r="DT393" t="str">
        <f>""</f>
        <v/>
      </c>
      <c r="DU393" t="str">
        <f>""</f>
        <v/>
      </c>
      <c r="DV393" t="str">
        <f>""</f>
        <v/>
      </c>
      <c r="DW393" t="str">
        <f>""</f>
        <v/>
      </c>
      <c r="DX393" t="str">
        <f>""</f>
        <v/>
      </c>
      <c r="DY393" t="str">
        <f>""</f>
        <v/>
      </c>
      <c r="DZ393" t="str">
        <f>""</f>
        <v/>
      </c>
      <c r="EA393" t="str">
        <f>""</f>
        <v/>
      </c>
      <c r="EB393" t="str">
        <f>""</f>
        <v/>
      </c>
      <c r="EC393" t="str">
        <f>""</f>
        <v/>
      </c>
      <c r="ED393" t="str">
        <f>""</f>
        <v/>
      </c>
      <c r="EE393" t="str">
        <f>""</f>
        <v/>
      </c>
      <c r="EF393" t="str">
        <f>""</f>
        <v/>
      </c>
      <c r="EG393" t="str">
        <f>""</f>
        <v/>
      </c>
      <c r="EH393" t="str">
        <f>""</f>
        <v/>
      </c>
      <c r="EI393" t="str">
        <f>""</f>
        <v/>
      </c>
      <c r="EJ393" t="str">
        <f>""</f>
        <v/>
      </c>
      <c r="EK393" t="str">
        <f>""</f>
        <v/>
      </c>
      <c r="EL393" t="str">
        <f>""</f>
        <v/>
      </c>
      <c r="EM393" t="str">
        <f>""</f>
        <v/>
      </c>
      <c r="EN393" t="str">
        <f>""</f>
        <v/>
      </c>
      <c r="EO393" t="str">
        <f>""</f>
        <v/>
      </c>
      <c r="EP393" t="str">
        <f>""</f>
        <v/>
      </c>
      <c r="EQ393" t="str">
        <f>""</f>
        <v/>
      </c>
      <c r="ER393" t="str">
        <f>""</f>
        <v/>
      </c>
      <c r="ES393" t="str">
        <f>""</f>
        <v/>
      </c>
      <c r="ET393" t="str">
        <f>""</f>
        <v/>
      </c>
      <c r="EU393" t="str">
        <f>""</f>
        <v/>
      </c>
      <c r="EV393" t="str">
        <f>""</f>
        <v/>
      </c>
      <c r="EW393" t="str">
        <f>""</f>
        <v/>
      </c>
      <c r="EX393" t="str">
        <f>""</f>
        <v/>
      </c>
      <c r="EY393" t="str">
        <f>""</f>
        <v/>
      </c>
      <c r="EZ393" t="str">
        <f>""</f>
        <v/>
      </c>
      <c r="FA393" t="str">
        <f>""</f>
        <v/>
      </c>
      <c r="FB393" t="str">
        <f>""</f>
        <v/>
      </c>
      <c r="FC393" t="str">
        <f>""</f>
        <v/>
      </c>
      <c r="FD393" t="str">
        <f>""</f>
        <v/>
      </c>
      <c r="FE393" t="str">
        <f>""</f>
        <v/>
      </c>
      <c r="FF393" t="str">
        <f>""</f>
        <v/>
      </c>
      <c r="FG393" t="str">
        <f>""</f>
        <v/>
      </c>
      <c r="FH393" t="str">
        <f>""</f>
        <v/>
      </c>
      <c r="FI393" t="str">
        <f>""</f>
        <v/>
      </c>
      <c r="FJ393" t="str">
        <f>""</f>
        <v/>
      </c>
      <c r="FK393" t="str">
        <f>""</f>
        <v/>
      </c>
      <c r="FL393" t="str">
        <f>""</f>
        <v/>
      </c>
      <c r="FM393" t="str">
        <f>""</f>
        <v/>
      </c>
      <c r="FN393" t="str">
        <f>""</f>
        <v/>
      </c>
      <c r="FO393" t="str">
        <f>""</f>
        <v/>
      </c>
      <c r="FP393" t="str">
        <f>""</f>
        <v/>
      </c>
      <c r="FQ393" t="str">
        <f>""</f>
        <v/>
      </c>
    </row>
    <row r="394" spans="1:173">
      <c r="A394" t="str">
        <f>$A$189</f>
        <v xml:space="preserve">    AvalonBay Communities Inc</v>
      </c>
      <c r="B394" t="str">
        <f>$B$189</f>
        <v>AVB US Equity</v>
      </c>
      <c r="C394" t="str">
        <f>$C$189</f>
        <v>F0929</v>
      </c>
      <c r="D394" t="str">
        <f>$D$189</f>
        <v>FUNDS_AVAIL_DIST_PAYOUT_RATIO</v>
      </c>
      <c r="E394" t="str">
        <f>$E$189</f>
        <v>动态</v>
      </c>
      <c r="F394" t="str">
        <f ca="1">BDH($B$189,$C$189,$B$250,$B$251,CONCATENATE("Per=",$B$248),"Dts=H","Dir=H",CONCATENATE("Points=",$B$249),"Sort=R","Days=A","Fill=B",CONCATENATE("FX=", $B$247) )</f>
        <v>#N/A Authorization</v>
      </c>
      <c r="CL394" t="str">
        <f>""</f>
        <v/>
      </c>
      <c r="CM394" t="str">
        <f>""</f>
        <v/>
      </c>
      <c r="CN394" t="str">
        <f>""</f>
        <v/>
      </c>
      <c r="CO394" t="str">
        <f>""</f>
        <v/>
      </c>
      <c r="CP394" t="str">
        <f>""</f>
        <v/>
      </c>
      <c r="CQ394" t="str">
        <f>""</f>
        <v/>
      </c>
      <c r="CR394" t="str">
        <f>""</f>
        <v/>
      </c>
      <c r="CS394" t="str">
        <f>""</f>
        <v/>
      </c>
      <c r="CT394" t="str">
        <f>""</f>
        <v/>
      </c>
      <c r="CU394" t="str">
        <f>""</f>
        <v/>
      </c>
      <c r="CV394" t="str">
        <f>""</f>
        <v/>
      </c>
      <c r="CW394" t="str">
        <f>""</f>
        <v/>
      </c>
      <c r="CX394" t="str">
        <f>""</f>
        <v/>
      </c>
      <c r="CY394" t="str">
        <f>""</f>
        <v/>
      </c>
      <c r="CZ394" t="str">
        <f>""</f>
        <v/>
      </c>
      <c r="DA394" t="str">
        <f>""</f>
        <v/>
      </c>
      <c r="DB394" t="str">
        <f>""</f>
        <v/>
      </c>
      <c r="DC394" t="str">
        <f>""</f>
        <v/>
      </c>
      <c r="DD394" t="str">
        <f>""</f>
        <v/>
      </c>
      <c r="DE394" t="str">
        <f>""</f>
        <v/>
      </c>
      <c r="DF394" t="str">
        <f>""</f>
        <v/>
      </c>
      <c r="DG394" t="str">
        <f>""</f>
        <v/>
      </c>
      <c r="DH394" t="str">
        <f>""</f>
        <v/>
      </c>
      <c r="DI394" t="str">
        <f>""</f>
        <v/>
      </c>
      <c r="DJ394" t="str">
        <f>""</f>
        <v/>
      </c>
      <c r="DK394" t="str">
        <f>""</f>
        <v/>
      </c>
      <c r="DL394" t="str">
        <f>""</f>
        <v/>
      </c>
      <c r="DM394" t="str">
        <f>""</f>
        <v/>
      </c>
      <c r="DN394" t="str">
        <f>""</f>
        <v/>
      </c>
      <c r="DO394" t="str">
        <f>""</f>
        <v/>
      </c>
      <c r="DP394" t="str">
        <f>""</f>
        <v/>
      </c>
      <c r="DQ394" t="str">
        <f>""</f>
        <v/>
      </c>
      <c r="DR394" t="str">
        <f>""</f>
        <v/>
      </c>
      <c r="DS394" t="str">
        <f>""</f>
        <v/>
      </c>
      <c r="DT394" t="str">
        <f>""</f>
        <v/>
      </c>
      <c r="DU394" t="str">
        <f>""</f>
        <v/>
      </c>
      <c r="DV394" t="str">
        <f>""</f>
        <v/>
      </c>
      <c r="DW394" t="str">
        <f>""</f>
        <v/>
      </c>
      <c r="DX394" t="str">
        <f>""</f>
        <v/>
      </c>
      <c r="DY394" t="str">
        <f>""</f>
        <v/>
      </c>
      <c r="DZ394" t="str">
        <f>""</f>
        <v/>
      </c>
      <c r="EA394" t="str">
        <f>""</f>
        <v/>
      </c>
      <c r="EB394" t="str">
        <f>""</f>
        <v/>
      </c>
      <c r="EC394" t="str">
        <f>""</f>
        <v/>
      </c>
      <c r="ED394" t="str">
        <f>""</f>
        <v/>
      </c>
      <c r="EE394" t="str">
        <f>""</f>
        <v/>
      </c>
      <c r="EF394" t="str">
        <f>""</f>
        <v/>
      </c>
      <c r="EG394" t="str">
        <f>""</f>
        <v/>
      </c>
      <c r="EH394" t="str">
        <f>""</f>
        <v/>
      </c>
      <c r="EI394" t="str">
        <f>""</f>
        <v/>
      </c>
      <c r="EJ394" t="str">
        <f>""</f>
        <v/>
      </c>
      <c r="EK394" t="str">
        <f>""</f>
        <v/>
      </c>
      <c r="EL394" t="str">
        <f>""</f>
        <v/>
      </c>
      <c r="EM394" t="str">
        <f>""</f>
        <v/>
      </c>
      <c r="EN394" t="str">
        <f>""</f>
        <v/>
      </c>
      <c r="EO394" t="str">
        <f>""</f>
        <v/>
      </c>
      <c r="EP394" t="str">
        <f>""</f>
        <v/>
      </c>
      <c r="EQ394" t="str">
        <f>""</f>
        <v/>
      </c>
      <c r="ER394" t="str">
        <f>""</f>
        <v/>
      </c>
      <c r="ES394" t="str">
        <f>""</f>
        <v/>
      </c>
      <c r="ET394" t="str">
        <f>""</f>
        <v/>
      </c>
      <c r="EU394" t="str">
        <f>""</f>
        <v/>
      </c>
      <c r="EV394" t="str">
        <f>""</f>
        <v/>
      </c>
      <c r="EW394" t="str">
        <f>""</f>
        <v/>
      </c>
      <c r="EX394" t="str">
        <f>""</f>
        <v/>
      </c>
      <c r="EY394" t="str">
        <f>""</f>
        <v/>
      </c>
      <c r="EZ394" t="str">
        <f>""</f>
        <v/>
      </c>
      <c r="FA394" t="str">
        <f>""</f>
        <v/>
      </c>
      <c r="FB394" t="str">
        <f>""</f>
        <v/>
      </c>
      <c r="FC394" t="str">
        <f>""</f>
        <v/>
      </c>
      <c r="FD394" t="str">
        <f>""</f>
        <v/>
      </c>
      <c r="FE394" t="str">
        <f>""</f>
        <v/>
      </c>
      <c r="FF394" t="str">
        <f>""</f>
        <v/>
      </c>
      <c r="FG394" t="str">
        <f>""</f>
        <v/>
      </c>
      <c r="FH394" t="str">
        <f>""</f>
        <v/>
      </c>
      <c r="FI394" t="str">
        <f>""</f>
        <v/>
      </c>
      <c r="FJ394" t="str">
        <f>""</f>
        <v/>
      </c>
      <c r="FK394" t="str">
        <f>""</f>
        <v/>
      </c>
      <c r="FL394" t="str">
        <f>""</f>
        <v/>
      </c>
      <c r="FM394" t="str">
        <f>""</f>
        <v/>
      </c>
      <c r="FN394" t="str">
        <f>""</f>
        <v/>
      </c>
      <c r="FO394" t="str">
        <f>""</f>
        <v/>
      </c>
      <c r="FP394" t="str">
        <f>""</f>
        <v/>
      </c>
      <c r="FQ394" t="str">
        <f>""</f>
        <v/>
      </c>
    </row>
    <row r="395" spans="1:173">
      <c r="A395" t="str">
        <f>$A$190</f>
        <v xml:space="preserve">    Camden Property Trust</v>
      </c>
      <c r="B395" t="str">
        <f>$B$190</f>
        <v>CPT US Equity</v>
      </c>
      <c r="C395" t="str">
        <f>$C$190</f>
        <v>F0929</v>
      </c>
      <c r="D395" t="str">
        <f>$D$190</f>
        <v>FUNDS_AVAIL_DIST_PAYOUT_RATIO</v>
      </c>
      <c r="E395" t="str">
        <f>$E$190</f>
        <v>动态</v>
      </c>
      <c r="F395" t="str">
        <f ca="1">BDH($B$190,$C$190,$B$250,$B$251,CONCATENATE("Per=",$B$248),"Dts=H","Dir=H",CONCATENATE("Points=",$B$249),"Sort=R","Days=A","Fill=B",CONCATENATE("FX=", $B$247) )</f>
        <v>#N/A Authorization</v>
      </c>
      <c r="CL395" t="str">
        <f>""</f>
        <v/>
      </c>
      <c r="CM395" t="str">
        <f>""</f>
        <v/>
      </c>
      <c r="CN395" t="str">
        <f>""</f>
        <v/>
      </c>
      <c r="CO395" t="str">
        <f>""</f>
        <v/>
      </c>
      <c r="CP395" t="str">
        <f>""</f>
        <v/>
      </c>
      <c r="CQ395" t="str">
        <f>""</f>
        <v/>
      </c>
      <c r="CR395" t="str">
        <f>""</f>
        <v/>
      </c>
      <c r="CS395" t="str">
        <f>""</f>
        <v/>
      </c>
      <c r="CT395" t="str">
        <f>""</f>
        <v/>
      </c>
      <c r="CU395" t="str">
        <f>""</f>
        <v/>
      </c>
      <c r="CV395" t="str">
        <f>""</f>
        <v/>
      </c>
      <c r="CW395" t="str">
        <f>""</f>
        <v/>
      </c>
      <c r="CX395" t="str">
        <f>""</f>
        <v/>
      </c>
      <c r="CY395" t="str">
        <f>""</f>
        <v/>
      </c>
      <c r="CZ395" t="str">
        <f>""</f>
        <v/>
      </c>
      <c r="DA395" t="str">
        <f>""</f>
        <v/>
      </c>
      <c r="DB395" t="str">
        <f>""</f>
        <v/>
      </c>
      <c r="DC395" t="str">
        <f>""</f>
        <v/>
      </c>
      <c r="DD395" t="str">
        <f>""</f>
        <v/>
      </c>
      <c r="DE395" t="str">
        <f>""</f>
        <v/>
      </c>
      <c r="DF395" t="str">
        <f>""</f>
        <v/>
      </c>
      <c r="DG395" t="str">
        <f>""</f>
        <v/>
      </c>
      <c r="DH395" t="str">
        <f>""</f>
        <v/>
      </c>
      <c r="DI395" t="str">
        <f>""</f>
        <v/>
      </c>
      <c r="DJ395" t="str">
        <f>""</f>
        <v/>
      </c>
      <c r="DK395" t="str">
        <f>""</f>
        <v/>
      </c>
      <c r="DL395" t="str">
        <f>""</f>
        <v/>
      </c>
      <c r="DM395" t="str">
        <f>""</f>
        <v/>
      </c>
      <c r="DN395" t="str">
        <f>""</f>
        <v/>
      </c>
      <c r="DO395" t="str">
        <f>""</f>
        <v/>
      </c>
      <c r="DP395" t="str">
        <f>""</f>
        <v/>
      </c>
      <c r="DQ395" t="str">
        <f>""</f>
        <v/>
      </c>
      <c r="DR395" t="str">
        <f>""</f>
        <v/>
      </c>
      <c r="DS395" t="str">
        <f>""</f>
        <v/>
      </c>
      <c r="DT395" t="str">
        <f>""</f>
        <v/>
      </c>
      <c r="DU395" t="str">
        <f>""</f>
        <v/>
      </c>
      <c r="DV395" t="str">
        <f>""</f>
        <v/>
      </c>
      <c r="DW395" t="str">
        <f>""</f>
        <v/>
      </c>
      <c r="DX395" t="str">
        <f>""</f>
        <v/>
      </c>
      <c r="DY395" t="str">
        <f>""</f>
        <v/>
      </c>
      <c r="DZ395" t="str">
        <f>""</f>
        <v/>
      </c>
      <c r="EA395" t="str">
        <f>""</f>
        <v/>
      </c>
      <c r="EB395" t="str">
        <f>""</f>
        <v/>
      </c>
      <c r="EC395" t="str">
        <f>""</f>
        <v/>
      </c>
      <c r="ED395" t="str">
        <f>""</f>
        <v/>
      </c>
      <c r="EE395" t="str">
        <f>""</f>
        <v/>
      </c>
      <c r="EF395" t="str">
        <f>""</f>
        <v/>
      </c>
      <c r="EG395" t="str">
        <f>""</f>
        <v/>
      </c>
      <c r="EH395" t="str">
        <f>""</f>
        <v/>
      </c>
      <c r="EI395" t="str">
        <f>""</f>
        <v/>
      </c>
      <c r="EJ395" t="str">
        <f>""</f>
        <v/>
      </c>
      <c r="EK395" t="str">
        <f>""</f>
        <v/>
      </c>
      <c r="EL395" t="str">
        <f>""</f>
        <v/>
      </c>
      <c r="EM395" t="str">
        <f>""</f>
        <v/>
      </c>
      <c r="EN395" t="str">
        <f>""</f>
        <v/>
      </c>
      <c r="EO395" t="str">
        <f>""</f>
        <v/>
      </c>
      <c r="EP395" t="str">
        <f>""</f>
        <v/>
      </c>
      <c r="EQ395" t="str">
        <f>""</f>
        <v/>
      </c>
      <c r="ER395" t="str">
        <f>""</f>
        <v/>
      </c>
      <c r="ES395" t="str">
        <f>""</f>
        <v/>
      </c>
      <c r="ET395" t="str">
        <f>""</f>
        <v/>
      </c>
      <c r="EU395" t="str">
        <f>""</f>
        <v/>
      </c>
      <c r="EV395" t="str">
        <f>""</f>
        <v/>
      </c>
      <c r="EW395" t="str">
        <f>""</f>
        <v/>
      </c>
      <c r="EX395" t="str">
        <f>""</f>
        <v/>
      </c>
      <c r="EY395" t="str">
        <f>""</f>
        <v/>
      </c>
      <c r="EZ395" t="str">
        <f>""</f>
        <v/>
      </c>
      <c r="FA395" t="str">
        <f>""</f>
        <v/>
      </c>
      <c r="FB395" t="str">
        <f>""</f>
        <v/>
      </c>
      <c r="FC395" t="str">
        <f>""</f>
        <v/>
      </c>
      <c r="FD395" t="str">
        <f>""</f>
        <v/>
      </c>
      <c r="FE395" t="str">
        <f>""</f>
        <v/>
      </c>
      <c r="FF395" t="str">
        <f>""</f>
        <v/>
      </c>
      <c r="FG395" t="str">
        <f>""</f>
        <v/>
      </c>
      <c r="FH395" t="str">
        <f>""</f>
        <v/>
      </c>
      <c r="FI395" t="str">
        <f>""</f>
        <v/>
      </c>
      <c r="FJ395" t="str">
        <f>""</f>
        <v/>
      </c>
      <c r="FK395" t="str">
        <f>""</f>
        <v/>
      </c>
      <c r="FL395" t="str">
        <f>""</f>
        <v/>
      </c>
      <c r="FM395" t="str">
        <f>""</f>
        <v/>
      </c>
      <c r="FN395" t="str">
        <f>""</f>
        <v/>
      </c>
      <c r="FO395" t="str">
        <f>""</f>
        <v/>
      </c>
      <c r="FP395" t="str">
        <f>""</f>
        <v/>
      </c>
      <c r="FQ395" t="str">
        <f>""</f>
        <v/>
      </c>
    </row>
    <row r="396" spans="1:173">
      <c r="A396" t="str">
        <f>$A$191</f>
        <v xml:space="preserve">    Equity Residential</v>
      </c>
      <c r="B396" t="str">
        <f>$B$191</f>
        <v>EQR US Equity</v>
      </c>
      <c r="C396" t="str">
        <f>$C$191</f>
        <v>F0929</v>
      </c>
      <c r="D396" t="str">
        <f>$D$191</f>
        <v>FUNDS_AVAIL_DIST_PAYOUT_RATIO</v>
      </c>
      <c r="E396" t="str">
        <f>$E$191</f>
        <v>动态</v>
      </c>
      <c r="F396" t="str">
        <f ca="1">BDH($B$191,$C$191,$B$250,$B$251,CONCATENATE("Per=",$B$248),"Dts=H","Dir=H",CONCATENATE("Points=",$B$249),"Sort=R","Days=A","Fill=B",CONCATENATE("FX=", $B$247) )</f>
        <v>#N/A Authorization</v>
      </c>
      <c r="CL396" t="str">
        <f>""</f>
        <v/>
      </c>
      <c r="CM396" t="str">
        <f>""</f>
        <v/>
      </c>
      <c r="CN396" t="str">
        <f>""</f>
        <v/>
      </c>
      <c r="CO396" t="str">
        <f>""</f>
        <v/>
      </c>
      <c r="CP396" t="str">
        <f>""</f>
        <v/>
      </c>
      <c r="CQ396" t="str">
        <f>""</f>
        <v/>
      </c>
      <c r="CR396" t="str">
        <f>""</f>
        <v/>
      </c>
      <c r="CS396" t="str">
        <f>""</f>
        <v/>
      </c>
      <c r="CT396" t="str">
        <f>""</f>
        <v/>
      </c>
      <c r="CU396" t="str">
        <f>""</f>
        <v/>
      </c>
      <c r="CV396" t="str">
        <f>""</f>
        <v/>
      </c>
      <c r="CW396" t="str">
        <f>""</f>
        <v/>
      </c>
      <c r="CX396" t="str">
        <f>""</f>
        <v/>
      </c>
      <c r="CY396" t="str">
        <f>""</f>
        <v/>
      </c>
      <c r="CZ396" t="str">
        <f>""</f>
        <v/>
      </c>
      <c r="DA396" t="str">
        <f>""</f>
        <v/>
      </c>
      <c r="DB396" t="str">
        <f>""</f>
        <v/>
      </c>
      <c r="DC396" t="str">
        <f>""</f>
        <v/>
      </c>
      <c r="DD396" t="str">
        <f>""</f>
        <v/>
      </c>
      <c r="DE396" t="str">
        <f>""</f>
        <v/>
      </c>
      <c r="DF396" t="str">
        <f>""</f>
        <v/>
      </c>
      <c r="DG396" t="str">
        <f>""</f>
        <v/>
      </c>
      <c r="DH396" t="str">
        <f>""</f>
        <v/>
      </c>
      <c r="DI396" t="str">
        <f>""</f>
        <v/>
      </c>
      <c r="DJ396" t="str">
        <f>""</f>
        <v/>
      </c>
      <c r="DK396" t="str">
        <f>""</f>
        <v/>
      </c>
      <c r="DL396" t="str">
        <f>""</f>
        <v/>
      </c>
      <c r="DM396" t="str">
        <f>""</f>
        <v/>
      </c>
      <c r="DN396" t="str">
        <f>""</f>
        <v/>
      </c>
      <c r="DO396" t="str">
        <f>""</f>
        <v/>
      </c>
      <c r="DP396" t="str">
        <f>""</f>
        <v/>
      </c>
      <c r="DQ396" t="str">
        <f>""</f>
        <v/>
      </c>
      <c r="DR396" t="str">
        <f>""</f>
        <v/>
      </c>
      <c r="DS396" t="str">
        <f>""</f>
        <v/>
      </c>
      <c r="DT396" t="str">
        <f>""</f>
        <v/>
      </c>
      <c r="DU396" t="str">
        <f>""</f>
        <v/>
      </c>
      <c r="DV396" t="str">
        <f>""</f>
        <v/>
      </c>
      <c r="DW396" t="str">
        <f>""</f>
        <v/>
      </c>
      <c r="DX396" t="str">
        <f>""</f>
        <v/>
      </c>
      <c r="DY396" t="str">
        <f>""</f>
        <v/>
      </c>
      <c r="DZ396" t="str">
        <f>""</f>
        <v/>
      </c>
      <c r="EA396" t="str">
        <f>""</f>
        <v/>
      </c>
      <c r="EB396" t="str">
        <f>""</f>
        <v/>
      </c>
      <c r="EC396" t="str">
        <f>""</f>
        <v/>
      </c>
      <c r="ED396" t="str">
        <f>""</f>
        <v/>
      </c>
      <c r="EE396" t="str">
        <f>""</f>
        <v/>
      </c>
      <c r="EF396" t="str">
        <f>""</f>
        <v/>
      </c>
      <c r="EG396" t="str">
        <f>""</f>
        <v/>
      </c>
      <c r="EH396" t="str">
        <f>""</f>
        <v/>
      </c>
      <c r="EI396" t="str">
        <f>""</f>
        <v/>
      </c>
      <c r="EJ396" t="str">
        <f>""</f>
        <v/>
      </c>
      <c r="EK396" t="str">
        <f>""</f>
        <v/>
      </c>
      <c r="EL396" t="str">
        <f>""</f>
        <v/>
      </c>
      <c r="EM396" t="str">
        <f>""</f>
        <v/>
      </c>
      <c r="EN396" t="str">
        <f>""</f>
        <v/>
      </c>
      <c r="EO396" t="str">
        <f>""</f>
        <v/>
      </c>
      <c r="EP396" t="str">
        <f>""</f>
        <v/>
      </c>
      <c r="EQ396" t="str">
        <f>""</f>
        <v/>
      </c>
      <c r="ER396" t="str">
        <f>""</f>
        <v/>
      </c>
      <c r="ES396" t="str">
        <f>""</f>
        <v/>
      </c>
      <c r="ET396" t="str">
        <f>""</f>
        <v/>
      </c>
      <c r="EU396" t="str">
        <f>""</f>
        <v/>
      </c>
      <c r="EV396" t="str">
        <f>""</f>
        <v/>
      </c>
      <c r="EW396" t="str">
        <f>""</f>
        <v/>
      </c>
      <c r="EX396" t="str">
        <f>""</f>
        <v/>
      </c>
      <c r="EY396" t="str">
        <f>""</f>
        <v/>
      </c>
      <c r="EZ396" t="str">
        <f>""</f>
        <v/>
      </c>
      <c r="FA396" t="str">
        <f>""</f>
        <v/>
      </c>
      <c r="FB396" t="str">
        <f>""</f>
        <v/>
      </c>
      <c r="FC396" t="str">
        <f>""</f>
        <v/>
      </c>
      <c r="FD396" t="str">
        <f>""</f>
        <v/>
      </c>
      <c r="FE396" t="str">
        <f>""</f>
        <v/>
      </c>
      <c r="FF396" t="str">
        <f>""</f>
        <v/>
      </c>
      <c r="FG396" t="str">
        <f>""</f>
        <v/>
      </c>
      <c r="FH396" t="str">
        <f>""</f>
        <v/>
      </c>
      <c r="FI396" t="str">
        <f>""</f>
        <v/>
      </c>
      <c r="FJ396" t="str">
        <f>""</f>
        <v/>
      </c>
      <c r="FK396" t="str">
        <f>""</f>
        <v/>
      </c>
      <c r="FL396" t="str">
        <f>""</f>
        <v/>
      </c>
      <c r="FM396" t="str">
        <f>""</f>
        <v/>
      </c>
      <c r="FN396" t="str">
        <f>""</f>
        <v/>
      </c>
      <c r="FO396" t="str">
        <f>""</f>
        <v/>
      </c>
      <c r="FP396" t="str">
        <f>""</f>
        <v/>
      </c>
      <c r="FQ396" t="str">
        <f>""</f>
        <v/>
      </c>
    </row>
    <row r="397" spans="1:173">
      <c r="A397" t="str">
        <f>$A$192</f>
        <v xml:space="preserve">    Essex Property Trust Inc</v>
      </c>
      <c r="B397" t="str">
        <f>$B$192</f>
        <v>ESS US Equity</v>
      </c>
      <c r="C397" t="str">
        <f>$C$192</f>
        <v>F0929</v>
      </c>
      <c r="D397" t="str">
        <f>$D$192</f>
        <v>FUNDS_AVAIL_DIST_PAYOUT_RATIO</v>
      </c>
      <c r="E397" t="str">
        <f>$E$192</f>
        <v>动态</v>
      </c>
      <c r="F397" t="str">
        <f ca="1">BDH($B$192,$C$192,$B$250,$B$251,CONCATENATE("Per=",$B$248),"Dts=H","Dir=H",CONCATENATE("Points=",$B$249),"Sort=R","Days=A","Fill=B",CONCATENATE("FX=", $B$247) )</f>
        <v>#N/A Authorization</v>
      </c>
      <c r="CL397" t="str">
        <f>""</f>
        <v/>
      </c>
      <c r="CM397" t="str">
        <f>""</f>
        <v/>
      </c>
      <c r="CN397" t="str">
        <f>""</f>
        <v/>
      </c>
      <c r="CO397" t="str">
        <f>""</f>
        <v/>
      </c>
      <c r="CP397" t="str">
        <f>""</f>
        <v/>
      </c>
      <c r="CQ397" t="str">
        <f>""</f>
        <v/>
      </c>
      <c r="CR397" t="str">
        <f>""</f>
        <v/>
      </c>
      <c r="CS397" t="str">
        <f>""</f>
        <v/>
      </c>
      <c r="CT397" t="str">
        <f>""</f>
        <v/>
      </c>
      <c r="CU397" t="str">
        <f>""</f>
        <v/>
      </c>
      <c r="CV397" t="str">
        <f>""</f>
        <v/>
      </c>
      <c r="CW397" t="str">
        <f>""</f>
        <v/>
      </c>
      <c r="CX397" t="str">
        <f>""</f>
        <v/>
      </c>
      <c r="CY397" t="str">
        <f>""</f>
        <v/>
      </c>
      <c r="CZ397" t="str">
        <f>""</f>
        <v/>
      </c>
      <c r="DA397" t="str">
        <f>""</f>
        <v/>
      </c>
      <c r="DB397" t="str">
        <f>""</f>
        <v/>
      </c>
      <c r="DC397" t="str">
        <f>""</f>
        <v/>
      </c>
      <c r="DD397" t="str">
        <f>""</f>
        <v/>
      </c>
      <c r="DE397" t="str">
        <f>""</f>
        <v/>
      </c>
      <c r="DF397" t="str">
        <f>""</f>
        <v/>
      </c>
      <c r="DG397" t="str">
        <f>""</f>
        <v/>
      </c>
      <c r="DH397" t="str">
        <f>""</f>
        <v/>
      </c>
      <c r="DI397" t="str">
        <f>""</f>
        <v/>
      </c>
      <c r="DJ397" t="str">
        <f>""</f>
        <v/>
      </c>
      <c r="DK397" t="str">
        <f>""</f>
        <v/>
      </c>
      <c r="DL397" t="str">
        <f>""</f>
        <v/>
      </c>
      <c r="DM397" t="str">
        <f>""</f>
        <v/>
      </c>
      <c r="DN397" t="str">
        <f>""</f>
        <v/>
      </c>
      <c r="DO397" t="str">
        <f>""</f>
        <v/>
      </c>
      <c r="DP397" t="str">
        <f>""</f>
        <v/>
      </c>
      <c r="DQ397" t="str">
        <f>""</f>
        <v/>
      </c>
      <c r="DR397" t="str">
        <f>""</f>
        <v/>
      </c>
      <c r="DS397" t="str">
        <f>""</f>
        <v/>
      </c>
      <c r="DT397" t="str">
        <f>""</f>
        <v/>
      </c>
      <c r="DU397" t="str">
        <f>""</f>
        <v/>
      </c>
      <c r="DV397" t="str">
        <f>""</f>
        <v/>
      </c>
      <c r="DW397" t="str">
        <f>""</f>
        <v/>
      </c>
      <c r="DX397" t="str">
        <f>""</f>
        <v/>
      </c>
      <c r="DY397" t="str">
        <f>""</f>
        <v/>
      </c>
      <c r="DZ397" t="str">
        <f>""</f>
        <v/>
      </c>
      <c r="EA397" t="str">
        <f>""</f>
        <v/>
      </c>
      <c r="EB397" t="str">
        <f>""</f>
        <v/>
      </c>
      <c r="EC397" t="str">
        <f>""</f>
        <v/>
      </c>
      <c r="ED397" t="str">
        <f>""</f>
        <v/>
      </c>
      <c r="EE397" t="str">
        <f>""</f>
        <v/>
      </c>
      <c r="EF397" t="str">
        <f>""</f>
        <v/>
      </c>
      <c r="EG397" t="str">
        <f>""</f>
        <v/>
      </c>
      <c r="EH397" t="str">
        <f>""</f>
        <v/>
      </c>
      <c r="EI397" t="str">
        <f>""</f>
        <v/>
      </c>
      <c r="EJ397" t="str">
        <f>""</f>
        <v/>
      </c>
      <c r="EK397" t="str">
        <f>""</f>
        <v/>
      </c>
      <c r="EL397" t="str">
        <f>""</f>
        <v/>
      </c>
      <c r="EM397" t="str">
        <f>""</f>
        <v/>
      </c>
      <c r="EN397" t="str">
        <f>""</f>
        <v/>
      </c>
      <c r="EO397" t="str">
        <f>""</f>
        <v/>
      </c>
      <c r="EP397" t="str">
        <f>""</f>
        <v/>
      </c>
      <c r="EQ397" t="str">
        <f>""</f>
        <v/>
      </c>
      <c r="ER397" t="str">
        <f>""</f>
        <v/>
      </c>
      <c r="ES397" t="str">
        <f>""</f>
        <v/>
      </c>
      <c r="ET397" t="str">
        <f>""</f>
        <v/>
      </c>
      <c r="EU397" t="str">
        <f>""</f>
        <v/>
      </c>
      <c r="EV397" t="str">
        <f>""</f>
        <v/>
      </c>
      <c r="EW397" t="str">
        <f>""</f>
        <v/>
      </c>
      <c r="EX397" t="str">
        <f>""</f>
        <v/>
      </c>
      <c r="EY397" t="str">
        <f>""</f>
        <v/>
      </c>
      <c r="EZ397" t="str">
        <f>""</f>
        <v/>
      </c>
      <c r="FA397" t="str">
        <f>""</f>
        <v/>
      </c>
      <c r="FB397" t="str">
        <f>""</f>
        <v/>
      </c>
      <c r="FC397" t="str">
        <f>""</f>
        <v/>
      </c>
      <c r="FD397" t="str">
        <f>""</f>
        <v/>
      </c>
      <c r="FE397" t="str">
        <f>""</f>
        <v/>
      </c>
      <c r="FF397" t="str">
        <f>""</f>
        <v/>
      </c>
      <c r="FG397" t="str">
        <f>""</f>
        <v/>
      </c>
      <c r="FH397" t="str">
        <f>""</f>
        <v/>
      </c>
      <c r="FI397" t="str">
        <f>""</f>
        <v/>
      </c>
      <c r="FJ397" t="str">
        <f>""</f>
        <v/>
      </c>
      <c r="FK397" t="str">
        <f>""</f>
        <v/>
      </c>
      <c r="FL397" t="str">
        <f>""</f>
        <v/>
      </c>
      <c r="FM397" t="str">
        <f>""</f>
        <v/>
      </c>
      <c r="FN397" t="str">
        <f>""</f>
        <v/>
      </c>
      <c r="FO397" t="str">
        <f>""</f>
        <v/>
      </c>
      <c r="FP397" t="str">
        <f>""</f>
        <v/>
      </c>
      <c r="FQ397" t="str">
        <f>""</f>
        <v/>
      </c>
    </row>
    <row r="398" spans="1:173">
      <c r="A398" t="str">
        <f>$A$193</f>
        <v xml:space="preserve">    Mid-America Apartment Communit</v>
      </c>
      <c r="B398" t="str">
        <f>$B$193</f>
        <v>MAA US Equity</v>
      </c>
      <c r="C398" t="str">
        <f>$C$193</f>
        <v>F0929</v>
      </c>
      <c r="D398" t="str">
        <f>$D$193</f>
        <v>FUNDS_AVAIL_DIST_PAYOUT_RATIO</v>
      </c>
      <c r="E398" t="str">
        <f>$E$193</f>
        <v>动态</v>
      </c>
      <c r="F398" t="str">
        <f ca="1">BDH($B$193,$C$193,$B$250,$B$251,CONCATENATE("Per=",$B$248),"Dts=H","Dir=H",CONCATENATE("Points=",$B$249),"Sort=R","Days=A","Fill=B",CONCATENATE("FX=", $B$247) )</f>
        <v>#N/A Authorization</v>
      </c>
      <c r="CL398" t="str">
        <f>""</f>
        <v/>
      </c>
      <c r="CM398" t="str">
        <f>""</f>
        <v/>
      </c>
      <c r="CN398" t="str">
        <f>""</f>
        <v/>
      </c>
      <c r="CO398" t="str">
        <f>""</f>
        <v/>
      </c>
      <c r="CP398" t="str">
        <f>""</f>
        <v/>
      </c>
      <c r="CQ398" t="str">
        <f>""</f>
        <v/>
      </c>
      <c r="CR398" t="str">
        <f>""</f>
        <v/>
      </c>
      <c r="CS398" t="str">
        <f>""</f>
        <v/>
      </c>
      <c r="CT398" t="str">
        <f>""</f>
        <v/>
      </c>
      <c r="CU398" t="str">
        <f>""</f>
        <v/>
      </c>
      <c r="CV398" t="str">
        <f>""</f>
        <v/>
      </c>
      <c r="CW398" t="str">
        <f>""</f>
        <v/>
      </c>
      <c r="CX398" t="str">
        <f>""</f>
        <v/>
      </c>
      <c r="CY398" t="str">
        <f>""</f>
        <v/>
      </c>
      <c r="CZ398" t="str">
        <f>""</f>
        <v/>
      </c>
      <c r="DA398" t="str">
        <f>""</f>
        <v/>
      </c>
      <c r="DB398" t="str">
        <f>""</f>
        <v/>
      </c>
      <c r="DC398" t="str">
        <f>""</f>
        <v/>
      </c>
      <c r="DD398" t="str">
        <f>""</f>
        <v/>
      </c>
      <c r="DE398" t="str">
        <f>""</f>
        <v/>
      </c>
      <c r="DF398" t="str">
        <f>""</f>
        <v/>
      </c>
      <c r="DG398" t="str">
        <f>""</f>
        <v/>
      </c>
      <c r="DH398" t="str">
        <f>""</f>
        <v/>
      </c>
      <c r="DI398" t="str">
        <f>""</f>
        <v/>
      </c>
      <c r="DJ398" t="str">
        <f>""</f>
        <v/>
      </c>
      <c r="DK398" t="str">
        <f>""</f>
        <v/>
      </c>
      <c r="DL398" t="str">
        <f>""</f>
        <v/>
      </c>
      <c r="DM398" t="str">
        <f>""</f>
        <v/>
      </c>
      <c r="DN398" t="str">
        <f>""</f>
        <v/>
      </c>
      <c r="DO398" t="str">
        <f>""</f>
        <v/>
      </c>
      <c r="DP398" t="str">
        <f>""</f>
        <v/>
      </c>
      <c r="DQ398" t="str">
        <f>""</f>
        <v/>
      </c>
      <c r="DR398" t="str">
        <f>""</f>
        <v/>
      </c>
      <c r="DS398" t="str">
        <f>""</f>
        <v/>
      </c>
      <c r="DT398" t="str">
        <f>""</f>
        <v/>
      </c>
      <c r="DU398" t="str">
        <f>""</f>
        <v/>
      </c>
      <c r="DV398" t="str">
        <f>""</f>
        <v/>
      </c>
      <c r="DW398" t="str">
        <f>""</f>
        <v/>
      </c>
      <c r="DX398" t="str">
        <f>""</f>
        <v/>
      </c>
      <c r="DY398" t="str">
        <f>""</f>
        <v/>
      </c>
      <c r="DZ398" t="str">
        <f>""</f>
        <v/>
      </c>
      <c r="EA398" t="str">
        <f>""</f>
        <v/>
      </c>
      <c r="EB398" t="str">
        <f>""</f>
        <v/>
      </c>
      <c r="EC398" t="str">
        <f>""</f>
        <v/>
      </c>
      <c r="ED398" t="str">
        <f>""</f>
        <v/>
      </c>
      <c r="EE398" t="str">
        <f>""</f>
        <v/>
      </c>
      <c r="EF398" t="str">
        <f>""</f>
        <v/>
      </c>
      <c r="EG398" t="str">
        <f>""</f>
        <v/>
      </c>
      <c r="EH398" t="str">
        <f>""</f>
        <v/>
      </c>
      <c r="EI398" t="str">
        <f>""</f>
        <v/>
      </c>
      <c r="EJ398" t="str">
        <f>""</f>
        <v/>
      </c>
      <c r="EK398" t="str">
        <f>""</f>
        <v/>
      </c>
      <c r="EL398" t="str">
        <f>""</f>
        <v/>
      </c>
      <c r="EM398" t="str">
        <f>""</f>
        <v/>
      </c>
      <c r="EN398" t="str">
        <f>""</f>
        <v/>
      </c>
      <c r="EO398" t="str">
        <f>""</f>
        <v/>
      </c>
      <c r="EP398" t="str">
        <f>""</f>
        <v/>
      </c>
      <c r="EQ398" t="str">
        <f>""</f>
        <v/>
      </c>
      <c r="ER398" t="str">
        <f>""</f>
        <v/>
      </c>
      <c r="ES398" t="str">
        <f>""</f>
        <v/>
      </c>
      <c r="ET398" t="str">
        <f>""</f>
        <v/>
      </c>
      <c r="EU398" t="str">
        <f>""</f>
        <v/>
      </c>
      <c r="EV398" t="str">
        <f>""</f>
        <v/>
      </c>
      <c r="EW398" t="str">
        <f>""</f>
        <v/>
      </c>
      <c r="EX398" t="str">
        <f>""</f>
        <v/>
      </c>
      <c r="EY398" t="str">
        <f>""</f>
        <v/>
      </c>
      <c r="EZ398" t="str">
        <f>""</f>
        <v/>
      </c>
      <c r="FA398" t="str">
        <f>""</f>
        <v/>
      </c>
      <c r="FB398" t="str">
        <f>""</f>
        <v/>
      </c>
      <c r="FC398" t="str">
        <f>""</f>
        <v/>
      </c>
      <c r="FD398" t="str">
        <f>""</f>
        <v/>
      </c>
      <c r="FE398" t="str">
        <f>""</f>
        <v/>
      </c>
      <c r="FF398" t="str">
        <f>""</f>
        <v/>
      </c>
      <c r="FG398" t="str">
        <f>""</f>
        <v/>
      </c>
      <c r="FH398" t="str">
        <f>""</f>
        <v/>
      </c>
      <c r="FI398" t="str">
        <f>""</f>
        <v/>
      </c>
      <c r="FJ398" t="str">
        <f>""</f>
        <v/>
      </c>
      <c r="FK398" t="str">
        <f>""</f>
        <v/>
      </c>
      <c r="FL398" t="str">
        <f>""</f>
        <v/>
      </c>
      <c r="FM398" t="str">
        <f>""</f>
        <v/>
      </c>
      <c r="FN398" t="str">
        <f>""</f>
        <v/>
      </c>
      <c r="FO398" t="str">
        <f>""</f>
        <v/>
      </c>
      <c r="FP398" t="str">
        <f>""</f>
        <v/>
      </c>
      <c r="FQ398" t="str">
        <f>""</f>
        <v/>
      </c>
    </row>
    <row r="399" spans="1:173">
      <c r="A399" t="str">
        <f>$A$194</f>
        <v xml:space="preserve">    Monogram Residential Trust Inc</v>
      </c>
      <c r="B399" t="str">
        <f>$B$194</f>
        <v>MORE US Equity</v>
      </c>
      <c r="C399" t="str">
        <f>$C$194</f>
        <v>F0929</v>
      </c>
      <c r="D399" t="str">
        <f>$D$194</f>
        <v>FUNDS_AVAIL_DIST_PAYOUT_RATIO</v>
      </c>
      <c r="E399" t="str">
        <f>$E$194</f>
        <v>动态</v>
      </c>
      <c r="F399" t="str">
        <f ca="1">BDH($B$194,$C$194,$B$250,$B$251,CONCATENATE("Per=",$B$248),"Dts=H","Dir=H",CONCATENATE("Points=",$B$249),"Sort=R","Days=A","Fill=B",CONCATENATE("FX=", $B$247) )</f>
        <v>#N/A Authorization</v>
      </c>
      <c r="CL399" t="str">
        <f>""</f>
        <v/>
      </c>
      <c r="CM399" t="str">
        <f>""</f>
        <v/>
      </c>
      <c r="CN399" t="str">
        <f>""</f>
        <v/>
      </c>
      <c r="CO399" t="str">
        <f>""</f>
        <v/>
      </c>
      <c r="CP399" t="str">
        <f>""</f>
        <v/>
      </c>
      <c r="CQ399" t="str">
        <f>""</f>
        <v/>
      </c>
      <c r="CR399" t="str">
        <f>""</f>
        <v/>
      </c>
      <c r="CS399" t="str">
        <f>""</f>
        <v/>
      </c>
      <c r="CT399" t="str">
        <f>""</f>
        <v/>
      </c>
      <c r="CU399" t="str">
        <f>""</f>
        <v/>
      </c>
      <c r="CV399" t="str">
        <f>""</f>
        <v/>
      </c>
      <c r="CW399" t="str">
        <f>""</f>
        <v/>
      </c>
      <c r="CX399" t="str">
        <f>""</f>
        <v/>
      </c>
      <c r="CY399" t="str">
        <f>""</f>
        <v/>
      </c>
      <c r="CZ399" t="str">
        <f>""</f>
        <v/>
      </c>
      <c r="DA399" t="str">
        <f>""</f>
        <v/>
      </c>
      <c r="DB399" t="str">
        <f>""</f>
        <v/>
      </c>
      <c r="DC399" t="str">
        <f>""</f>
        <v/>
      </c>
      <c r="DD399" t="str">
        <f>""</f>
        <v/>
      </c>
      <c r="DE399" t="str">
        <f>""</f>
        <v/>
      </c>
      <c r="DF399" t="str">
        <f>""</f>
        <v/>
      </c>
      <c r="DG399" t="str">
        <f>""</f>
        <v/>
      </c>
      <c r="DH399" t="str">
        <f>""</f>
        <v/>
      </c>
      <c r="DI399" t="str">
        <f>""</f>
        <v/>
      </c>
      <c r="DJ399" t="str">
        <f>""</f>
        <v/>
      </c>
      <c r="DK399" t="str">
        <f>""</f>
        <v/>
      </c>
      <c r="DL399" t="str">
        <f>""</f>
        <v/>
      </c>
      <c r="DM399" t="str">
        <f>""</f>
        <v/>
      </c>
      <c r="DN399" t="str">
        <f>""</f>
        <v/>
      </c>
      <c r="DO399" t="str">
        <f>""</f>
        <v/>
      </c>
      <c r="DP399" t="str">
        <f>""</f>
        <v/>
      </c>
      <c r="DQ399" t="str">
        <f>""</f>
        <v/>
      </c>
      <c r="DR399" t="str">
        <f>""</f>
        <v/>
      </c>
      <c r="DS399" t="str">
        <f>""</f>
        <v/>
      </c>
      <c r="DT399" t="str">
        <f>""</f>
        <v/>
      </c>
      <c r="DU399" t="str">
        <f>""</f>
        <v/>
      </c>
      <c r="DV399" t="str">
        <f>""</f>
        <v/>
      </c>
      <c r="DW399" t="str">
        <f>""</f>
        <v/>
      </c>
      <c r="DX399" t="str">
        <f>""</f>
        <v/>
      </c>
      <c r="DY399" t="str">
        <f>""</f>
        <v/>
      </c>
      <c r="DZ399" t="str">
        <f>""</f>
        <v/>
      </c>
      <c r="EA399" t="str">
        <f>""</f>
        <v/>
      </c>
      <c r="EB399" t="str">
        <f>""</f>
        <v/>
      </c>
      <c r="EC399" t="str">
        <f>""</f>
        <v/>
      </c>
      <c r="ED399" t="str">
        <f>""</f>
        <v/>
      </c>
      <c r="EE399" t="str">
        <f>""</f>
        <v/>
      </c>
      <c r="EF399" t="str">
        <f>""</f>
        <v/>
      </c>
      <c r="EG399" t="str">
        <f>""</f>
        <v/>
      </c>
      <c r="EH399" t="str">
        <f>""</f>
        <v/>
      </c>
      <c r="EI399" t="str">
        <f>""</f>
        <v/>
      </c>
      <c r="EJ399" t="str">
        <f>""</f>
        <v/>
      </c>
      <c r="EK399" t="str">
        <f>""</f>
        <v/>
      </c>
      <c r="EL399" t="str">
        <f>""</f>
        <v/>
      </c>
      <c r="EM399" t="str">
        <f>""</f>
        <v/>
      </c>
      <c r="EN399" t="str">
        <f>""</f>
        <v/>
      </c>
      <c r="EO399" t="str">
        <f>""</f>
        <v/>
      </c>
      <c r="EP399" t="str">
        <f>""</f>
        <v/>
      </c>
      <c r="EQ399" t="str">
        <f>""</f>
        <v/>
      </c>
      <c r="ER399" t="str">
        <f>""</f>
        <v/>
      </c>
      <c r="ES399" t="str">
        <f>""</f>
        <v/>
      </c>
      <c r="ET399" t="str">
        <f>""</f>
        <v/>
      </c>
      <c r="EU399" t="str">
        <f>""</f>
        <v/>
      </c>
      <c r="EV399" t="str">
        <f>""</f>
        <v/>
      </c>
      <c r="EW399" t="str">
        <f>""</f>
        <v/>
      </c>
      <c r="EX399" t="str">
        <f>""</f>
        <v/>
      </c>
      <c r="EY399" t="str">
        <f>""</f>
        <v/>
      </c>
      <c r="EZ399" t="str">
        <f>""</f>
        <v/>
      </c>
      <c r="FA399" t="str">
        <f>""</f>
        <v/>
      </c>
      <c r="FB399" t="str">
        <f>""</f>
        <v/>
      </c>
      <c r="FC399" t="str">
        <f>""</f>
        <v/>
      </c>
      <c r="FD399" t="str">
        <f>""</f>
        <v/>
      </c>
      <c r="FE399" t="str">
        <f>""</f>
        <v/>
      </c>
      <c r="FF399" t="str">
        <f>""</f>
        <v/>
      </c>
      <c r="FG399" t="str">
        <f>""</f>
        <v/>
      </c>
      <c r="FH399" t="str">
        <f>""</f>
        <v/>
      </c>
      <c r="FI399" t="str">
        <f>""</f>
        <v/>
      </c>
      <c r="FJ399" t="str">
        <f>""</f>
        <v/>
      </c>
      <c r="FK399" t="str">
        <f>""</f>
        <v/>
      </c>
      <c r="FL399" t="str">
        <f>""</f>
        <v/>
      </c>
      <c r="FM399" t="str">
        <f>""</f>
        <v/>
      </c>
      <c r="FN399" t="str">
        <f>""</f>
        <v/>
      </c>
      <c r="FO399" t="str">
        <f>""</f>
        <v/>
      </c>
      <c r="FP399" t="str">
        <f>""</f>
        <v/>
      </c>
      <c r="FQ399" t="str">
        <f>""</f>
        <v/>
      </c>
    </row>
    <row r="400" spans="1:173">
      <c r="A400" t="str">
        <f>$A$195</f>
        <v xml:space="preserve">    UDR Inc</v>
      </c>
      <c r="B400" t="str">
        <f>$B$195</f>
        <v>UDR US Equity</v>
      </c>
      <c r="C400" t="str">
        <f>$C$195</f>
        <v>F0929</v>
      </c>
      <c r="D400" t="str">
        <f>$D$195</f>
        <v>FUNDS_AVAIL_DIST_PAYOUT_RATIO</v>
      </c>
      <c r="E400" t="str">
        <f>$E$195</f>
        <v>动态</v>
      </c>
      <c r="F400" t="str">
        <f ca="1">BDH($B$195,$C$195,$B$250,$B$251,CONCATENATE("Per=",$B$248),"Dts=H","Dir=H",CONCATENATE("Points=",$B$249),"Sort=R","Days=A","Fill=B",CONCATENATE("FX=", $B$247) )</f>
        <v>#N/A Authorization</v>
      </c>
      <c r="CL400" t="str">
        <f>""</f>
        <v/>
      </c>
      <c r="CM400" t="str">
        <f>""</f>
        <v/>
      </c>
      <c r="CN400" t="str">
        <f>""</f>
        <v/>
      </c>
      <c r="CO400" t="str">
        <f>""</f>
        <v/>
      </c>
      <c r="CP400" t="str">
        <f>""</f>
        <v/>
      </c>
      <c r="CQ400" t="str">
        <f>""</f>
        <v/>
      </c>
      <c r="CR400" t="str">
        <f>""</f>
        <v/>
      </c>
      <c r="CS400" t="str">
        <f>""</f>
        <v/>
      </c>
      <c r="CT400" t="str">
        <f>""</f>
        <v/>
      </c>
      <c r="CU400" t="str">
        <f>""</f>
        <v/>
      </c>
      <c r="CV400" t="str">
        <f>""</f>
        <v/>
      </c>
      <c r="CW400" t="str">
        <f>""</f>
        <v/>
      </c>
      <c r="CX400" t="str">
        <f>""</f>
        <v/>
      </c>
      <c r="CY400" t="str">
        <f>""</f>
        <v/>
      </c>
      <c r="CZ400" t="str">
        <f>""</f>
        <v/>
      </c>
      <c r="DA400" t="str">
        <f>""</f>
        <v/>
      </c>
      <c r="DB400" t="str">
        <f>""</f>
        <v/>
      </c>
      <c r="DC400" t="str">
        <f>""</f>
        <v/>
      </c>
      <c r="DD400" t="str">
        <f>""</f>
        <v/>
      </c>
      <c r="DE400" t="str">
        <f>""</f>
        <v/>
      </c>
      <c r="DF400" t="str">
        <f>""</f>
        <v/>
      </c>
      <c r="DG400" t="str">
        <f>""</f>
        <v/>
      </c>
      <c r="DH400" t="str">
        <f>""</f>
        <v/>
      </c>
      <c r="DI400" t="str">
        <f>""</f>
        <v/>
      </c>
      <c r="DJ400" t="str">
        <f>""</f>
        <v/>
      </c>
      <c r="DK400" t="str">
        <f>""</f>
        <v/>
      </c>
      <c r="DL400" t="str">
        <f>""</f>
        <v/>
      </c>
      <c r="DM400" t="str">
        <f>""</f>
        <v/>
      </c>
      <c r="DN400" t="str">
        <f>""</f>
        <v/>
      </c>
      <c r="DO400" t="str">
        <f>""</f>
        <v/>
      </c>
      <c r="DP400" t="str">
        <f>""</f>
        <v/>
      </c>
      <c r="DQ400" t="str">
        <f>""</f>
        <v/>
      </c>
      <c r="DR400" t="str">
        <f>""</f>
        <v/>
      </c>
      <c r="DS400" t="str">
        <f>""</f>
        <v/>
      </c>
      <c r="DT400" t="str">
        <f>""</f>
        <v/>
      </c>
      <c r="DU400" t="str">
        <f>""</f>
        <v/>
      </c>
      <c r="DV400" t="str">
        <f>""</f>
        <v/>
      </c>
      <c r="DW400" t="str">
        <f>""</f>
        <v/>
      </c>
      <c r="DX400" t="str">
        <f>""</f>
        <v/>
      </c>
      <c r="DY400" t="str">
        <f>""</f>
        <v/>
      </c>
      <c r="DZ400" t="str">
        <f>""</f>
        <v/>
      </c>
      <c r="EA400" t="str">
        <f>""</f>
        <v/>
      </c>
      <c r="EB400" t="str">
        <f>""</f>
        <v/>
      </c>
      <c r="EC400" t="str">
        <f>""</f>
        <v/>
      </c>
      <c r="ED400" t="str">
        <f>""</f>
        <v/>
      </c>
      <c r="EE400" t="str">
        <f>""</f>
        <v/>
      </c>
      <c r="EF400" t="str">
        <f>""</f>
        <v/>
      </c>
      <c r="EG400" t="str">
        <f>""</f>
        <v/>
      </c>
      <c r="EH400" t="str">
        <f>""</f>
        <v/>
      </c>
      <c r="EI400" t="str">
        <f>""</f>
        <v/>
      </c>
      <c r="EJ400" t="str">
        <f>""</f>
        <v/>
      </c>
      <c r="EK400" t="str">
        <f>""</f>
        <v/>
      </c>
      <c r="EL400" t="str">
        <f>""</f>
        <v/>
      </c>
      <c r="EM400" t="str">
        <f>""</f>
        <v/>
      </c>
      <c r="EN400" t="str">
        <f>""</f>
        <v/>
      </c>
      <c r="EO400" t="str">
        <f>""</f>
        <v/>
      </c>
      <c r="EP400" t="str">
        <f>""</f>
        <v/>
      </c>
      <c r="EQ400" t="str">
        <f>""</f>
        <v/>
      </c>
      <c r="ER400" t="str">
        <f>""</f>
        <v/>
      </c>
      <c r="ES400" t="str">
        <f>""</f>
        <v/>
      </c>
      <c r="ET400" t="str">
        <f>""</f>
        <v/>
      </c>
      <c r="EU400" t="str">
        <f>""</f>
        <v/>
      </c>
      <c r="EV400" t="str">
        <f>""</f>
        <v/>
      </c>
      <c r="EW400" t="str">
        <f>""</f>
        <v/>
      </c>
      <c r="EX400" t="str">
        <f>""</f>
        <v/>
      </c>
      <c r="EY400" t="str">
        <f>""</f>
        <v/>
      </c>
      <c r="EZ400" t="str">
        <f>""</f>
        <v/>
      </c>
      <c r="FA400" t="str">
        <f>""</f>
        <v/>
      </c>
      <c r="FB400" t="str">
        <f>""</f>
        <v/>
      </c>
      <c r="FC400" t="str">
        <f>""</f>
        <v/>
      </c>
      <c r="FD400" t="str">
        <f>""</f>
        <v/>
      </c>
      <c r="FE400" t="str">
        <f>""</f>
        <v/>
      </c>
      <c r="FF400" t="str">
        <f>""</f>
        <v/>
      </c>
      <c r="FG400" t="str">
        <f>""</f>
        <v/>
      </c>
      <c r="FH400" t="str">
        <f>""</f>
        <v/>
      </c>
      <c r="FI400" t="str">
        <f>""</f>
        <v/>
      </c>
      <c r="FJ400" t="str">
        <f>""</f>
        <v/>
      </c>
      <c r="FK400" t="str">
        <f>""</f>
        <v/>
      </c>
      <c r="FL400" t="str">
        <f>""</f>
        <v/>
      </c>
      <c r="FM400" t="str">
        <f>""</f>
        <v/>
      </c>
      <c r="FN400" t="str">
        <f>""</f>
        <v/>
      </c>
      <c r="FO400" t="str">
        <f>""</f>
        <v/>
      </c>
      <c r="FP400" t="str">
        <f>""</f>
        <v/>
      </c>
      <c r="FQ400" t="str">
        <f>""</f>
        <v/>
      </c>
    </row>
    <row r="401" spans="1:173">
      <c r="A401" t="str">
        <f>$A$197</f>
        <v xml:space="preserve">    公寓投资与管理</v>
      </c>
      <c r="B401" t="str">
        <f>$B$197</f>
        <v>AIV US Equity</v>
      </c>
      <c r="C401" t="str">
        <f>$C$197</f>
        <v>DV013</v>
      </c>
      <c r="D401" t="str">
        <f>$D$197</f>
        <v>EQY_DVD_YLD_IND</v>
      </c>
      <c r="E401" t="str">
        <f>$E$197</f>
        <v>动态</v>
      </c>
      <c r="F401" t="str">
        <f ca="1">BDH($B$197,$C$197,$B$250,$B$251,CONCATENATE("Per=",$B$248),"Dts=H","Dir=H",CONCATENATE("Points=",$B$249),"Sort=R","Days=A","Fill=B",CONCATENATE("FX=", $B$247) )</f>
        <v>#N/A Authorization</v>
      </c>
      <c r="CL401" t="str">
        <f>""</f>
        <v/>
      </c>
      <c r="CM401" t="str">
        <f>""</f>
        <v/>
      </c>
      <c r="CN401" t="str">
        <f>""</f>
        <v/>
      </c>
      <c r="CO401" t="str">
        <f>""</f>
        <v/>
      </c>
      <c r="CP401" t="str">
        <f>""</f>
        <v/>
      </c>
      <c r="CQ401" t="str">
        <f>""</f>
        <v/>
      </c>
      <c r="CR401" t="str">
        <f>""</f>
        <v/>
      </c>
      <c r="CS401" t="str">
        <f>""</f>
        <v/>
      </c>
      <c r="CT401" t="str">
        <f>""</f>
        <v/>
      </c>
      <c r="CU401" t="str">
        <f>""</f>
        <v/>
      </c>
      <c r="CV401" t="str">
        <f>""</f>
        <v/>
      </c>
      <c r="CW401" t="str">
        <f>""</f>
        <v/>
      </c>
      <c r="CX401" t="str">
        <f>""</f>
        <v/>
      </c>
      <c r="CY401" t="str">
        <f>""</f>
        <v/>
      </c>
      <c r="CZ401" t="str">
        <f>""</f>
        <v/>
      </c>
      <c r="DA401" t="str">
        <f>""</f>
        <v/>
      </c>
      <c r="DB401" t="str">
        <f>""</f>
        <v/>
      </c>
      <c r="DC401" t="str">
        <f>""</f>
        <v/>
      </c>
      <c r="DD401" t="str">
        <f>""</f>
        <v/>
      </c>
      <c r="DE401" t="str">
        <f>""</f>
        <v/>
      </c>
      <c r="DF401" t="str">
        <f>""</f>
        <v/>
      </c>
      <c r="DG401" t="str">
        <f>""</f>
        <v/>
      </c>
      <c r="DH401" t="str">
        <f>""</f>
        <v/>
      </c>
      <c r="DI401" t="str">
        <f>""</f>
        <v/>
      </c>
      <c r="DJ401" t="str">
        <f>""</f>
        <v/>
      </c>
      <c r="DK401" t="str">
        <f>""</f>
        <v/>
      </c>
      <c r="DL401" t="str">
        <f>""</f>
        <v/>
      </c>
      <c r="DM401" t="str">
        <f>""</f>
        <v/>
      </c>
      <c r="DN401" t="str">
        <f>""</f>
        <v/>
      </c>
      <c r="DO401" t="str">
        <f>""</f>
        <v/>
      </c>
      <c r="DP401" t="str">
        <f>""</f>
        <v/>
      </c>
      <c r="DQ401" t="str">
        <f>""</f>
        <v/>
      </c>
      <c r="DR401" t="str">
        <f>""</f>
        <v/>
      </c>
      <c r="DS401" t="str">
        <f>""</f>
        <v/>
      </c>
      <c r="DT401" t="str">
        <f>""</f>
        <v/>
      </c>
      <c r="DU401" t="str">
        <f>""</f>
        <v/>
      </c>
      <c r="DV401" t="str">
        <f>""</f>
        <v/>
      </c>
      <c r="DW401" t="str">
        <f>""</f>
        <v/>
      </c>
      <c r="DX401" t="str">
        <f>""</f>
        <v/>
      </c>
      <c r="DY401" t="str">
        <f>""</f>
        <v/>
      </c>
      <c r="DZ401" t="str">
        <f>""</f>
        <v/>
      </c>
      <c r="EA401" t="str">
        <f>""</f>
        <v/>
      </c>
      <c r="EB401" t="str">
        <f>""</f>
        <v/>
      </c>
      <c r="EC401" t="str">
        <f>""</f>
        <v/>
      </c>
      <c r="ED401" t="str">
        <f>""</f>
        <v/>
      </c>
      <c r="EE401" t="str">
        <f>""</f>
        <v/>
      </c>
      <c r="EF401" t="str">
        <f>""</f>
        <v/>
      </c>
      <c r="EG401" t="str">
        <f>""</f>
        <v/>
      </c>
      <c r="EH401" t="str">
        <f>""</f>
        <v/>
      </c>
      <c r="EI401" t="str">
        <f>""</f>
        <v/>
      </c>
      <c r="EJ401" t="str">
        <f>""</f>
        <v/>
      </c>
      <c r="EK401" t="str">
        <f>""</f>
        <v/>
      </c>
      <c r="EL401" t="str">
        <f>""</f>
        <v/>
      </c>
      <c r="EM401" t="str">
        <f>""</f>
        <v/>
      </c>
      <c r="EN401" t="str">
        <f>""</f>
        <v/>
      </c>
      <c r="EO401" t="str">
        <f>""</f>
        <v/>
      </c>
      <c r="EP401" t="str">
        <f>""</f>
        <v/>
      </c>
      <c r="EQ401" t="str">
        <f>""</f>
        <v/>
      </c>
      <c r="ER401" t="str">
        <f>""</f>
        <v/>
      </c>
      <c r="ES401" t="str">
        <f>""</f>
        <v/>
      </c>
      <c r="ET401" t="str">
        <f>""</f>
        <v/>
      </c>
      <c r="EU401" t="str">
        <f>""</f>
        <v/>
      </c>
      <c r="EV401" t="str">
        <f>""</f>
        <v/>
      </c>
      <c r="EW401" t="str">
        <f>""</f>
        <v/>
      </c>
      <c r="EX401" t="str">
        <f>""</f>
        <v/>
      </c>
      <c r="EY401" t="str">
        <f>""</f>
        <v/>
      </c>
      <c r="EZ401" t="str">
        <f>""</f>
        <v/>
      </c>
      <c r="FA401" t="str">
        <f>""</f>
        <v/>
      </c>
      <c r="FB401" t="str">
        <f>""</f>
        <v/>
      </c>
      <c r="FC401" t="str">
        <f>""</f>
        <v/>
      </c>
      <c r="FD401" t="str">
        <f>""</f>
        <v/>
      </c>
      <c r="FE401" t="str">
        <f>""</f>
        <v/>
      </c>
      <c r="FF401" t="str">
        <f>""</f>
        <v/>
      </c>
      <c r="FG401" t="str">
        <f>""</f>
        <v/>
      </c>
      <c r="FH401" t="str">
        <f>""</f>
        <v/>
      </c>
      <c r="FI401" t="str">
        <f>""</f>
        <v/>
      </c>
      <c r="FJ401" t="str">
        <f>""</f>
        <v/>
      </c>
      <c r="FK401" t="str">
        <f>""</f>
        <v/>
      </c>
      <c r="FL401" t="str">
        <f>""</f>
        <v/>
      </c>
      <c r="FM401" t="str">
        <f>""</f>
        <v/>
      </c>
      <c r="FN401" t="str">
        <f>""</f>
        <v/>
      </c>
      <c r="FO401" t="str">
        <f>""</f>
        <v/>
      </c>
      <c r="FP401" t="str">
        <f>""</f>
        <v/>
      </c>
      <c r="FQ401" t="str">
        <f>""</f>
        <v/>
      </c>
    </row>
    <row r="402" spans="1:173">
      <c r="A402" t="str">
        <f>$A$198</f>
        <v xml:space="preserve">    AvalonBay社区股份有限公司</v>
      </c>
      <c r="B402" t="str">
        <f>$B$198</f>
        <v>AVB US Equity</v>
      </c>
      <c r="C402" t="str">
        <f>$C$198</f>
        <v>DV013</v>
      </c>
      <c r="D402" t="str">
        <f>$D$198</f>
        <v>EQY_DVD_YLD_IND</v>
      </c>
      <c r="E402" t="str">
        <f>$E$198</f>
        <v>动态</v>
      </c>
      <c r="F402" t="str">
        <f ca="1">BDH($B$198,$C$198,$B$250,$B$251,CONCATENATE("Per=",$B$248),"Dts=H","Dir=H",CONCATENATE("Points=",$B$249),"Sort=R","Days=A","Fill=B",CONCATENATE("FX=", $B$247) )</f>
        <v>#N/A Authorization</v>
      </c>
      <c r="CL402" t="str">
        <f>""</f>
        <v/>
      </c>
      <c r="CM402" t="str">
        <f>""</f>
        <v/>
      </c>
      <c r="CN402" t="str">
        <f>""</f>
        <v/>
      </c>
      <c r="CO402" t="str">
        <f>""</f>
        <v/>
      </c>
      <c r="CP402" t="str">
        <f>""</f>
        <v/>
      </c>
      <c r="CQ402" t="str">
        <f>""</f>
        <v/>
      </c>
      <c r="CR402" t="str">
        <f>""</f>
        <v/>
      </c>
      <c r="CS402" t="str">
        <f>""</f>
        <v/>
      </c>
      <c r="CT402" t="str">
        <f>""</f>
        <v/>
      </c>
      <c r="CU402" t="str">
        <f>""</f>
        <v/>
      </c>
      <c r="CV402" t="str">
        <f>""</f>
        <v/>
      </c>
      <c r="CW402" t="str">
        <f>""</f>
        <v/>
      </c>
      <c r="CX402" t="str">
        <f>""</f>
        <v/>
      </c>
      <c r="CY402" t="str">
        <f>""</f>
        <v/>
      </c>
      <c r="CZ402" t="str">
        <f>""</f>
        <v/>
      </c>
      <c r="DA402" t="str">
        <f>""</f>
        <v/>
      </c>
      <c r="DB402" t="str">
        <f>""</f>
        <v/>
      </c>
      <c r="DC402" t="str">
        <f>""</f>
        <v/>
      </c>
      <c r="DD402" t="str">
        <f>""</f>
        <v/>
      </c>
      <c r="DE402" t="str">
        <f>""</f>
        <v/>
      </c>
      <c r="DF402" t="str">
        <f>""</f>
        <v/>
      </c>
      <c r="DG402" t="str">
        <f>""</f>
        <v/>
      </c>
      <c r="DH402" t="str">
        <f>""</f>
        <v/>
      </c>
      <c r="DI402" t="str">
        <f>""</f>
        <v/>
      </c>
      <c r="DJ402" t="str">
        <f>""</f>
        <v/>
      </c>
      <c r="DK402" t="str">
        <f>""</f>
        <v/>
      </c>
      <c r="DL402" t="str">
        <f>""</f>
        <v/>
      </c>
      <c r="DM402" t="str">
        <f>""</f>
        <v/>
      </c>
      <c r="DN402" t="str">
        <f>""</f>
        <v/>
      </c>
      <c r="DO402" t="str">
        <f>""</f>
        <v/>
      </c>
      <c r="DP402" t="str">
        <f>""</f>
        <v/>
      </c>
      <c r="DQ402" t="str">
        <f>""</f>
        <v/>
      </c>
      <c r="DR402" t="str">
        <f>""</f>
        <v/>
      </c>
      <c r="DS402" t="str">
        <f>""</f>
        <v/>
      </c>
      <c r="DT402" t="str">
        <f>""</f>
        <v/>
      </c>
      <c r="DU402" t="str">
        <f>""</f>
        <v/>
      </c>
      <c r="DV402" t="str">
        <f>""</f>
        <v/>
      </c>
      <c r="DW402" t="str">
        <f>""</f>
        <v/>
      </c>
      <c r="DX402" t="str">
        <f>""</f>
        <v/>
      </c>
      <c r="DY402" t="str">
        <f>""</f>
        <v/>
      </c>
      <c r="DZ402" t="str">
        <f>""</f>
        <v/>
      </c>
      <c r="EA402" t="str">
        <f>""</f>
        <v/>
      </c>
      <c r="EB402" t="str">
        <f>""</f>
        <v/>
      </c>
      <c r="EC402" t="str">
        <f>""</f>
        <v/>
      </c>
      <c r="ED402" t="str">
        <f>""</f>
        <v/>
      </c>
      <c r="EE402" t="str">
        <f>""</f>
        <v/>
      </c>
      <c r="EF402" t="str">
        <f>""</f>
        <v/>
      </c>
      <c r="EG402" t="str">
        <f>""</f>
        <v/>
      </c>
      <c r="EH402" t="str">
        <f>""</f>
        <v/>
      </c>
      <c r="EI402" t="str">
        <f>""</f>
        <v/>
      </c>
      <c r="EJ402" t="str">
        <f>""</f>
        <v/>
      </c>
      <c r="EK402" t="str">
        <f>""</f>
        <v/>
      </c>
      <c r="EL402" t="str">
        <f>""</f>
        <v/>
      </c>
      <c r="EM402" t="str">
        <f>""</f>
        <v/>
      </c>
      <c r="EN402" t="str">
        <f>""</f>
        <v/>
      </c>
      <c r="EO402" t="str">
        <f>""</f>
        <v/>
      </c>
      <c r="EP402" t="str">
        <f>""</f>
        <v/>
      </c>
      <c r="EQ402" t="str">
        <f>""</f>
        <v/>
      </c>
      <c r="ER402" t="str">
        <f>""</f>
        <v/>
      </c>
      <c r="ES402" t="str">
        <f>""</f>
        <v/>
      </c>
      <c r="ET402" t="str">
        <f>""</f>
        <v/>
      </c>
      <c r="EU402" t="str">
        <f>""</f>
        <v/>
      </c>
      <c r="EV402" t="str">
        <f>""</f>
        <v/>
      </c>
      <c r="EW402" t="str">
        <f>""</f>
        <v/>
      </c>
      <c r="EX402" t="str">
        <f>""</f>
        <v/>
      </c>
      <c r="EY402" t="str">
        <f>""</f>
        <v/>
      </c>
      <c r="EZ402" t="str">
        <f>""</f>
        <v/>
      </c>
      <c r="FA402" t="str">
        <f>""</f>
        <v/>
      </c>
      <c r="FB402" t="str">
        <f>""</f>
        <v/>
      </c>
      <c r="FC402" t="str">
        <f>""</f>
        <v/>
      </c>
      <c r="FD402" t="str">
        <f>""</f>
        <v/>
      </c>
      <c r="FE402" t="str">
        <f>""</f>
        <v/>
      </c>
      <c r="FF402" t="str">
        <f>""</f>
        <v/>
      </c>
      <c r="FG402" t="str">
        <f>""</f>
        <v/>
      </c>
      <c r="FH402" t="str">
        <f>""</f>
        <v/>
      </c>
      <c r="FI402" t="str">
        <f>""</f>
        <v/>
      </c>
      <c r="FJ402" t="str">
        <f>""</f>
        <v/>
      </c>
      <c r="FK402" t="str">
        <f>""</f>
        <v/>
      </c>
      <c r="FL402" t="str">
        <f>""</f>
        <v/>
      </c>
      <c r="FM402" t="str">
        <f>""</f>
        <v/>
      </c>
      <c r="FN402" t="str">
        <f>""</f>
        <v/>
      </c>
      <c r="FO402" t="str">
        <f>""</f>
        <v/>
      </c>
      <c r="FP402" t="str">
        <f>""</f>
        <v/>
      </c>
      <c r="FQ402" t="str">
        <f>""</f>
        <v/>
      </c>
    </row>
    <row r="403" spans="1:173">
      <c r="A403" t="str">
        <f>$A$199</f>
        <v xml:space="preserve">    Camden 房地产信托公司</v>
      </c>
      <c r="B403" t="str">
        <f>$B$199</f>
        <v>CPT US Equity</v>
      </c>
      <c r="C403" t="str">
        <f>$C$199</f>
        <v>DV013</v>
      </c>
      <c r="D403" t="str">
        <f>$D$199</f>
        <v>EQY_DVD_YLD_IND</v>
      </c>
      <c r="E403" t="str">
        <f>$E$199</f>
        <v>动态</v>
      </c>
      <c r="F403" t="str">
        <f ca="1">BDH($B$199,$C$199,$B$250,$B$251,CONCATENATE("Per=",$B$248),"Dts=H","Dir=H",CONCATENATE("Points=",$B$249),"Sort=R","Days=A","Fill=B",CONCATENATE("FX=", $B$247) )</f>
        <v>#N/A Authorization</v>
      </c>
      <c r="CL403" t="str">
        <f>""</f>
        <v/>
      </c>
      <c r="CM403" t="str">
        <f>""</f>
        <v/>
      </c>
      <c r="CN403" t="str">
        <f>""</f>
        <v/>
      </c>
      <c r="CO403" t="str">
        <f>""</f>
        <v/>
      </c>
      <c r="CP403" t="str">
        <f>""</f>
        <v/>
      </c>
      <c r="CQ403" t="str">
        <f>""</f>
        <v/>
      </c>
      <c r="CR403" t="str">
        <f>""</f>
        <v/>
      </c>
      <c r="CS403" t="str">
        <f>""</f>
        <v/>
      </c>
      <c r="CT403" t="str">
        <f>""</f>
        <v/>
      </c>
      <c r="CU403" t="str">
        <f>""</f>
        <v/>
      </c>
      <c r="CV403" t="str">
        <f>""</f>
        <v/>
      </c>
      <c r="CW403" t="str">
        <f>""</f>
        <v/>
      </c>
      <c r="CX403" t="str">
        <f>""</f>
        <v/>
      </c>
      <c r="CY403" t="str">
        <f>""</f>
        <v/>
      </c>
      <c r="CZ403" t="str">
        <f>""</f>
        <v/>
      </c>
      <c r="DA403" t="str">
        <f>""</f>
        <v/>
      </c>
      <c r="DB403" t="str">
        <f>""</f>
        <v/>
      </c>
      <c r="DC403" t="str">
        <f>""</f>
        <v/>
      </c>
      <c r="DD403" t="str">
        <f>""</f>
        <v/>
      </c>
      <c r="DE403" t="str">
        <f>""</f>
        <v/>
      </c>
      <c r="DF403" t="str">
        <f>""</f>
        <v/>
      </c>
      <c r="DG403" t="str">
        <f>""</f>
        <v/>
      </c>
      <c r="DH403" t="str">
        <f>""</f>
        <v/>
      </c>
      <c r="DI403" t="str">
        <f>""</f>
        <v/>
      </c>
      <c r="DJ403" t="str">
        <f>""</f>
        <v/>
      </c>
      <c r="DK403" t="str">
        <f>""</f>
        <v/>
      </c>
      <c r="DL403" t="str">
        <f>""</f>
        <v/>
      </c>
      <c r="DM403" t="str">
        <f>""</f>
        <v/>
      </c>
      <c r="DN403" t="str">
        <f>""</f>
        <v/>
      </c>
      <c r="DO403" t="str">
        <f>""</f>
        <v/>
      </c>
      <c r="DP403" t="str">
        <f>""</f>
        <v/>
      </c>
      <c r="DQ403" t="str">
        <f>""</f>
        <v/>
      </c>
      <c r="DR403" t="str">
        <f>""</f>
        <v/>
      </c>
      <c r="DS403" t="str">
        <f>""</f>
        <v/>
      </c>
      <c r="DT403" t="str">
        <f>""</f>
        <v/>
      </c>
      <c r="DU403" t="str">
        <f>""</f>
        <v/>
      </c>
      <c r="DV403" t="str">
        <f>""</f>
        <v/>
      </c>
      <c r="DW403" t="str">
        <f>""</f>
        <v/>
      </c>
      <c r="DX403" t="str">
        <f>""</f>
        <v/>
      </c>
      <c r="DY403" t="str">
        <f>""</f>
        <v/>
      </c>
      <c r="DZ403" t="str">
        <f>""</f>
        <v/>
      </c>
      <c r="EA403" t="str">
        <f>""</f>
        <v/>
      </c>
      <c r="EB403" t="str">
        <f>""</f>
        <v/>
      </c>
      <c r="EC403" t="str">
        <f>""</f>
        <v/>
      </c>
      <c r="ED403" t="str">
        <f>""</f>
        <v/>
      </c>
      <c r="EE403" t="str">
        <f>""</f>
        <v/>
      </c>
      <c r="EF403" t="str">
        <f>""</f>
        <v/>
      </c>
      <c r="EG403" t="str">
        <f>""</f>
        <v/>
      </c>
      <c r="EH403" t="str">
        <f>""</f>
        <v/>
      </c>
      <c r="EI403" t="str">
        <f>""</f>
        <v/>
      </c>
      <c r="EJ403" t="str">
        <f>""</f>
        <v/>
      </c>
      <c r="EK403" t="str">
        <f>""</f>
        <v/>
      </c>
      <c r="EL403" t="str">
        <f>""</f>
        <v/>
      </c>
      <c r="EM403" t="str">
        <f>""</f>
        <v/>
      </c>
      <c r="EN403" t="str">
        <f>""</f>
        <v/>
      </c>
      <c r="EO403" t="str">
        <f>""</f>
        <v/>
      </c>
      <c r="EP403" t="str">
        <f>""</f>
        <v/>
      </c>
      <c r="EQ403" t="str">
        <f>""</f>
        <v/>
      </c>
      <c r="ER403" t="str">
        <f>""</f>
        <v/>
      </c>
      <c r="ES403" t="str">
        <f>""</f>
        <v/>
      </c>
      <c r="ET403" t="str">
        <f>""</f>
        <v/>
      </c>
      <c r="EU403" t="str">
        <f>""</f>
        <v/>
      </c>
      <c r="EV403" t="str">
        <f>""</f>
        <v/>
      </c>
      <c r="EW403" t="str">
        <f>""</f>
        <v/>
      </c>
      <c r="EX403" t="str">
        <f>""</f>
        <v/>
      </c>
      <c r="EY403" t="str">
        <f>""</f>
        <v/>
      </c>
      <c r="EZ403" t="str">
        <f>""</f>
        <v/>
      </c>
      <c r="FA403" t="str">
        <f>""</f>
        <v/>
      </c>
      <c r="FB403" t="str">
        <f>""</f>
        <v/>
      </c>
      <c r="FC403" t="str">
        <f>""</f>
        <v/>
      </c>
      <c r="FD403" t="str">
        <f>""</f>
        <v/>
      </c>
      <c r="FE403" t="str">
        <f>""</f>
        <v/>
      </c>
      <c r="FF403" t="str">
        <f>""</f>
        <v/>
      </c>
      <c r="FG403" t="str">
        <f>""</f>
        <v/>
      </c>
      <c r="FH403" t="str">
        <f>""</f>
        <v/>
      </c>
      <c r="FI403" t="str">
        <f>""</f>
        <v/>
      </c>
      <c r="FJ403" t="str">
        <f>""</f>
        <v/>
      </c>
      <c r="FK403" t="str">
        <f>""</f>
        <v/>
      </c>
      <c r="FL403" t="str">
        <f>""</f>
        <v/>
      </c>
      <c r="FM403" t="str">
        <f>""</f>
        <v/>
      </c>
      <c r="FN403" t="str">
        <f>""</f>
        <v/>
      </c>
      <c r="FO403" t="str">
        <f>""</f>
        <v/>
      </c>
      <c r="FP403" t="str">
        <f>""</f>
        <v/>
      </c>
      <c r="FQ403" t="str">
        <f>""</f>
        <v/>
      </c>
    </row>
    <row r="404" spans="1:173">
      <c r="A404" t="str">
        <f>$A$200</f>
        <v xml:space="preserve">    公寓物业权益信托</v>
      </c>
      <c r="B404" t="str">
        <f>$B$200</f>
        <v>EQR US Equity</v>
      </c>
      <c r="C404" t="str">
        <f>$C$200</f>
        <v>DV013</v>
      </c>
      <c r="D404" t="str">
        <f>$D$200</f>
        <v>EQY_DVD_YLD_IND</v>
      </c>
      <c r="E404" t="str">
        <f>$E$200</f>
        <v>动态</v>
      </c>
      <c r="F404" t="str">
        <f ca="1">BDH($B$200,$C$200,$B$250,$B$251,CONCATENATE("Per=",$B$248),"Dts=H","Dir=H",CONCATENATE("Points=",$B$249),"Sort=R","Days=A","Fill=B",CONCATENATE("FX=", $B$247) )</f>
        <v>#N/A Authorization</v>
      </c>
      <c r="CL404" t="str">
        <f>""</f>
        <v/>
      </c>
      <c r="CM404" t="str">
        <f>""</f>
        <v/>
      </c>
      <c r="CN404" t="str">
        <f>""</f>
        <v/>
      </c>
      <c r="CO404" t="str">
        <f>""</f>
        <v/>
      </c>
      <c r="CP404" t="str">
        <f>""</f>
        <v/>
      </c>
      <c r="CQ404" t="str">
        <f>""</f>
        <v/>
      </c>
      <c r="CR404" t="str">
        <f>""</f>
        <v/>
      </c>
      <c r="CS404" t="str">
        <f>""</f>
        <v/>
      </c>
      <c r="CT404" t="str">
        <f>""</f>
        <v/>
      </c>
      <c r="CU404" t="str">
        <f>""</f>
        <v/>
      </c>
      <c r="CV404" t="str">
        <f>""</f>
        <v/>
      </c>
      <c r="CW404" t="str">
        <f>""</f>
        <v/>
      </c>
      <c r="CX404" t="str">
        <f>""</f>
        <v/>
      </c>
      <c r="CY404" t="str">
        <f>""</f>
        <v/>
      </c>
      <c r="CZ404" t="str">
        <f>""</f>
        <v/>
      </c>
      <c r="DA404" t="str">
        <f>""</f>
        <v/>
      </c>
      <c r="DB404" t="str">
        <f>""</f>
        <v/>
      </c>
      <c r="DC404" t="str">
        <f>""</f>
        <v/>
      </c>
      <c r="DD404" t="str">
        <f>""</f>
        <v/>
      </c>
      <c r="DE404" t="str">
        <f>""</f>
        <v/>
      </c>
      <c r="DF404" t="str">
        <f>""</f>
        <v/>
      </c>
      <c r="DG404" t="str">
        <f>""</f>
        <v/>
      </c>
      <c r="DH404" t="str">
        <f>""</f>
        <v/>
      </c>
      <c r="DI404" t="str">
        <f>""</f>
        <v/>
      </c>
      <c r="DJ404" t="str">
        <f>""</f>
        <v/>
      </c>
      <c r="DK404" t="str">
        <f>""</f>
        <v/>
      </c>
      <c r="DL404" t="str">
        <f>""</f>
        <v/>
      </c>
      <c r="DM404" t="str">
        <f>""</f>
        <v/>
      </c>
      <c r="DN404" t="str">
        <f>""</f>
        <v/>
      </c>
      <c r="DO404" t="str">
        <f>""</f>
        <v/>
      </c>
      <c r="DP404" t="str">
        <f>""</f>
        <v/>
      </c>
      <c r="DQ404" t="str">
        <f>""</f>
        <v/>
      </c>
      <c r="DR404" t="str">
        <f>""</f>
        <v/>
      </c>
      <c r="DS404" t="str">
        <f>""</f>
        <v/>
      </c>
      <c r="DT404" t="str">
        <f>""</f>
        <v/>
      </c>
      <c r="DU404" t="str">
        <f>""</f>
        <v/>
      </c>
      <c r="DV404" t="str">
        <f>""</f>
        <v/>
      </c>
      <c r="DW404" t="str">
        <f>""</f>
        <v/>
      </c>
      <c r="DX404" t="str">
        <f>""</f>
        <v/>
      </c>
      <c r="DY404" t="str">
        <f>""</f>
        <v/>
      </c>
      <c r="DZ404" t="str">
        <f>""</f>
        <v/>
      </c>
      <c r="EA404" t="str">
        <f>""</f>
        <v/>
      </c>
      <c r="EB404" t="str">
        <f>""</f>
        <v/>
      </c>
      <c r="EC404" t="str">
        <f>""</f>
        <v/>
      </c>
      <c r="ED404" t="str">
        <f>""</f>
        <v/>
      </c>
      <c r="EE404" t="str">
        <f>""</f>
        <v/>
      </c>
      <c r="EF404" t="str">
        <f>""</f>
        <v/>
      </c>
      <c r="EG404" t="str">
        <f>""</f>
        <v/>
      </c>
      <c r="EH404" t="str">
        <f>""</f>
        <v/>
      </c>
      <c r="EI404" t="str">
        <f>""</f>
        <v/>
      </c>
      <c r="EJ404" t="str">
        <f>""</f>
        <v/>
      </c>
      <c r="EK404" t="str">
        <f>""</f>
        <v/>
      </c>
      <c r="EL404" t="str">
        <f>""</f>
        <v/>
      </c>
      <c r="EM404" t="str">
        <f>""</f>
        <v/>
      </c>
      <c r="EN404" t="str">
        <f>""</f>
        <v/>
      </c>
      <c r="EO404" t="str">
        <f>""</f>
        <v/>
      </c>
      <c r="EP404" t="str">
        <f>""</f>
        <v/>
      </c>
      <c r="EQ404" t="str">
        <f>""</f>
        <v/>
      </c>
      <c r="ER404" t="str">
        <f>""</f>
        <v/>
      </c>
      <c r="ES404" t="str">
        <f>""</f>
        <v/>
      </c>
      <c r="ET404" t="str">
        <f>""</f>
        <v/>
      </c>
      <c r="EU404" t="str">
        <f>""</f>
        <v/>
      </c>
      <c r="EV404" t="str">
        <f>""</f>
        <v/>
      </c>
      <c r="EW404" t="str">
        <f>""</f>
        <v/>
      </c>
      <c r="EX404" t="str">
        <f>""</f>
        <v/>
      </c>
      <c r="EY404" t="str">
        <f>""</f>
        <v/>
      </c>
      <c r="EZ404" t="str">
        <f>""</f>
        <v/>
      </c>
      <c r="FA404" t="str">
        <f>""</f>
        <v/>
      </c>
      <c r="FB404" t="str">
        <f>""</f>
        <v/>
      </c>
      <c r="FC404" t="str">
        <f>""</f>
        <v/>
      </c>
      <c r="FD404" t="str">
        <f>""</f>
        <v/>
      </c>
      <c r="FE404" t="str">
        <f>""</f>
        <v/>
      </c>
      <c r="FF404" t="str">
        <f>""</f>
        <v/>
      </c>
      <c r="FG404" t="str">
        <f>""</f>
        <v/>
      </c>
      <c r="FH404" t="str">
        <f>""</f>
        <v/>
      </c>
      <c r="FI404" t="str">
        <f>""</f>
        <v/>
      </c>
      <c r="FJ404" t="str">
        <f>""</f>
        <v/>
      </c>
      <c r="FK404" t="str">
        <f>""</f>
        <v/>
      </c>
      <c r="FL404" t="str">
        <f>""</f>
        <v/>
      </c>
      <c r="FM404" t="str">
        <f>""</f>
        <v/>
      </c>
      <c r="FN404" t="str">
        <f>""</f>
        <v/>
      </c>
      <c r="FO404" t="str">
        <f>""</f>
        <v/>
      </c>
      <c r="FP404" t="str">
        <f>""</f>
        <v/>
      </c>
      <c r="FQ404" t="str">
        <f>""</f>
        <v/>
      </c>
    </row>
    <row r="405" spans="1:173">
      <c r="A405" t="str">
        <f>$A$201</f>
        <v xml:space="preserve">    埃塞克斯房地产信托公司</v>
      </c>
      <c r="B405" t="str">
        <f>$B$201</f>
        <v>ESS US Equity</v>
      </c>
      <c r="C405" t="str">
        <f>$C$201</f>
        <v>DV013</v>
      </c>
      <c r="D405" t="str">
        <f>$D$201</f>
        <v>EQY_DVD_YLD_IND</v>
      </c>
      <c r="E405" t="str">
        <f>$E$201</f>
        <v>动态</v>
      </c>
      <c r="F405" t="str">
        <f ca="1">BDH($B$201,$C$201,$B$250,$B$251,CONCATENATE("Per=",$B$248),"Dts=H","Dir=H",CONCATENATE("Points=",$B$249),"Sort=R","Days=A","Fill=B",CONCATENATE("FX=", $B$247) )</f>
        <v>#N/A Authorization</v>
      </c>
      <c r="CL405" t="str">
        <f>""</f>
        <v/>
      </c>
      <c r="CM405" t="str">
        <f>""</f>
        <v/>
      </c>
      <c r="CN405" t="str">
        <f>""</f>
        <v/>
      </c>
      <c r="CO405" t="str">
        <f>""</f>
        <v/>
      </c>
      <c r="CP405" t="str">
        <f>""</f>
        <v/>
      </c>
      <c r="CQ405" t="str">
        <f>""</f>
        <v/>
      </c>
      <c r="CR405" t="str">
        <f>""</f>
        <v/>
      </c>
      <c r="CS405" t="str">
        <f>""</f>
        <v/>
      </c>
      <c r="CT405" t="str">
        <f>""</f>
        <v/>
      </c>
      <c r="CU405" t="str">
        <f>""</f>
        <v/>
      </c>
      <c r="CV405" t="str">
        <f>""</f>
        <v/>
      </c>
      <c r="CW405" t="str">
        <f>""</f>
        <v/>
      </c>
      <c r="CX405" t="str">
        <f>""</f>
        <v/>
      </c>
      <c r="CY405" t="str">
        <f>""</f>
        <v/>
      </c>
      <c r="CZ405" t="str">
        <f>""</f>
        <v/>
      </c>
      <c r="DA405" t="str">
        <f>""</f>
        <v/>
      </c>
      <c r="DB405" t="str">
        <f>""</f>
        <v/>
      </c>
      <c r="DC405" t="str">
        <f>""</f>
        <v/>
      </c>
      <c r="DD405" t="str">
        <f>""</f>
        <v/>
      </c>
      <c r="DE405" t="str">
        <f>""</f>
        <v/>
      </c>
      <c r="DF405" t="str">
        <f>""</f>
        <v/>
      </c>
      <c r="DG405" t="str">
        <f>""</f>
        <v/>
      </c>
      <c r="DH405" t="str">
        <f>""</f>
        <v/>
      </c>
      <c r="DI405" t="str">
        <f>""</f>
        <v/>
      </c>
      <c r="DJ405" t="str">
        <f>""</f>
        <v/>
      </c>
      <c r="DK405" t="str">
        <f>""</f>
        <v/>
      </c>
      <c r="DL405" t="str">
        <f>""</f>
        <v/>
      </c>
      <c r="DM405" t="str">
        <f>""</f>
        <v/>
      </c>
      <c r="DN405" t="str">
        <f>""</f>
        <v/>
      </c>
      <c r="DO405" t="str">
        <f>""</f>
        <v/>
      </c>
      <c r="DP405" t="str">
        <f>""</f>
        <v/>
      </c>
      <c r="DQ405" t="str">
        <f>""</f>
        <v/>
      </c>
      <c r="DR405" t="str">
        <f>""</f>
        <v/>
      </c>
      <c r="DS405" t="str">
        <f>""</f>
        <v/>
      </c>
      <c r="DT405" t="str">
        <f>""</f>
        <v/>
      </c>
      <c r="DU405" t="str">
        <f>""</f>
        <v/>
      </c>
      <c r="DV405" t="str">
        <f>""</f>
        <v/>
      </c>
      <c r="DW405" t="str">
        <f>""</f>
        <v/>
      </c>
      <c r="DX405" t="str">
        <f>""</f>
        <v/>
      </c>
      <c r="DY405" t="str">
        <f>""</f>
        <v/>
      </c>
      <c r="DZ405" t="str">
        <f>""</f>
        <v/>
      </c>
      <c r="EA405" t="str">
        <f>""</f>
        <v/>
      </c>
      <c r="EB405" t="str">
        <f>""</f>
        <v/>
      </c>
      <c r="EC405" t="str">
        <f>""</f>
        <v/>
      </c>
      <c r="ED405" t="str">
        <f>""</f>
        <v/>
      </c>
      <c r="EE405" t="str">
        <f>""</f>
        <v/>
      </c>
      <c r="EF405" t="str">
        <f>""</f>
        <v/>
      </c>
      <c r="EG405" t="str">
        <f>""</f>
        <v/>
      </c>
      <c r="EH405" t="str">
        <f>""</f>
        <v/>
      </c>
      <c r="EI405" t="str">
        <f>""</f>
        <v/>
      </c>
      <c r="EJ405" t="str">
        <f>""</f>
        <v/>
      </c>
      <c r="EK405" t="str">
        <f>""</f>
        <v/>
      </c>
      <c r="EL405" t="str">
        <f>""</f>
        <v/>
      </c>
      <c r="EM405" t="str">
        <f>""</f>
        <v/>
      </c>
      <c r="EN405" t="str">
        <f>""</f>
        <v/>
      </c>
      <c r="EO405" t="str">
        <f>""</f>
        <v/>
      </c>
      <c r="EP405" t="str">
        <f>""</f>
        <v/>
      </c>
      <c r="EQ405" t="str">
        <f>""</f>
        <v/>
      </c>
      <c r="ER405" t="str">
        <f>""</f>
        <v/>
      </c>
      <c r="ES405" t="str">
        <f>""</f>
        <v/>
      </c>
      <c r="ET405" t="str">
        <f>""</f>
        <v/>
      </c>
      <c r="EU405" t="str">
        <f>""</f>
        <v/>
      </c>
      <c r="EV405" t="str">
        <f>""</f>
        <v/>
      </c>
      <c r="EW405" t="str">
        <f>""</f>
        <v/>
      </c>
      <c r="EX405" t="str">
        <f>""</f>
        <v/>
      </c>
      <c r="EY405" t="str">
        <f>""</f>
        <v/>
      </c>
      <c r="EZ405" t="str">
        <f>""</f>
        <v/>
      </c>
      <c r="FA405" t="str">
        <f>""</f>
        <v/>
      </c>
      <c r="FB405" t="str">
        <f>""</f>
        <v/>
      </c>
      <c r="FC405" t="str">
        <f>""</f>
        <v/>
      </c>
      <c r="FD405" t="str">
        <f>""</f>
        <v/>
      </c>
      <c r="FE405" t="str">
        <f>""</f>
        <v/>
      </c>
      <c r="FF405" t="str">
        <f>""</f>
        <v/>
      </c>
      <c r="FG405" t="str">
        <f>""</f>
        <v/>
      </c>
      <c r="FH405" t="str">
        <f>""</f>
        <v/>
      </c>
      <c r="FI405" t="str">
        <f>""</f>
        <v/>
      </c>
      <c r="FJ405" t="str">
        <f>""</f>
        <v/>
      </c>
      <c r="FK405" t="str">
        <f>""</f>
        <v/>
      </c>
      <c r="FL405" t="str">
        <f>""</f>
        <v/>
      </c>
      <c r="FM405" t="str">
        <f>""</f>
        <v/>
      </c>
      <c r="FN405" t="str">
        <f>""</f>
        <v/>
      </c>
      <c r="FO405" t="str">
        <f>""</f>
        <v/>
      </c>
      <c r="FP405" t="str">
        <f>""</f>
        <v/>
      </c>
      <c r="FQ405" t="str">
        <f>""</f>
        <v/>
      </c>
    </row>
    <row r="406" spans="1:173">
      <c r="A406" t="str">
        <f>$A$202</f>
        <v xml:space="preserve">    Mid-America Apartment Communities股份有限公司</v>
      </c>
      <c r="B406" t="str">
        <f>$B$202</f>
        <v>MAA US Equity</v>
      </c>
      <c r="C406" t="str">
        <f>$C$202</f>
        <v>DV013</v>
      </c>
      <c r="D406" t="str">
        <f>$D$202</f>
        <v>EQY_DVD_YLD_IND</v>
      </c>
      <c r="E406" t="str">
        <f>$E$202</f>
        <v>动态</v>
      </c>
      <c r="F406" t="str">
        <f ca="1">BDH($B$202,$C$202,$B$250,$B$251,CONCATENATE("Per=",$B$248),"Dts=H","Dir=H",CONCATENATE("Points=",$B$249),"Sort=R","Days=A","Fill=B",CONCATENATE("FX=", $B$247) )</f>
        <v>#N/A Authorization</v>
      </c>
      <c r="CL406" t="str">
        <f>""</f>
        <v/>
      </c>
      <c r="CM406" t="str">
        <f>""</f>
        <v/>
      </c>
      <c r="CN406" t="str">
        <f>""</f>
        <v/>
      </c>
      <c r="CO406" t="str">
        <f>""</f>
        <v/>
      </c>
      <c r="CP406" t="str">
        <f>""</f>
        <v/>
      </c>
      <c r="CQ406" t="str">
        <f>""</f>
        <v/>
      </c>
      <c r="CR406" t="str">
        <f>""</f>
        <v/>
      </c>
      <c r="CS406" t="str">
        <f>""</f>
        <v/>
      </c>
      <c r="CT406" t="str">
        <f>""</f>
        <v/>
      </c>
      <c r="CU406" t="str">
        <f>""</f>
        <v/>
      </c>
      <c r="CV406" t="str">
        <f>""</f>
        <v/>
      </c>
      <c r="CW406" t="str">
        <f>""</f>
        <v/>
      </c>
      <c r="CX406" t="str">
        <f>""</f>
        <v/>
      </c>
      <c r="CY406" t="str">
        <f>""</f>
        <v/>
      </c>
      <c r="CZ406" t="str">
        <f>""</f>
        <v/>
      </c>
      <c r="DA406" t="str">
        <f>""</f>
        <v/>
      </c>
      <c r="DB406" t="str">
        <f>""</f>
        <v/>
      </c>
      <c r="DC406" t="str">
        <f>""</f>
        <v/>
      </c>
      <c r="DD406" t="str">
        <f>""</f>
        <v/>
      </c>
      <c r="DE406" t="str">
        <f>""</f>
        <v/>
      </c>
      <c r="DF406" t="str">
        <f>""</f>
        <v/>
      </c>
      <c r="DG406" t="str">
        <f>""</f>
        <v/>
      </c>
      <c r="DH406" t="str">
        <f>""</f>
        <v/>
      </c>
      <c r="DI406" t="str">
        <f>""</f>
        <v/>
      </c>
      <c r="DJ406" t="str">
        <f>""</f>
        <v/>
      </c>
      <c r="DK406" t="str">
        <f>""</f>
        <v/>
      </c>
      <c r="DL406" t="str">
        <f>""</f>
        <v/>
      </c>
      <c r="DM406" t="str">
        <f>""</f>
        <v/>
      </c>
      <c r="DN406" t="str">
        <f>""</f>
        <v/>
      </c>
      <c r="DO406" t="str">
        <f>""</f>
        <v/>
      </c>
      <c r="DP406" t="str">
        <f>""</f>
        <v/>
      </c>
      <c r="DQ406" t="str">
        <f>""</f>
        <v/>
      </c>
      <c r="DR406" t="str">
        <f>""</f>
        <v/>
      </c>
      <c r="DS406" t="str">
        <f>""</f>
        <v/>
      </c>
      <c r="DT406" t="str">
        <f>""</f>
        <v/>
      </c>
      <c r="DU406" t="str">
        <f>""</f>
        <v/>
      </c>
      <c r="DV406" t="str">
        <f>""</f>
        <v/>
      </c>
      <c r="DW406" t="str">
        <f>""</f>
        <v/>
      </c>
      <c r="DX406" t="str">
        <f>""</f>
        <v/>
      </c>
      <c r="DY406" t="str">
        <f>""</f>
        <v/>
      </c>
      <c r="DZ406" t="str">
        <f>""</f>
        <v/>
      </c>
      <c r="EA406" t="str">
        <f>""</f>
        <v/>
      </c>
      <c r="EB406" t="str">
        <f>""</f>
        <v/>
      </c>
      <c r="EC406" t="str">
        <f>""</f>
        <v/>
      </c>
      <c r="ED406" t="str">
        <f>""</f>
        <v/>
      </c>
      <c r="EE406" t="str">
        <f>""</f>
        <v/>
      </c>
      <c r="EF406" t="str">
        <f>""</f>
        <v/>
      </c>
      <c r="EG406" t="str">
        <f>""</f>
        <v/>
      </c>
      <c r="EH406" t="str">
        <f>""</f>
        <v/>
      </c>
      <c r="EI406" t="str">
        <f>""</f>
        <v/>
      </c>
      <c r="EJ406" t="str">
        <f>""</f>
        <v/>
      </c>
      <c r="EK406" t="str">
        <f>""</f>
        <v/>
      </c>
      <c r="EL406" t="str">
        <f>""</f>
        <v/>
      </c>
      <c r="EM406" t="str">
        <f>""</f>
        <v/>
      </c>
      <c r="EN406" t="str">
        <f>""</f>
        <v/>
      </c>
      <c r="EO406" t="str">
        <f>""</f>
        <v/>
      </c>
      <c r="EP406" t="str">
        <f>""</f>
        <v/>
      </c>
      <c r="EQ406" t="str">
        <f>""</f>
        <v/>
      </c>
      <c r="ER406" t="str">
        <f>""</f>
        <v/>
      </c>
      <c r="ES406" t="str">
        <f>""</f>
        <v/>
      </c>
      <c r="ET406" t="str">
        <f>""</f>
        <v/>
      </c>
      <c r="EU406" t="str">
        <f>""</f>
        <v/>
      </c>
      <c r="EV406" t="str">
        <f>""</f>
        <v/>
      </c>
      <c r="EW406" t="str">
        <f>""</f>
        <v/>
      </c>
      <c r="EX406" t="str">
        <f>""</f>
        <v/>
      </c>
      <c r="EY406" t="str">
        <f>""</f>
        <v/>
      </c>
      <c r="EZ406" t="str">
        <f>""</f>
        <v/>
      </c>
      <c r="FA406" t="str">
        <f>""</f>
        <v/>
      </c>
      <c r="FB406" t="str">
        <f>""</f>
        <v/>
      </c>
      <c r="FC406" t="str">
        <f>""</f>
        <v/>
      </c>
      <c r="FD406" t="str">
        <f>""</f>
        <v/>
      </c>
      <c r="FE406" t="str">
        <f>""</f>
        <v/>
      </c>
      <c r="FF406" t="str">
        <f>""</f>
        <v/>
      </c>
      <c r="FG406" t="str">
        <f>""</f>
        <v/>
      </c>
      <c r="FH406" t="str">
        <f>""</f>
        <v/>
      </c>
      <c r="FI406" t="str">
        <f>""</f>
        <v/>
      </c>
      <c r="FJ406" t="str">
        <f>""</f>
        <v/>
      </c>
      <c r="FK406" t="str">
        <f>""</f>
        <v/>
      </c>
      <c r="FL406" t="str">
        <f>""</f>
        <v/>
      </c>
      <c r="FM406" t="str">
        <f>""</f>
        <v/>
      </c>
      <c r="FN406" t="str">
        <f>""</f>
        <v/>
      </c>
      <c r="FO406" t="str">
        <f>""</f>
        <v/>
      </c>
      <c r="FP406" t="str">
        <f>""</f>
        <v/>
      </c>
      <c r="FQ406" t="str">
        <f>""</f>
        <v/>
      </c>
    </row>
    <row r="407" spans="1:173">
      <c r="A407" t="str">
        <f>$A$203</f>
        <v xml:space="preserve">    UDR 公司</v>
      </c>
      <c r="B407" t="str">
        <f>$B$203</f>
        <v>UDR US Equity</v>
      </c>
      <c r="C407" t="str">
        <f>$C$203</f>
        <v>DV013</v>
      </c>
      <c r="D407" t="str">
        <f>$D$203</f>
        <v>EQY_DVD_YLD_IND</v>
      </c>
      <c r="E407" t="str">
        <f>$E$203</f>
        <v>动态</v>
      </c>
      <c r="F407" t="str">
        <f ca="1">BDH($B$203,$C$203,$B$250,$B$251,CONCATENATE("Per=",$B$248),"Dts=H","Dir=H",CONCATENATE("Points=",$B$249),"Sort=R","Days=A","Fill=B",CONCATENATE("FX=", $B$247) )</f>
        <v>#N/A Authorization</v>
      </c>
      <c r="CL407" t="str">
        <f>""</f>
        <v/>
      </c>
      <c r="CM407" t="str">
        <f>""</f>
        <v/>
      </c>
      <c r="CN407" t="str">
        <f>""</f>
        <v/>
      </c>
      <c r="CO407" t="str">
        <f>""</f>
        <v/>
      </c>
      <c r="CP407" t="str">
        <f>""</f>
        <v/>
      </c>
      <c r="CQ407" t="str">
        <f>""</f>
        <v/>
      </c>
      <c r="CR407" t="str">
        <f>""</f>
        <v/>
      </c>
      <c r="CS407" t="str">
        <f>""</f>
        <v/>
      </c>
      <c r="CT407" t="str">
        <f>""</f>
        <v/>
      </c>
      <c r="CU407" t="str">
        <f>""</f>
        <v/>
      </c>
      <c r="CV407" t="str">
        <f>""</f>
        <v/>
      </c>
      <c r="CW407" t="str">
        <f>""</f>
        <v/>
      </c>
      <c r="CX407" t="str">
        <f>""</f>
        <v/>
      </c>
      <c r="CY407" t="str">
        <f>""</f>
        <v/>
      </c>
      <c r="CZ407" t="str">
        <f>""</f>
        <v/>
      </c>
      <c r="DA407" t="str">
        <f>""</f>
        <v/>
      </c>
      <c r="DB407" t="str">
        <f>""</f>
        <v/>
      </c>
      <c r="DC407" t="str">
        <f>""</f>
        <v/>
      </c>
      <c r="DD407" t="str">
        <f>""</f>
        <v/>
      </c>
      <c r="DE407" t="str">
        <f>""</f>
        <v/>
      </c>
      <c r="DF407" t="str">
        <f>""</f>
        <v/>
      </c>
      <c r="DG407" t="str">
        <f>""</f>
        <v/>
      </c>
      <c r="DH407" t="str">
        <f>""</f>
        <v/>
      </c>
      <c r="DI407" t="str">
        <f>""</f>
        <v/>
      </c>
      <c r="DJ407" t="str">
        <f>""</f>
        <v/>
      </c>
      <c r="DK407" t="str">
        <f>""</f>
        <v/>
      </c>
      <c r="DL407" t="str">
        <f>""</f>
        <v/>
      </c>
      <c r="DM407" t="str">
        <f>""</f>
        <v/>
      </c>
      <c r="DN407" t="str">
        <f>""</f>
        <v/>
      </c>
      <c r="DO407" t="str">
        <f>""</f>
        <v/>
      </c>
      <c r="DP407" t="str">
        <f>""</f>
        <v/>
      </c>
      <c r="DQ407" t="str">
        <f>""</f>
        <v/>
      </c>
      <c r="DR407" t="str">
        <f>""</f>
        <v/>
      </c>
      <c r="DS407" t="str">
        <f>""</f>
        <v/>
      </c>
      <c r="DT407" t="str">
        <f>""</f>
        <v/>
      </c>
      <c r="DU407" t="str">
        <f>""</f>
        <v/>
      </c>
      <c r="DV407" t="str">
        <f>""</f>
        <v/>
      </c>
      <c r="DW407" t="str">
        <f>""</f>
        <v/>
      </c>
      <c r="DX407" t="str">
        <f>""</f>
        <v/>
      </c>
      <c r="DY407" t="str">
        <f>""</f>
        <v/>
      </c>
      <c r="DZ407" t="str">
        <f>""</f>
        <v/>
      </c>
      <c r="EA407" t="str">
        <f>""</f>
        <v/>
      </c>
      <c r="EB407" t="str">
        <f>""</f>
        <v/>
      </c>
      <c r="EC407" t="str">
        <f>""</f>
        <v/>
      </c>
      <c r="ED407" t="str">
        <f>""</f>
        <v/>
      </c>
      <c r="EE407" t="str">
        <f>""</f>
        <v/>
      </c>
      <c r="EF407" t="str">
        <f>""</f>
        <v/>
      </c>
      <c r="EG407" t="str">
        <f>""</f>
        <v/>
      </c>
      <c r="EH407" t="str">
        <f>""</f>
        <v/>
      </c>
      <c r="EI407" t="str">
        <f>""</f>
        <v/>
      </c>
      <c r="EJ407" t="str">
        <f>""</f>
        <v/>
      </c>
      <c r="EK407" t="str">
        <f>""</f>
        <v/>
      </c>
      <c r="EL407" t="str">
        <f>""</f>
        <v/>
      </c>
      <c r="EM407" t="str">
        <f>""</f>
        <v/>
      </c>
      <c r="EN407" t="str">
        <f>""</f>
        <v/>
      </c>
      <c r="EO407" t="str">
        <f>""</f>
        <v/>
      </c>
      <c r="EP407" t="str">
        <f>""</f>
        <v/>
      </c>
      <c r="EQ407" t="str">
        <f>""</f>
        <v/>
      </c>
      <c r="ER407" t="str">
        <f>""</f>
        <v/>
      </c>
      <c r="ES407" t="str">
        <f>""</f>
        <v/>
      </c>
      <c r="ET407" t="str">
        <f>""</f>
        <v/>
      </c>
      <c r="EU407" t="str">
        <f>""</f>
        <v/>
      </c>
      <c r="EV407" t="str">
        <f>""</f>
        <v/>
      </c>
      <c r="EW407" t="str">
        <f>""</f>
        <v/>
      </c>
      <c r="EX407" t="str">
        <f>""</f>
        <v/>
      </c>
      <c r="EY407" t="str">
        <f>""</f>
        <v/>
      </c>
      <c r="EZ407" t="str">
        <f>""</f>
        <v/>
      </c>
      <c r="FA407" t="str">
        <f>""</f>
        <v/>
      </c>
      <c r="FB407" t="str">
        <f>""</f>
        <v/>
      </c>
      <c r="FC407" t="str">
        <f>""</f>
        <v/>
      </c>
      <c r="FD407" t="str">
        <f>""</f>
        <v/>
      </c>
      <c r="FE407" t="str">
        <f>""</f>
        <v/>
      </c>
      <c r="FF407" t="str">
        <f>""</f>
        <v/>
      </c>
      <c r="FG407" t="str">
        <f>""</f>
        <v/>
      </c>
      <c r="FH407" t="str">
        <f>""</f>
        <v/>
      </c>
      <c r="FI407" t="str">
        <f>""</f>
        <v/>
      </c>
      <c r="FJ407" t="str">
        <f>""</f>
        <v/>
      </c>
      <c r="FK407" t="str">
        <f>""</f>
        <v/>
      </c>
      <c r="FL407" t="str">
        <f>""</f>
        <v/>
      </c>
      <c r="FM407" t="str">
        <f>""</f>
        <v/>
      </c>
      <c r="FN407" t="str">
        <f>""</f>
        <v/>
      </c>
      <c r="FO407" t="str">
        <f>""</f>
        <v/>
      </c>
      <c r="FP407" t="str">
        <f>""</f>
        <v/>
      </c>
      <c r="FQ407" t="str">
        <f>""</f>
        <v/>
      </c>
    </row>
    <row r="408" spans="1:173">
      <c r="A408" t="str">
        <f>$A$205</f>
        <v xml:space="preserve">    公寓投资与管理</v>
      </c>
      <c r="B408" t="str">
        <f>$B$205</f>
        <v>AIV US Equity</v>
      </c>
      <c r="C408" t="str">
        <f>$C$205</f>
        <v>RR890</v>
      </c>
      <c r="D408" t="str">
        <f>$D$205</f>
        <v>FFO_YIELD</v>
      </c>
      <c r="E408" t="str">
        <f>$E$205</f>
        <v>动态</v>
      </c>
      <c r="F408" t="str">
        <f ca="1">BDH($B$205,$C$205,$B$250,$B$251,CONCATENATE("Per=",$B$248),"Dts=H","Dir=H",CONCATENATE("Points=",$B$249),"Sort=R","Days=A","Fill=B",CONCATENATE("FX=", $B$247) )</f>
        <v>#N/A Authorization</v>
      </c>
      <c r="CL408" t="str">
        <f>""</f>
        <v/>
      </c>
      <c r="CM408" t="str">
        <f>""</f>
        <v/>
      </c>
      <c r="CN408" t="str">
        <f>""</f>
        <v/>
      </c>
      <c r="CO408" t="str">
        <f>""</f>
        <v/>
      </c>
      <c r="CP408" t="str">
        <f>""</f>
        <v/>
      </c>
      <c r="CQ408" t="str">
        <f>""</f>
        <v/>
      </c>
      <c r="CR408" t="str">
        <f>""</f>
        <v/>
      </c>
      <c r="CS408" t="str">
        <f>""</f>
        <v/>
      </c>
      <c r="CT408" t="str">
        <f>""</f>
        <v/>
      </c>
      <c r="CU408" t="str">
        <f>""</f>
        <v/>
      </c>
      <c r="CV408" t="str">
        <f>""</f>
        <v/>
      </c>
      <c r="CW408" t="str">
        <f>""</f>
        <v/>
      </c>
      <c r="CX408" t="str">
        <f>""</f>
        <v/>
      </c>
      <c r="CY408" t="str">
        <f>""</f>
        <v/>
      </c>
      <c r="CZ408" t="str">
        <f>""</f>
        <v/>
      </c>
      <c r="DA408" t="str">
        <f>""</f>
        <v/>
      </c>
      <c r="DB408" t="str">
        <f>""</f>
        <v/>
      </c>
      <c r="DC408" t="str">
        <f>""</f>
        <v/>
      </c>
      <c r="DD408" t="str">
        <f>""</f>
        <v/>
      </c>
      <c r="DE408" t="str">
        <f>""</f>
        <v/>
      </c>
      <c r="DF408" t="str">
        <f>""</f>
        <v/>
      </c>
      <c r="DG408" t="str">
        <f>""</f>
        <v/>
      </c>
      <c r="DH408" t="str">
        <f>""</f>
        <v/>
      </c>
      <c r="DI408" t="str">
        <f>""</f>
        <v/>
      </c>
      <c r="DJ408" t="str">
        <f>""</f>
        <v/>
      </c>
      <c r="DK408" t="str">
        <f>""</f>
        <v/>
      </c>
      <c r="DL408" t="str">
        <f>""</f>
        <v/>
      </c>
      <c r="DM408" t="str">
        <f>""</f>
        <v/>
      </c>
      <c r="DN408" t="str">
        <f>""</f>
        <v/>
      </c>
      <c r="DO408" t="str">
        <f>""</f>
        <v/>
      </c>
      <c r="DP408" t="str">
        <f>""</f>
        <v/>
      </c>
      <c r="DQ408" t="str">
        <f>""</f>
        <v/>
      </c>
      <c r="DR408" t="str">
        <f>""</f>
        <v/>
      </c>
      <c r="DS408" t="str">
        <f>""</f>
        <v/>
      </c>
      <c r="DT408" t="str">
        <f>""</f>
        <v/>
      </c>
      <c r="DU408" t="str">
        <f>""</f>
        <v/>
      </c>
      <c r="DV408" t="str">
        <f>""</f>
        <v/>
      </c>
      <c r="DW408" t="str">
        <f>""</f>
        <v/>
      </c>
      <c r="DX408" t="str">
        <f>""</f>
        <v/>
      </c>
      <c r="DY408" t="str">
        <f>""</f>
        <v/>
      </c>
      <c r="DZ408" t="str">
        <f>""</f>
        <v/>
      </c>
      <c r="EA408" t="str">
        <f>""</f>
        <v/>
      </c>
      <c r="EB408" t="str">
        <f>""</f>
        <v/>
      </c>
      <c r="EC408" t="str">
        <f>""</f>
        <v/>
      </c>
      <c r="ED408" t="str">
        <f>""</f>
        <v/>
      </c>
      <c r="EE408" t="str">
        <f>""</f>
        <v/>
      </c>
      <c r="EF408" t="str">
        <f>""</f>
        <v/>
      </c>
      <c r="EG408" t="str">
        <f>""</f>
        <v/>
      </c>
      <c r="EH408" t="str">
        <f>""</f>
        <v/>
      </c>
      <c r="EI408" t="str">
        <f>""</f>
        <v/>
      </c>
      <c r="EJ408" t="str">
        <f>""</f>
        <v/>
      </c>
      <c r="EK408" t="str">
        <f>""</f>
        <v/>
      </c>
      <c r="EL408" t="str">
        <f>""</f>
        <v/>
      </c>
      <c r="EM408" t="str">
        <f>""</f>
        <v/>
      </c>
      <c r="EN408" t="str">
        <f>""</f>
        <v/>
      </c>
      <c r="EO408" t="str">
        <f>""</f>
        <v/>
      </c>
      <c r="EP408" t="str">
        <f>""</f>
        <v/>
      </c>
      <c r="EQ408" t="str">
        <f>""</f>
        <v/>
      </c>
      <c r="ER408" t="str">
        <f>""</f>
        <v/>
      </c>
      <c r="ES408" t="str">
        <f>""</f>
        <v/>
      </c>
      <c r="ET408" t="str">
        <f>""</f>
        <v/>
      </c>
      <c r="EU408" t="str">
        <f>""</f>
        <v/>
      </c>
      <c r="EV408" t="str">
        <f>""</f>
        <v/>
      </c>
      <c r="EW408" t="str">
        <f>""</f>
        <v/>
      </c>
      <c r="EX408" t="str">
        <f>""</f>
        <v/>
      </c>
      <c r="EY408" t="str">
        <f>""</f>
        <v/>
      </c>
      <c r="EZ408" t="str">
        <f>""</f>
        <v/>
      </c>
      <c r="FA408" t="str">
        <f>""</f>
        <v/>
      </c>
      <c r="FB408" t="str">
        <f>""</f>
        <v/>
      </c>
      <c r="FC408" t="str">
        <f>""</f>
        <v/>
      </c>
      <c r="FD408" t="str">
        <f>""</f>
        <v/>
      </c>
      <c r="FE408" t="str">
        <f>""</f>
        <v/>
      </c>
      <c r="FF408" t="str">
        <f>""</f>
        <v/>
      </c>
      <c r="FG408" t="str">
        <f>""</f>
        <v/>
      </c>
      <c r="FH408" t="str">
        <f>""</f>
        <v/>
      </c>
      <c r="FI408" t="str">
        <f>""</f>
        <v/>
      </c>
      <c r="FJ408" t="str">
        <f>""</f>
        <v/>
      </c>
      <c r="FK408" t="str">
        <f>""</f>
        <v/>
      </c>
      <c r="FL408" t="str">
        <f>""</f>
        <v/>
      </c>
      <c r="FM408" t="str">
        <f>""</f>
        <v/>
      </c>
      <c r="FN408" t="str">
        <f>""</f>
        <v/>
      </c>
      <c r="FO408" t="str">
        <f>""</f>
        <v/>
      </c>
      <c r="FP408" t="str">
        <f>""</f>
        <v/>
      </c>
      <c r="FQ408" t="str">
        <f>""</f>
        <v/>
      </c>
    </row>
    <row r="409" spans="1:173">
      <c r="A409" t="str">
        <f>$A$206</f>
        <v xml:space="preserve">    AvalonBay社区股份有限公司</v>
      </c>
      <c r="B409" t="str">
        <f>$B$206</f>
        <v>AVB US Equity</v>
      </c>
      <c r="C409" t="str">
        <f>$C$206</f>
        <v>RR890</v>
      </c>
      <c r="D409" t="str">
        <f>$D$206</f>
        <v>FFO_YIELD</v>
      </c>
      <c r="E409" t="str">
        <f>$E$206</f>
        <v>动态</v>
      </c>
      <c r="F409" t="str">
        <f ca="1">BDH($B$206,$C$206,$B$250,$B$251,CONCATENATE("Per=",$B$248),"Dts=H","Dir=H",CONCATENATE("Points=",$B$249),"Sort=R","Days=A","Fill=B",CONCATENATE("FX=", $B$247) )</f>
        <v>#N/A Authorization</v>
      </c>
      <c r="CL409" t="str">
        <f>""</f>
        <v/>
      </c>
      <c r="CM409" t="str">
        <f>""</f>
        <v/>
      </c>
      <c r="CN409" t="str">
        <f>""</f>
        <v/>
      </c>
      <c r="CO409" t="str">
        <f>""</f>
        <v/>
      </c>
      <c r="CP409" t="str">
        <f>""</f>
        <v/>
      </c>
      <c r="CQ409" t="str">
        <f>""</f>
        <v/>
      </c>
      <c r="CR409" t="str">
        <f>""</f>
        <v/>
      </c>
      <c r="CS409" t="str">
        <f>""</f>
        <v/>
      </c>
      <c r="CT409" t="str">
        <f>""</f>
        <v/>
      </c>
      <c r="CU409" t="str">
        <f>""</f>
        <v/>
      </c>
      <c r="CV409" t="str">
        <f>""</f>
        <v/>
      </c>
      <c r="CW409" t="str">
        <f>""</f>
        <v/>
      </c>
      <c r="CX409" t="str">
        <f>""</f>
        <v/>
      </c>
      <c r="CY409" t="str">
        <f>""</f>
        <v/>
      </c>
      <c r="CZ409" t="str">
        <f>""</f>
        <v/>
      </c>
      <c r="DA409" t="str">
        <f>""</f>
        <v/>
      </c>
      <c r="DB409" t="str">
        <f>""</f>
        <v/>
      </c>
      <c r="DC409" t="str">
        <f>""</f>
        <v/>
      </c>
      <c r="DD409" t="str">
        <f>""</f>
        <v/>
      </c>
      <c r="DE409" t="str">
        <f>""</f>
        <v/>
      </c>
      <c r="DF409" t="str">
        <f>""</f>
        <v/>
      </c>
      <c r="DG409" t="str">
        <f>""</f>
        <v/>
      </c>
      <c r="DH409" t="str">
        <f>""</f>
        <v/>
      </c>
      <c r="DI409" t="str">
        <f>""</f>
        <v/>
      </c>
      <c r="DJ409" t="str">
        <f>""</f>
        <v/>
      </c>
      <c r="DK409" t="str">
        <f>""</f>
        <v/>
      </c>
      <c r="DL409" t="str">
        <f>""</f>
        <v/>
      </c>
      <c r="DM409" t="str">
        <f>""</f>
        <v/>
      </c>
      <c r="DN409" t="str">
        <f>""</f>
        <v/>
      </c>
      <c r="DO409" t="str">
        <f>""</f>
        <v/>
      </c>
      <c r="DP409" t="str">
        <f>""</f>
        <v/>
      </c>
      <c r="DQ409" t="str">
        <f>""</f>
        <v/>
      </c>
      <c r="DR409" t="str">
        <f>""</f>
        <v/>
      </c>
      <c r="DS409" t="str">
        <f>""</f>
        <v/>
      </c>
      <c r="DT409" t="str">
        <f>""</f>
        <v/>
      </c>
      <c r="DU409" t="str">
        <f>""</f>
        <v/>
      </c>
      <c r="DV409" t="str">
        <f>""</f>
        <v/>
      </c>
      <c r="DW409" t="str">
        <f>""</f>
        <v/>
      </c>
      <c r="DX409" t="str">
        <f>""</f>
        <v/>
      </c>
      <c r="DY409" t="str">
        <f>""</f>
        <v/>
      </c>
      <c r="DZ409" t="str">
        <f>""</f>
        <v/>
      </c>
      <c r="EA409" t="str">
        <f>""</f>
        <v/>
      </c>
      <c r="EB409" t="str">
        <f>""</f>
        <v/>
      </c>
      <c r="EC409" t="str">
        <f>""</f>
        <v/>
      </c>
      <c r="ED409" t="str">
        <f>""</f>
        <v/>
      </c>
      <c r="EE409" t="str">
        <f>""</f>
        <v/>
      </c>
      <c r="EF409" t="str">
        <f>""</f>
        <v/>
      </c>
      <c r="EG409" t="str">
        <f>""</f>
        <v/>
      </c>
      <c r="EH409" t="str">
        <f>""</f>
        <v/>
      </c>
      <c r="EI409" t="str">
        <f>""</f>
        <v/>
      </c>
      <c r="EJ409" t="str">
        <f>""</f>
        <v/>
      </c>
      <c r="EK409" t="str">
        <f>""</f>
        <v/>
      </c>
      <c r="EL409" t="str">
        <f>""</f>
        <v/>
      </c>
      <c r="EM409" t="str">
        <f>""</f>
        <v/>
      </c>
      <c r="EN409" t="str">
        <f>""</f>
        <v/>
      </c>
      <c r="EO409" t="str">
        <f>""</f>
        <v/>
      </c>
      <c r="EP409" t="str">
        <f>""</f>
        <v/>
      </c>
      <c r="EQ409" t="str">
        <f>""</f>
        <v/>
      </c>
      <c r="ER409" t="str">
        <f>""</f>
        <v/>
      </c>
      <c r="ES409" t="str">
        <f>""</f>
        <v/>
      </c>
      <c r="ET409" t="str">
        <f>""</f>
        <v/>
      </c>
      <c r="EU409" t="str">
        <f>""</f>
        <v/>
      </c>
      <c r="EV409" t="str">
        <f>""</f>
        <v/>
      </c>
      <c r="EW409" t="str">
        <f>""</f>
        <v/>
      </c>
      <c r="EX409" t="str">
        <f>""</f>
        <v/>
      </c>
      <c r="EY409" t="str">
        <f>""</f>
        <v/>
      </c>
      <c r="EZ409" t="str">
        <f>""</f>
        <v/>
      </c>
      <c r="FA409" t="str">
        <f>""</f>
        <v/>
      </c>
      <c r="FB409" t="str">
        <f>""</f>
        <v/>
      </c>
      <c r="FC409" t="str">
        <f>""</f>
        <v/>
      </c>
      <c r="FD409" t="str">
        <f>""</f>
        <v/>
      </c>
      <c r="FE409" t="str">
        <f>""</f>
        <v/>
      </c>
      <c r="FF409" t="str">
        <f>""</f>
        <v/>
      </c>
      <c r="FG409" t="str">
        <f>""</f>
        <v/>
      </c>
      <c r="FH409" t="str">
        <f>""</f>
        <v/>
      </c>
      <c r="FI409" t="str">
        <f>""</f>
        <v/>
      </c>
      <c r="FJ409" t="str">
        <f>""</f>
        <v/>
      </c>
      <c r="FK409" t="str">
        <f>""</f>
        <v/>
      </c>
      <c r="FL409" t="str">
        <f>""</f>
        <v/>
      </c>
      <c r="FM409" t="str">
        <f>""</f>
        <v/>
      </c>
      <c r="FN409" t="str">
        <f>""</f>
        <v/>
      </c>
      <c r="FO409" t="str">
        <f>""</f>
        <v/>
      </c>
      <c r="FP409" t="str">
        <f>""</f>
        <v/>
      </c>
      <c r="FQ409" t="str">
        <f>""</f>
        <v/>
      </c>
    </row>
    <row r="410" spans="1:173">
      <c r="A410" t="str">
        <f>$A$207</f>
        <v xml:space="preserve">    Camden 房地产信托公司</v>
      </c>
      <c r="B410" t="str">
        <f>$B$207</f>
        <v>CPT US Equity</v>
      </c>
      <c r="C410" t="str">
        <f>$C$207</f>
        <v>RR890</v>
      </c>
      <c r="D410" t="str">
        <f>$D$207</f>
        <v>FFO_YIELD</v>
      </c>
      <c r="E410" t="str">
        <f>$E$207</f>
        <v>动态</v>
      </c>
      <c r="F410" t="str">
        <f ca="1">BDH($B$207,$C$207,$B$250,$B$251,CONCATENATE("Per=",$B$248),"Dts=H","Dir=H",CONCATENATE("Points=",$B$249),"Sort=R","Days=A","Fill=B",CONCATENATE("FX=", $B$247) )</f>
        <v>#N/A Authorization</v>
      </c>
      <c r="CL410" t="str">
        <f>""</f>
        <v/>
      </c>
      <c r="CM410" t="str">
        <f>""</f>
        <v/>
      </c>
      <c r="CN410" t="str">
        <f>""</f>
        <v/>
      </c>
      <c r="CO410" t="str">
        <f>""</f>
        <v/>
      </c>
      <c r="CP410" t="str">
        <f>""</f>
        <v/>
      </c>
      <c r="CQ410" t="str">
        <f>""</f>
        <v/>
      </c>
      <c r="CR410" t="str">
        <f>""</f>
        <v/>
      </c>
      <c r="CS410" t="str">
        <f>""</f>
        <v/>
      </c>
      <c r="CT410" t="str">
        <f>""</f>
        <v/>
      </c>
      <c r="CU410" t="str">
        <f>""</f>
        <v/>
      </c>
      <c r="CV410" t="str">
        <f>""</f>
        <v/>
      </c>
      <c r="CW410" t="str">
        <f>""</f>
        <v/>
      </c>
      <c r="CX410" t="str">
        <f>""</f>
        <v/>
      </c>
      <c r="CY410" t="str">
        <f>""</f>
        <v/>
      </c>
      <c r="CZ410" t="str">
        <f>""</f>
        <v/>
      </c>
      <c r="DA410" t="str">
        <f>""</f>
        <v/>
      </c>
      <c r="DB410" t="str">
        <f>""</f>
        <v/>
      </c>
      <c r="DC410" t="str">
        <f>""</f>
        <v/>
      </c>
      <c r="DD410" t="str">
        <f>""</f>
        <v/>
      </c>
      <c r="DE410" t="str">
        <f>""</f>
        <v/>
      </c>
      <c r="DF410" t="str">
        <f>""</f>
        <v/>
      </c>
      <c r="DG410" t="str">
        <f>""</f>
        <v/>
      </c>
      <c r="DH410" t="str">
        <f>""</f>
        <v/>
      </c>
      <c r="DI410" t="str">
        <f>""</f>
        <v/>
      </c>
      <c r="DJ410" t="str">
        <f>""</f>
        <v/>
      </c>
      <c r="DK410" t="str">
        <f>""</f>
        <v/>
      </c>
      <c r="DL410" t="str">
        <f>""</f>
        <v/>
      </c>
      <c r="DM410" t="str">
        <f>""</f>
        <v/>
      </c>
      <c r="DN410" t="str">
        <f>""</f>
        <v/>
      </c>
      <c r="DO410" t="str">
        <f>""</f>
        <v/>
      </c>
      <c r="DP410" t="str">
        <f>""</f>
        <v/>
      </c>
      <c r="DQ410" t="str">
        <f>""</f>
        <v/>
      </c>
      <c r="DR410" t="str">
        <f>""</f>
        <v/>
      </c>
      <c r="DS410" t="str">
        <f>""</f>
        <v/>
      </c>
      <c r="DT410" t="str">
        <f>""</f>
        <v/>
      </c>
      <c r="DU410" t="str">
        <f>""</f>
        <v/>
      </c>
      <c r="DV410" t="str">
        <f>""</f>
        <v/>
      </c>
      <c r="DW410" t="str">
        <f>""</f>
        <v/>
      </c>
      <c r="DX410" t="str">
        <f>""</f>
        <v/>
      </c>
      <c r="DY410" t="str">
        <f>""</f>
        <v/>
      </c>
      <c r="DZ410" t="str">
        <f>""</f>
        <v/>
      </c>
      <c r="EA410" t="str">
        <f>""</f>
        <v/>
      </c>
      <c r="EB410" t="str">
        <f>""</f>
        <v/>
      </c>
      <c r="EC410" t="str">
        <f>""</f>
        <v/>
      </c>
      <c r="ED410" t="str">
        <f>""</f>
        <v/>
      </c>
      <c r="EE410" t="str">
        <f>""</f>
        <v/>
      </c>
      <c r="EF410" t="str">
        <f>""</f>
        <v/>
      </c>
      <c r="EG410" t="str">
        <f>""</f>
        <v/>
      </c>
      <c r="EH410" t="str">
        <f>""</f>
        <v/>
      </c>
      <c r="EI410" t="str">
        <f>""</f>
        <v/>
      </c>
      <c r="EJ410" t="str">
        <f>""</f>
        <v/>
      </c>
      <c r="EK410" t="str">
        <f>""</f>
        <v/>
      </c>
      <c r="EL410" t="str">
        <f>""</f>
        <v/>
      </c>
      <c r="EM410" t="str">
        <f>""</f>
        <v/>
      </c>
      <c r="EN410" t="str">
        <f>""</f>
        <v/>
      </c>
      <c r="EO410" t="str">
        <f>""</f>
        <v/>
      </c>
      <c r="EP410" t="str">
        <f>""</f>
        <v/>
      </c>
      <c r="EQ410" t="str">
        <f>""</f>
        <v/>
      </c>
      <c r="ER410" t="str">
        <f>""</f>
        <v/>
      </c>
      <c r="ES410" t="str">
        <f>""</f>
        <v/>
      </c>
      <c r="ET410" t="str">
        <f>""</f>
        <v/>
      </c>
      <c r="EU410" t="str">
        <f>""</f>
        <v/>
      </c>
      <c r="EV410" t="str">
        <f>""</f>
        <v/>
      </c>
      <c r="EW410" t="str">
        <f>""</f>
        <v/>
      </c>
      <c r="EX410" t="str">
        <f>""</f>
        <v/>
      </c>
      <c r="EY410" t="str">
        <f>""</f>
        <v/>
      </c>
      <c r="EZ410" t="str">
        <f>""</f>
        <v/>
      </c>
      <c r="FA410" t="str">
        <f>""</f>
        <v/>
      </c>
      <c r="FB410" t="str">
        <f>""</f>
        <v/>
      </c>
      <c r="FC410" t="str">
        <f>""</f>
        <v/>
      </c>
      <c r="FD410" t="str">
        <f>""</f>
        <v/>
      </c>
      <c r="FE410" t="str">
        <f>""</f>
        <v/>
      </c>
      <c r="FF410" t="str">
        <f>""</f>
        <v/>
      </c>
      <c r="FG410" t="str">
        <f>""</f>
        <v/>
      </c>
      <c r="FH410" t="str">
        <f>""</f>
        <v/>
      </c>
      <c r="FI410" t="str">
        <f>""</f>
        <v/>
      </c>
      <c r="FJ410" t="str">
        <f>""</f>
        <v/>
      </c>
      <c r="FK410" t="str">
        <f>""</f>
        <v/>
      </c>
      <c r="FL410" t="str">
        <f>""</f>
        <v/>
      </c>
      <c r="FM410" t="str">
        <f>""</f>
        <v/>
      </c>
      <c r="FN410" t="str">
        <f>""</f>
        <v/>
      </c>
      <c r="FO410" t="str">
        <f>""</f>
        <v/>
      </c>
      <c r="FP410" t="str">
        <f>""</f>
        <v/>
      </c>
      <c r="FQ410" t="str">
        <f>""</f>
        <v/>
      </c>
    </row>
    <row r="411" spans="1:173">
      <c r="A411" t="str">
        <f>$A$208</f>
        <v xml:space="preserve">    公寓物业权益信托</v>
      </c>
      <c r="B411" t="str">
        <f>$B$208</f>
        <v>EQR US Equity</v>
      </c>
      <c r="C411" t="str">
        <f>$C$208</f>
        <v>RR890</v>
      </c>
      <c r="D411" t="str">
        <f>$D$208</f>
        <v>FFO_YIELD</v>
      </c>
      <c r="E411" t="str">
        <f>$E$208</f>
        <v>动态</v>
      </c>
      <c r="F411" t="str">
        <f ca="1">BDH($B$208,$C$208,$B$250,$B$251,CONCATENATE("Per=",$B$248),"Dts=H","Dir=H",CONCATENATE("Points=",$B$249),"Sort=R","Days=A","Fill=B",CONCATENATE("FX=", $B$247) )</f>
        <v>#N/A Authorization</v>
      </c>
      <c r="CL411" t="str">
        <f>""</f>
        <v/>
      </c>
      <c r="CM411" t="str">
        <f>""</f>
        <v/>
      </c>
      <c r="CN411" t="str">
        <f>""</f>
        <v/>
      </c>
      <c r="CO411" t="str">
        <f>""</f>
        <v/>
      </c>
      <c r="CP411" t="str">
        <f>""</f>
        <v/>
      </c>
      <c r="CQ411" t="str">
        <f>""</f>
        <v/>
      </c>
      <c r="CR411" t="str">
        <f>""</f>
        <v/>
      </c>
      <c r="CS411" t="str">
        <f>""</f>
        <v/>
      </c>
      <c r="CT411" t="str">
        <f>""</f>
        <v/>
      </c>
      <c r="CU411" t="str">
        <f>""</f>
        <v/>
      </c>
      <c r="CV411" t="str">
        <f>""</f>
        <v/>
      </c>
      <c r="CW411" t="str">
        <f>""</f>
        <v/>
      </c>
      <c r="CX411" t="str">
        <f>""</f>
        <v/>
      </c>
      <c r="CY411" t="str">
        <f>""</f>
        <v/>
      </c>
      <c r="CZ411" t="str">
        <f>""</f>
        <v/>
      </c>
      <c r="DA411" t="str">
        <f>""</f>
        <v/>
      </c>
      <c r="DB411" t="str">
        <f>""</f>
        <v/>
      </c>
      <c r="DC411" t="str">
        <f>""</f>
        <v/>
      </c>
      <c r="DD411" t="str">
        <f>""</f>
        <v/>
      </c>
      <c r="DE411" t="str">
        <f>""</f>
        <v/>
      </c>
      <c r="DF411" t="str">
        <f>""</f>
        <v/>
      </c>
      <c r="DG411" t="str">
        <f>""</f>
        <v/>
      </c>
      <c r="DH411" t="str">
        <f>""</f>
        <v/>
      </c>
      <c r="DI411" t="str">
        <f>""</f>
        <v/>
      </c>
      <c r="DJ411" t="str">
        <f>""</f>
        <v/>
      </c>
      <c r="DK411" t="str">
        <f>""</f>
        <v/>
      </c>
      <c r="DL411" t="str">
        <f>""</f>
        <v/>
      </c>
      <c r="DM411" t="str">
        <f>""</f>
        <v/>
      </c>
      <c r="DN411" t="str">
        <f>""</f>
        <v/>
      </c>
      <c r="DO411" t="str">
        <f>""</f>
        <v/>
      </c>
      <c r="DP411" t="str">
        <f>""</f>
        <v/>
      </c>
      <c r="DQ411" t="str">
        <f>""</f>
        <v/>
      </c>
      <c r="DR411" t="str">
        <f>""</f>
        <v/>
      </c>
      <c r="DS411" t="str">
        <f>""</f>
        <v/>
      </c>
      <c r="DT411" t="str">
        <f>""</f>
        <v/>
      </c>
      <c r="DU411" t="str">
        <f>""</f>
        <v/>
      </c>
      <c r="DV411" t="str">
        <f>""</f>
        <v/>
      </c>
      <c r="DW411" t="str">
        <f>""</f>
        <v/>
      </c>
      <c r="DX411" t="str">
        <f>""</f>
        <v/>
      </c>
      <c r="DY411" t="str">
        <f>""</f>
        <v/>
      </c>
      <c r="DZ411" t="str">
        <f>""</f>
        <v/>
      </c>
      <c r="EA411" t="str">
        <f>""</f>
        <v/>
      </c>
      <c r="EB411" t="str">
        <f>""</f>
        <v/>
      </c>
      <c r="EC411" t="str">
        <f>""</f>
        <v/>
      </c>
      <c r="ED411" t="str">
        <f>""</f>
        <v/>
      </c>
      <c r="EE411" t="str">
        <f>""</f>
        <v/>
      </c>
      <c r="EF411" t="str">
        <f>""</f>
        <v/>
      </c>
      <c r="EG411" t="str">
        <f>""</f>
        <v/>
      </c>
      <c r="EH411" t="str">
        <f>""</f>
        <v/>
      </c>
      <c r="EI411" t="str">
        <f>""</f>
        <v/>
      </c>
      <c r="EJ411" t="str">
        <f>""</f>
        <v/>
      </c>
      <c r="EK411" t="str">
        <f>""</f>
        <v/>
      </c>
      <c r="EL411" t="str">
        <f>""</f>
        <v/>
      </c>
      <c r="EM411" t="str">
        <f>""</f>
        <v/>
      </c>
      <c r="EN411" t="str">
        <f>""</f>
        <v/>
      </c>
      <c r="EO411" t="str">
        <f>""</f>
        <v/>
      </c>
      <c r="EP411" t="str">
        <f>""</f>
        <v/>
      </c>
      <c r="EQ411" t="str">
        <f>""</f>
        <v/>
      </c>
      <c r="ER411" t="str">
        <f>""</f>
        <v/>
      </c>
      <c r="ES411" t="str">
        <f>""</f>
        <v/>
      </c>
      <c r="ET411" t="str">
        <f>""</f>
        <v/>
      </c>
      <c r="EU411" t="str">
        <f>""</f>
        <v/>
      </c>
      <c r="EV411" t="str">
        <f>""</f>
        <v/>
      </c>
      <c r="EW411" t="str">
        <f>""</f>
        <v/>
      </c>
      <c r="EX411" t="str">
        <f>""</f>
        <v/>
      </c>
      <c r="EY411" t="str">
        <f>""</f>
        <v/>
      </c>
      <c r="EZ411" t="str">
        <f>""</f>
        <v/>
      </c>
      <c r="FA411" t="str">
        <f>""</f>
        <v/>
      </c>
      <c r="FB411" t="str">
        <f>""</f>
        <v/>
      </c>
      <c r="FC411" t="str">
        <f>""</f>
        <v/>
      </c>
      <c r="FD411" t="str">
        <f>""</f>
        <v/>
      </c>
      <c r="FE411" t="str">
        <f>""</f>
        <v/>
      </c>
      <c r="FF411" t="str">
        <f>""</f>
        <v/>
      </c>
      <c r="FG411" t="str">
        <f>""</f>
        <v/>
      </c>
      <c r="FH411" t="str">
        <f>""</f>
        <v/>
      </c>
      <c r="FI411" t="str">
        <f>""</f>
        <v/>
      </c>
      <c r="FJ411" t="str">
        <f>""</f>
        <v/>
      </c>
      <c r="FK411" t="str">
        <f>""</f>
        <v/>
      </c>
      <c r="FL411" t="str">
        <f>""</f>
        <v/>
      </c>
      <c r="FM411" t="str">
        <f>""</f>
        <v/>
      </c>
      <c r="FN411" t="str">
        <f>""</f>
        <v/>
      </c>
      <c r="FO411" t="str">
        <f>""</f>
        <v/>
      </c>
      <c r="FP411" t="str">
        <f>""</f>
        <v/>
      </c>
      <c r="FQ411" t="str">
        <f>""</f>
        <v/>
      </c>
    </row>
    <row r="412" spans="1:173">
      <c r="A412" t="str">
        <f>$A$209</f>
        <v xml:space="preserve">    埃塞克斯房地产信托公司</v>
      </c>
      <c r="B412" t="str">
        <f>$B$209</f>
        <v>ESS US Equity</v>
      </c>
      <c r="C412" t="str">
        <f>$C$209</f>
        <v>RR890</v>
      </c>
      <c r="D412" t="str">
        <f>$D$209</f>
        <v>FFO_YIELD</v>
      </c>
      <c r="E412" t="str">
        <f>$E$209</f>
        <v>动态</v>
      </c>
      <c r="F412" t="str">
        <f ca="1">BDH($B$209,$C$209,$B$250,$B$251,CONCATENATE("Per=",$B$248),"Dts=H","Dir=H",CONCATENATE("Points=",$B$249),"Sort=R","Days=A","Fill=B",CONCATENATE("FX=", $B$247) )</f>
        <v>#N/A Authorization</v>
      </c>
      <c r="CL412" t="str">
        <f>""</f>
        <v/>
      </c>
      <c r="CM412" t="str">
        <f>""</f>
        <v/>
      </c>
      <c r="CN412" t="str">
        <f>""</f>
        <v/>
      </c>
      <c r="CO412" t="str">
        <f>""</f>
        <v/>
      </c>
      <c r="CP412" t="str">
        <f>""</f>
        <v/>
      </c>
      <c r="CQ412" t="str">
        <f>""</f>
        <v/>
      </c>
      <c r="CR412" t="str">
        <f>""</f>
        <v/>
      </c>
      <c r="CS412" t="str">
        <f>""</f>
        <v/>
      </c>
      <c r="CT412" t="str">
        <f>""</f>
        <v/>
      </c>
      <c r="CU412" t="str">
        <f>""</f>
        <v/>
      </c>
      <c r="CV412" t="str">
        <f>""</f>
        <v/>
      </c>
      <c r="CW412" t="str">
        <f>""</f>
        <v/>
      </c>
      <c r="CX412" t="str">
        <f>""</f>
        <v/>
      </c>
      <c r="CY412" t="str">
        <f>""</f>
        <v/>
      </c>
      <c r="CZ412" t="str">
        <f>""</f>
        <v/>
      </c>
      <c r="DA412" t="str">
        <f>""</f>
        <v/>
      </c>
      <c r="DB412" t="str">
        <f>""</f>
        <v/>
      </c>
      <c r="DC412" t="str">
        <f>""</f>
        <v/>
      </c>
      <c r="DD412" t="str">
        <f>""</f>
        <v/>
      </c>
      <c r="DE412" t="str">
        <f>""</f>
        <v/>
      </c>
      <c r="DF412" t="str">
        <f>""</f>
        <v/>
      </c>
      <c r="DG412" t="str">
        <f>""</f>
        <v/>
      </c>
      <c r="DH412" t="str">
        <f>""</f>
        <v/>
      </c>
      <c r="DI412" t="str">
        <f>""</f>
        <v/>
      </c>
      <c r="DJ412" t="str">
        <f>""</f>
        <v/>
      </c>
      <c r="DK412" t="str">
        <f>""</f>
        <v/>
      </c>
      <c r="DL412" t="str">
        <f>""</f>
        <v/>
      </c>
      <c r="DM412" t="str">
        <f>""</f>
        <v/>
      </c>
      <c r="DN412" t="str">
        <f>""</f>
        <v/>
      </c>
      <c r="DO412" t="str">
        <f>""</f>
        <v/>
      </c>
      <c r="DP412" t="str">
        <f>""</f>
        <v/>
      </c>
      <c r="DQ412" t="str">
        <f>""</f>
        <v/>
      </c>
      <c r="DR412" t="str">
        <f>""</f>
        <v/>
      </c>
      <c r="DS412" t="str">
        <f>""</f>
        <v/>
      </c>
      <c r="DT412" t="str">
        <f>""</f>
        <v/>
      </c>
      <c r="DU412" t="str">
        <f>""</f>
        <v/>
      </c>
      <c r="DV412" t="str">
        <f>""</f>
        <v/>
      </c>
      <c r="DW412" t="str">
        <f>""</f>
        <v/>
      </c>
      <c r="DX412" t="str">
        <f>""</f>
        <v/>
      </c>
      <c r="DY412" t="str">
        <f>""</f>
        <v/>
      </c>
      <c r="DZ412" t="str">
        <f>""</f>
        <v/>
      </c>
      <c r="EA412" t="str">
        <f>""</f>
        <v/>
      </c>
      <c r="EB412" t="str">
        <f>""</f>
        <v/>
      </c>
      <c r="EC412" t="str">
        <f>""</f>
        <v/>
      </c>
      <c r="ED412" t="str">
        <f>""</f>
        <v/>
      </c>
      <c r="EE412" t="str">
        <f>""</f>
        <v/>
      </c>
      <c r="EF412" t="str">
        <f>""</f>
        <v/>
      </c>
      <c r="EG412" t="str">
        <f>""</f>
        <v/>
      </c>
      <c r="EH412" t="str">
        <f>""</f>
        <v/>
      </c>
      <c r="EI412" t="str">
        <f>""</f>
        <v/>
      </c>
      <c r="EJ412" t="str">
        <f>""</f>
        <v/>
      </c>
      <c r="EK412" t="str">
        <f>""</f>
        <v/>
      </c>
      <c r="EL412" t="str">
        <f>""</f>
        <v/>
      </c>
      <c r="EM412" t="str">
        <f>""</f>
        <v/>
      </c>
      <c r="EN412" t="str">
        <f>""</f>
        <v/>
      </c>
      <c r="EO412" t="str">
        <f>""</f>
        <v/>
      </c>
      <c r="EP412" t="str">
        <f>""</f>
        <v/>
      </c>
      <c r="EQ412" t="str">
        <f>""</f>
        <v/>
      </c>
      <c r="ER412" t="str">
        <f>""</f>
        <v/>
      </c>
      <c r="ES412" t="str">
        <f>""</f>
        <v/>
      </c>
      <c r="ET412" t="str">
        <f>""</f>
        <v/>
      </c>
      <c r="EU412" t="str">
        <f>""</f>
        <v/>
      </c>
      <c r="EV412" t="str">
        <f>""</f>
        <v/>
      </c>
      <c r="EW412" t="str">
        <f>""</f>
        <v/>
      </c>
      <c r="EX412" t="str">
        <f>""</f>
        <v/>
      </c>
      <c r="EY412" t="str">
        <f>""</f>
        <v/>
      </c>
      <c r="EZ412" t="str">
        <f>""</f>
        <v/>
      </c>
      <c r="FA412" t="str">
        <f>""</f>
        <v/>
      </c>
      <c r="FB412" t="str">
        <f>""</f>
        <v/>
      </c>
      <c r="FC412" t="str">
        <f>""</f>
        <v/>
      </c>
      <c r="FD412" t="str">
        <f>""</f>
        <v/>
      </c>
      <c r="FE412" t="str">
        <f>""</f>
        <v/>
      </c>
      <c r="FF412" t="str">
        <f>""</f>
        <v/>
      </c>
      <c r="FG412" t="str">
        <f>""</f>
        <v/>
      </c>
      <c r="FH412" t="str">
        <f>""</f>
        <v/>
      </c>
      <c r="FI412" t="str">
        <f>""</f>
        <v/>
      </c>
      <c r="FJ412" t="str">
        <f>""</f>
        <v/>
      </c>
      <c r="FK412" t="str">
        <f>""</f>
        <v/>
      </c>
      <c r="FL412" t="str">
        <f>""</f>
        <v/>
      </c>
      <c r="FM412" t="str">
        <f>""</f>
        <v/>
      </c>
      <c r="FN412" t="str">
        <f>""</f>
        <v/>
      </c>
      <c r="FO412" t="str">
        <f>""</f>
        <v/>
      </c>
      <c r="FP412" t="str">
        <f>""</f>
        <v/>
      </c>
      <c r="FQ412" t="str">
        <f>""</f>
        <v/>
      </c>
    </row>
    <row r="413" spans="1:173">
      <c r="A413" t="str">
        <f>$A$210</f>
        <v xml:space="preserve">    Mid-America Apartment Communities股份有限公司</v>
      </c>
      <c r="B413" t="str">
        <f>$B$210</f>
        <v>MAA US Equity</v>
      </c>
      <c r="C413" t="str">
        <f>$C$210</f>
        <v>RR890</v>
      </c>
      <c r="D413" t="str">
        <f>$D$210</f>
        <v>FFO_YIELD</v>
      </c>
      <c r="E413" t="str">
        <f>$E$210</f>
        <v>动态</v>
      </c>
      <c r="F413" t="str">
        <f ca="1">BDH($B$210,$C$210,$B$250,$B$251,CONCATENATE("Per=",$B$248),"Dts=H","Dir=H",CONCATENATE("Points=",$B$249),"Sort=R","Days=A","Fill=B",CONCATENATE("FX=", $B$247) )</f>
        <v>#N/A Authorization</v>
      </c>
      <c r="CL413" t="str">
        <f>""</f>
        <v/>
      </c>
      <c r="CM413" t="str">
        <f>""</f>
        <v/>
      </c>
      <c r="CN413" t="str">
        <f>""</f>
        <v/>
      </c>
      <c r="CO413" t="str">
        <f>""</f>
        <v/>
      </c>
      <c r="CP413" t="str">
        <f>""</f>
        <v/>
      </c>
      <c r="CQ413" t="str">
        <f>""</f>
        <v/>
      </c>
      <c r="CR413" t="str">
        <f>""</f>
        <v/>
      </c>
      <c r="CS413" t="str">
        <f>""</f>
        <v/>
      </c>
      <c r="CT413" t="str">
        <f>""</f>
        <v/>
      </c>
      <c r="CU413" t="str">
        <f>""</f>
        <v/>
      </c>
      <c r="CV413" t="str">
        <f>""</f>
        <v/>
      </c>
      <c r="CW413" t="str">
        <f>""</f>
        <v/>
      </c>
      <c r="CX413" t="str">
        <f>""</f>
        <v/>
      </c>
      <c r="CY413" t="str">
        <f>""</f>
        <v/>
      </c>
      <c r="CZ413" t="str">
        <f>""</f>
        <v/>
      </c>
      <c r="DA413" t="str">
        <f>""</f>
        <v/>
      </c>
      <c r="DB413" t="str">
        <f>""</f>
        <v/>
      </c>
      <c r="DC413" t="str">
        <f>""</f>
        <v/>
      </c>
      <c r="DD413" t="str">
        <f>""</f>
        <v/>
      </c>
      <c r="DE413" t="str">
        <f>""</f>
        <v/>
      </c>
      <c r="DF413" t="str">
        <f>""</f>
        <v/>
      </c>
      <c r="DG413" t="str">
        <f>""</f>
        <v/>
      </c>
      <c r="DH413" t="str">
        <f>""</f>
        <v/>
      </c>
      <c r="DI413" t="str">
        <f>""</f>
        <v/>
      </c>
      <c r="DJ413" t="str">
        <f>""</f>
        <v/>
      </c>
      <c r="DK413" t="str">
        <f>""</f>
        <v/>
      </c>
      <c r="DL413" t="str">
        <f>""</f>
        <v/>
      </c>
      <c r="DM413" t="str">
        <f>""</f>
        <v/>
      </c>
      <c r="DN413" t="str">
        <f>""</f>
        <v/>
      </c>
      <c r="DO413" t="str">
        <f>""</f>
        <v/>
      </c>
      <c r="DP413" t="str">
        <f>""</f>
        <v/>
      </c>
      <c r="DQ413" t="str">
        <f>""</f>
        <v/>
      </c>
      <c r="DR413" t="str">
        <f>""</f>
        <v/>
      </c>
      <c r="DS413" t="str">
        <f>""</f>
        <v/>
      </c>
      <c r="DT413" t="str">
        <f>""</f>
        <v/>
      </c>
      <c r="DU413" t="str">
        <f>""</f>
        <v/>
      </c>
      <c r="DV413" t="str">
        <f>""</f>
        <v/>
      </c>
      <c r="DW413" t="str">
        <f>""</f>
        <v/>
      </c>
      <c r="DX413" t="str">
        <f>""</f>
        <v/>
      </c>
      <c r="DY413" t="str">
        <f>""</f>
        <v/>
      </c>
      <c r="DZ413" t="str">
        <f>""</f>
        <v/>
      </c>
      <c r="EA413" t="str">
        <f>""</f>
        <v/>
      </c>
      <c r="EB413" t="str">
        <f>""</f>
        <v/>
      </c>
      <c r="EC413" t="str">
        <f>""</f>
        <v/>
      </c>
      <c r="ED413" t="str">
        <f>""</f>
        <v/>
      </c>
      <c r="EE413" t="str">
        <f>""</f>
        <v/>
      </c>
      <c r="EF413" t="str">
        <f>""</f>
        <v/>
      </c>
      <c r="EG413" t="str">
        <f>""</f>
        <v/>
      </c>
      <c r="EH413" t="str">
        <f>""</f>
        <v/>
      </c>
      <c r="EI413" t="str">
        <f>""</f>
        <v/>
      </c>
      <c r="EJ413" t="str">
        <f>""</f>
        <v/>
      </c>
      <c r="EK413" t="str">
        <f>""</f>
        <v/>
      </c>
      <c r="EL413" t="str">
        <f>""</f>
        <v/>
      </c>
      <c r="EM413" t="str">
        <f>""</f>
        <v/>
      </c>
      <c r="EN413" t="str">
        <f>""</f>
        <v/>
      </c>
      <c r="EO413" t="str">
        <f>""</f>
        <v/>
      </c>
      <c r="EP413" t="str">
        <f>""</f>
        <v/>
      </c>
      <c r="EQ413" t="str">
        <f>""</f>
        <v/>
      </c>
      <c r="ER413" t="str">
        <f>""</f>
        <v/>
      </c>
      <c r="ES413" t="str">
        <f>""</f>
        <v/>
      </c>
      <c r="ET413" t="str">
        <f>""</f>
        <v/>
      </c>
      <c r="EU413" t="str">
        <f>""</f>
        <v/>
      </c>
      <c r="EV413" t="str">
        <f>""</f>
        <v/>
      </c>
      <c r="EW413" t="str">
        <f>""</f>
        <v/>
      </c>
      <c r="EX413" t="str">
        <f>""</f>
        <v/>
      </c>
      <c r="EY413" t="str">
        <f>""</f>
        <v/>
      </c>
      <c r="EZ413" t="str">
        <f>""</f>
        <v/>
      </c>
      <c r="FA413" t="str">
        <f>""</f>
        <v/>
      </c>
      <c r="FB413" t="str">
        <f>""</f>
        <v/>
      </c>
      <c r="FC413" t="str">
        <f>""</f>
        <v/>
      </c>
      <c r="FD413" t="str">
        <f>""</f>
        <v/>
      </c>
      <c r="FE413" t="str">
        <f>""</f>
        <v/>
      </c>
      <c r="FF413" t="str">
        <f>""</f>
        <v/>
      </c>
      <c r="FG413" t="str">
        <f>""</f>
        <v/>
      </c>
      <c r="FH413" t="str">
        <f>""</f>
        <v/>
      </c>
      <c r="FI413" t="str">
        <f>""</f>
        <v/>
      </c>
      <c r="FJ413" t="str">
        <f>""</f>
        <v/>
      </c>
      <c r="FK413" t="str">
        <f>""</f>
        <v/>
      </c>
      <c r="FL413" t="str">
        <f>""</f>
        <v/>
      </c>
      <c r="FM413" t="str">
        <f>""</f>
        <v/>
      </c>
      <c r="FN413" t="str">
        <f>""</f>
        <v/>
      </c>
      <c r="FO413" t="str">
        <f>""</f>
        <v/>
      </c>
      <c r="FP413" t="str">
        <f>""</f>
        <v/>
      </c>
      <c r="FQ413" t="str">
        <f>""</f>
        <v/>
      </c>
    </row>
    <row r="414" spans="1:173">
      <c r="A414" t="str">
        <f>$A$211</f>
        <v xml:space="preserve">    UDR 公司</v>
      </c>
      <c r="B414" t="str">
        <f>$B$211</f>
        <v>UDR US Equity</v>
      </c>
      <c r="C414" t="str">
        <f>$C$211</f>
        <v>RR890</v>
      </c>
      <c r="D414" t="str">
        <f>$D$211</f>
        <v>FFO_YIELD</v>
      </c>
      <c r="E414" t="str">
        <f>$E$211</f>
        <v>动态</v>
      </c>
      <c r="F414" t="str">
        <f ca="1">BDH($B$211,$C$211,$B$250,$B$251,CONCATENATE("Per=",$B$248),"Dts=H","Dir=H",CONCATENATE("Points=",$B$249),"Sort=R","Days=A","Fill=B",CONCATENATE("FX=", $B$247) )</f>
        <v>#N/A Authorization</v>
      </c>
      <c r="CL414" t="str">
        <f>""</f>
        <v/>
      </c>
      <c r="CM414" t="str">
        <f>""</f>
        <v/>
      </c>
      <c r="CN414" t="str">
        <f>""</f>
        <v/>
      </c>
      <c r="CO414" t="str">
        <f>""</f>
        <v/>
      </c>
      <c r="CP414" t="str">
        <f>""</f>
        <v/>
      </c>
      <c r="CQ414" t="str">
        <f>""</f>
        <v/>
      </c>
      <c r="CR414" t="str">
        <f>""</f>
        <v/>
      </c>
      <c r="CS414" t="str">
        <f>""</f>
        <v/>
      </c>
      <c r="CT414" t="str">
        <f>""</f>
        <v/>
      </c>
      <c r="CU414" t="str">
        <f>""</f>
        <v/>
      </c>
      <c r="CV414" t="str">
        <f>""</f>
        <v/>
      </c>
      <c r="CW414" t="str">
        <f>""</f>
        <v/>
      </c>
      <c r="CX414" t="str">
        <f>""</f>
        <v/>
      </c>
      <c r="CY414" t="str">
        <f>""</f>
        <v/>
      </c>
      <c r="CZ414" t="str">
        <f>""</f>
        <v/>
      </c>
      <c r="DA414" t="str">
        <f>""</f>
        <v/>
      </c>
      <c r="DB414" t="str">
        <f>""</f>
        <v/>
      </c>
      <c r="DC414" t="str">
        <f>""</f>
        <v/>
      </c>
      <c r="DD414" t="str">
        <f>""</f>
        <v/>
      </c>
      <c r="DE414" t="str">
        <f>""</f>
        <v/>
      </c>
      <c r="DF414" t="str">
        <f>""</f>
        <v/>
      </c>
      <c r="DG414" t="str">
        <f>""</f>
        <v/>
      </c>
      <c r="DH414" t="str">
        <f>""</f>
        <v/>
      </c>
      <c r="DI414" t="str">
        <f>""</f>
        <v/>
      </c>
      <c r="DJ414" t="str">
        <f>""</f>
        <v/>
      </c>
      <c r="DK414" t="str">
        <f>""</f>
        <v/>
      </c>
      <c r="DL414" t="str">
        <f>""</f>
        <v/>
      </c>
      <c r="DM414" t="str">
        <f>""</f>
        <v/>
      </c>
      <c r="DN414" t="str">
        <f>""</f>
        <v/>
      </c>
      <c r="DO414" t="str">
        <f>""</f>
        <v/>
      </c>
      <c r="DP414" t="str">
        <f>""</f>
        <v/>
      </c>
      <c r="DQ414" t="str">
        <f>""</f>
        <v/>
      </c>
      <c r="DR414" t="str">
        <f>""</f>
        <v/>
      </c>
      <c r="DS414" t="str">
        <f>""</f>
        <v/>
      </c>
      <c r="DT414" t="str">
        <f>""</f>
        <v/>
      </c>
      <c r="DU414" t="str">
        <f>""</f>
        <v/>
      </c>
      <c r="DV414" t="str">
        <f>""</f>
        <v/>
      </c>
      <c r="DW414" t="str">
        <f>""</f>
        <v/>
      </c>
      <c r="DX414" t="str">
        <f>""</f>
        <v/>
      </c>
      <c r="DY414" t="str">
        <f>""</f>
        <v/>
      </c>
      <c r="DZ414" t="str">
        <f>""</f>
        <v/>
      </c>
      <c r="EA414" t="str">
        <f>""</f>
        <v/>
      </c>
      <c r="EB414" t="str">
        <f>""</f>
        <v/>
      </c>
      <c r="EC414" t="str">
        <f>""</f>
        <v/>
      </c>
      <c r="ED414" t="str">
        <f>""</f>
        <v/>
      </c>
      <c r="EE414" t="str">
        <f>""</f>
        <v/>
      </c>
      <c r="EF414" t="str">
        <f>""</f>
        <v/>
      </c>
      <c r="EG414" t="str">
        <f>""</f>
        <v/>
      </c>
      <c r="EH414" t="str">
        <f>""</f>
        <v/>
      </c>
      <c r="EI414" t="str">
        <f>""</f>
        <v/>
      </c>
      <c r="EJ414" t="str">
        <f>""</f>
        <v/>
      </c>
      <c r="EK414" t="str">
        <f>""</f>
        <v/>
      </c>
      <c r="EL414" t="str">
        <f>""</f>
        <v/>
      </c>
      <c r="EM414" t="str">
        <f>""</f>
        <v/>
      </c>
      <c r="EN414" t="str">
        <f>""</f>
        <v/>
      </c>
      <c r="EO414" t="str">
        <f>""</f>
        <v/>
      </c>
      <c r="EP414" t="str">
        <f>""</f>
        <v/>
      </c>
      <c r="EQ414" t="str">
        <f>""</f>
        <v/>
      </c>
      <c r="ER414" t="str">
        <f>""</f>
        <v/>
      </c>
      <c r="ES414" t="str">
        <f>""</f>
        <v/>
      </c>
      <c r="ET414" t="str">
        <f>""</f>
        <v/>
      </c>
      <c r="EU414" t="str">
        <f>""</f>
        <v/>
      </c>
      <c r="EV414" t="str">
        <f>""</f>
        <v/>
      </c>
      <c r="EW414" t="str">
        <f>""</f>
        <v/>
      </c>
      <c r="EX414" t="str">
        <f>""</f>
        <v/>
      </c>
      <c r="EY414" t="str">
        <f>""</f>
        <v/>
      </c>
      <c r="EZ414" t="str">
        <f>""</f>
        <v/>
      </c>
      <c r="FA414" t="str">
        <f>""</f>
        <v/>
      </c>
      <c r="FB414" t="str">
        <f>""</f>
        <v/>
      </c>
      <c r="FC414" t="str">
        <f>""</f>
        <v/>
      </c>
      <c r="FD414" t="str">
        <f>""</f>
        <v/>
      </c>
      <c r="FE414" t="str">
        <f>""</f>
        <v/>
      </c>
      <c r="FF414" t="str">
        <f>""</f>
        <v/>
      </c>
      <c r="FG414" t="str">
        <f>""</f>
        <v/>
      </c>
      <c r="FH414" t="str">
        <f>""</f>
        <v/>
      </c>
      <c r="FI414" t="str">
        <f>""</f>
        <v/>
      </c>
      <c r="FJ414" t="str">
        <f>""</f>
        <v/>
      </c>
      <c r="FK414" t="str">
        <f>""</f>
        <v/>
      </c>
      <c r="FL414" t="str">
        <f>""</f>
        <v/>
      </c>
      <c r="FM414" t="str">
        <f>""</f>
        <v/>
      </c>
      <c r="FN414" t="str">
        <f>""</f>
        <v/>
      </c>
      <c r="FO414" t="str">
        <f>""</f>
        <v/>
      </c>
      <c r="FP414" t="str">
        <f>""</f>
        <v/>
      </c>
      <c r="FQ414" t="str">
        <f>""</f>
        <v/>
      </c>
    </row>
    <row r="415" spans="1:173">
      <c r="A415" t="str">
        <f>$A$213</f>
        <v xml:space="preserve">    公寓投资与管理</v>
      </c>
      <c r="B415" t="str">
        <f>$B$213</f>
        <v>AIV US Equity</v>
      </c>
      <c r="C415" t="str">
        <f>$C$213</f>
        <v>F0826</v>
      </c>
      <c r="D415" t="str">
        <f>$D$213</f>
        <v>INDUSTRY_STANDARDIZED_EV</v>
      </c>
      <c r="E415" t="str">
        <f>$E$213</f>
        <v>动态</v>
      </c>
      <c r="F415" t="str">
        <f ca="1">BDH($B$213,$C$213,$B$250,$B$251,CONCATENATE("Per=",$B$248),"Dts=H","Dir=H",CONCATENATE("Points=",$B$249),"Sort=R","Days=A","Fill=B",CONCATENATE("FX=", $B$247) )</f>
        <v>#N/A Authorization</v>
      </c>
      <c r="CL415" t="str">
        <f>""</f>
        <v/>
      </c>
      <c r="CM415" t="str">
        <f>""</f>
        <v/>
      </c>
      <c r="CN415" t="str">
        <f>""</f>
        <v/>
      </c>
      <c r="CO415" t="str">
        <f>""</f>
        <v/>
      </c>
      <c r="CP415" t="str">
        <f>""</f>
        <v/>
      </c>
      <c r="CQ415" t="str">
        <f>""</f>
        <v/>
      </c>
      <c r="CR415" t="str">
        <f>""</f>
        <v/>
      </c>
      <c r="CS415" t="str">
        <f>""</f>
        <v/>
      </c>
      <c r="CT415" t="str">
        <f>""</f>
        <v/>
      </c>
      <c r="CU415" t="str">
        <f>""</f>
        <v/>
      </c>
      <c r="CV415" t="str">
        <f>""</f>
        <v/>
      </c>
      <c r="CW415" t="str">
        <f>""</f>
        <v/>
      </c>
      <c r="CX415" t="str">
        <f>""</f>
        <v/>
      </c>
      <c r="CY415" t="str">
        <f>""</f>
        <v/>
      </c>
      <c r="CZ415" t="str">
        <f>""</f>
        <v/>
      </c>
      <c r="DA415" t="str">
        <f>""</f>
        <v/>
      </c>
      <c r="DB415" t="str">
        <f>""</f>
        <v/>
      </c>
      <c r="DC415" t="str">
        <f>""</f>
        <v/>
      </c>
      <c r="DD415" t="str">
        <f>""</f>
        <v/>
      </c>
      <c r="DE415" t="str">
        <f>""</f>
        <v/>
      </c>
      <c r="DF415" t="str">
        <f>""</f>
        <v/>
      </c>
      <c r="DG415" t="str">
        <f>""</f>
        <v/>
      </c>
      <c r="DH415" t="str">
        <f>""</f>
        <v/>
      </c>
      <c r="DI415" t="str">
        <f>""</f>
        <v/>
      </c>
      <c r="DJ415" t="str">
        <f>""</f>
        <v/>
      </c>
      <c r="DK415" t="str">
        <f>""</f>
        <v/>
      </c>
      <c r="DL415" t="str">
        <f>""</f>
        <v/>
      </c>
      <c r="DM415" t="str">
        <f>""</f>
        <v/>
      </c>
      <c r="DN415" t="str">
        <f>""</f>
        <v/>
      </c>
      <c r="DO415" t="str">
        <f>""</f>
        <v/>
      </c>
      <c r="DP415" t="str">
        <f>""</f>
        <v/>
      </c>
      <c r="DQ415" t="str">
        <f>""</f>
        <v/>
      </c>
      <c r="DR415" t="str">
        <f>""</f>
        <v/>
      </c>
      <c r="DS415" t="str">
        <f>""</f>
        <v/>
      </c>
      <c r="DT415" t="str">
        <f>""</f>
        <v/>
      </c>
      <c r="DU415" t="str">
        <f>""</f>
        <v/>
      </c>
      <c r="DV415" t="str">
        <f>""</f>
        <v/>
      </c>
      <c r="DW415" t="str">
        <f>""</f>
        <v/>
      </c>
      <c r="DX415" t="str">
        <f>""</f>
        <v/>
      </c>
      <c r="DY415" t="str">
        <f>""</f>
        <v/>
      </c>
      <c r="DZ415" t="str">
        <f>""</f>
        <v/>
      </c>
      <c r="EA415" t="str">
        <f>""</f>
        <v/>
      </c>
      <c r="EB415" t="str">
        <f>""</f>
        <v/>
      </c>
      <c r="EC415" t="str">
        <f>""</f>
        <v/>
      </c>
      <c r="ED415" t="str">
        <f>""</f>
        <v/>
      </c>
      <c r="EE415" t="str">
        <f>""</f>
        <v/>
      </c>
      <c r="EF415" t="str">
        <f>""</f>
        <v/>
      </c>
      <c r="EG415" t="str">
        <f>""</f>
        <v/>
      </c>
      <c r="EH415" t="str">
        <f>""</f>
        <v/>
      </c>
      <c r="EI415" t="str">
        <f>""</f>
        <v/>
      </c>
      <c r="EJ415" t="str">
        <f>""</f>
        <v/>
      </c>
      <c r="EK415" t="str">
        <f>""</f>
        <v/>
      </c>
      <c r="EL415" t="str">
        <f>""</f>
        <v/>
      </c>
      <c r="EM415" t="str">
        <f>""</f>
        <v/>
      </c>
      <c r="EN415" t="str">
        <f>""</f>
        <v/>
      </c>
      <c r="EO415" t="str">
        <f>""</f>
        <v/>
      </c>
      <c r="EP415" t="str">
        <f>""</f>
        <v/>
      </c>
      <c r="EQ415" t="str">
        <f>""</f>
        <v/>
      </c>
      <c r="ER415" t="str">
        <f>""</f>
        <v/>
      </c>
      <c r="ES415" t="str">
        <f>""</f>
        <v/>
      </c>
      <c r="ET415" t="str">
        <f>""</f>
        <v/>
      </c>
      <c r="EU415" t="str">
        <f>""</f>
        <v/>
      </c>
      <c r="EV415" t="str">
        <f>""</f>
        <v/>
      </c>
      <c r="EW415" t="str">
        <f>""</f>
        <v/>
      </c>
      <c r="EX415" t="str">
        <f>""</f>
        <v/>
      </c>
      <c r="EY415" t="str">
        <f>""</f>
        <v/>
      </c>
      <c r="EZ415" t="str">
        <f>""</f>
        <v/>
      </c>
      <c r="FA415" t="str">
        <f>""</f>
        <v/>
      </c>
      <c r="FB415" t="str">
        <f>""</f>
        <v/>
      </c>
      <c r="FC415" t="str">
        <f>""</f>
        <v/>
      </c>
      <c r="FD415" t="str">
        <f>""</f>
        <v/>
      </c>
      <c r="FE415" t="str">
        <f>""</f>
        <v/>
      </c>
      <c r="FF415" t="str">
        <f>""</f>
        <v/>
      </c>
      <c r="FG415" t="str">
        <f>""</f>
        <v/>
      </c>
      <c r="FH415" t="str">
        <f>""</f>
        <v/>
      </c>
      <c r="FI415" t="str">
        <f>""</f>
        <v/>
      </c>
      <c r="FJ415" t="str">
        <f>""</f>
        <v/>
      </c>
      <c r="FK415" t="str">
        <f>""</f>
        <v/>
      </c>
      <c r="FL415" t="str">
        <f>""</f>
        <v/>
      </c>
      <c r="FM415" t="str">
        <f>""</f>
        <v/>
      </c>
      <c r="FN415" t="str">
        <f>""</f>
        <v/>
      </c>
      <c r="FO415" t="str">
        <f>""</f>
        <v/>
      </c>
      <c r="FP415" t="str">
        <f>""</f>
        <v/>
      </c>
      <c r="FQ415" t="str">
        <f>""</f>
        <v/>
      </c>
    </row>
    <row r="416" spans="1:173">
      <c r="A416" t="str">
        <f>$A$214</f>
        <v xml:space="preserve">    AvalonBay社区股份有限公司</v>
      </c>
      <c r="B416" t="str">
        <f>$B$214</f>
        <v>AVB US Equity</v>
      </c>
      <c r="C416" t="str">
        <f>$C$214</f>
        <v>F0826</v>
      </c>
      <c r="D416" t="str">
        <f>$D$214</f>
        <v>INDUSTRY_STANDARDIZED_EV</v>
      </c>
      <c r="E416" t="str">
        <f>$E$214</f>
        <v>动态</v>
      </c>
      <c r="F416" t="str">
        <f ca="1">BDH($B$214,$C$214,$B$250,$B$251,CONCATENATE("Per=",$B$248),"Dts=H","Dir=H",CONCATENATE("Points=",$B$249),"Sort=R","Days=A","Fill=B",CONCATENATE("FX=", $B$247) )</f>
        <v>#N/A Authorization</v>
      </c>
      <c r="CL416" t="str">
        <f>""</f>
        <v/>
      </c>
      <c r="CM416" t="str">
        <f>""</f>
        <v/>
      </c>
      <c r="CN416" t="str">
        <f>""</f>
        <v/>
      </c>
      <c r="CO416" t="str">
        <f>""</f>
        <v/>
      </c>
      <c r="CP416" t="str">
        <f>""</f>
        <v/>
      </c>
      <c r="CQ416" t="str">
        <f>""</f>
        <v/>
      </c>
      <c r="CR416" t="str">
        <f>""</f>
        <v/>
      </c>
      <c r="CS416" t="str">
        <f>""</f>
        <v/>
      </c>
      <c r="CT416" t="str">
        <f>""</f>
        <v/>
      </c>
      <c r="CU416" t="str">
        <f>""</f>
        <v/>
      </c>
      <c r="CV416" t="str">
        <f>""</f>
        <v/>
      </c>
      <c r="CW416" t="str">
        <f>""</f>
        <v/>
      </c>
      <c r="CX416" t="str">
        <f>""</f>
        <v/>
      </c>
      <c r="CY416" t="str">
        <f>""</f>
        <v/>
      </c>
      <c r="CZ416" t="str">
        <f>""</f>
        <v/>
      </c>
      <c r="DA416" t="str">
        <f>""</f>
        <v/>
      </c>
      <c r="DB416" t="str">
        <f>""</f>
        <v/>
      </c>
      <c r="DC416" t="str">
        <f>""</f>
        <v/>
      </c>
      <c r="DD416" t="str">
        <f>""</f>
        <v/>
      </c>
      <c r="DE416" t="str">
        <f>""</f>
        <v/>
      </c>
      <c r="DF416" t="str">
        <f>""</f>
        <v/>
      </c>
      <c r="DG416" t="str">
        <f>""</f>
        <v/>
      </c>
      <c r="DH416" t="str">
        <f>""</f>
        <v/>
      </c>
      <c r="DI416" t="str">
        <f>""</f>
        <v/>
      </c>
      <c r="DJ416" t="str">
        <f>""</f>
        <v/>
      </c>
      <c r="DK416" t="str">
        <f>""</f>
        <v/>
      </c>
      <c r="DL416" t="str">
        <f>""</f>
        <v/>
      </c>
      <c r="DM416" t="str">
        <f>""</f>
        <v/>
      </c>
      <c r="DN416" t="str">
        <f>""</f>
        <v/>
      </c>
      <c r="DO416" t="str">
        <f>""</f>
        <v/>
      </c>
      <c r="DP416" t="str">
        <f>""</f>
        <v/>
      </c>
      <c r="DQ416" t="str">
        <f>""</f>
        <v/>
      </c>
      <c r="DR416" t="str">
        <f>""</f>
        <v/>
      </c>
      <c r="DS416" t="str">
        <f>""</f>
        <v/>
      </c>
      <c r="DT416" t="str">
        <f>""</f>
        <v/>
      </c>
      <c r="DU416" t="str">
        <f>""</f>
        <v/>
      </c>
      <c r="DV416" t="str">
        <f>""</f>
        <v/>
      </c>
      <c r="DW416" t="str">
        <f>""</f>
        <v/>
      </c>
      <c r="DX416" t="str">
        <f>""</f>
        <v/>
      </c>
      <c r="DY416" t="str">
        <f>""</f>
        <v/>
      </c>
      <c r="DZ416" t="str">
        <f>""</f>
        <v/>
      </c>
      <c r="EA416" t="str">
        <f>""</f>
        <v/>
      </c>
      <c r="EB416" t="str">
        <f>""</f>
        <v/>
      </c>
      <c r="EC416" t="str">
        <f>""</f>
        <v/>
      </c>
      <c r="ED416" t="str">
        <f>""</f>
        <v/>
      </c>
      <c r="EE416" t="str">
        <f>""</f>
        <v/>
      </c>
      <c r="EF416" t="str">
        <f>""</f>
        <v/>
      </c>
      <c r="EG416" t="str">
        <f>""</f>
        <v/>
      </c>
      <c r="EH416" t="str">
        <f>""</f>
        <v/>
      </c>
      <c r="EI416" t="str">
        <f>""</f>
        <v/>
      </c>
      <c r="EJ416" t="str">
        <f>""</f>
        <v/>
      </c>
      <c r="EK416" t="str">
        <f>""</f>
        <v/>
      </c>
      <c r="EL416" t="str">
        <f>""</f>
        <v/>
      </c>
      <c r="EM416" t="str">
        <f>""</f>
        <v/>
      </c>
      <c r="EN416" t="str">
        <f>""</f>
        <v/>
      </c>
      <c r="EO416" t="str">
        <f>""</f>
        <v/>
      </c>
      <c r="EP416" t="str">
        <f>""</f>
        <v/>
      </c>
      <c r="EQ416" t="str">
        <f>""</f>
        <v/>
      </c>
      <c r="ER416" t="str">
        <f>""</f>
        <v/>
      </c>
      <c r="ES416" t="str">
        <f>""</f>
        <v/>
      </c>
      <c r="ET416" t="str">
        <f>""</f>
        <v/>
      </c>
      <c r="EU416" t="str">
        <f>""</f>
        <v/>
      </c>
      <c r="EV416" t="str">
        <f>""</f>
        <v/>
      </c>
      <c r="EW416" t="str">
        <f>""</f>
        <v/>
      </c>
      <c r="EX416" t="str">
        <f>""</f>
        <v/>
      </c>
      <c r="EY416" t="str">
        <f>""</f>
        <v/>
      </c>
      <c r="EZ416" t="str">
        <f>""</f>
        <v/>
      </c>
      <c r="FA416" t="str">
        <f>""</f>
        <v/>
      </c>
      <c r="FB416" t="str">
        <f>""</f>
        <v/>
      </c>
      <c r="FC416" t="str">
        <f>""</f>
        <v/>
      </c>
      <c r="FD416" t="str">
        <f>""</f>
        <v/>
      </c>
      <c r="FE416" t="str">
        <f>""</f>
        <v/>
      </c>
      <c r="FF416" t="str">
        <f>""</f>
        <v/>
      </c>
      <c r="FG416" t="str">
        <f>""</f>
        <v/>
      </c>
      <c r="FH416" t="str">
        <f>""</f>
        <v/>
      </c>
      <c r="FI416" t="str">
        <f>""</f>
        <v/>
      </c>
      <c r="FJ416" t="str">
        <f>""</f>
        <v/>
      </c>
      <c r="FK416" t="str">
        <f>""</f>
        <v/>
      </c>
      <c r="FL416" t="str">
        <f>""</f>
        <v/>
      </c>
      <c r="FM416" t="str">
        <f>""</f>
        <v/>
      </c>
      <c r="FN416" t="str">
        <f>""</f>
        <v/>
      </c>
      <c r="FO416" t="str">
        <f>""</f>
        <v/>
      </c>
      <c r="FP416" t="str">
        <f>""</f>
        <v/>
      </c>
      <c r="FQ416" t="str">
        <f>""</f>
        <v/>
      </c>
    </row>
    <row r="417" spans="1:173">
      <c r="A417" t="str">
        <f>$A$215</f>
        <v xml:space="preserve">    Camden 房地产信托公司</v>
      </c>
      <c r="B417" t="str">
        <f>$B$215</f>
        <v>CPT US Equity</v>
      </c>
      <c r="C417" t="str">
        <f>$C$215</f>
        <v>F0826</v>
      </c>
      <c r="D417" t="str">
        <f>$D$215</f>
        <v>INDUSTRY_STANDARDIZED_EV</v>
      </c>
      <c r="E417" t="str">
        <f>$E$215</f>
        <v>动态</v>
      </c>
      <c r="F417" t="str">
        <f ca="1">BDH($B$215,$C$215,$B$250,$B$251,CONCATENATE("Per=",$B$248),"Dts=H","Dir=H",CONCATENATE("Points=",$B$249),"Sort=R","Days=A","Fill=B",CONCATENATE("FX=", $B$247) )</f>
        <v>#N/A Authorization</v>
      </c>
      <c r="CL417" t="str">
        <f>""</f>
        <v/>
      </c>
      <c r="CM417" t="str">
        <f>""</f>
        <v/>
      </c>
      <c r="CN417" t="str">
        <f>""</f>
        <v/>
      </c>
      <c r="CO417" t="str">
        <f>""</f>
        <v/>
      </c>
      <c r="CP417" t="str">
        <f>""</f>
        <v/>
      </c>
      <c r="CQ417" t="str">
        <f>""</f>
        <v/>
      </c>
      <c r="CR417" t="str">
        <f>""</f>
        <v/>
      </c>
      <c r="CS417" t="str">
        <f>""</f>
        <v/>
      </c>
      <c r="CT417" t="str">
        <f>""</f>
        <v/>
      </c>
      <c r="CU417" t="str">
        <f>""</f>
        <v/>
      </c>
      <c r="CV417" t="str">
        <f>""</f>
        <v/>
      </c>
      <c r="CW417" t="str">
        <f>""</f>
        <v/>
      </c>
      <c r="CX417" t="str">
        <f>""</f>
        <v/>
      </c>
      <c r="CY417" t="str">
        <f>""</f>
        <v/>
      </c>
      <c r="CZ417" t="str">
        <f>""</f>
        <v/>
      </c>
      <c r="DA417" t="str">
        <f>""</f>
        <v/>
      </c>
      <c r="DB417" t="str">
        <f>""</f>
        <v/>
      </c>
      <c r="DC417" t="str">
        <f>""</f>
        <v/>
      </c>
      <c r="DD417" t="str">
        <f>""</f>
        <v/>
      </c>
      <c r="DE417" t="str">
        <f>""</f>
        <v/>
      </c>
      <c r="DF417" t="str">
        <f>""</f>
        <v/>
      </c>
      <c r="DG417" t="str">
        <f>""</f>
        <v/>
      </c>
      <c r="DH417" t="str">
        <f>""</f>
        <v/>
      </c>
      <c r="DI417" t="str">
        <f>""</f>
        <v/>
      </c>
      <c r="DJ417" t="str">
        <f>""</f>
        <v/>
      </c>
      <c r="DK417" t="str">
        <f>""</f>
        <v/>
      </c>
      <c r="DL417" t="str">
        <f>""</f>
        <v/>
      </c>
      <c r="DM417" t="str">
        <f>""</f>
        <v/>
      </c>
      <c r="DN417" t="str">
        <f>""</f>
        <v/>
      </c>
      <c r="DO417" t="str">
        <f>""</f>
        <v/>
      </c>
      <c r="DP417" t="str">
        <f>""</f>
        <v/>
      </c>
      <c r="DQ417" t="str">
        <f>""</f>
        <v/>
      </c>
      <c r="DR417" t="str">
        <f>""</f>
        <v/>
      </c>
      <c r="DS417" t="str">
        <f>""</f>
        <v/>
      </c>
      <c r="DT417" t="str">
        <f>""</f>
        <v/>
      </c>
      <c r="DU417" t="str">
        <f>""</f>
        <v/>
      </c>
      <c r="DV417" t="str">
        <f>""</f>
        <v/>
      </c>
      <c r="DW417" t="str">
        <f>""</f>
        <v/>
      </c>
      <c r="DX417" t="str">
        <f>""</f>
        <v/>
      </c>
      <c r="DY417" t="str">
        <f>""</f>
        <v/>
      </c>
      <c r="DZ417" t="str">
        <f>""</f>
        <v/>
      </c>
      <c r="EA417" t="str">
        <f>""</f>
        <v/>
      </c>
      <c r="EB417" t="str">
        <f>""</f>
        <v/>
      </c>
      <c r="EC417" t="str">
        <f>""</f>
        <v/>
      </c>
      <c r="ED417" t="str">
        <f>""</f>
        <v/>
      </c>
      <c r="EE417" t="str">
        <f>""</f>
        <v/>
      </c>
      <c r="EF417" t="str">
        <f>""</f>
        <v/>
      </c>
      <c r="EG417" t="str">
        <f>""</f>
        <v/>
      </c>
      <c r="EH417" t="str">
        <f>""</f>
        <v/>
      </c>
      <c r="EI417" t="str">
        <f>""</f>
        <v/>
      </c>
      <c r="EJ417" t="str">
        <f>""</f>
        <v/>
      </c>
      <c r="EK417" t="str">
        <f>""</f>
        <v/>
      </c>
      <c r="EL417" t="str">
        <f>""</f>
        <v/>
      </c>
      <c r="EM417" t="str">
        <f>""</f>
        <v/>
      </c>
      <c r="EN417" t="str">
        <f>""</f>
        <v/>
      </c>
      <c r="EO417" t="str">
        <f>""</f>
        <v/>
      </c>
      <c r="EP417" t="str">
        <f>""</f>
        <v/>
      </c>
      <c r="EQ417" t="str">
        <f>""</f>
        <v/>
      </c>
      <c r="ER417" t="str">
        <f>""</f>
        <v/>
      </c>
      <c r="ES417" t="str">
        <f>""</f>
        <v/>
      </c>
      <c r="ET417" t="str">
        <f>""</f>
        <v/>
      </c>
      <c r="EU417" t="str">
        <f>""</f>
        <v/>
      </c>
      <c r="EV417" t="str">
        <f>""</f>
        <v/>
      </c>
      <c r="EW417" t="str">
        <f>""</f>
        <v/>
      </c>
      <c r="EX417" t="str">
        <f>""</f>
        <v/>
      </c>
      <c r="EY417" t="str">
        <f>""</f>
        <v/>
      </c>
      <c r="EZ417" t="str">
        <f>""</f>
        <v/>
      </c>
      <c r="FA417" t="str">
        <f>""</f>
        <v/>
      </c>
      <c r="FB417" t="str">
        <f>""</f>
        <v/>
      </c>
      <c r="FC417" t="str">
        <f>""</f>
        <v/>
      </c>
      <c r="FD417" t="str">
        <f>""</f>
        <v/>
      </c>
      <c r="FE417" t="str">
        <f>""</f>
        <v/>
      </c>
      <c r="FF417" t="str">
        <f>""</f>
        <v/>
      </c>
      <c r="FG417" t="str">
        <f>""</f>
        <v/>
      </c>
      <c r="FH417" t="str">
        <f>""</f>
        <v/>
      </c>
      <c r="FI417" t="str">
        <f>""</f>
        <v/>
      </c>
      <c r="FJ417" t="str">
        <f>""</f>
        <v/>
      </c>
      <c r="FK417" t="str">
        <f>""</f>
        <v/>
      </c>
      <c r="FL417" t="str">
        <f>""</f>
        <v/>
      </c>
      <c r="FM417" t="str">
        <f>""</f>
        <v/>
      </c>
      <c r="FN417" t="str">
        <f>""</f>
        <v/>
      </c>
      <c r="FO417" t="str">
        <f>""</f>
        <v/>
      </c>
      <c r="FP417" t="str">
        <f>""</f>
        <v/>
      </c>
      <c r="FQ417" t="str">
        <f>""</f>
        <v/>
      </c>
    </row>
    <row r="418" spans="1:173">
      <c r="A418" t="str">
        <f>$A$216</f>
        <v xml:space="preserve">    公寓物业权益信托</v>
      </c>
      <c r="B418" t="str">
        <f>$B$216</f>
        <v>EQR US Equity</v>
      </c>
      <c r="C418" t="str">
        <f>$C$216</f>
        <v>F0826</v>
      </c>
      <c r="D418" t="str">
        <f>$D$216</f>
        <v>INDUSTRY_STANDARDIZED_EV</v>
      </c>
      <c r="E418" t="str">
        <f>$E$216</f>
        <v>动态</v>
      </c>
      <c r="F418" t="str">
        <f ca="1">BDH($B$216,$C$216,$B$250,$B$251,CONCATENATE("Per=",$B$248),"Dts=H","Dir=H",CONCATENATE("Points=",$B$249),"Sort=R","Days=A","Fill=B",CONCATENATE("FX=", $B$247) )</f>
        <v>#N/A Authorization</v>
      </c>
      <c r="CL418" t="str">
        <f>""</f>
        <v/>
      </c>
      <c r="CM418" t="str">
        <f>""</f>
        <v/>
      </c>
      <c r="CN418" t="str">
        <f>""</f>
        <v/>
      </c>
      <c r="CO418" t="str">
        <f>""</f>
        <v/>
      </c>
      <c r="CP418" t="str">
        <f>""</f>
        <v/>
      </c>
      <c r="CQ418" t="str">
        <f>""</f>
        <v/>
      </c>
      <c r="CR418" t="str">
        <f>""</f>
        <v/>
      </c>
      <c r="CS418" t="str">
        <f>""</f>
        <v/>
      </c>
      <c r="CT418" t="str">
        <f>""</f>
        <v/>
      </c>
      <c r="CU418" t="str">
        <f>""</f>
        <v/>
      </c>
      <c r="CV418" t="str">
        <f>""</f>
        <v/>
      </c>
      <c r="CW418" t="str">
        <f>""</f>
        <v/>
      </c>
      <c r="CX418" t="str">
        <f>""</f>
        <v/>
      </c>
      <c r="CY418" t="str">
        <f>""</f>
        <v/>
      </c>
      <c r="CZ418" t="str">
        <f>""</f>
        <v/>
      </c>
      <c r="DA418" t="str">
        <f>""</f>
        <v/>
      </c>
      <c r="DB418" t="str">
        <f>""</f>
        <v/>
      </c>
      <c r="DC418" t="str">
        <f>""</f>
        <v/>
      </c>
      <c r="DD418" t="str">
        <f>""</f>
        <v/>
      </c>
      <c r="DE418" t="str">
        <f>""</f>
        <v/>
      </c>
      <c r="DF418" t="str">
        <f>""</f>
        <v/>
      </c>
      <c r="DG418" t="str">
        <f>""</f>
        <v/>
      </c>
      <c r="DH418" t="str">
        <f>""</f>
        <v/>
      </c>
      <c r="DI418" t="str">
        <f>""</f>
        <v/>
      </c>
      <c r="DJ418" t="str">
        <f>""</f>
        <v/>
      </c>
      <c r="DK418" t="str">
        <f>""</f>
        <v/>
      </c>
      <c r="DL418" t="str">
        <f>""</f>
        <v/>
      </c>
      <c r="DM418" t="str">
        <f>""</f>
        <v/>
      </c>
      <c r="DN418" t="str">
        <f>""</f>
        <v/>
      </c>
      <c r="DO418" t="str">
        <f>""</f>
        <v/>
      </c>
      <c r="DP418" t="str">
        <f>""</f>
        <v/>
      </c>
      <c r="DQ418" t="str">
        <f>""</f>
        <v/>
      </c>
      <c r="DR418" t="str">
        <f>""</f>
        <v/>
      </c>
      <c r="DS418" t="str">
        <f>""</f>
        <v/>
      </c>
      <c r="DT418" t="str">
        <f>""</f>
        <v/>
      </c>
      <c r="DU418" t="str">
        <f>""</f>
        <v/>
      </c>
      <c r="DV418" t="str">
        <f>""</f>
        <v/>
      </c>
      <c r="DW418" t="str">
        <f>""</f>
        <v/>
      </c>
      <c r="DX418" t="str">
        <f>""</f>
        <v/>
      </c>
      <c r="DY418" t="str">
        <f>""</f>
        <v/>
      </c>
      <c r="DZ418" t="str">
        <f>""</f>
        <v/>
      </c>
      <c r="EA418" t="str">
        <f>""</f>
        <v/>
      </c>
      <c r="EB418" t="str">
        <f>""</f>
        <v/>
      </c>
      <c r="EC418" t="str">
        <f>""</f>
        <v/>
      </c>
      <c r="ED418" t="str">
        <f>""</f>
        <v/>
      </c>
      <c r="EE418" t="str">
        <f>""</f>
        <v/>
      </c>
      <c r="EF418" t="str">
        <f>""</f>
        <v/>
      </c>
      <c r="EG418" t="str">
        <f>""</f>
        <v/>
      </c>
      <c r="EH418" t="str">
        <f>""</f>
        <v/>
      </c>
      <c r="EI418" t="str">
        <f>""</f>
        <v/>
      </c>
      <c r="EJ418" t="str">
        <f>""</f>
        <v/>
      </c>
      <c r="EK418" t="str">
        <f>""</f>
        <v/>
      </c>
      <c r="EL418" t="str">
        <f>""</f>
        <v/>
      </c>
      <c r="EM418" t="str">
        <f>""</f>
        <v/>
      </c>
      <c r="EN418" t="str">
        <f>""</f>
        <v/>
      </c>
      <c r="EO418" t="str">
        <f>""</f>
        <v/>
      </c>
      <c r="EP418" t="str">
        <f>""</f>
        <v/>
      </c>
      <c r="EQ418" t="str">
        <f>""</f>
        <v/>
      </c>
      <c r="ER418" t="str">
        <f>""</f>
        <v/>
      </c>
      <c r="ES418" t="str">
        <f>""</f>
        <v/>
      </c>
      <c r="ET418" t="str">
        <f>""</f>
        <v/>
      </c>
      <c r="EU418" t="str">
        <f>""</f>
        <v/>
      </c>
      <c r="EV418" t="str">
        <f>""</f>
        <v/>
      </c>
      <c r="EW418" t="str">
        <f>""</f>
        <v/>
      </c>
      <c r="EX418" t="str">
        <f>""</f>
        <v/>
      </c>
      <c r="EY418" t="str">
        <f>""</f>
        <v/>
      </c>
      <c r="EZ418" t="str">
        <f>""</f>
        <v/>
      </c>
      <c r="FA418" t="str">
        <f>""</f>
        <v/>
      </c>
      <c r="FB418" t="str">
        <f>""</f>
        <v/>
      </c>
      <c r="FC418" t="str">
        <f>""</f>
        <v/>
      </c>
      <c r="FD418" t="str">
        <f>""</f>
        <v/>
      </c>
      <c r="FE418" t="str">
        <f>""</f>
        <v/>
      </c>
      <c r="FF418" t="str">
        <f>""</f>
        <v/>
      </c>
      <c r="FG418" t="str">
        <f>""</f>
        <v/>
      </c>
      <c r="FH418" t="str">
        <f>""</f>
        <v/>
      </c>
      <c r="FI418" t="str">
        <f>""</f>
        <v/>
      </c>
      <c r="FJ418" t="str">
        <f>""</f>
        <v/>
      </c>
      <c r="FK418" t="str">
        <f>""</f>
        <v/>
      </c>
      <c r="FL418" t="str">
        <f>""</f>
        <v/>
      </c>
      <c r="FM418" t="str">
        <f>""</f>
        <v/>
      </c>
      <c r="FN418" t="str">
        <f>""</f>
        <v/>
      </c>
      <c r="FO418" t="str">
        <f>""</f>
        <v/>
      </c>
      <c r="FP418" t="str">
        <f>""</f>
        <v/>
      </c>
      <c r="FQ418" t="str">
        <f>""</f>
        <v/>
      </c>
    </row>
    <row r="419" spans="1:173">
      <c r="A419" t="str">
        <f>$A$217</f>
        <v xml:space="preserve">    埃塞克斯房地产信托公司</v>
      </c>
      <c r="B419" t="str">
        <f>$B$217</f>
        <v>ESS US Equity</v>
      </c>
      <c r="C419" t="str">
        <f>$C$217</f>
        <v>F0826</v>
      </c>
      <c r="D419" t="str">
        <f>$D$217</f>
        <v>INDUSTRY_STANDARDIZED_EV</v>
      </c>
      <c r="E419" t="str">
        <f>$E$217</f>
        <v>动态</v>
      </c>
      <c r="F419" t="str">
        <f ca="1">BDH($B$217,$C$217,$B$250,$B$251,CONCATENATE("Per=",$B$248),"Dts=H","Dir=H",CONCATENATE("Points=",$B$249),"Sort=R","Days=A","Fill=B",CONCATENATE("FX=", $B$247) )</f>
        <v>#N/A Authorization</v>
      </c>
      <c r="CL419" t="str">
        <f>""</f>
        <v/>
      </c>
      <c r="CM419" t="str">
        <f>""</f>
        <v/>
      </c>
      <c r="CN419" t="str">
        <f>""</f>
        <v/>
      </c>
      <c r="CO419" t="str">
        <f>""</f>
        <v/>
      </c>
      <c r="CP419" t="str">
        <f>""</f>
        <v/>
      </c>
      <c r="CQ419" t="str">
        <f>""</f>
        <v/>
      </c>
      <c r="CR419" t="str">
        <f>""</f>
        <v/>
      </c>
      <c r="CS419" t="str">
        <f>""</f>
        <v/>
      </c>
      <c r="CT419" t="str">
        <f>""</f>
        <v/>
      </c>
      <c r="CU419" t="str">
        <f>""</f>
        <v/>
      </c>
      <c r="CV419" t="str">
        <f>""</f>
        <v/>
      </c>
      <c r="CW419" t="str">
        <f>""</f>
        <v/>
      </c>
      <c r="CX419" t="str">
        <f>""</f>
        <v/>
      </c>
      <c r="CY419" t="str">
        <f>""</f>
        <v/>
      </c>
      <c r="CZ419" t="str">
        <f>""</f>
        <v/>
      </c>
      <c r="DA419" t="str">
        <f>""</f>
        <v/>
      </c>
      <c r="DB419" t="str">
        <f>""</f>
        <v/>
      </c>
      <c r="DC419" t="str">
        <f>""</f>
        <v/>
      </c>
      <c r="DD419" t="str">
        <f>""</f>
        <v/>
      </c>
      <c r="DE419" t="str">
        <f>""</f>
        <v/>
      </c>
      <c r="DF419" t="str">
        <f>""</f>
        <v/>
      </c>
      <c r="DG419" t="str">
        <f>""</f>
        <v/>
      </c>
      <c r="DH419" t="str">
        <f>""</f>
        <v/>
      </c>
      <c r="DI419" t="str">
        <f>""</f>
        <v/>
      </c>
      <c r="DJ419" t="str">
        <f>""</f>
        <v/>
      </c>
      <c r="DK419" t="str">
        <f>""</f>
        <v/>
      </c>
      <c r="DL419" t="str">
        <f>""</f>
        <v/>
      </c>
      <c r="DM419" t="str">
        <f>""</f>
        <v/>
      </c>
      <c r="DN419" t="str">
        <f>""</f>
        <v/>
      </c>
      <c r="DO419" t="str">
        <f>""</f>
        <v/>
      </c>
      <c r="DP419" t="str">
        <f>""</f>
        <v/>
      </c>
      <c r="DQ419" t="str">
        <f>""</f>
        <v/>
      </c>
      <c r="DR419" t="str">
        <f>""</f>
        <v/>
      </c>
      <c r="DS419" t="str">
        <f>""</f>
        <v/>
      </c>
      <c r="DT419" t="str">
        <f>""</f>
        <v/>
      </c>
      <c r="DU419" t="str">
        <f>""</f>
        <v/>
      </c>
      <c r="DV419" t="str">
        <f>""</f>
        <v/>
      </c>
      <c r="DW419" t="str">
        <f>""</f>
        <v/>
      </c>
      <c r="DX419" t="str">
        <f>""</f>
        <v/>
      </c>
      <c r="DY419" t="str">
        <f>""</f>
        <v/>
      </c>
      <c r="DZ419" t="str">
        <f>""</f>
        <v/>
      </c>
      <c r="EA419" t="str">
        <f>""</f>
        <v/>
      </c>
      <c r="EB419" t="str">
        <f>""</f>
        <v/>
      </c>
      <c r="EC419" t="str">
        <f>""</f>
        <v/>
      </c>
      <c r="ED419" t="str">
        <f>""</f>
        <v/>
      </c>
      <c r="EE419" t="str">
        <f>""</f>
        <v/>
      </c>
      <c r="EF419" t="str">
        <f>""</f>
        <v/>
      </c>
      <c r="EG419" t="str">
        <f>""</f>
        <v/>
      </c>
      <c r="EH419" t="str">
        <f>""</f>
        <v/>
      </c>
      <c r="EI419" t="str">
        <f>""</f>
        <v/>
      </c>
      <c r="EJ419" t="str">
        <f>""</f>
        <v/>
      </c>
      <c r="EK419" t="str">
        <f>""</f>
        <v/>
      </c>
      <c r="EL419" t="str">
        <f>""</f>
        <v/>
      </c>
      <c r="EM419" t="str">
        <f>""</f>
        <v/>
      </c>
      <c r="EN419" t="str">
        <f>""</f>
        <v/>
      </c>
      <c r="EO419" t="str">
        <f>""</f>
        <v/>
      </c>
      <c r="EP419" t="str">
        <f>""</f>
        <v/>
      </c>
      <c r="EQ419" t="str">
        <f>""</f>
        <v/>
      </c>
      <c r="ER419" t="str">
        <f>""</f>
        <v/>
      </c>
      <c r="ES419" t="str">
        <f>""</f>
        <v/>
      </c>
      <c r="ET419" t="str">
        <f>""</f>
        <v/>
      </c>
      <c r="EU419" t="str">
        <f>""</f>
        <v/>
      </c>
      <c r="EV419" t="str">
        <f>""</f>
        <v/>
      </c>
      <c r="EW419" t="str">
        <f>""</f>
        <v/>
      </c>
      <c r="EX419" t="str">
        <f>""</f>
        <v/>
      </c>
      <c r="EY419" t="str">
        <f>""</f>
        <v/>
      </c>
      <c r="EZ419" t="str">
        <f>""</f>
        <v/>
      </c>
      <c r="FA419" t="str">
        <f>""</f>
        <v/>
      </c>
      <c r="FB419" t="str">
        <f>""</f>
        <v/>
      </c>
      <c r="FC419" t="str">
        <f>""</f>
        <v/>
      </c>
      <c r="FD419" t="str">
        <f>""</f>
        <v/>
      </c>
      <c r="FE419" t="str">
        <f>""</f>
        <v/>
      </c>
      <c r="FF419" t="str">
        <f>""</f>
        <v/>
      </c>
      <c r="FG419" t="str">
        <f>""</f>
        <v/>
      </c>
      <c r="FH419" t="str">
        <f>""</f>
        <v/>
      </c>
      <c r="FI419" t="str">
        <f>""</f>
        <v/>
      </c>
      <c r="FJ419" t="str">
        <f>""</f>
        <v/>
      </c>
      <c r="FK419" t="str">
        <f>""</f>
        <v/>
      </c>
      <c r="FL419" t="str">
        <f>""</f>
        <v/>
      </c>
      <c r="FM419" t="str">
        <f>""</f>
        <v/>
      </c>
      <c r="FN419" t="str">
        <f>""</f>
        <v/>
      </c>
      <c r="FO419" t="str">
        <f>""</f>
        <v/>
      </c>
      <c r="FP419" t="str">
        <f>""</f>
        <v/>
      </c>
      <c r="FQ419" t="str">
        <f>""</f>
        <v/>
      </c>
    </row>
    <row r="420" spans="1:173">
      <c r="A420" t="str">
        <f>$A$218</f>
        <v xml:space="preserve">    Mid-America Apartment Communities股份有限公司</v>
      </c>
      <c r="B420" t="str">
        <f>$B$218</f>
        <v>MAA US Equity</v>
      </c>
      <c r="C420" t="str">
        <f>$C$218</f>
        <v>F0826</v>
      </c>
      <c r="D420" t="str">
        <f>$D$218</f>
        <v>INDUSTRY_STANDARDIZED_EV</v>
      </c>
      <c r="E420" t="str">
        <f>$E$218</f>
        <v>动态</v>
      </c>
      <c r="F420" t="str">
        <f ca="1">BDH($B$218,$C$218,$B$250,$B$251,CONCATENATE("Per=",$B$248),"Dts=H","Dir=H",CONCATENATE("Points=",$B$249),"Sort=R","Days=A","Fill=B",CONCATENATE("FX=", $B$247) )</f>
        <v>#N/A Authorization</v>
      </c>
      <c r="CL420" t="str">
        <f>""</f>
        <v/>
      </c>
      <c r="CM420" t="str">
        <f>""</f>
        <v/>
      </c>
      <c r="CN420" t="str">
        <f>""</f>
        <v/>
      </c>
      <c r="CO420" t="str">
        <f>""</f>
        <v/>
      </c>
      <c r="CP420" t="str">
        <f>""</f>
        <v/>
      </c>
      <c r="CQ420" t="str">
        <f>""</f>
        <v/>
      </c>
      <c r="CR420" t="str">
        <f>""</f>
        <v/>
      </c>
      <c r="CS420" t="str">
        <f>""</f>
        <v/>
      </c>
      <c r="CT420" t="str">
        <f>""</f>
        <v/>
      </c>
      <c r="CU420" t="str">
        <f>""</f>
        <v/>
      </c>
      <c r="CV420" t="str">
        <f>""</f>
        <v/>
      </c>
      <c r="CW420" t="str">
        <f>""</f>
        <v/>
      </c>
      <c r="CX420" t="str">
        <f>""</f>
        <v/>
      </c>
      <c r="CY420" t="str">
        <f>""</f>
        <v/>
      </c>
      <c r="CZ420" t="str">
        <f>""</f>
        <v/>
      </c>
      <c r="DA420" t="str">
        <f>""</f>
        <v/>
      </c>
      <c r="DB420" t="str">
        <f>""</f>
        <v/>
      </c>
      <c r="DC420" t="str">
        <f>""</f>
        <v/>
      </c>
      <c r="DD420" t="str">
        <f>""</f>
        <v/>
      </c>
      <c r="DE420" t="str">
        <f>""</f>
        <v/>
      </c>
      <c r="DF420" t="str">
        <f>""</f>
        <v/>
      </c>
      <c r="DG420" t="str">
        <f>""</f>
        <v/>
      </c>
      <c r="DH420" t="str">
        <f>""</f>
        <v/>
      </c>
      <c r="DI420" t="str">
        <f>""</f>
        <v/>
      </c>
      <c r="DJ420" t="str">
        <f>""</f>
        <v/>
      </c>
      <c r="DK420" t="str">
        <f>""</f>
        <v/>
      </c>
      <c r="DL420" t="str">
        <f>""</f>
        <v/>
      </c>
      <c r="DM420" t="str">
        <f>""</f>
        <v/>
      </c>
      <c r="DN420" t="str">
        <f>""</f>
        <v/>
      </c>
      <c r="DO420" t="str">
        <f>""</f>
        <v/>
      </c>
      <c r="DP420" t="str">
        <f>""</f>
        <v/>
      </c>
      <c r="DQ420" t="str">
        <f>""</f>
        <v/>
      </c>
      <c r="DR420" t="str">
        <f>""</f>
        <v/>
      </c>
      <c r="DS420" t="str">
        <f>""</f>
        <v/>
      </c>
      <c r="DT420" t="str">
        <f>""</f>
        <v/>
      </c>
      <c r="DU420" t="str">
        <f>""</f>
        <v/>
      </c>
      <c r="DV420" t="str">
        <f>""</f>
        <v/>
      </c>
      <c r="DW420" t="str">
        <f>""</f>
        <v/>
      </c>
      <c r="DX420" t="str">
        <f>""</f>
        <v/>
      </c>
      <c r="DY420" t="str">
        <f>""</f>
        <v/>
      </c>
      <c r="DZ420" t="str">
        <f>""</f>
        <v/>
      </c>
      <c r="EA420" t="str">
        <f>""</f>
        <v/>
      </c>
      <c r="EB420" t="str">
        <f>""</f>
        <v/>
      </c>
      <c r="EC420" t="str">
        <f>""</f>
        <v/>
      </c>
      <c r="ED420" t="str">
        <f>""</f>
        <v/>
      </c>
      <c r="EE420" t="str">
        <f>""</f>
        <v/>
      </c>
      <c r="EF420" t="str">
        <f>""</f>
        <v/>
      </c>
      <c r="EG420" t="str">
        <f>""</f>
        <v/>
      </c>
      <c r="EH420" t="str">
        <f>""</f>
        <v/>
      </c>
      <c r="EI420" t="str">
        <f>""</f>
        <v/>
      </c>
      <c r="EJ420" t="str">
        <f>""</f>
        <v/>
      </c>
      <c r="EK420" t="str">
        <f>""</f>
        <v/>
      </c>
      <c r="EL420" t="str">
        <f>""</f>
        <v/>
      </c>
      <c r="EM420" t="str">
        <f>""</f>
        <v/>
      </c>
      <c r="EN420" t="str">
        <f>""</f>
        <v/>
      </c>
      <c r="EO420" t="str">
        <f>""</f>
        <v/>
      </c>
      <c r="EP420" t="str">
        <f>""</f>
        <v/>
      </c>
      <c r="EQ420" t="str">
        <f>""</f>
        <v/>
      </c>
      <c r="ER420" t="str">
        <f>""</f>
        <v/>
      </c>
      <c r="ES420" t="str">
        <f>""</f>
        <v/>
      </c>
      <c r="ET420" t="str">
        <f>""</f>
        <v/>
      </c>
      <c r="EU420" t="str">
        <f>""</f>
        <v/>
      </c>
      <c r="EV420" t="str">
        <f>""</f>
        <v/>
      </c>
      <c r="EW420" t="str">
        <f>""</f>
        <v/>
      </c>
      <c r="EX420" t="str">
        <f>""</f>
        <v/>
      </c>
      <c r="EY420" t="str">
        <f>""</f>
        <v/>
      </c>
      <c r="EZ420" t="str">
        <f>""</f>
        <v/>
      </c>
      <c r="FA420" t="str">
        <f>""</f>
        <v/>
      </c>
      <c r="FB420" t="str">
        <f>""</f>
        <v/>
      </c>
      <c r="FC420" t="str">
        <f>""</f>
        <v/>
      </c>
      <c r="FD420" t="str">
        <f>""</f>
        <v/>
      </c>
      <c r="FE420" t="str">
        <f>""</f>
        <v/>
      </c>
      <c r="FF420" t="str">
        <f>""</f>
        <v/>
      </c>
      <c r="FG420" t="str">
        <f>""</f>
        <v/>
      </c>
      <c r="FH420" t="str">
        <f>""</f>
        <v/>
      </c>
      <c r="FI420" t="str">
        <f>""</f>
        <v/>
      </c>
      <c r="FJ420" t="str">
        <f>""</f>
        <v/>
      </c>
      <c r="FK420" t="str">
        <f>""</f>
        <v/>
      </c>
      <c r="FL420" t="str">
        <f>""</f>
        <v/>
      </c>
      <c r="FM420" t="str">
        <f>""</f>
        <v/>
      </c>
      <c r="FN420" t="str">
        <f>""</f>
        <v/>
      </c>
      <c r="FO420" t="str">
        <f>""</f>
        <v/>
      </c>
      <c r="FP420" t="str">
        <f>""</f>
        <v/>
      </c>
      <c r="FQ420" t="str">
        <f>""</f>
        <v/>
      </c>
    </row>
    <row r="421" spans="1:173">
      <c r="A421" t="str">
        <f>$A$219</f>
        <v xml:space="preserve">    UDR 公司</v>
      </c>
      <c r="B421" t="str">
        <f>$B$219</f>
        <v>UDR US Equity</v>
      </c>
      <c r="C421" t="str">
        <f>$C$219</f>
        <v>F0826</v>
      </c>
      <c r="D421" t="str">
        <f>$D$219</f>
        <v>INDUSTRY_STANDARDIZED_EV</v>
      </c>
      <c r="E421" t="str">
        <f>$E$219</f>
        <v>动态</v>
      </c>
      <c r="F421" t="str">
        <f ca="1">BDH($B$219,$C$219,$B$250,$B$251,CONCATENATE("Per=",$B$248),"Dts=H","Dir=H",CONCATENATE("Points=",$B$249),"Sort=R","Days=A","Fill=B",CONCATENATE("FX=", $B$247) )</f>
        <v>#N/A Authorization</v>
      </c>
      <c r="CL421" t="str">
        <f>""</f>
        <v/>
      </c>
      <c r="CM421" t="str">
        <f>""</f>
        <v/>
      </c>
      <c r="CN421" t="str">
        <f>""</f>
        <v/>
      </c>
      <c r="CO421" t="str">
        <f>""</f>
        <v/>
      </c>
      <c r="CP421" t="str">
        <f>""</f>
        <v/>
      </c>
      <c r="CQ421" t="str">
        <f>""</f>
        <v/>
      </c>
      <c r="CR421" t="str">
        <f>""</f>
        <v/>
      </c>
      <c r="CS421" t="str">
        <f>""</f>
        <v/>
      </c>
      <c r="CT421" t="str">
        <f>""</f>
        <v/>
      </c>
      <c r="CU421" t="str">
        <f>""</f>
        <v/>
      </c>
      <c r="CV421" t="str">
        <f>""</f>
        <v/>
      </c>
      <c r="CW421" t="str">
        <f>""</f>
        <v/>
      </c>
      <c r="CX421" t="str">
        <f>""</f>
        <v/>
      </c>
      <c r="CY421" t="str">
        <f>""</f>
        <v/>
      </c>
      <c r="CZ421" t="str">
        <f>""</f>
        <v/>
      </c>
      <c r="DA421" t="str">
        <f>""</f>
        <v/>
      </c>
      <c r="DB421" t="str">
        <f>""</f>
        <v/>
      </c>
      <c r="DC421" t="str">
        <f>""</f>
        <v/>
      </c>
      <c r="DD421" t="str">
        <f>""</f>
        <v/>
      </c>
      <c r="DE421" t="str">
        <f>""</f>
        <v/>
      </c>
      <c r="DF421" t="str">
        <f>""</f>
        <v/>
      </c>
      <c r="DG421" t="str">
        <f>""</f>
        <v/>
      </c>
      <c r="DH421" t="str">
        <f>""</f>
        <v/>
      </c>
      <c r="DI421" t="str">
        <f>""</f>
        <v/>
      </c>
      <c r="DJ421" t="str">
        <f>""</f>
        <v/>
      </c>
      <c r="DK421" t="str">
        <f>""</f>
        <v/>
      </c>
      <c r="DL421" t="str">
        <f>""</f>
        <v/>
      </c>
      <c r="DM421" t="str">
        <f>""</f>
        <v/>
      </c>
      <c r="DN421" t="str">
        <f>""</f>
        <v/>
      </c>
      <c r="DO421" t="str">
        <f>""</f>
        <v/>
      </c>
      <c r="DP421" t="str">
        <f>""</f>
        <v/>
      </c>
      <c r="DQ421" t="str">
        <f>""</f>
        <v/>
      </c>
      <c r="DR421" t="str">
        <f>""</f>
        <v/>
      </c>
      <c r="DS421" t="str">
        <f>""</f>
        <v/>
      </c>
      <c r="DT421" t="str">
        <f>""</f>
        <v/>
      </c>
      <c r="DU421" t="str">
        <f>""</f>
        <v/>
      </c>
      <c r="DV421" t="str">
        <f>""</f>
        <v/>
      </c>
      <c r="DW421" t="str">
        <f>""</f>
        <v/>
      </c>
      <c r="DX421" t="str">
        <f>""</f>
        <v/>
      </c>
      <c r="DY421" t="str">
        <f>""</f>
        <v/>
      </c>
      <c r="DZ421" t="str">
        <f>""</f>
        <v/>
      </c>
      <c r="EA421" t="str">
        <f>""</f>
        <v/>
      </c>
      <c r="EB421" t="str">
        <f>""</f>
        <v/>
      </c>
      <c r="EC421" t="str">
        <f>""</f>
        <v/>
      </c>
      <c r="ED421" t="str">
        <f>""</f>
        <v/>
      </c>
      <c r="EE421" t="str">
        <f>""</f>
        <v/>
      </c>
      <c r="EF421" t="str">
        <f>""</f>
        <v/>
      </c>
      <c r="EG421" t="str">
        <f>""</f>
        <v/>
      </c>
      <c r="EH421" t="str">
        <f>""</f>
        <v/>
      </c>
      <c r="EI421" t="str">
        <f>""</f>
        <v/>
      </c>
      <c r="EJ421" t="str">
        <f>""</f>
        <v/>
      </c>
      <c r="EK421" t="str">
        <f>""</f>
        <v/>
      </c>
      <c r="EL421" t="str">
        <f>""</f>
        <v/>
      </c>
      <c r="EM421" t="str">
        <f>""</f>
        <v/>
      </c>
      <c r="EN421" t="str">
        <f>""</f>
        <v/>
      </c>
      <c r="EO421" t="str">
        <f>""</f>
        <v/>
      </c>
      <c r="EP421" t="str">
        <f>""</f>
        <v/>
      </c>
      <c r="EQ421" t="str">
        <f>""</f>
        <v/>
      </c>
      <c r="ER421" t="str">
        <f>""</f>
        <v/>
      </c>
      <c r="ES421" t="str">
        <f>""</f>
        <v/>
      </c>
      <c r="ET421" t="str">
        <f>""</f>
        <v/>
      </c>
      <c r="EU421" t="str">
        <f>""</f>
        <v/>
      </c>
      <c r="EV421" t="str">
        <f>""</f>
        <v/>
      </c>
      <c r="EW421" t="str">
        <f>""</f>
        <v/>
      </c>
      <c r="EX421" t="str">
        <f>""</f>
        <v/>
      </c>
      <c r="EY421" t="str">
        <f>""</f>
        <v/>
      </c>
      <c r="EZ421" t="str">
        <f>""</f>
        <v/>
      </c>
      <c r="FA421" t="str">
        <f>""</f>
        <v/>
      </c>
      <c r="FB421" t="str">
        <f>""</f>
        <v/>
      </c>
      <c r="FC421" t="str">
        <f>""</f>
        <v/>
      </c>
      <c r="FD421" t="str">
        <f>""</f>
        <v/>
      </c>
      <c r="FE421" t="str">
        <f>""</f>
        <v/>
      </c>
      <c r="FF421" t="str">
        <f>""</f>
        <v/>
      </c>
      <c r="FG421" t="str">
        <f>""</f>
        <v/>
      </c>
      <c r="FH421" t="str">
        <f>""</f>
        <v/>
      </c>
      <c r="FI421" t="str">
        <f>""</f>
        <v/>
      </c>
      <c r="FJ421" t="str">
        <f>""</f>
        <v/>
      </c>
      <c r="FK421" t="str">
        <f>""</f>
        <v/>
      </c>
      <c r="FL421" t="str">
        <f>""</f>
        <v/>
      </c>
      <c r="FM421" t="str">
        <f>""</f>
        <v/>
      </c>
      <c r="FN421" t="str">
        <f>""</f>
        <v/>
      </c>
      <c r="FO421" t="str">
        <f>""</f>
        <v/>
      </c>
      <c r="FP421" t="str">
        <f>""</f>
        <v/>
      </c>
      <c r="FQ421" t="str">
        <f>""</f>
        <v/>
      </c>
    </row>
    <row r="422" spans="1:173">
      <c r="A422" t="str">
        <f>$A$221</f>
        <v xml:space="preserve">    Apartment Investment &amp; Managem</v>
      </c>
      <c r="B422" t="str">
        <f>$B$221</f>
        <v>AIV US Equity</v>
      </c>
      <c r="C422" t="str">
        <f>$C$221</f>
        <v>PR005</v>
      </c>
      <c r="D422" t="str">
        <f>$D$221</f>
        <v>PX_LAST</v>
      </c>
      <c r="E422" t="str">
        <f>$E$221</f>
        <v>动态</v>
      </c>
      <c r="F422" t="str">
        <f ca="1">BDH($B$221,$C$221,$B$250,$B$251,CONCATENATE("Per=",$B$248),"Dts=H","Dir=H",CONCATENATE("Points=",$B$249),"Sort=R","Days=A","Fill=B",CONCATENATE("FX=", $B$247) )</f>
        <v>#N/A Authorization</v>
      </c>
      <c r="CL422" t="str">
        <f>""</f>
        <v/>
      </c>
      <c r="CM422" t="str">
        <f>""</f>
        <v/>
      </c>
      <c r="CN422" t="str">
        <f>""</f>
        <v/>
      </c>
      <c r="CO422" t="str">
        <f>""</f>
        <v/>
      </c>
      <c r="CP422" t="str">
        <f>""</f>
        <v/>
      </c>
      <c r="CQ422" t="str">
        <f>""</f>
        <v/>
      </c>
      <c r="CR422" t="str">
        <f>""</f>
        <v/>
      </c>
      <c r="CS422" t="str">
        <f>""</f>
        <v/>
      </c>
      <c r="CT422" t="str">
        <f>""</f>
        <v/>
      </c>
      <c r="CU422" t="str">
        <f>""</f>
        <v/>
      </c>
      <c r="CV422" t="str">
        <f>""</f>
        <v/>
      </c>
      <c r="CW422" t="str">
        <f>""</f>
        <v/>
      </c>
      <c r="CX422" t="str">
        <f>""</f>
        <v/>
      </c>
      <c r="CY422" t="str">
        <f>""</f>
        <v/>
      </c>
      <c r="CZ422" t="str">
        <f>""</f>
        <v/>
      </c>
      <c r="DA422" t="str">
        <f>""</f>
        <v/>
      </c>
      <c r="DB422" t="str">
        <f>""</f>
        <v/>
      </c>
      <c r="DC422" t="str">
        <f>""</f>
        <v/>
      </c>
      <c r="DD422" t="str">
        <f>""</f>
        <v/>
      </c>
      <c r="DE422" t="str">
        <f>""</f>
        <v/>
      </c>
      <c r="DF422" t="str">
        <f>""</f>
        <v/>
      </c>
      <c r="DG422" t="str">
        <f>""</f>
        <v/>
      </c>
      <c r="DH422" t="str">
        <f>""</f>
        <v/>
      </c>
      <c r="DI422" t="str">
        <f>""</f>
        <v/>
      </c>
      <c r="DJ422" t="str">
        <f>""</f>
        <v/>
      </c>
      <c r="DK422" t="str">
        <f>""</f>
        <v/>
      </c>
      <c r="DL422" t="str">
        <f>""</f>
        <v/>
      </c>
      <c r="DM422" t="str">
        <f>""</f>
        <v/>
      </c>
      <c r="DN422" t="str">
        <f>""</f>
        <v/>
      </c>
      <c r="DO422" t="str">
        <f>""</f>
        <v/>
      </c>
      <c r="DP422" t="str">
        <f>""</f>
        <v/>
      </c>
      <c r="DQ422" t="str">
        <f>""</f>
        <v/>
      </c>
      <c r="DR422" t="str">
        <f>""</f>
        <v/>
      </c>
      <c r="DS422" t="str">
        <f>""</f>
        <v/>
      </c>
      <c r="DT422" t="str">
        <f>""</f>
        <v/>
      </c>
      <c r="DU422" t="str">
        <f>""</f>
        <v/>
      </c>
      <c r="DV422" t="str">
        <f>""</f>
        <v/>
      </c>
      <c r="DW422" t="str">
        <f>""</f>
        <v/>
      </c>
      <c r="DX422" t="str">
        <f>""</f>
        <v/>
      </c>
      <c r="DY422" t="str">
        <f>""</f>
        <v/>
      </c>
      <c r="DZ422" t="str">
        <f>""</f>
        <v/>
      </c>
      <c r="EA422" t="str">
        <f>""</f>
        <v/>
      </c>
      <c r="EB422" t="str">
        <f>""</f>
        <v/>
      </c>
      <c r="EC422" t="str">
        <f>""</f>
        <v/>
      </c>
      <c r="ED422" t="str">
        <f>""</f>
        <v/>
      </c>
      <c r="EE422" t="str">
        <f>""</f>
        <v/>
      </c>
      <c r="EF422" t="str">
        <f>""</f>
        <v/>
      </c>
      <c r="EG422" t="str">
        <f>""</f>
        <v/>
      </c>
      <c r="EH422" t="str">
        <f>""</f>
        <v/>
      </c>
      <c r="EI422" t="str">
        <f>""</f>
        <v/>
      </c>
      <c r="EJ422" t="str">
        <f>""</f>
        <v/>
      </c>
      <c r="EK422" t="str">
        <f>""</f>
        <v/>
      </c>
      <c r="EL422" t="str">
        <f>""</f>
        <v/>
      </c>
      <c r="EM422" t="str">
        <f>""</f>
        <v/>
      </c>
      <c r="EN422" t="str">
        <f>""</f>
        <v/>
      </c>
      <c r="EO422" t="str">
        <f>""</f>
        <v/>
      </c>
      <c r="EP422" t="str">
        <f>""</f>
        <v/>
      </c>
      <c r="EQ422" t="str">
        <f>""</f>
        <v/>
      </c>
      <c r="ER422" t="str">
        <f>""</f>
        <v/>
      </c>
      <c r="ES422" t="str">
        <f>""</f>
        <v/>
      </c>
      <c r="ET422" t="str">
        <f>""</f>
        <v/>
      </c>
      <c r="EU422" t="str">
        <f>""</f>
        <v/>
      </c>
      <c r="EV422" t="str">
        <f>""</f>
        <v/>
      </c>
      <c r="EW422" t="str">
        <f>""</f>
        <v/>
      </c>
      <c r="EX422" t="str">
        <f>""</f>
        <v/>
      </c>
      <c r="EY422" t="str">
        <f>""</f>
        <v/>
      </c>
      <c r="EZ422" t="str">
        <f>""</f>
        <v/>
      </c>
      <c r="FA422" t="str">
        <f>""</f>
        <v/>
      </c>
      <c r="FB422" t="str">
        <f>""</f>
        <v/>
      </c>
      <c r="FC422" t="str">
        <f>""</f>
        <v/>
      </c>
      <c r="FD422" t="str">
        <f>""</f>
        <v/>
      </c>
      <c r="FE422" t="str">
        <f>""</f>
        <v/>
      </c>
      <c r="FF422" t="str">
        <f>""</f>
        <v/>
      </c>
      <c r="FG422" t="str">
        <f>""</f>
        <v/>
      </c>
      <c r="FH422" t="str">
        <f>""</f>
        <v/>
      </c>
      <c r="FI422" t="str">
        <f>""</f>
        <v/>
      </c>
      <c r="FJ422" t="str">
        <f>""</f>
        <v/>
      </c>
      <c r="FK422" t="str">
        <f>""</f>
        <v/>
      </c>
      <c r="FL422" t="str">
        <f>""</f>
        <v/>
      </c>
      <c r="FM422" t="str">
        <f>""</f>
        <v/>
      </c>
      <c r="FN422" t="str">
        <f>""</f>
        <v/>
      </c>
      <c r="FO422" t="str">
        <f>""</f>
        <v/>
      </c>
      <c r="FP422" t="str">
        <f>""</f>
        <v/>
      </c>
      <c r="FQ422" t="str">
        <f>""</f>
        <v/>
      </c>
    </row>
    <row r="423" spans="1:173">
      <c r="A423" t="str">
        <f>$A$222</f>
        <v xml:space="preserve">    AvalonBay Communities Inc</v>
      </c>
      <c r="B423" t="str">
        <f>$B$222</f>
        <v>AVB US Equity</v>
      </c>
      <c r="C423" t="str">
        <f>$C$222</f>
        <v>PR005</v>
      </c>
      <c r="D423" t="str">
        <f>$D$222</f>
        <v>PX_LAST</v>
      </c>
      <c r="E423" t="str">
        <f>$E$222</f>
        <v>动态</v>
      </c>
      <c r="F423" t="str">
        <f ca="1">BDH($B$222,$C$222,$B$250,$B$251,CONCATENATE("Per=",$B$248),"Dts=H","Dir=H",CONCATENATE("Points=",$B$249),"Sort=R","Days=A","Fill=B",CONCATENATE("FX=", $B$247) )</f>
        <v>#N/A Authorization</v>
      </c>
      <c r="CL423" t="str">
        <f>""</f>
        <v/>
      </c>
      <c r="CM423" t="str">
        <f>""</f>
        <v/>
      </c>
      <c r="CN423" t="str">
        <f>""</f>
        <v/>
      </c>
      <c r="CO423" t="str">
        <f>""</f>
        <v/>
      </c>
      <c r="CP423" t="str">
        <f>""</f>
        <v/>
      </c>
      <c r="CQ423" t="str">
        <f>""</f>
        <v/>
      </c>
      <c r="CR423" t="str">
        <f>""</f>
        <v/>
      </c>
      <c r="CS423" t="str">
        <f>""</f>
        <v/>
      </c>
      <c r="CT423" t="str">
        <f>""</f>
        <v/>
      </c>
      <c r="CU423" t="str">
        <f>""</f>
        <v/>
      </c>
      <c r="CV423" t="str">
        <f>""</f>
        <v/>
      </c>
      <c r="CW423" t="str">
        <f>""</f>
        <v/>
      </c>
      <c r="CX423" t="str">
        <f>""</f>
        <v/>
      </c>
      <c r="CY423" t="str">
        <f>""</f>
        <v/>
      </c>
      <c r="CZ423" t="str">
        <f>""</f>
        <v/>
      </c>
      <c r="DA423" t="str">
        <f>""</f>
        <v/>
      </c>
      <c r="DB423" t="str">
        <f>""</f>
        <v/>
      </c>
      <c r="DC423" t="str">
        <f>""</f>
        <v/>
      </c>
      <c r="DD423" t="str">
        <f>""</f>
        <v/>
      </c>
      <c r="DE423" t="str">
        <f>""</f>
        <v/>
      </c>
      <c r="DF423" t="str">
        <f>""</f>
        <v/>
      </c>
      <c r="DG423" t="str">
        <f>""</f>
        <v/>
      </c>
      <c r="DH423" t="str">
        <f>""</f>
        <v/>
      </c>
      <c r="DI423" t="str">
        <f>""</f>
        <v/>
      </c>
      <c r="DJ423" t="str">
        <f>""</f>
        <v/>
      </c>
      <c r="DK423" t="str">
        <f>""</f>
        <v/>
      </c>
      <c r="DL423" t="str">
        <f>""</f>
        <v/>
      </c>
      <c r="DM423" t="str">
        <f>""</f>
        <v/>
      </c>
      <c r="DN423" t="str">
        <f>""</f>
        <v/>
      </c>
      <c r="DO423" t="str">
        <f>""</f>
        <v/>
      </c>
      <c r="DP423" t="str">
        <f>""</f>
        <v/>
      </c>
      <c r="DQ423" t="str">
        <f>""</f>
        <v/>
      </c>
      <c r="DR423" t="str">
        <f>""</f>
        <v/>
      </c>
      <c r="DS423" t="str">
        <f>""</f>
        <v/>
      </c>
      <c r="DT423" t="str">
        <f>""</f>
        <v/>
      </c>
      <c r="DU423" t="str">
        <f>""</f>
        <v/>
      </c>
      <c r="DV423" t="str">
        <f>""</f>
        <v/>
      </c>
      <c r="DW423" t="str">
        <f>""</f>
        <v/>
      </c>
      <c r="DX423" t="str">
        <f>""</f>
        <v/>
      </c>
      <c r="DY423" t="str">
        <f>""</f>
        <v/>
      </c>
      <c r="DZ423" t="str">
        <f>""</f>
        <v/>
      </c>
      <c r="EA423" t="str">
        <f>""</f>
        <v/>
      </c>
      <c r="EB423" t="str">
        <f>""</f>
        <v/>
      </c>
      <c r="EC423" t="str">
        <f>""</f>
        <v/>
      </c>
      <c r="ED423" t="str">
        <f>""</f>
        <v/>
      </c>
      <c r="EE423" t="str">
        <f>""</f>
        <v/>
      </c>
      <c r="EF423" t="str">
        <f>""</f>
        <v/>
      </c>
      <c r="EG423" t="str">
        <f>""</f>
        <v/>
      </c>
      <c r="EH423" t="str">
        <f>""</f>
        <v/>
      </c>
      <c r="EI423" t="str">
        <f>""</f>
        <v/>
      </c>
      <c r="EJ423" t="str">
        <f>""</f>
        <v/>
      </c>
      <c r="EK423" t="str">
        <f>""</f>
        <v/>
      </c>
      <c r="EL423" t="str">
        <f>""</f>
        <v/>
      </c>
      <c r="EM423" t="str">
        <f>""</f>
        <v/>
      </c>
      <c r="EN423" t="str">
        <f>""</f>
        <v/>
      </c>
      <c r="EO423" t="str">
        <f>""</f>
        <v/>
      </c>
      <c r="EP423" t="str">
        <f>""</f>
        <v/>
      </c>
      <c r="EQ423" t="str">
        <f>""</f>
        <v/>
      </c>
      <c r="ER423" t="str">
        <f>""</f>
        <v/>
      </c>
      <c r="ES423" t="str">
        <f>""</f>
        <v/>
      </c>
      <c r="ET423" t="str">
        <f>""</f>
        <v/>
      </c>
      <c r="EU423" t="str">
        <f>""</f>
        <v/>
      </c>
      <c r="EV423" t="str">
        <f>""</f>
        <v/>
      </c>
      <c r="EW423" t="str">
        <f>""</f>
        <v/>
      </c>
      <c r="EX423" t="str">
        <f>""</f>
        <v/>
      </c>
      <c r="EY423" t="str">
        <f>""</f>
        <v/>
      </c>
      <c r="EZ423" t="str">
        <f>""</f>
        <v/>
      </c>
      <c r="FA423" t="str">
        <f>""</f>
        <v/>
      </c>
      <c r="FB423" t="str">
        <f>""</f>
        <v/>
      </c>
      <c r="FC423" t="str">
        <f>""</f>
        <v/>
      </c>
      <c r="FD423" t="str">
        <f>""</f>
        <v/>
      </c>
      <c r="FE423" t="str">
        <f>""</f>
        <v/>
      </c>
      <c r="FF423" t="str">
        <f>""</f>
        <v/>
      </c>
      <c r="FG423" t="str">
        <f>""</f>
        <v/>
      </c>
      <c r="FH423" t="str">
        <f>""</f>
        <v/>
      </c>
      <c r="FI423" t="str">
        <f>""</f>
        <v/>
      </c>
      <c r="FJ423" t="str">
        <f>""</f>
        <v/>
      </c>
      <c r="FK423" t="str">
        <f>""</f>
        <v/>
      </c>
      <c r="FL423" t="str">
        <f>""</f>
        <v/>
      </c>
      <c r="FM423" t="str">
        <f>""</f>
        <v/>
      </c>
      <c r="FN423" t="str">
        <f>""</f>
        <v/>
      </c>
      <c r="FO423" t="str">
        <f>""</f>
        <v/>
      </c>
      <c r="FP423" t="str">
        <f>""</f>
        <v/>
      </c>
      <c r="FQ423" t="str">
        <f>""</f>
        <v/>
      </c>
    </row>
    <row r="424" spans="1:173">
      <c r="A424" t="str">
        <f>$A$223</f>
        <v xml:space="preserve">    Camden Property Trust</v>
      </c>
      <c r="B424" t="str">
        <f>$B$223</f>
        <v>CPT US Equity</v>
      </c>
      <c r="C424" t="str">
        <f>$C$223</f>
        <v>PR005</v>
      </c>
      <c r="D424" t="str">
        <f>$D$223</f>
        <v>PX_LAST</v>
      </c>
      <c r="E424" t="str">
        <f>$E$223</f>
        <v>动态</v>
      </c>
      <c r="F424" t="str">
        <f ca="1">BDH($B$223,$C$223,$B$250,$B$251,CONCATENATE("Per=",$B$248),"Dts=H","Dir=H",CONCATENATE("Points=",$B$249),"Sort=R","Days=A","Fill=B",CONCATENATE("FX=", $B$247) )</f>
        <v>#N/A Authorization</v>
      </c>
      <c r="CL424" t="str">
        <f>""</f>
        <v/>
      </c>
      <c r="CM424" t="str">
        <f>""</f>
        <v/>
      </c>
      <c r="CN424" t="str">
        <f>""</f>
        <v/>
      </c>
      <c r="CO424" t="str">
        <f>""</f>
        <v/>
      </c>
      <c r="CP424" t="str">
        <f>""</f>
        <v/>
      </c>
      <c r="CQ424" t="str">
        <f>""</f>
        <v/>
      </c>
      <c r="CR424" t="str">
        <f>""</f>
        <v/>
      </c>
      <c r="CS424" t="str">
        <f>""</f>
        <v/>
      </c>
      <c r="CT424" t="str">
        <f>""</f>
        <v/>
      </c>
      <c r="CU424" t="str">
        <f>""</f>
        <v/>
      </c>
      <c r="CV424" t="str">
        <f>""</f>
        <v/>
      </c>
      <c r="CW424" t="str">
        <f>""</f>
        <v/>
      </c>
      <c r="CX424" t="str">
        <f>""</f>
        <v/>
      </c>
      <c r="CY424" t="str">
        <f>""</f>
        <v/>
      </c>
      <c r="CZ424" t="str">
        <f>""</f>
        <v/>
      </c>
      <c r="DA424" t="str">
        <f>""</f>
        <v/>
      </c>
      <c r="DB424" t="str">
        <f>""</f>
        <v/>
      </c>
      <c r="DC424" t="str">
        <f>""</f>
        <v/>
      </c>
      <c r="DD424" t="str">
        <f>""</f>
        <v/>
      </c>
      <c r="DE424" t="str">
        <f>""</f>
        <v/>
      </c>
      <c r="DF424" t="str">
        <f>""</f>
        <v/>
      </c>
      <c r="DG424" t="str">
        <f>""</f>
        <v/>
      </c>
      <c r="DH424" t="str">
        <f>""</f>
        <v/>
      </c>
      <c r="DI424" t="str">
        <f>""</f>
        <v/>
      </c>
      <c r="DJ424" t="str">
        <f>""</f>
        <v/>
      </c>
      <c r="DK424" t="str">
        <f>""</f>
        <v/>
      </c>
      <c r="DL424" t="str">
        <f>""</f>
        <v/>
      </c>
      <c r="DM424" t="str">
        <f>""</f>
        <v/>
      </c>
      <c r="DN424" t="str">
        <f>""</f>
        <v/>
      </c>
      <c r="DO424" t="str">
        <f>""</f>
        <v/>
      </c>
      <c r="DP424" t="str">
        <f>""</f>
        <v/>
      </c>
      <c r="DQ424" t="str">
        <f>""</f>
        <v/>
      </c>
      <c r="DR424" t="str">
        <f>""</f>
        <v/>
      </c>
      <c r="DS424" t="str">
        <f>""</f>
        <v/>
      </c>
      <c r="DT424" t="str">
        <f>""</f>
        <v/>
      </c>
      <c r="DU424" t="str">
        <f>""</f>
        <v/>
      </c>
      <c r="DV424" t="str">
        <f>""</f>
        <v/>
      </c>
      <c r="DW424" t="str">
        <f>""</f>
        <v/>
      </c>
      <c r="DX424" t="str">
        <f>""</f>
        <v/>
      </c>
      <c r="DY424" t="str">
        <f>""</f>
        <v/>
      </c>
      <c r="DZ424" t="str">
        <f>""</f>
        <v/>
      </c>
      <c r="EA424" t="str">
        <f>""</f>
        <v/>
      </c>
      <c r="EB424" t="str">
        <f>""</f>
        <v/>
      </c>
      <c r="EC424" t="str">
        <f>""</f>
        <v/>
      </c>
      <c r="ED424" t="str">
        <f>""</f>
        <v/>
      </c>
      <c r="EE424" t="str">
        <f>""</f>
        <v/>
      </c>
      <c r="EF424" t="str">
        <f>""</f>
        <v/>
      </c>
      <c r="EG424" t="str">
        <f>""</f>
        <v/>
      </c>
      <c r="EH424" t="str">
        <f>""</f>
        <v/>
      </c>
      <c r="EI424" t="str">
        <f>""</f>
        <v/>
      </c>
      <c r="EJ424" t="str">
        <f>""</f>
        <v/>
      </c>
      <c r="EK424" t="str">
        <f>""</f>
        <v/>
      </c>
      <c r="EL424" t="str">
        <f>""</f>
        <v/>
      </c>
      <c r="EM424" t="str">
        <f>""</f>
        <v/>
      </c>
      <c r="EN424" t="str">
        <f>""</f>
        <v/>
      </c>
      <c r="EO424" t="str">
        <f>""</f>
        <v/>
      </c>
      <c r="EP424" t="str">
        <f>""</f>
        <v/>
      </c>
      <c r="EQ424" t="str">
        <f>""</f>
        <v/>
      </c>
      <c r="ER424" t="str">
        <f>""</f>
        <v/>
      </c>
      <c r="ES424" t="str">
        <f>""</f>
        <v/>
      </c>
      <c r="ET424" t="str">
        <f>""</f>
        <v/>
      </c>
      <c r="EU424" t="str">
        <f>""</f>
        <v/>
      </c>
      <c r="EV424" t="str">
        <f>""</f>
        <v/>
      </c>
      <c r="EW424" t="str">
        <f>""</f>
        <v/>
      </c>
      <c r="EX424" t="str">
        <f>""</f>
        <v/>
      </c>
      <c r="EY424" t="str">
        <f>""</f>
        <v/>
      </c>
      <c r="EZ424" t="str">
        <f>""</f>
        <v/>
      </c>
      <c r="FA424" t="str">
        <f>""</f>
        <v/>
      </c>
      <c r="FB424" t="str">
        <f>""</f>
        <v/>
      </c>
      <c r="FC424" t="str">
        <f>""</f>
        <v/>
      </c>
      <c r="FD424" t="str">
        <f>""</f>
        <v/>
      </c>
      <c r="FE424" t="str">
        <f>""</f>
        <v/>
      </c>
      <c r="FF424" t="str">
        <f>""</f>
        <v/>
      </c>
      <c r="FG424" t="str">
        <f>""</f>
        <v/>
      </c>
      <c r="FH424" t="str">
        <f>""</f>
        <v/>
      </c>
      <c r="FI424" t="str">
        <f>""</f>
        <v/>
      </c>
      <c r="FJ424" t="str">
        <f>""</f>
        <v/>
      </c>
      <c r="FK424" t="str">
        <f>""</f>
        <v/>
      </c>
      <c r="FL424" t="str">
        <f>""</f>
        <v/>
      </c>
      <c r="FM424" t="str">
        <f>""</f>
        <v/>
      </c>
      <c r="FN424" t="str">
        <f>""</f>
        <v/>
      </c>
      <c r="FO424" t="str">
        <f>""</f>
        <v/>
      </c>
      <c r="FP424" t="str">
        <f>""</f>
        <v/>
      </c>
      <c r="FQ424" t="str">
        <f>""</f>
        <v/>
      </c>
    </row>
    <row r="425" spans="1:173">
      <c r="A425" t="str">
        <f>$A$224</f>
        <v xml:space="preserve">    Equity Residential</v>
      </c>
      <c r="B425" t="str">
        <f>$B$224</f>
        <v>EQR US Equity</v>
      </c>
      <c r="C425" t="str">
        <f>$C$224</f>
        <v>PR005</v>
      </c>
      <c r="D425" t="str">
        <f>$D$224</f>
        <v>PX_LAST</v>
      </c>
      <c r="E425" t="str">
        <f>$E$224</f>
        <v>动态</v>
      </c>
      <c r="F425" t="str">
        <f ca="1">BDH($B$224,$C$224,$B$250,$B$251,CONCATENATE("Per=",$B$248),"Dts=H","Dir=H",CONCATENATE("Points=",$B$249),"Sort=R","Days=A","Fill=B",CONCATENATE("FX=", $B$247) )</f>
        <v>#N/A Authorization</v>
      </c>
      <c r="CL425" t="str">
        <f>""</f>
        <v/>
      </c>
      <c r="CM425" t="str">
        <f>""</f>
        <v/>
      </c>
      <c r="CN425" t="str">
        <f>""</f>
        <v/>
      </c>
      <c r="CO425" t="str">
        <f>""</f>
        <v/>
      </c>
      <c r="CP425" t="str">
        <f>""</f>
        <v/>
      </c>
      <c r="CQ425" t="str">
        <f>""</f>
        <v/>
      </c>
      <c r="CR425" t="str">
        <f>""</f>
        <v/>
      </c>
      <c r="CS425" t="str">
        <f>""</f>
        <v/>
      </c>
      <c r="CT425" t="str">
        <f>""</f>
        <v/>
      </c>
      <c r="CU425" t="str">
        <f>""</f>
        <v/>
      </c>
      <c r="CV425" t="str">
        <f>""</f>
        <v/>
      </c>
      <c r="CW425" t="str">
        <f>""</f>
        <v/>
      </c>
      <c r="CX425" t="str">
        <f>""</f>
        <v/>
      </c>
      <c r="CY425" t="str">
        <f>""</f>
        <v/>
      </c>
      <c r="CZ425" t="str">
        <f>""</f>
        <v/>
      </c>
      <c r="DA425" t="str">
        <f>""</f>
        <v/>
      </c>
      <c r="DB425" t="str">
        <f>""</f>
        <v/>
      </c>
      <c r="DC425" t="str">
        <f>""</f>
        <v/>
      </c>
      <c r="DD425" t="str">
        <f>""</f>
        <v/>
      </c>
      <c r="DE425" t="str">
        <f>""</f>
        <v/>
      </c>
      <c r="DF425" t="str">
        <f>""</f>
        <v/>
      </c>
      <c r="DG425" t="str">
        <f>""</f>
        <v/>
      </c>
      <c r="DH425" t="str">
        <f>""</f>
        <v/>
      </c>
      <c r="DI425" t="str">
        <f>""</f>
        <v/>
      </c>
      <c r="DJ425" t="str">
        <f>""</f>
        <v/>
      </c>
      <c r="DK425" t="str">
        <f>""</f>
        <v/>
      </c>
      <c r="DL425" t="str">
        <f>""</f>
        <v/>
      </c>
      <c r="DM425" t="str">
        <f>""</f>
        <v/>
      </c>
      <c r="DN425" t="str">
        <f>""</f>
        <v/>
      </c>
      <c r="DO425" t="str">
        <f>""</f>
        <v/>
      </c>
      <c r="DP425" t="str">
        <f>""</f>
        <v/>
      </c>
      <c r="DQ425" t="str">
        <f>""</f>
        <v/>
      </c>
      <c r="DR425" t="str">
        <f>""</f>
        <v/>
      </c>
      <c r="DS425" t="str">
        <f>""</f>
        <v/>
      </c>
      <c r="DT425" t="str">
        <f>""</f>
        <v/>
      </c>
      <c r="DU425" t="str">
        <f>""</f>
        <v/>
      </c>
      <c r="DV425" t="str">
        <f>""</f>
        <v/>
      </c>
      <c r="DW425" t="str">
        <f>""</f>
        <v/>
      </c>
      <c r="DX425" t="str">
        <f>""</f>
        <v/>
      </c>
      <c r="DY425" t="str">
        <f>""</f>
        <v/>
      </c>
      <c r="DZ425" t="str">
        <f>""</f>
        <v/>
      </c>
      <c r="EA425" t="str">
        <f>""</f>
        <v/>
      </c>
      <c r="EB425" t="str">
        <f>""</f>
        <v/>
      </c>
      <c r="EC425" t="str">
        <f>""</f>
        <v/>
      </c>
      <c r="ED425" t="str">
        <f>""</f>
        <v/>
      </c>
      <c r="EE425" t="str">
        <f>""</f>
        <v/>
      </c>
      <c r="EF425" t="str">
        <f>""</f>
        <v/>
      </c>
      <c r="EG425" t="str">
        <f>""</f>
        <v/>
      </c>
      <c r="EH425" t="str">
        <f>""</f>
        <v/>
      </c>
      <c r="EI425" t="str">
        <f>""</f>
        <v/>
      </c>
      <c r="EJ425" t="str">
        <f>""</f>
        <v/>
      </c>
      <c r="EK425" t="str">
        <f>""</f>
        <v/>
      </c>
      <c r="EL425" t="str">
        <f>""</f>
        <v/>
      </c>
      <c r="EM425" t="str">
        <f>""</f>
        <v/>
      </c>
      <c r="EN425" t="str">
        <f>""</f>
        <v/>
      </c>
      <c r="EO425" t="str">
        <f>""</f>
        <v/>
      </c>
      <c r="EP425" t="str">
        <f>""</f>
        <v/>
      </c>
      <c r="EQ425" t="str">
        <f>""</f>
        <v/>
      </c>
      <c r="ER425" t="str">
        <f>""</f>
        <v/>
      </c>
      <c r="ES425" t="str">
        <f>""</f>
        <v/>
      </c>
      <c r="ET425" t="str">
        <f>""</f>
        <v/>
      </c>
      <c r="EU425" t="str">
        <f>""</f>
        <v/>
      </c>
      <c r="EV425" t="str">
        <f>""</f>
        <v/>
      </c>
      <c r="EW425" t="str">
        <f>""</f>
        <v/>
      </c>
      <c r="EX425" t="str">
        <f>""</f>
        <v/>
      </c>
      <c r="EY425" t="str">
        <f>""</f>
        <v/>
      </c>
      <c r="EZ425" t="str">
        <f>""</f>
        <v/>
      </c>
      <c r="FA425" t="str">
        <f>""</f>
        <v/>
      </c>
      <c r="FB425" t="str">
        <f>""</f>
        <v/>
      </c>
      <c r="FC425" t="str">
        <f>""</f>
        <v/>
      </c>
      <c r="FD425" t="str">
        <f>""</f>
        <v/>
      </c>
      <c r="FE425" t="str">
        <f>""</f>
        <v/>
      </c>
      <c r="FF425" t="str">
        <f>""</f>
        <v/>
      </c>
      <c r="FG425" t="str">
        <f>""</f>
        <v/>
      </c>
      <c r="FH425" t="str">
        <f>""</f>
        <v/>
      </c>
      <c r="FI425" t="str">
        <f>""</f>
        <v/>
      </c>
      <c r="FJ425" t="str">
        <f>""</f>
        <v/>
      </c>
      <c r="FK425" t="str">
        <f>""</f>
        <v/>
      </c>
      <c r="FL425" t="str">
        <f>""</f>
        <v/>
      </c>
      <c r="FM425" t="str">
        <f>""</f>
        <v/>
      </c>
      <c r="FN425" t="str">
        <f>""</f>
        <v/>
      </c>
      <c r="FO425" t="str">
        <f>""</f>
        <v/>
      </c>
      <c r="FP425" t="str">
        <f>""</f>
        <v/>
      </c>
      <c r="FQ425" t="str">
        <f>""</f>
        <v/>
      </c>
    </row>
    <row r="426" spans="1:173">
      <c r="A426" t="str">
        <f>$A$225</f>
        <v xml:space="preserve">    Essex Property Trust Inc</v>
      </c>
      <c r="B426" t="str">
        <f>$B$225</f>
        <v>ESS US Equity</v>
      </c>
      <c r="C426" t="str">
        <f>$C$225</f>
        <v>PR005</v>
      </c>
      <c r="D426" t="str">
        <f>$D$225</f>
        <v>PX_LAST</v>
      </c>
      <c r="E426" t="str">
        <f>$E$225</f>
        <v>动态</v>
      </c>
      <c r="F426" t="str">
        <f ca="1">BDH($B$225,$C$225,$B$250,$B$251,CONCATENATE("Per=",$B$248),"Dts=H","Dir=H",CONCATENATE("Points=",$B$249),"Sort=R","Days=A","Fill=B",CONCATENATE("FX=", $B$247) )</f>
        <v>#N/A Authorization</v>
      </c>
      <c r="CL426" t="str">
        <f>""</f>
        <v/>
      </c>
      <c r="CM426" t="str">
        <f>""</f>
        <v/>
      </c>
      <c r="CN426" t="str">
        <f>""</f>
        <v/>
      </c>
      <c r="CO426" t="str">
        <f>""</f>
        <v/>
      </c>
      <c r="CP426" t="str">
        <f>""</f>
        <v/>
      </c>
      <c r="CQ426" t="str">
        <f>""</f>
        <v/>
      </c>
      <c r="CR426" t="str">
        <f>""</f>
        <v/>
      </c>
      <c r="CS426" t="str">
        <f>""</f>
        <v/>
      </c>
      <c r="CT426" t="str">
        <f>""</f>
        <v/>
      </c>
      <c r="CU426" t="str">
        <f>""</f>
        <v/>
      </c>
      <c r="CV426" t="str">
        <f>""</f>
        <v/>
      </c>
      <c r="CW426" t="str">
        <f>""</f>
        <v/>
      </c>
      <c r="CX426" t="str">
        <f>""</f>
        <v/>
      </c>
      <c r="CY426" t="str">
        <f>""</f>
        <v/>
      </c>
      <c r="CZ426" t="str">
        <f>""</f>
        <v/>
      </c>
      <c r="DA426" t="str">
        <f>""</f>
        <v/>
      </c>
      <c r="DB426" t="str">
        <f>""</f>
        <v/>
      </c>
      <c r="DC426" t="str">
        <f>""</f>
        <v/>
      </c>
      <c r="DD426" t="str">
        <f>""</f>
        <v/>
      </c>
      <c r="DE426" t="str">
        <f>""</f>
        <v/>
      </c>
      <c r="DF426" t="str">
        <f>""</f>
        <v/>
      </c>
      <c r="DG426" t="str">
        <f>""</f>
        <v/>
      </c>
      <c r="DH426" t="str">
        <f>""</f>
        <v/>
      </c>
      <c r="DI426" t="str">
        <f>""</f>
        <v/>
      </c>
      <c r="DJ426" t="str">
        <f>""</f>
        <v/>
      </c>
      <c r="DK426" t="str">
        <f>""</f>
        <v/>
      </c>
      <c r="DL426" t="str">
        <f>""</f>
        <v/>
      </c>
      <c r="DM426" t="str">
        <f>""</f>
        <v/>
      </c>
      <c r="DN426" t="str">
        <f>""</f>
        <v/>
      </c>
      <c r="DO426" t="str">
        <f>""</f>
        <v/>
      </c>
      <c r="DP426" t="str">
        <f>""</f>
        <v/>
      </c>
      <c r="DQ426" t="str">
        <f>""</f>
        <v/>
      </c>
      <c r="DR426" t="str">
        <f>""</f>
        <v/>
      </c>
      <c r="DS426" t="str">
        <f>""</f>
        <v/>
      </c>
      <c r="DT426" t="str">
        <f>""</f>
        <v/>
      </c>
      <c r="DU426" t="str">
        <f>""</f>
        <v/>
      </c>
      <c r="DV426" t="str">
        <f>""</f>
        <v/>
      </c>
      <c r="DW426" t="str">
        <f>""</f>
        <v/>
      </c>
      <c r="DX426" t="str">
        <f>""</f>
        <v/>
      </c>
      <c r="DY426" t="str">
        <f>""</f>
        <v/>
      </c>
      <c r="DZ426" t="str">
        <f>""</f>
        <v/>
      </c>
      <c r="EA426" t="str">
        <f>""</f>
        <v/>
      </c>
      <c r="EB426" t="str">
        <f>""</f>
        <v/>
      </c>
      <c r="EC426" t="str">
        <f>""</f>
        <v/>
      </c>
      <c r="ED426" t="str">
        <f>""</f>
        <v/>
      </c>
      <c r="EE426" t="str">
        <f>""</f>
        <v/>
      </c>
      <c r="EF426" t="str">
        <f>""</f>
        <v/>
      </c>
      <c r="EG426" t="str">
        <f>""</f>
        <v/>
      </c>
      <c r="EH426" t="str">
        <f>""</f>
        <v/>
      </c>
      <c r="EI426" t="str">
        <f>""</f>
        <v/>
      </c>
      <c r="EJ426" t="str">
        <f>""</f>
        <v/>
      </c>
      <c r="EK426" t="str">
        <f>""</f>
        <v/>
      </c>
      <c r="EL426" t="str">
        <f>""</f>
        <v/>
      </c>
      <c r="EM426" t="str">
        <f>""</f>
        <v/>
      </c>
      <c r="EN426" t="str">
        <f>""</f>
        <v/>
      </c>
      <c r="EO426" t="str">
        <f>""</f>
        <v/>
      </c>
      <c r="EP426" t="str">
        <f>""</f>
        <v/>
      </c>
      <c r="EQ426" t="str">
        <f>""</f>
        <v/>
      </c>
      <c r="ER426" t="str">
        <f>""</f>
        <v/>
      </c>
      <c r="ES426" t="str">
        <f>""</f>
        <v/>
      </c>
      <c r="ET426" t="str">
        <f>""</f>
        <v/>
      </c>
      <c r="EU426" t="str">
        <f>""</f>
        <v/>
      </c>
      <c r="EV426" t="str">
        <f>""</f>
        <v/>
      </c>
      <c r="EW426" t="str">
        <f>""</f>
        <v/>
      </c>
      <c r="EX426" t="str">
        <f>""</f>
        <v/>
      </c>
      <c r="EY426" t="str">
        <f>""</f>
        <v/>
      </c>
      <c r="EZ426" t="str">
        <f>""</f>
        <v/>
      </c>
      <c r="FA426" t="str">
        <f>""</f>
        <v/>
      </c>
      <c r="FB426" t="str">
        <f>""</f>
        <v/>
      </c>
      <c r="FC426" t="str">
        <f>""</f>
        <v/>
      </c>
      <c r="FD426" t="str">
        <f>""</f>
        <v/>
      </c>
      <c r="FE426" t="str">
        <f>""</f>
        <v/>
      </c>
      <c r="FF426" t="str">
        <f>""</f>
        <v/>
      </c>
      <c r="FG426" t="str">
        <f>""</f>
        <v/>
      </c>
      <c r="FH426" t="str">
        <f>""</f>
        <v/>
      </c>
      <c r="FI426" t="str">
        <f>""</f>
        <v/>
      </c>
      <c r="FJ426" t="str">
        <f>""</f>
        <v/>
      </c>
      <c r="FK426" t="str">
        <f>""</f>
        <v/>
      </c>
      <c r="FL426" t="str">
        <f>""</f>
        <v/>
      </c>
      <c r="FM426" t="str">
        <f>""</f>
        <v/>
      </c>
      <c r="FN426" t="str">
        <f>""</f>
        <v/>
      </c>
      <c r="FO426" t="str">
        <f>""</f>
        <v/>
      </c>
      <c r="FP426" t="str">
        <f>""</f>
        <v/>
      </c>
      <c r="FQ426" t="str">
        <f>""</f>
        <v/>
      </c>
    </row>
    <row r="427" spans="1:173">
      <c r="A427" t="str">
        <f>$A$226</f>
        <v xml:space="preserve">    Mid-America Apartment Communit</v>
      </c>
      <c r="B427" t="str">
        <f>$B$226</f>
        <v>MAA US Equity</v>
      </c>
      <c r="C427" t="str">
        <f>$C$226</f>
        <v>PR005</v>
      </c>
      <c r="D427" t="str">
        <f>$D$226</f>
        <v>PX_LAST</v>
      </c>
      <c r="E427" t="str">
        <f>$E$226</f>
        <v>动态</v>
      </c>
      <c r="F427" t="str">
        <f ca="1">BDH($B$226,$C$226,$B$250,$B$251,CONCATENATE("Per=",$B$248),"Dts=H","Dir=H",CONCATENATE("Points=",$B$249),"Sort=R","Days=A","Fill=B",CONCATENATE("FX=", $B$247) )</f>
        <v>#N/A Authorization</v>
      </c>
      <c r="CL427" t="str">
        <f>""</f>
        <v/>
      </c>
      <c r="CM427" t="str">
        <f>""</f>
        <v/>
      </c>
      <c r="CN427" t="str">
        <f>""</f>
        <v/>
      </c>
      <c r="CO427" t="str">
        <f>""</f>
        <v/>
      </c>
      <c r="CP427" t="str">
        <f>""</f>
        <v/>
      </c>
      <c r="CQ427" t="str">
        <f>""</f>
        <v/>
      </c>
      <c r="CR427" t="str">
        <f>""</f>
        <v/>
      </c>
      <c r="CS427" t="str">
        <f>""</f>
        <v/>
      </c>
      <c r="CT427" t="str">
        <f>""</f>
        <v/>
      </c>
      <c r="CU427" t="str">
        <f>""</f>
        <v/>
      </c>
      <c r="CV427" t="str">
        <f>""</f>
        <v/>
      </c>
      <c r="CW427" t="str">
        <f>""</f>
        <v/>
      </c>
      <c r="CX427" t="str">
        <f>""</f>
        <v/>
      </c>
      <c r="CY427" t="str">
        <f>""</f>
        <v/>
      </c>
      <c r="CZ427" t="str">
        <f>""</f>
        <v/>
      </c>
      <c r="DA427" t="str">
        <f>""</f>
        <v/>
      </c>
      <c r="DB427" t="str">
        <f>""</f>
        <v/>
      </c>
      <c r="DC427" t="str">
        <f>""</f>
        <v/>
      </c>
      <c r="DD427" t="str">
        <f>""</f>
        <v/>
      </c>
      <c r="DE427" t="str">
        <f>""</f>
        <v/>
      </c>
      <c r="DF427" t="str">
        <f>""</f>
        <v/>
      </c>
      <c r="DG427" t="str">
        <f>""</f>
        <v/>
      </c>
      <c r="DH427" t="str">
        <f>""</f>
        <v/>
      </c>
      <c r="DI427" t="str">
        <f>""</f>
        <v/>
      </c>
      <c r="DJ427" t="str">
        <f>""</f>
        <v/>
      </c>
      <c r="DK427" t="str">
        <f>""</f>
        <v/>
      </c>
      <c r="DL427" t="str">
        <f>""</f>
        <v/>
      </c>
      <c r="DM427" t="str">
        <f>""</f>
        <v/>
      </c>
      <c r="DN427" t="str">
        <f>""</f>
        <v/>
      </c>
      <c r="DO427" t="str">
        <f>""</f>
        <v/>
      </c>
      <c r="DP427" t="str">
        <f>""</f>
        <v/>
      </c>
      <c r="DQ427" t="str">
        <f>""</f>
        <v/>
      </c>
      <c r="DR427" t="str">
        <f>""</f>
        <v/>
      </c>
      <c r="DS427" t="str">
        <f>""</f>
        <v/>
      </c>
      <c r="DT427" t="str">
        <f>""</f>
        <v/>
      </c>
      <c r="DU427" t="str">
        <f>""</f>
        <v/>
      </c>
      <c r="DV427" t="str">
        <f>""</f>
        <v/>
      </c>
      <c r="DW427" t="str">
        <f>""</f>
        <v/>
      </c>
      <c r="DX427" t="str">
        <f>""</f>
        <v/>
      </c>
      <c r="DY427" t="str">
        <f>""</f>
        <v/>
      </c>
      <c r="DZ427" t="str">
        <f>""</f>
        <v/>
      </c>
      <c r="EA427" t="str">
        <f>""</f>
        <v/>
      </c>
      <c r="EB427" t="str">
        <f>""</f>
        <v/>
      </c>
      <c r="EC427" t="str">
        <f>""</f>
        <v/>
      </c>
      <c r="ED427" t="str">
        <f>""</f>
        <v/>
      </c>
      <c r="EE427" t="str">
        <f>""</f>
        <v/>
      </c>
      <c r="EF427" t="str">
        <f>""</f>
        <v/>
      </c>
      <c r="EG427" t="str">
        <f>""</f>
        <v/>
      </c>
      <c r="EH427" t="str">
        <f>""</f>
        <v/>
      </c>
      <c r="EI427" t="str">
        <f>""</f>
        <v/>
      </c>
      <c r="EJ427" t="str">
        <f>""</f>
        <v/>
      </c>
      <c r="EK427" t="str">
        <f>""</f>
        <v/>
      </c>
      <c r="EL427" t="str">
        <f>""</f>
        <v/>
      </c>
      <c r="EM427" t="str">
        <f>""</f>
        <v/>
      </c>
      <c r="EN427" t="str">
        <f>""</f>
        <v/>
      </c>
      <c r="EO427" t="str">
        <f>""</f>
        <v/>
      </c>
      <c r="EP427" t="str">
        <f>""</f>
        <v/>
      </c>
      <c r="EQ427" t="str">
        <f>""</f>
        <v/>
      </c>
      <c r="ER427" t="str">
        <f>""</f>
        <v/>
      </c>
      <c r="ES427" t="str">
        <f>""</f>
        <v/>
      </c>
      <c r="ET427" t="str">
        <f>""</f>
        <v/>
      </c>
      <c r="EU427" t="str">
        <f>""</f>
        <v/>
      </c>
      <c r="EV427" t="str">
        <f>""</f>
        <v/>
      </c>
      <c r="EW427" t="str">
        <f>""</f>
        <v/>
      </c>
      <c r="EX427" t="str">
        <f>""</f>
        <v/>
      </c>
      <c r="EY427" t="str">
        <f>""</f>
        <v/>
      </c>
      <c r="EZ427" t="str">
        <f>""</f>
        <v/>
      </c>
      <c r="FA427" t="str">
        <f>""</f>
        <v/>
      </c>
      <c r="FB427" t="str">
        <f>""</f>
        <v/>
      </c>
      <c r="FC427" t="str">
        <f>""</f>
        <v/>
      </c>
      <c r="FD427" t="str">
        <f>""</f>
        <v/>
      </c>
      <c r="FE427" t="str">
        <f>""</f>
        <v/>
      </c>
      <c r="FF427" t="str">
        <f>""</f>
        <v/>
      </c>
      <c r="FG427" t="str">
        <f>""</f>
        <v/>
      </c>
      <c r="FH427" t="str">
        <f>""</f>
        <v/>
      </c>
      <c r="FI427" t="str">
        <f>""</f>
        <v/>
      </c>
      <c r="FJ427" t="str">
        <f>""</f>
        <v/>
      </c>
      <c r="FK427" t="str">
        <f>""</f>
        <v/>
      </c>
      <c r="FL427" t="str">
        <f>""</f>
        <v/>
      </c>
      <c r="FM427" t="str">
        <f>""</f>
        <v/>
      </c>
      <c r="FN427" t="str">
        <f>""</f>
        <v/>
      </c>
      <c r="FO427" t="str">
        <f>""</f>
        <v/>
      </c>
      <c r="FP427" t="str">
        <f>""</f>
        <v/>
      </c>
      <c r="FQ427" t="str">
        <f>""</f>
        <v/>
      </c>
    </row>
    <row r="428" spans="1:173">
      <c r="A428" t="str">
        <f>$A$227</f>
        <v xml:space="preserve">    Monogram Residential Trust Inc</v>
      </c>
      <c r="B428" t="str">
        <f>$B$227</f>
        <v>MORE US Equity</v>
      </c>
      <c r="C428" t="str">
        <f>$C$227</f>
        <v>PR005</v>
      </c>
      <c r="D428" t="str">
        <f>$D$227</f>
        <v>PX_LAST</v>
      </c>
      <c r="E428" t="str">
        <f>$E$227</f>
        <v>动态</v>
      </c>
      <c r="F428" t="str">
        <f ca="1">BDH($B$227,$C$227,$B$250,$B$251,CONCATENATE("Per=",$B$248),"Dts=H","Dir=H",CONCATENATE("Points=",$B$249),"Sort=R","Days=A","Fill=B",CONCATENATE("FX=", $B$247) )</f>
        <v>#N/A Authorization</v>
      </c>
      <c r="CL428" t="str">
        <f>""</f>
        <v/>
      </c>
      <c r="CM428" t="str">
        <f>""</f>
        <v/>
      </c>
      <c r="CN428" t="str">
        <f>""</f>
        <v/>
      </c>
      <c r="CO428" t="str">
        <f>""</f>
        <v/>
      </c>
      <c r="CP428" t="str">
        <f>""</f>
        <v/>
      </c>
      <c r="CQ428" t="str">
        <f>""</f>
        <v/>
      </c>
      <c r="CR428" t="str">
        <f>""</f>
        <v/>
      </c>
      <c r="CS428" t="str">
        <f>""</f>
        <v/>
      </c>
      <c r="CT428" t="str">
        <f>""</f>
        <v/>
      </c>
      <c r="CU428" t="str">
        <f>""</f>
        <v/>
      </c>
      <c r="CV428" t="str">
        <f>""</f>
        <v/>
      </c>
      <c r="CW428" t="str">
        <f>""</f>
        <v/>
      </c>
      <c r="CX428" t="str">
        <f>""</f>
        <v/>
      </c>
      <c r="CY428" t="str">
        <f>""</f>
        <v/>
      </c>
      <c r="CZ428" t="str">
        <f>""</f>
        <v/>
      </c>
      <c r="DA428" t="str">
        <f>""</f>
        <v/>
      </c>
      <c r="DB428" t="str">
        <f>""</f>
        <v/>
      </c>
      <c r="DC428" t="str">
        <f>""</f>
        <v/>
      </c>
      <c r="DD428" t="str">
        <f>""</f>
        <v/>
      </c>
      <c r="DE428" t="str">
        <f>""</f>
        <v/>
      </c>
      <c r="DF428" t="str">
        <f>""</f>
        <v/>
      </c>
      <c r="DG428" t="str">
        <f>""</f>
        <v/>
      </c>
      <c r="DH428" t="str">
        <f>""</f>
        <v/>
      </c>
      <c r="DI428" t="str">
        <f>""</f>
        <v/>
      </c>
      <c r="DJ428" t="str">
        <f>""</f>
        <v/>
      </c>
      <c r="DK428" t="str">
        <f>""</f>
        <v/>
      </c>
      <c r="DL428" t="str">
        <f>""</f>
        <v/>
      </c>
      <c r="DM428" t="str">
        <f>""</f>
        <v/>
      </c>
      <c r="DN428" t="str">
        <f>""</f>
        <v/>
      </c>
      <c r="DO428" t="str">
        <f>""</f>
        <v/>
      </c>
      <c r="DP428" t="str">
        <f>""</f>
        <v/>
      </c>
      <c r="DQ428" t="str">
        <f>""</f>
        <v/>
      </c>
      <c r="DR428" t="str">
        <f>""</f>
        <v/>
      </c>
      <c r="DS428" t="str">
        <f>""</f>
        <v/>
      </c>
      <c r="DT428" t="str">
        <f>""</f>
        <v/>
      </c>
      <c r="DU428" t="str">
        <f>""</f>
        <v/>
      </c>
      <c r="DV428" t="str">
        <f>""</f>
        <v/>
      </c>
      <c r="DW428" t="str">
        <f>""</f>
        <v/>
      </c>
      <c r="DX428" t="str">
        <f>""</f>
        <v/>
      </c>
      <c r="DY428" t="str">
        <f>""</f>
        <v/>
      </c>
      <c r="DZ428" t="str">
        <f>""</f>
        <v/>
      </c>
      <c r="EA428" t="str">
        <f>""</f>
        <v/>
      </c>
      <c r="EB428" t="str">
        <f>""</f>
        <v/>
      </c>
      <c r="EC428" t="str">
        <f>""</f>
        <v/>
      </c>
      <c r="ED428" t="str">
        <f>""</f>
        <v/>
      </c>
      <c r="EE428" t="str">
        <f>""</f>
        <v/>
      </c>
      <c r="EF428" t="str">
        <f>""</f>
        <v/>
      </c>
      <c r="EG428" t="str">
        <f>""</f>
        <v/>
      </c>
      <c r="EH428" t="str">
        <f>""</f>
        <v/>
      </c>
      <c r="EI428" t="str">
        <f>""</f>
        <v/>
      </c>
      <c r="EJ428" t="str">
        <f>""</f>
        <v/>
      </c>
      <c r="EK428" t="str">
        <f>""</f>
        <v/>
      </c>
      <c r="EL428" t="str">
        <f>""</f>
        <v/>
      </c>
      <c r="EM428" t="str">
        <f>""</f>
        <v/>
      </c>
      <c r="EN428" t="str">
        <f>""</f>
        <v/>
      </c>
      <c r="EO428" t="str">
        <f>""</f>
        <v/>
      </c>
      <c r="EP428" t="str">
        <f>""</f>
        <v/>
      </c>
      <c r="EQ428" t="str">
        <f>""</f>
        <v/>
      </c>
      <c r="ER428" t="str">
        <f>""</f>
        <v/>
      </c>
      <c r="ES428" t="str">
        <f>""</f>
        <v/>
      </c>
      <c r="ET428" t="str">
        <f>""</f>
        <v/>
      </c>
      <c r="EU428" t="str">
        <f>""</f>
        <v/>
      </c>
      <c r="EV428" t="str">
        <f>""</f>
        <v/>
      </c>
      <c r="EW428" t="str">
        <f>""</f>
        <v/>
      </c>
      <c r="EX428" t="str">
        <f>""</f>
        <v/>
      </c>
      <c r="EY428" t="str">
        <f>""</f>
        <v/>
      </c>
      <c r="EZ428" t="str">
        <f>""</f>
        <v/>
      </c>
      <c r="FA428" t="str">
        <f>""</f>
        <v/>
      </c>
      <c r="FB428" t="str">
        <f>""</f>
        <v/>
      </c>
      <c r="FC428" t="str">
        <f>""</f>
        <v/>
      </c>
      <c r="FD428" t="str">
        <f>""</f>
        <v/>
      </c>
      <c r="FE428" t="str">
        <f>""</f>
        <v/>
      </c>
      <c r="FF428" t="str">
        <f>""</f>
        <v/>
      </c>
      <c r="FG428" t="str">
        <f>""</f>
        <v/>
      </c>
      <c r="FH428" t="str">
        <f>""</f>
        <v/>
      </c>
      <c r="FI428" t="str">
        <f>""</f>
        <v/>
      </c>
      <c r="FJ428" t="str">
        <f>""</f>
        <v/>
      </c>
      <c r="FK428" t="str">
        <f>""</f>
        <v/>
      </c>
      <c r="FL428" t="str">
        <f>""</f>
        <v/>
      </c>
      <c r="FM428" t="str">
        <f>""</f>
        <v/>
      </c>
      <c r="FN428" t="str">
        <f>""</f>
        <v/>
      </c>
      <c r="FO428" t="str">
        <f>""</f>
        <v/>
      </c>
      <c r="FP428" t="str">
        <f>""</f>
        <v/>
      </c>
      <c r="FQ428" t="str">
        <f>""</f>
        <v/>
      </c>
    </row>
    <row r="429" spans="1:173">
      <c r="A429" t="str">
        <f>$A$228</f>
        <v xml:space="preserve">    UDR Inc</v>
      </c>
      <c r="B429" t="str">
        <f>$B$228</f>
        <v>UDR US Equity</v>
      </c>
      <c r="C429" t="str">
        <f>$C$228</f>
        <v>PR005</v>
      </c>
      <c r="D429" t="str">
        <f>$D$228</f>
        <v>PX_LAST</v>
      </c>
      <c r="E429" t="str">
        <f>$E$228</f>
        <v>动态</v>
      </c>
      <c r="F429" t="str">
        <f ca="1">BDH($B$228,$C$228,$B$250,$B$251,CONCATENATE("Per=",$B$248),"Dts=H","Dir=H",CONCATENATE("Points=",$B$249),"Sort=R","Days=A","Fill=B",CONCATENATE("FX=", $B$247) )</f>
        <v>#N/A Authorization</v>
      </c>
      <c r="CL429" t="str">
        <f>""</f>
        <v/>
      </c>
      <c r="CM429" t="str">
        <f>""</f>
        <v/>
      </c>
      <c r="CN429" t="str">
        <f>""</f>
        <v/>
      </c>
      <c r="CO429" t="str">
        <f>""</f>
        <v/>
      </c>
      <c r="CP429" t="str">
        <f>""</f>
        <v/>
      </c>
      <c r="CQ429" t="str">
        <f>""</f>
        <v/>
      </c>
      <c r="CR429" t="str">
        <f>""</f>
        <v/>
      </c>
      <c r="CS429" t="str">
        <f>""</f>
        <v/>
      </c>
      <c r="CT429" t="str">
        <f>""</f>
        <v/>
      </c>
      <c r="CU429" t="str">
        <f>""</f>
        <v/>
      </c>
      <c r="CV429" t="str">
        <f>""</f>
        <v/>
      </c>
      <c r="CW429" t="str">
        <f>""</f>
        <v/>
      </c>
      <c r="CX429" t="str">
        <f>""</f>
        <v/>
      </c>
      <c r="CY429" t="str">
        <f>""</f>
        <v/>
      </c>
      <c r="CZ429" t="str">
        <f>""</f>
        <v/>
      </c>
      <c r="DA429" t="str">
        <f>""</f>
        <v/>
      </c>
      <c r="DB429" t="str">
        <f>""</f>
        <v/>
      </c>
      <c r="DC429" t="str">
        <f>""</f>
        <v/>
      </c>
      <c r="DD429" t="str">
        <f>""</f>
        <v/>
      </c>
      <c r="DE429" t="str">
        <f>""</f>
        <v/>
      </c>
      <c r="DF429" t="str">
        <f>""</f>
        <v/>
      </c>
      <c r="DG429" t="str">
        <f>""</f>
        <v/>
      </c>
      <c r="DH429" t="str">
        <f>""</f>
        <v/>
      </c>
      <c r="DI429" t="str">
        <f>""</f>
        <v/>
      </c>
      <c r="DJ429" t="str">
        <f>""</f>
        <v/>
      </c>
      <c r="DK429" t="str">
        <f>""</f>
        <v/>
      </c>
      <c r="DL429" t="str">
        <f>""</f>
        <v/>
      </c>
      <c r="DM429" t="str">
        <f>""</f>
        <v/>
      </c>
      <c r="DN429" t="str">
        <f>""</f>
        <v/>
      </c>
      <c r="DO429" t="str">
        <f>""</f>
        <v/>
      </c>
      <c r="DP429" t="str">
        <f>""</f>
        <v/>
      </c>
      <c r="DQ429" t="str">
        <f>""</f>
        <v/>
      </c>
      <c r="DR429" t="str">
        <f>""</f>
        <v/>
      </c>
      <c r="DS429" t="str">
        <f>""</f>
        <v/>
      </c>
      <c r="DT429" t="str">
        <f>""</f>
        <v/>
      </c>
      <c r="DU429" t="str">
        <f>""</f>
        <v/>
      </c>
      <c r="DV429" t="str">
        <f>""</f>
        <v/>
      </c>
      <c r="DW429" t="str">
        <f>""</f>
        <v/>
      </c>
      <c r="DX429" t="str">
        <f>""</f>
        <v/>
      </c>
      <c r="DY429" t="str">
        <f>""</f>
        <v/>
      </c>
      <c r="DZ429" t="str">
        <f>""</f>
        <v/>
      </c>
      <c r="EA429" t="str">
        <f>""</f>
        <v/>
      </c>
      <c r="EB429" t="str">
        <f>""</f>
        <v/>
      </c>
      <c r="EC429" t="str">
        <f>""</f>
        <v/>
      </c>
      <c r="ED429" t="str">
        <f>""</f>
        <v/>
      </c>
      <c r="EE429" t="str">
        <f>""</f>
        <v/>
      </c>
      <c r="EF429" t="str">
        <f>""</f>
        <v/>
      </c>
      <c r="EG429" t="str">
        <f>""</f>
        <v/>
      </c>
      <c r="EH429" t="str">
        <f>""</f>
        <v/>
      </c>
      <c r="EI429" t="str">
        <f>""</f>
        <v/>
      </c>
      <c r="EJ429" t="str">
        <f>""</f>
        <v/>
      </c>
      <c r="EK429" t="str">
        <f>""</f>
        <v/>
      </c>
      <c r="EL429" t="str">
        <f>""</f>
        <v/>
      </c>
      <c r="EM429" t="str">
        <f>""</f>
        <v/>
      </c>
      <c r="EN429" t="str">
        <f>""</f>
        <v/>
      </c>
      <c r="EO429" t="str">
        <f>""</f>
        <v/>
      </c>
      <c r="EP429" t="str">
        <f>""</f>
        <v/>
      </c>
      <c r="EQ429" t="str">
        <f>""</f>
        <v/>
      </c>
      <c r="ER429" t="str">
        <f>""</f>
        <v/>
      </c>
      <c r="ES429" t="str">
        <f>""</f>
        <v/>
      </c>
      <c r="ET429" t="str">
        <f>""</f>
        <v/>
      </c>
      <c r="EU429" t="str">
        <f>""</f>
        <v/>
      </c>
      <c r="EV429" t="str">
        <f>""</f>
        <v/>
      </c>
      <c r="EW429" t="str">
        <f>""</f>
        <v/>
      </c>
      <c r="EX429" t="str">
        <f>""</f>
        <v/>
      </c>
      <c r="EY429" t="str">
        <f>""</f>
        <v/>
      </c>
      <c r="EZ429" t="str">
        <f>""</f>
        <v/>
      </c>
      <c r="FA429" t="str">
        <f>""</f>
        <v/>
      </c>
      <c r="FB429" t="str">
        <f>""</f>
        <v/>
      </c>
      <c r="FC429" t="str">
        <f>""</f>
        <v/>
      </c>
      <c r="FD429" t="str">
        <f>""</f>
        <v/>
      </c>
      <c r="FE429" t="str">
        <f>""</f>
        <v/>
      </c>
      <c r="FF429" t="str">
        <f>""</f>
        <v/>
      </c>
      <c r="FG429" t="str">
        <f>""</f>
        <v/>
      </c>
      <c r="FH429" t="str">
        <f>""</f>
        <v/>
      </c>
      <c r="FI429" t="str">
        <f>""</f>
        <v/>
      </c>
      <c r="FJ429" t="str">
        <f>""</f>
        <v/>
      </c>
      <c r="FK429" t="str">
        <f>""</f>
        <v/>
      </c>
      <c r="FL429" t="str">
        <f>""</f>
        <v/>
      </c>
      <c r="FM429" t="str">
        <f>""</f>
        <v/>
      </c>
      <c r="FN429" t="str">
        <f>""</f>
        <v/>
      </c>
      <c r="FO429" t="str">
        <f>""</f>
        <v/>
      </c>
      <c r="FP429" t="str">
        <f>""</f>
        <v/>
      </c>
      <c r="FQ429" t="str">
        <f>""</f>
        <v/>
      </c>
    </row>
    <row r="430" spans="1:173">
      <c r="A430" t="str">
        <f>$A$230</f>
        <v xml:space="preserve">    公寓投资与管理</v>
      </c>
      <c r="B430" t="str">
        <f>$B$230</f>
        <v>AIV US Equity</v>
      </c>
      <c r="C430" t="str">
        <f>$C$230</f>
        <v>F0825</v>
      </c>
      <c r="D430" t="str">
        <f>$D$230</f>
        <v>INDUSTRY_STANDARDIZED_MARKET_CAP</v>
      </c>
      <c r="E430" t="str">
        <f>$E$230</f>
        <v>动态</v>
      </c>
      <c r="F430" t="str">
        <f ca="1">BDH($B$230,$C$230,$B$250,$B$251,CONCATENATE("Per=",$B$248),"Dts=H","Dir=H",CONCATENATE("Points=",$B$249),"Sort=R","Days=A","Fill=B",CONCATENATE("FX=", $B$247) )</f>
        <v>#N/A Authorization</v>
      </c>
      <c r="CL430" t="str">
        <f>""</f>
        <v/>
      </c>
      <c r="CM430" t="str">
        <f>""</f>
        <v/>
      </c>
      <c r="CN430" t="str">
        <f>""</f>
        <v/>
      </c>
      <c r="CO430" t="str">
        <f>""</f>
        <v/>
      </c>
      <c r="CP430" t="str">
        <f>""</f>
        <v/>
      </c>
      <c r="CQ430" t="str">
        <f>""</f>
        <v/>
      </c>
      <c r="CR430" t="str">
        <f>""</f>
        <v/>
      </c>
      <c r="CS430" t="str">
        <f>""</f>
        <v/>
      </c>
      <c r="CT430" t="str">
        <f>""</f>
        <v/>
      </c>
      <c r="CU430" t="str">
        <f>""</f>
        <v/>
      </c>
      <c r="CV430" t="str">
        <f>""</f>
        <v/>
      </c>
      <c r="CW430" t="str">
        <f>""</f>
        <v/>
      </c>
      <c r="CX430" t="str">
        <f>""</f>
        <v/>
      </c>
      <c r="CY430" t="str">
        <f>""</f>
        <v/>
      </c>
      <c r="CZ430" t="str">
        <f>""</f>
        <v/>
      </c>
      <c r="DA430" t="str">
        <f>""</f>
        <v/>
      </c>
      <c r="DB430" t="str">
        <f>""</f>
        <v/>
      </c>
      <c r="DC430" t="str">
        <f>""</f>
        <v/>
      </c>
      <c r="DD430" t="str">
        <f>""</f>
        <v/>
      </c>
      <c r="DE430" t="str">
        <f>""</f>
        <v/>
      </c>
      <c r="DF430" t="str">
        <f>""</f>
        <v/>
      </c>
      <c r="DG430" t="str">
        <f>""</f>
        <v/>
      </c>
      <c r="DH430" t="str">
        <f>""</f>
        <v/>
      </c>
      <c r="DI430" t="str">
        <f>""</f>
        <v/>
      </c>
      <c r="DJ430" t="str">
        <f>""</f>
        <v/>
      </c>
      <c r="DK430" t="str">
        <f>""</f>
        <v/>
      </c>
      <c r="DL430" t="str">
        <f>""</f>
        <v/>
      </c>
      <c r="DM430" t="str">
        <f>""</f>
        <v/>
      </c>
      <c r="DN430" t="str">
        <f>""</f>
        <v/>
      </c>
      <c r="DO430" t="str">
        <f>""</f>
        <v/>
      </c>
      <c r="DP430" t="str">
        <f>""</f>
        <v/>
      </c>
      <c r="DQ430" t="str">
        <f>""</f>
        <v/>
      </c>
      <c r="DR430" t="str">
        <f>""</f>
        <v/>
      </c>
      <c r="DS430" t="str">
        <f>""</f>
        <v/>
      </c>
      <c r="DT430" t="str">
        <f>""</f>
        <v/>
      </c>
      <c r="DU430" t="str">
        <f>""</f>
        <v/>
      </c>
      <c r="DV430" t="str">
        <f>""</f>
        <v/>
      </c>
      <c r="DW430" t="str">
        <f>""</f>
        <v/>
      </c>
      <c r="DX430" t="str">
        <f>""</f>
        <v/>
      </c>
      <c r="DY430" t="str">
        <f>""</f>
        <v/>
      </c>
      <c r="DZ430" t="str">
        <f>""</f>
        <v/>
      </c>
      <c r="EA430" t="str">
        <f>""</f>
        <v/>
      </c>
      <c r="EB430" t="str">
        <f>""</f>
        <v/>
      </c>
      <c r="EC430" t="str">
        <f>""</f>
        <v/>
      </c>
      <c r="ED430" t="str">
        <f>""</f>
        <v/>
      </c>
      <c r="EE430" t="str">
        <f>""</f>
        <v/>
      </c>
      <c r="EF430" t="str">
        <f>""</f>
        <v/>
      </c>
      <c r="EG430" t="str">
        <f>""</f>
        <v/>
      </c>
      <c r="EH430" t="str">
        <f>""</f>
        <v/>
      </c>
      <c r="EI430" t="str">
        <f>""</f>
        <v/>
      </c>
      <c r="EJ430" t="str">
        <f>""</f>
        <v/>
      </c>
      <c r="EK430" t="str">
        <f>""</f>
        <v/>
      </c>
      <c r="EL430" t="str">
        <f>""</f>
        <v/>
      </c>
      <c r="EM430" t="str">
        <f>""</f>
        <v/>
      </c>
      <c r="EN430" t="str">
        <f>""</f>
        <v/>
      </c>
      <c r="EO430" t="str">
        <f>""</f>
        <v/>
      </c>
      <c r="EP430" t="str">
        <f>""</f>
        <v/>
      </c>
      <c r="EQ430" t="str">
        <f>""</f>
        <v/>
      </c>
      <c r="ER430" t="str">
        <f>""</f>
        <v/>
      </c>
      <c r="ES430" t="str">
        <f>""</f>
        <v/>
      </c>
      <c r="ET430" t="str">
        <f>""</f>
        <v/>
      </c>
      <c r="EU430" t="str">
        <f>""</f>
        <v/>
      </c>
      <c r="EV430" t="str">
        <f>""</f>
        <v/>
      </c>
      <c r="EW430" t="str">
        <f>""</f>
        <v/>
      </c>
      <c r="EX430" t="str">
        <f>""</f>
        <v/>
      </c>
      <c r="EY430" t="str">
        <f>""</f>
        <v/>
      </c>
      <c r="EZ430" t="str">
        <f>""</f>
        <v/>
      </c>
      <c r="FA430" t="str">
        <f>""</f>
        <v/>
      </c>
      <c r="FB430" t="str">
        <f>""</f>
        <v/>
      </c>
      <c r="FC430" t="str">
        <f>""</f>
        <v/>
      </c>
      <c r="FD430" t="str">
        <f>""</f>
        <v/>
      </c>
      <c r="FE430" t="str">
        <f>""</f>
        <v/>
      </c>
      <c r="FF430" t="str">
        <f>""</f>
        <v/>
      </c>
      <c r="FG430" t="str">
        <f>""</f>
        <v/>
      </c>
      <c r="FH430" t="str">
        <f>""</f>
        <v/>
      </c>
      <c r="FI430" t="str">
        <f>""</f>
        <v/>
      </c>
      <c r="FJ430" t="str">
        <f>""</f>
        <v/>
      </c>
      <c r="FK430" t="str">
        <f>""</f>
        <v/>
      </c>
      <c r="FL430" t="str">
        <f>""</f>
        <v/>
      </c>
      <c r="FM430" t="str">
        <f>""</f>
        <v/>
      </c>
      <c r="FN430" t="str">
        <f>""</f>
        <v/>
      </c>
      <c r="FO430" t="str">
        <f>""</f>
        <v/>
      </c>
      <c r="FP430" t="str">
        <f>""</f>
        <v/>
      </c>
      <c r="FQ430" t="str">
        <f>""</f>
        <v/>
      </c>
    </row>
    <row r="431" spans="1:173">
      <c r="A431" t="str">
        <f>$A$231</f>
        <v xml:space="preserve">    AvalonBay社区股份有限公司</v>
      </c>
      <c r="B431" t="str">
        <f>$B$231</f>
        <v>AVB US Equity</v>
      </c>
      <c r="C431" t="str">
        <f>$C$231</f>
        <v>F0825</v>
      </c>
      <c r="D431" t="str">
        <f>$D$231</f>
        <v>INDUSTRY_STANDARDIZED_MARKET_CAP</v>
      </c>
      <c r="E431" t="str">
        <f>$E$231</f>
        <v>动态</v>
      </c>
      <c r="F431" t="str">
        <f ca="1">BDH($B$231,$C$231,$B$250,$B$251,CONCATENATE("Per=",$B$248),"Dts=H","Dir=H",CONCATENATE("Points=",$B$249),"Sort=R","Days=A","Fill=B",CONCATENATE("FX=", $B$247) )</f>
        <v>#N/A Authorization</v>
      </c>
      <c r="CL431" t="str">
        <f>""</f>
        <v/>
      </c>
      <c r="CM431" t="str">
        <f>""</f>
        <v/>
      </c>
      <c r="CN431" t="str">
        <f>""</f>
        <v/>
      </c>
      <c r="CO431" t="str">
        <f>""</f>
        <v/>
      </c>
      <c r="CP431" t="str">
        <f>""</f>
        <v/>
      </c>
      <c r="CQ431" t="str">
        <f>""</f>
        <v/>
      </c>
      <c r="CR431" t="str">
        <f>""</f>
        <v/>
      </c>
      <c r="CS431" t="str">
        <f>""</f>
        <v/>
      </c>
      <c r="CT431" t="str">
        <f>""</f>
        <v/>
      </c>
      <c r="CU431" t="str">
        <f>""</f>
        <v/>
      </c>
      <c r="CV431" t="str">
        <f>""</f>
        <v/>
      </c>
      <c r="CW431" t="str">
        <f>""</f>
        <v/>
      </c>
      <c r="CX431" t="str">
        <f>""</f>
        <v/>
      </c>
      <c r="CY431" t="str">
        <f>""</f>
        <v/>
      </c>
      <c r="CZ431" t="str">
        <f>""</f>
        <v/>
      </c>
      <c r="DA431" t="str">
        <f>""</f>
        <v/>
      </c>
      <c r="DB431" t="str">
        <f>""</f>
        <v/>
      </c>
      <c r="DC431" t="str">
        <f>""</f>
        <v/>
      </c>
      <c r="DD431" t="str">
        <f>""</f>
        <v/>
      </c>
      <c r="DE431" t="str">
        <f>""</f>
        <v/>
      </c>
      <c r="DF431" t="str">
        <f>""</f>
        <v/>
      </c>
      <c r="DG431" t="str">
        <f>""</f>
        <v/>
      </c>
      <c r="DH431" t="str">
        <f>""</f>
        <v/>
      </c>
      <c r="DI431" t="str">
        <f>""</f>
        <v/>
      </c>
      <c r="DJ431" t="str">
        <f>""</f>
        <v/>
      </c>
      <c r="DK431" t="str">
        <f>""</f>
        <v/>
      </c>
      <c r="DL431" t="str">
        <f>""</f>
        <v/>
      </c>
      <c r="DM431" t="str">
        <f>""</f>
        <v/>
      </c>
      <c r="DN431" t="str">
        <f>""</f>
        <v/>
      </c>
      <c r="DO431" t="str">
        <f>""</f>
        <v/>
      </c>
      <c r="DP431" t="str">
        <f>""</f>
        <v/>
      </c>
      <c r="DQ431" t="str">
        <f>""</f>
        <v/>
      </c>
      <c r="DR431" t="str">
        <f>""</f>
        <v/>
      </c>
      <c r="DS431" t="str">
        <f>""</f>
        <v/>
      </c>
      <c r="DT431" t="str">
        <f>""</f>
        <v/>
      </c>
      <c r="DU431" t="str">
        <f>""</f>
        <v/>
      </c>
      <c r="DV431" t="str">
        <f>""</f>
        <v/>
      </c>
      <c r="DW431" t="str">
        <f>""</f>
        <v/>
      </c>
      <c r="DX431" t="str">
        <f>""</f>
        <v/>
      </c>
      <c r="DY431" t="str">
        <f>""</f>
        <v/>
      </c>
      <c r="DZ431" t="str">
        <f>""</f>
        <v/>
      </c>
      <c r="EA431" t="str">
        <f>""</f>
        <v/>
      </c>
      <c r="EB431" t="str">
        <f>""</f>
        <v/>
      </c>
      <c r="EC431" t="str">
        <f>""</f>
        <v/>
      </c>
      <c r="ED431" t="str">
        <f>""</f>
        <v/>
      </c>
      <c r="EE431" t="str">
        <f>""</f>
        <v/>
      </c>
      <c r="EF431" t="str">
        <f>""</f>
        <v/>
      </c>
      <c r="EG431" t="str">
        <f>""</f>
        <v/>
      </c>
      <c r="EH431" t="str">
        <f>""</f>
        <v/>
      </c>
      <c r="EI431" t="str">
        <f>""</f>
        <v/>
      </c>
      <c r="EJ431" t="str">
        <f>""</f>
        <v/>
      </c>
      <c r="EK431" t="str">
        <f>""</f>
        <v/>
      </c>
      <c r="EL431" t="str">
        <f>""</f>
        <v/>
      </c>
      <c r="EM431" t="str">
        <f>""</f>
        <v/>
      </c>
      <c r="EN431" t="str">
        <f>""</f>
        <v/>
      </c>
      <c r="EO431" t="str">
        <f>""</f>
        <v/>
      </c>
      <c r="EP431" t="str">
        <f>""</f>
        <v/>
      </c>
      <c r="EQ431" t="str">
        <f>""</f>
        <v/>
      </c>
      <c r="ER431" t="str">
        <f>""</f>
        <v/>
      </c>
      <c r="ES431" t="str">
        <f>""</f>
        <v/>
      </c>
      <c r="ET431" t="str">
        <f>""</f>
        <v/>
      </c>
      <c r="EU431" t="str">
        <f>""</f>
        <v/>
      </c>
      <c r="EV431" t="str">
        <f>""</f>
        <v/>
      </c>
      <c r="EW431" t="str">
        <f>""</f>
        <v/>
      </c>
      <c r="EX431" t="str">
        <f>""</f>
        <v/>
      </c>
      <c r="EY431" t="str">
        <f>""</f>
        <v/>
      </c>
      <c r="EZ431" t="str">
        <f>""</f>
        <v/>
      </c>
      <c r="FA431" t="str">
        <f>""</f>
        <v/>
      </c>
      <c r="FB431" t="str">
        <f>""</f>
        <v/>
      </c>
      <c r="FC431" t="str">
        <f>""</f>
        <v/>
      </c>
      <c r="FD431" t="str">
        <f>""</f>
        <v/>
      </c>
      <c r="FE431" t="str">
        <f>""</f>
        <v/>
      </c>
      <c r="FF431" t="str">
        <f>""</f>
        <v/>
      </c>
      <c r="FG431" t="str">
        <f>""</f>
        <v/>
      </c>
      <c r="FH431" t="str">
        <f>""</f>
        <v/>
      </c>
      <c r="FI431" t="str">
        <f>""</f>
        <v/>
      </c>
      <c r="FJ431" t="str">
        <f>""</f>
        <v/>
      </c>
      <c r="FK431" t="str">
        <f>""</f>
        <v/>
      </c>
      <c r="FL431" t="str">
        <f>""</f>
        <v/>
      </c>
      <c r="FM431" t="str">
        <f>""</f>
        <v/>
      </c>
      <c r="FN431" t="str">
        <f>""</f>
        <v/>
      </c>
      <c r="FO431" t="str">
        <f>""</f>
        <v/>
      </c>
      <c r="FP431" t="str">
        <f>""</f>
        <v/>
      </c>
      <c r="FQ431" t="str">
        <f>""</f>
        <v/>
      </c>
    </row>
    <row r="432" spans="1:173">
      <c r="A432" t="str">
        <f>$A$232</f>
        <v xml:space="preserve">    Camden 房地产信托公司</v>
      </c>
      <c r="B432" t="str">
        <f>$B$232</f>
        <v>CPT US Equity</v>
      </c>
      <c r="C432" t="str">
        <f>$C$232</f>
        <v>F0825</v>
      </c>
      <c r="D432" t="str">
        <f>$D$232</f>
        <v>INDUSTRY_STANDARDIZED_MARKET_CAP</v>
      </c>
      <c r="E432" t="str">
        <f>$E$232</f>
        <v>动态</v>
      </c>
      <c r="F432" t="str">
        <f ca="1">BDH($B$232,$C$232,$B$250,$B$251,CONCATENATE("Per=",$B$248),"Dts=H","Dir=H",CONCATENATE("Points=",$B$249),"Sort=R","Days=A","Fill=B",CONCATENATE("FX=", $B$247) )</f>
        <v>#N/A Authorization</v>
      </c>
      <c r="CL432" t="str">
        <f>""</f>
        <v/>
      </c>
      <c r="CM432" t="str">
        <f>""</f>
        <v/>
      </c>
      <c r="CN432" t="str">
        <f>""</f>
        <v/>
      </c>
      <c r="CO432" t="str">
        <f>""</f>
        <v/>
      </c>
      <c r="CP432" t="str">
        <f>""</f>
        <v/>
      </c>
      <c r="CQ432" t="str">
        <f>""</f>
        <v/>
      </c>
      <c r="CR432" t="str">
        <f>""</f>
        <v/>
      </c>
      <c r="CS432" t="str">
        <f>""</f>
        <v/>
      </c>
      <c r="CT432" t="str">
        <f>""</f>
        <v/>
      </c>
      <c r="CU432" t="str">
        <f>""</f>
        <v/>
      </c>
      <c r="CV432" t="str">
        <f>""</f>
        <v/>
      </c>
      <c r="CW432" t="str">
        <f>""</f>
        <v/>
      </c>
      <c r="CX432" t="str">
        <f>""</f>
        <v/>
      </c>
      <c r="CY432" t="str">
        <f>""</f>
        <v/>
      </c>
      <c r="CZ432" t="str">
        <f>""</f>
        <v/>
      </c>
      <c r="DA432" t="str">
        <f>""</f>
        <v/>
      </c>
      <c r="DB432" t="str">
        <f>""</f>
        <v/>
      </c>
      <c r="DC432" t="str">
        <f>""</f>
        <v/>
      </c>
      <c r="DD432" t="str">
        <f>""</f>
        <v/>
      </c>
      <c r="DE432" t="str">
        <f>""</f>
        <v/>
      </c>
      <c r="DF432" t="str">
        <f>""</f>
        <v/>
      </c>
      <c r="DG432" t="str">
        <f>""</f>
        <v/>
      </c>
      <c r="DH432" t="str">
        <f>""</f>
        <v/>
      </c>
      <c r="DI432" t="str">
        <f>""</f>
        <v/>
      </c>
      <c r="DJ432" t="str">
        <f>""</f>
        <v/>
      </c>
      <c r="DK432" t="str">
        <f>""</f>
        <v/>
      </c>
      <c r="DL432" t="str">
        <f>""</f>
        <v/>
      </c>
      <c r="DM432" t="str">
        <f>""</f>
        <v/>
      </c>
      <c r="DN432" t="str">
        <f>""</f>
        <v/>
      </c>
      <c r="DO432" t="str">
        <f>""</f>
        <v/>
      </c>
      <c r="DP432" t="str">
        <f>""</f>
        <v/>
      </c>
      <c r="DQ432" t="str">
        <f>""</f>
        <v/>
      </c>
      <c r="DR432" t="str">
        <f>""</f>
        <v/>
      </c>
      <c r="DS432" t="str">
        <f>""</f>
        <v/>
      </c>
      <c r="DT432" t="str">
        <f>""</f>
        <v/>
      </c>
      <c r="DU432" t="str">
        <f>""</f>
        <v/>
      </c>
      <c r="DV432" t="str">
        <f>""</f>
        <v/>
      </c>
      <c r="DW432" t="str">
        <f>""</f>
        <v/>
      </c>
      <c r="DX432" t="str">
        <f>""</f>
        <v/>
      </c>
      <c r="DY432" t="str">
        <f>""</f>
        <v/>
      </c>
      <c r="DZ432" t="str">
        <f>""</f>
        <v/>
      </c>
      <c r="EA432" t="str">
        <f>""</f>
        <v/>
      </c>
      <c r="EB432" t="str">
        <f>""</f>
        <v/>
      </c>
      <c r="EC432" t="str">
        <f>""</f>
        <v/>
      </c>
      <c r="ED432" t="str">
        <f>""</f>
        <v/>
      </c>
      <c r="EE432" t="str">
        <f>""</f>
        <v/>
      </c>
      <c r="EF432" t="str">
        <f>""</f>
        <v/>
      </c>
      <c r="EG432" t="str">
        <f>""</f>
        <v/>
      </c>
      <c r="EH432" t="str">
        <f>""</f>
        <v/>
      </c>
      <c r="EI432" t="str">
        <f>""</f>
        <v/>
      </c>
      <c r="EJ432" t="str">
        <f>""</f>
        <v/>
      </c>
      <c r="EK432" t="str">
        <f>""</f>
        <v/>
      </c>
      <c r="EL432" t="str">
        <f>""</f>
        <v/>
      </c>
      <c r="EM432" t="str">
        <f>""</f>
        <v/>
      </c>
      <c r="EN432" t="str">
        <f>""</f>
        <v/>
      </c>
      <c r="EO432" t="str">
        <f>""</f>
        <v/>
      </c>
      <c r="EP432" t="str">
        <f>""</f>
        <v/>
      </c>
      <c r="EQ432" t="str">
        <f>""</f>
        <v/>
      </c>
      <c r="ER432" t="str">
        <f>""</f>
        <v/>
      </c>
      <c r="ES432" t="str">
        <f>""</f>
        <v/>
      </c>
      <c r="ET432" t="str">
        <f>""</f>
        <v/>
      </c>
      <c r="EU432" t="str">
        <f>""</f>
        <v/>
      </c>
      <c r="EV432" t="str">
        <f>""</f>
        <v/>
      </c>
      <c r="EW432" t="str">
        <f>""</f>
        <v/>
      </c>
      <c r="EX432" t="str">
        <f>""</f>
        <v/>
      </c>
      <c r="EY432" t="str">
        <f>""</f>
        <v/>
      </c>
      <c r="EZ432" t="str">
        <f>""</f>
        <v/>
      </c>
      <c r="FA432" t="str">
        <f>""</f>
        <v/>
      </c>
      <c r="FB432" t="str">
        <f>""</f>
        <v/>
      </c>
      <c r="FC432" t="str">
        <f>""</f>
        <v/>
      </c>
      <c r="FD432" t="str">
        <f>""</f>
        <v/>
      </c>
      <c r="FE432" t="str">
        <f>""</f>
        <v/>
      </c>
      <c r="FF432" t="str">
        <f>""</f>
        <v/>
      </c>
      <c r="FG432" t="str">
        <f>""</f>
        <v/>
      </c>
      <c r="FH432" t="str">
        <f>""</f>
        <v/>
      </c>
      <c r="FI432" t="str">
        <f>""</f>
        <v/>
      </c>
      <c r="FJ432" t="str">
        <f>""</f>
        <v/>
      </c>
      <c r="FK432" t="str">
        <f>""</f>
        <v/>
      </c>
      <c r="FL432" t="str">
        <f>""</f>
        <v/>
      </c>
      <c r="FM432" t="str">
        <f>""</f>
        <v/>
      </c>
      <c r="FN432" t="str">
        <f>""</f>
        <v/>
      </c>
      <c r="FO432" t="str">
        <f>""</f>
        <v/>
      </c>
      <c r="FP432" t="str">
        <f>""</f>
        <v/>
      </c>
      <c r="FQ432" t="str">
        <f>""</f>
        <v/>
      </c>
    </row>
    <row r="433" spans="1:173">
      <c r="A433" t="str">
        <f>$A$233</f>
        <v xml:space="preserve">    公寓物业权益信托</v>
      </c>
      <c r="B433" t="str">
        <f>$B$233</f>
        <v>EQR US Equity</v>
      </c>
      <c r="C433" t="str">
        <f>$C$233</f>
        <v>F0825</v>
      </c>
      <c r="D433" t="str">
        <f>$D$233</f>
        <v>INDUSTRY_STANDARDIZED_MARKET_CAP</v>
      </c>
      <c r="E433" t="str">
        <f>$E$233</f>
        <v>动态</v>
      </c>
      <c r="F433" t="str">
        <f ca="1">BDH($B$233,$C$233,$B$250,$B$251,CONCATENATE("Per=",$B$248),"Dts=H","Dir=H",CONCATENATE("Points=",$B$249),"Sort=R","Days=A","Fill=B",CONCATENATE("FX=", $B$247) )</f>
        <v>#N/A Authorization</v>
      </c>
      <c r="CL433" t="str">
        <f>""</f>
        <v/>
      </c>
      <c r="CM433" t="str">
        <f>""</f>
        <v/>
      </c>
      <c r="CN433" t="str">
        <f>""</f>
        <v/>
      </c>
      <c r="CO433" t="str">
        <f>""</f>
        <v/>
      </c>
      <c r="CP433" t="str">
        <f>""</f>
        <v/>
      </c>
      <c r="CQ433" t="str">
        <f>""</f>
        <v/>
      </c>
      <c r="CR433" t="str">
        <f>""</f>
        <v/>
      </c>
      <c r="CS433" t="str">
        <f>""</f>
        <v/>
      </c>
      <c r="CT433" t="str">
        <f>""</f>
        <v/>
      </c>
      <c r="CU433" t="str">
        <f>""</f>
        <v/>
      </c>
      <c r="CV433" t="str">
        <f>""</f>
        <v/>
      </c>
      <c r="CW433" t="str">
        <f>""</f>
        <v/>
      </c>
      <c r="CX433" t="str">
        <f>""</f>
        <v/>
      </c>
      <c r="CY433" t="str">
        <f>""</f>
        <v/>
      </c>
      <c r="CZ433" t="str">
        <f>""</f>
        <v/>
      </c>
      <c r="DA433" t="str">
        <f>""</f>
        <v/>
      </c>
      <c r="DB433" t="str">
        <f>""</f>
        <v/>
      </c>
      <c r="DC433" t="str">
        <f>""</f>
        <v/>
      </c>
      <c r="DD433" t="str">
        <f>""</f>
        <v/>
      </c>
      <c r="DE433" t="str">
        <f>""</f>
        <v/>
      </c>
      <c r="DF433" t="str">
        <f>""</f>
        <v/>
      </c>
      <c r="DG433" t="str">
        <f>""</f>
        <v/>
      </c>
      <c r="DH433" t="str">
        <f>""</f>
        <v/>
      </c>
      <c r="DI433" t="str">
        <f>""</f>
        <v/>
      </c>
      <c r="DJ433" t="str">
        <f>""</f>
        <v/>
      </c>
      <c r="DK433" t="str">
        <f>""</f>
        <v/>
      </c>
      <c r="DL433" t="str">
        <f>""</f>
        <v/>
      </c>
      <c r="DM433" t="str">
        <f>""</f>
        <v/>
      </c>
      <c r="DN433" t="str">
        <f>""</f>
        <v/>
      </c>
      <c r="DO433" t="str">
        <f>""</f>
        <v/>
      </c>
      <c r="DP433" t="str">
        <f>""</f>
        <v/>
      </c>
      <c r="DQ433" t="str">
        <f>""</f>
        <v/>
      </c>
      <c r="DR433" t="str">
        <f>""</f>
        <v/>
      </c>
      <c r="DS433" t="str">
        <f>""</f>
        <v/>
      </c>
      <c r="DT433" t="str">
        <f>""</f>
        <v/>
      </c>
      <c r="DU433" t="str">
        <f>""</f>
        <v/>
      </c>
      <c r="DV433" t="str">
        <f>""</f>
        <v/>
      </c>
      <c r="DW433" t="str">
        <f>""</f>
        <v/>
      </c>
      <c r="DX433" t="str">
        <f>""</f>
        <v/>
      </c>
      <c r="DY433" t="str">
        <f>""</f>
        <v/>
      </c>
      <c r="DZ433" t="str">
        <f>""</f>
        <v/>
      </c>
      <c r="EA433" t="str">
        <f>""</f>
        <v/>
      </c>
      <c r="EB433" t="str">
        <f>""</f>
        <v/>
      </c>
      <c r="EC433" t="str">
        <f>""</f>
        <v/>
      </c>
      <c r="ED433" t="str">
        <f>""</f>
        <v/>
      </c>
      <c r="EE433" t="str">
        <f>""</f>
        <v/>
      </c>
      <c r="EF433" t="str">
        <f>""</f>
        <v/>
      </c>
      <c r="EG433" t="str">
        <f>""</f>
        <v/>
      </c>
      <c r="EH433" t="str">
        <f>""</f>
        <v/>
      </c>
      <c r="EI433" t="str">
        <f>""</f>
        <v/>
      </c>
      <c r="EJ433" t="str">
        <f>""</f>
        <v/>
      </c>
      <c r="EK433" t="str">
        <f>""</f>
        <v/>
      </c>
      <c r="EL433" t="str">
        <f>""</f>
        <v/>
      </c>
      <c r="EM433" t="str">
        <f>""</f>
        <v/>
      </c>
      <c r="EN433" t="str">
        <f>""</f>
        <v/>
      </c>
      <c r="EO433" t="str">
        <f>""</f>
        <v/>
      </c>
      <c r="EP433" t="str">
        <f>""</f>
        <v/>
      </c>
      <c r="EQ433" t="str">
        <f>""</f>
        <v/>
      </c>
      <c r="ER433" t="str">
        <f>""</f>
        <v/>
      </c>
      <c r="ES433" t="str">
        <f>""</f>
        <v/>
      </c>
      <c r="ET433" t="str">
        <f>""</f>
        <v/>
      </c>
      <c r="EU433" t="str">
        <f>""</f>
        <v/>
      </c>
      <c r="EV433" t="str">
        <f>""</f>
        <v/>
      </c>
      <c r="EW433" t="str">
        <f>""</f>
        <v/>
      </c>
      <c r="EX433" t="str">
        <f>""</f>
        <v/>
      </c>
      <c r="EY433" t="str">
        <f>""</f>
        <v/>
      </c>
      <c r="EZ433" t="str">
        <f>""</f>
        <v/>
      </c>
      <c r="FA433" t="str">
        <f>""</f>
        <v/>
      </c>
      <c r="FB433" t="str">
        <f>""</f>
        <v/>
      </c>
      <c r="FC433" t="str">
        <f>""</f>
        <v/>
      </c>
      <c r="FD433" t="str">
        <f>""</f>
        <v/>
      </c>
      <c r="FE433" t="str">
        <f>""</f>
        <v/>
      </c>
      <c r="FF433" t="str">
        <f>""</f>
        <v/>
      </c>
      <c r="FG433" t="str">
        <f>""</f>
        <v/>
      </c>
      <c r="FH433" t="str">
        <f>""</f>
        <v/>
      </c>
      <c r="FI433" t="str">
        <f>""</f>
        <v/>
      </c>
      <c r="FJ433" t="str">
        <f>""</f>
        <v/>
      </c>
      <c r="FK433" t="str">
        <f>""</f>
        <v/>
      </c>
      <c r="FL433" t="str">
        <f>""</f>
        <v/>
      </c>
      <c r="FM433" t="str">
        <f>""</f>
        <v/>
      </c>
      <c r="FN433" t="str">
        <f>""</f>
        <v/>
      </c>
      <c r="FO433" t="str">
        <f>""</f>
        <v/>
      </c>
      <c r="FP433" t="str">
        <f>""</f>
        <v/>
      </c>
      <c r="FQ433" t="str">
        <f>""</f>
        <v/>
      </c>
    </row>
    <row r="434" spans="1:173">
      <c r="A434" t="str">
        <f>$A$234</f>
        <v xml:space="preserve">    埃塞克斯房地产信托公司</v>
      </c>
      <c r="B434" t="str">
        <f>$B$234</f>
        <v>ESS US Equity</v>
      </c>
      <c r="C434" t="str">
        <f>$C$234</f>
        <v>F0825</v>
      </c>
      <c r="D434" t="str">
        <f>$D$234</f>
        <v>INDUSTRY_STANDARDIZED_MARKET_CAP</v>
      </c>
      <c r="E434" t="str">
        <f>$E$234</f>
        <v>动态</v>
      </c>
      <c r="F434" t="str">
        <f ca="1">BDH($B$234,$C$234,$B$250,$B$251,CONCATENATE("Per=",$B$248),"Dts=H","Dir=H",CONCATENATE("Points=",$B$249),"Sort=R","Days=A","Fill=B",CONCATENATE("FX=", $B$247) )</f>
        <v>#N/A Authorization</v>
      </c>
      <c r="CL434" t="str">
        <f>""</f>
        <v/>
      </c>
      <c r="CM434" t="str">
        <f>""</f>
        <v/>
      </c>
      <c r="CN434" t="str">
        <f>""</f>
        <v/>
      </c>
      <c r="CO434" t="str">
        <f>""</f>
        <v/>
      </c>
      <c r="CP434" t="str">
        <f>""</f>
        <v/>
      </c>
      <c r="CQ434" t="str">
        <f>""</f>
        <v/>
      </c>
      <c r="CR434" t="str">
        <f>""</f>
        <v/>
      </c>
      <c r="CS434" t="str">
        <f>""</f>
        <v/>
      </c>
      <c r="CT434" t="str">
        <f>""</f>
        <v/>
      </c>
      <c r="CU434" t="str">
        <f>""</f>
        <v/>
      </c>
      <c r="CV434" t="str">
        <f>""</f>
        <v/>
      </c>
      <c r="CW434" t="str">
        <f>""</f>
        <v/>
      </c>
      <c r="CX434" t="str">
        <f>""</f>
        <v/>
      </c>
      <c r="CY434" t="str">
        <f>""</f>
        <v/>
      </c>
      <c r="CZ434" t="str">
        <f>""</f>
        <v/>
      </c>
      <c r="DA434" t="str">
        <f>""</f>
        <v/>
      </c>
      <c r="DB434" t="str">
        <f>""</f>
        <v/>
      </c>
      <c r="DC434" t="str">
        <f>""</f>
        <v/>
      </c>
      <c r="DD434" t="str">
        <f>""</f>
        <v/>
      </c>
      <c r="DE434" t="str">
        <f>""</f>
        <v/>
      </c>
      <c r="DF434" t="str">
        <f>""</f>
        <v/>
      </c>
      <c r="DG434" t="str">
        <f>""</f>
        <v/>
      </c>
      <c r="DH434" t="str">
        <f>""</f>
        <v/>
      </c>
      <c r="DI434" t="str">
        <f>""</f>
        <v/>
      </c>
      <c r="DJ434" t="str">
        <f>""</f>
        <v/>
      </c>
      <c r="DK434" t="str">
        <f>""</f>
        <v/>
      </c>
      <c r="DL434" t="str">
        <f>""</f>
        <v/>
      </c>
      <c r="DM434" t="str">
        <f>""</f>
        <v/>
      </c>
      <c r="DN434" t="str">
        <f>""</f>
        <v/>
      </c>
      <c r="DO434" t="str">
        <f>""</f>
        <v/>
      </c>
      <c r="DP434" t="str">
        <f>""</f>
        <v/>
      </c>
      <c r="DQ434" t="str">
        <f>""</f>
        <v/>
      </c>
      <c r="DR434" t="str">
        <f>""</f>
        <v/>
      </c>
      <c r="DS434" t="str">
        <f>""</f>
        <v/>
      </c>
      <c r="DT434" t="str">
        <f>""</f>
        <v/>
      </c>
      <c r="DU434" t="str">
        <f>""</f>
        <v/>
      </c>
      <c r="DV434" t="str">
        <f>""</f>
        <v/>
      </c>
      <c r="DW434" t="str">
        <f>""</f>
        <v/>
      </c>
      <c r="DX434" t="str">
        <f>""</f>
        <v/>
      </c>
      <c r="DY434" t="str">
        <f>""</f>
        <v/>
      </c>
      <c r="DZ434" t="str">
        <f>""</f>
        <v/>
      </c>
      <c r="EA434" t="str">
        <f>""</f>
        <v/>
      </c>
      <c r="EB434" t="str">
        <f>""</f>
        <v/>
      </c>
      <c r="EC434" t="str">
        <f>""</f>
        <v/>
      </c>
      <c r="ED434" t="str">
        <f>""</f>
        <v/>
      </c>
      <c r="EE434" t="str">
        <f>""</f>
        <v/>
      </c>
      <c r="EF434" t="str">
        <f>""</f>
        <v/>
      </c>
      <c r="EG434" t="str">
        <f>""</f>
        <v/>
      </c>
      <c r="EH434" t="str">
        <f>""</f>
        <v/>
      </c>
      <c r="EI434" t="str">
        <f>""</f>
        <v/>
      </c>
      <c r="EJ434" t="str">
        <f>""</f>
        <v/>
      </c>
      <c r="EK434" t="str">
        <f>""</f>
        <v/>
      </c>
      <c r="EL434" t="str">
        <f>""</f>
        <v/>
      </c>
      <c r="EM434" t="str">
        <f>""</f>
        <v/>
      </c>
      <c r="EN434" t="str">
        <f>""</f>
        <v/>
      </c>
      <c r="EO434" t="str">
        <f>""</f>
        <v/>
      </c>
      <c r="EP434" t="str">
        <f>""</f>
        <v/>
      </c>
      <c r="EQ434" t="str">
        <f>""</f>
        <v/>
      </c>
      <c r="ER434" t="str">
        <f>""</f>
        <v/>
      </c>
      <c r="ES434" t="str">
        <f>""</f>
        <v/>
      </c>
      <c r="ET434" t="str">
        <f>""</f>
        <v/>
      </c>
      <c r="EU434" t="str">
        <f>""</f>
        <v/>
      </c>
      <c r="EV434" t="str">
        <f>""</f>
        <v/>
      </c>
      <c r="EW434" t="str">
        <f>""</f>
        <v/>
      </c>
      <c r="EX434" t="str">
        <f>""</f>
        <v/>
      </c>
      <c r="EY434" t="str">
        <f>""</f>
        <v/>
      </c>
      <c r="EZ434" t="str">
        <f>""</f>
        <v/>
      </c>
      <c r="FA434" t="str">
        <f>""</f>
        <v/>
      </c>
      <c r="FB434" t="str">
        <f>""</f>
        <v/>
      </c>
      <c r="FC434" t="str">
        <f>""</f>
        <v/>
      </c>
      <c r="FD434" t="str">
        <f>""</f>
        <v/>
      </c>
      <c r="FE434" t="str">
        <f>""</f>
        <v/>
      </c>
      <c r="FF434" t="str">
        <f>""</f>
        <v/>
      </c>
      <c r="FG434" t="str">
        <f>""</f>
        <v/>
      </c>
      <c r="FH434" t="str">
        <f>""</f>
        <v/>
      </c>
      <c r="FI434" t="str">
        <f>""</f>
        <v/>
      </c>
      <c r="FJ434" t="str">
        <f>""</f>
        <v/>
      </c>
      <c r="FK434" t="str">
        <f>""</f>
        <v/>
      </c>
      <c r="FL434" t="str">
        <f>""</f>
        <v/>
      </c>
      <c r="FM434" t="str">
        <f>""</f>
        <v/>
      </c>
      <c r="FN434" t="str">
        <f>""</f>
        <v/>
      </c>
      <c r="FO434" t="str">
        <f>""</f>
        <v/>
      </c>
      <c r="FP434" t="str">
        <f>""</f>
        <v/>
      </c>
      <c r="FQ434" t="str">
        <f>""</f>
        <v/>
      </c>
    </row>
    <row r="435" spans="1:173">
      <c r="A435" t="str">
        <f>$A$235</f>
        <v xml:space="preserve">    Mid-America Apartment Communities股份有限公司</v>
      </c>
      <c r="B435" t="str">
        <f>$B$235</f>
        <v>MAA US Equity</v>
      </c>
      <c r="C435" t="str">
        <f>$C$235</f>
        <v>F0825</v>
      </c>
      <c r="D435" t="str">
        <f>$D$235</f>
        <v>INDUSTRY_STANDARDIZED_MARKET_CAP</v>
      </c>
      <c r="E435" t="str">
        <f>$E$235</f>
        <v>动态</v>
      </c>
      <c r="F435" t="str">
        <f ca="1">BDH($B$235,$C$235,$B$250,$B$251,CONCATENATE("Per=",$B$248),"Dts=H","Dir=H",CONCATENATE("Points=",$B$249),"Sort=R","Days=A","Fill=B",CONCATENATE("FX=", $B$247) )</f>
        <v>#N/A Authorization</v>
      </c>
      <c r="CL435" t="str">
        <f>""</f>
        <v/>
      </c>
      <c r="CM435" t="str">
        <f>""</f>
        <v/>
      </c>
      <c r="CN435" t="str">
        <f>""</f>
        <v/>
      </c>
      <c r="CO435" t="str">
        <f>""</f>
        <v/>
      </c>
      <c r="CP435" t="str">
        <f>""</f>
        <v/>
      </c>
      <c r="CQ435" t="str">
        <f>""</f>
        <v/>
      </c>
      <c r="CR435" t="str">
        <f>""</f>
        <v/>
      </c>
      <c r="CS435" t="str">
        <f>""</f>
        <v/>
      </c>
      <c r="CT435" t="str">
        <f>""</f>
        <v/>
      </c>
      <c r="CU435" t="str">
        <f>""</f>
        <v/>
      </c>
      <c r="CV435" t="str">
        <f>""</f>
        <v/>
      </c>
      <c r="CW435" t="str">
        <f>""</f>
        <v/>
      </c>
      <c r="CX435" t="str">
        <f>""</f>
        <v/>
      </c>
      <c r="CY435" t="str">
        <f>""</f>
        <v/>
      </c>
      <c r="CZ435" t="str">
        <f>""</f>
        <v/>
      </c>
      <c r="DA435" t="str">
        <f>""</f>
        <v/>
      </c>
      <c r="DB435" t="str">
        <f>""</f>
        <v/>
      </c>
      <c r="DC435" t="str">
        <f>""</f>
        <v/>
      </c>
      <c r="DD435" t="str">
        <f>""</f>
        <v/>
      </c>
      <c r="DE435" t="str">
        <f>""</f>
        <v/>
      </c>
      <c r="DF435" t="str">
        <f>""</f>
        <v/>
      </c>
      <c r="DG435" t="str">
        <f>""</f>
        <v/>
      </c>
      <c r="DH435" t="str">
        <f>""</f>
        <v/>
      </c>
      <c r="DI435" t="str">
        <f>""</f>
        <v/>
      </c>
      <c r="DJ435" t="str">
        <f>""</f>
        <v/>
      </c>
      <c r="DK435" t="str">
        <f>""</f>
        <v/>
      </c>
      <c r="DL435" t="str">
        <f>""</f>
        <v/>
      </c>
      <c r="DM435" t="str">
        <f>""</f>
        <v/>
      </c>
      <c r="DN435" t="str">
        <f>""</f>
        <v/>
      </c>
      <c r="DO435" t="str">
        <f>""</f>
        <v/>
      </c>
      <c r="DP435" t="str">
        <f>""</f>
        <v/>
      </c>
      <c r="DQ435" t="str">
        <f>""</f>
        <v/>
      </c>
      <c r="DR435" t="str">
        <f>""</f>
        <v/>
      </c>
      <c r="DS435" t="str">
        <f>""</f>
        <v/>
      </c>
      <c r="DT435" t="str">
        <f>""</f>
        <v/>
      </c>
      <c r="DU435" t="str">
        <f>""</f>
        <v/>
      </c>
      <c r="DV435" t="str">
        <f>""</f>
        <v/>
      </c>
      <c r="DW435" t="str">
        <f>""</f>
        <v/>
      </c>
      <c r="DX435" t="str">
        <f>""</f>
        <v/>
      </c>
      <c r="DY435" t="str">
        <f>""</f>
        <v/>
      </c>
      <c r="DZ435" t="str">
        <f>""</f>
        <v/>
      </c>
      <c r="EA435" t="str">
        <f>""</f>
        <v/>
      </c>
      <c r="EB435" t="str">
        <f>""</f>
        <v/>
      </c>
      <c r="EC435" t="str">
        <f>""</f>
        <v/>
      </c>
      <c r="ED435" t="str">
        <f>""</f>
        <v/>
      </c>
      <c r="EE435" t="str">
        <f>""</f>
        <v/>
      </c>
      <c r="EF435" t="str">
        <f>""</f>
        <v/>
      </c>
      <c r="EG435" t="str">
        <f>""</f>
        <v/>
      </c>
      <c r="EH435" t="str">
        <f>""</f>
        <v/>
      </c>
      <c r="EI435" t="str">
        <f>""</f>
        <v/>
      </c>
      <c r="EJ435" t="str">
        <f>""</f>
        <v/>
      </c>
      <c r="EK435" t="str">
        <f>""</f>
        <v/>
      </c>
      <c r="EL435" t="str">
        <f>""</f>
        <v/>
      </c>
      <c r="EM435" t="str">
        <f>""</f>
        <v/>
      </c>
      <c r="EN435" t="str">
        <f>""</f>
        <v/>
      </c>
      <c r="EO435" t="str">
        <f>""</f>
        <v/>
      </c>
      <c r="EP435" t="str">
        <f>""</f>
        <v/>
      </c>
      <c r="EQ435" t="str">
        <f>""</f>
        <v/>
      </c>
      <c r="ER435" t="str">
        <f>""</f>
        <v/>
      </c>
      <c r="ES435" t="str">
        <f>""</f>
        <v/>
      </c>
      <c r="ET435" t="str">
        <f>""</f>
        <v/>
      </c>
      <c r="EU435" t="str">
        <f>""</f>
        <v/>
      </c>
      <c r="EV435" t="str">
        <f>""</f>
        <v/>
      </c>
      <c r="EW435" t="str">
        <f>""</f>
        <v/>
      </c>
      <c r="EX435" t="str">
        <f>""</f>
        <v/>
      </c>
      <c r="EY435" t="str">
        <f>""</f>
        <v/>
      </c>
      <c r="EZ435" t="str">
        <f>""</f>
        <v/>
      </c>
      <c r="FA435" t="str">
        <f>""</f>
        <v/>
      </c>
      <c r="FB435" t="str">
        <f>""</f>
        <v/>
      </c>
      <c r="FC435" t="str">
        <f>""</f>
        <v/>
      </c>
      <c r="FD435" t="str">
        <f>""</f>
        <v/>
      </c>
      <c r="FE435" t="str">
        <f>""</f>
        <v/>
      </c>
      <c r="FF435" t="str">
        <f>""</f>
        <v/>
      </c>
      <c r="FG435" t="str">
        <f>""</f>
        <v/>
      </c>
      <c r="FH435" t="str">
        <f>""</f>
        <v/>
      </c>
      <c r="FI435" t="str">
        <f>""</f>
        <v/>
      </c>
      <c r="FJ435" t="str">
        <f>""</f>
        <v/>
      </c>
      <c r="FK435" t="str">
        <f>""</f>
        <v/>
      </c>
      <c r="FL435" t="str">
        <f>""</f>
        <v/>
      </c>
      <c r="FM435" t="str">
        <f>""</f>
        <v/>
      </c>
      <c r="FN435" t="str">
        <f>""</f>
        <v/>
      </c>
      <c r="FO435" t="str">
        <f>""</f>
        <v/>
      </c>
      <c r="FP435" t="str">
        <f>""</f>
        <v/>
      </c>
      <c r="FQ435" t="str">
        <f>""</f>
        <v/>
      </c>
    </row>
    <row r="436" spans="1:173">
      <c r="A436" t="str">
        <f>$A$236</f>
        <v xml:space="preserve">    UDR 公司</v>
      </c>
      <c r="B436" t="str">
        <f>$B$236</f>
        <v>UDR US Equity</v>
      </c>
      <c r="C436" t="str">
        <f>$C$236</f>
        <v>F0825</v>
      </c>
      <c r="D436" t="str">
        <f>$D$236</f>
        <v>INDUSTRY_STANDARDIZED_MARKET_CAP</v>
      </c>
      <c r="E436" t="str">
        <f>$E$236</f>
        <v>动态</v>
      </c>
      <c r="F436" t="str">
        <f ca="1">BDH($B$236,$C$236,$B$250,$B$251,CONCATENATE("Per=",$B$248),"Dts=H","Dir=H",CONCATENATE("Points=",$B$249),"Sort=R","Days=A","Fill=B",CONCATENATE("FX=", $B$247) )</f>
        <v>#N/A Authorization</v>
      </c>
      <c r="CL436" t="str">
        <f>""</f>
        <v/>
      </c>
      <c r="CM436" t="str">
        <f>""</f>
        <v/>
      </c>
      <c r="CN436" t="str">
        <f>""</f>
        <v/>
      </c>
      <c r="CO436" t="str">
        <f>""</f>
        <v/>
      </c>
      <c r="CP436" t="str">
        <f>""</f>
        <v/>
      </c>
      <c r="CQ436" t="str">
        <f>""</f>
        <v/>
      </c>
      <c r="CR436" t="str">
        <f>""</f>
        <v/>
      </c>
      <c r="CS436" t="str">
        <f>""</f>
        <v/>
      </c>
      <c r="CT436" t="str">
        <f>""</f>
        <v/>
      </c>
      <c r="CU436" t="str">
        <f>""</f>
        <v/>
      </c>
      <c r="CV436" t="str">
        <f>""</f>
        <v/>
      </c>
      <c r="CW436" t="str">
        <f>""</f>
        <v/>
      </c>
      <c r="CX436" t="str">
        <f>""</f>
        <v/>
      </c>
      <c r="CY436" t="str">
        <f>""</f>
        <v/>
      </c>
      <c r="CZ436" t="str">
        <f>""</f>
        <v/>
      </c>
      <c r="DA436" t="str">
        <f>""</f>
        <v/>
      </c>
      <c r="DB436" t="str">
        <f>""</f>
        <v/>
      </c>
      <c r="DC436" t="str">
        <f>""</f>
        <v/>
      </c>
      <c r="DD436" t="str">
        <f>""</f>
        <v/>
      </c>
      <c r="DE436" t="str">
        <f>""</f>
        <v/>
      </c>
      <c r="DF436" t="str">
        <f>""</f>
        <v/>
      </c>
      <c r="DG436" t="str">
        <f>""</f>
        <v/>
      </c>
      <c r="DH436" t="str">
        <f>""</f>
        <v/>
      </c>
      <c r="DI436" t="str">
        <f>""</f>
        <v/>
      </c>
      <c r="DJ436" t="str">
        <f>""</f>
        <v/>
      </c>
      <c r="DK436" t="str">
        <f>""</f>
        <v/>
      </c>
      <c r="DL436" t="str">
        <f>""</f>
        <v/>
      </c>
      <c r="DM436" t="str">
        <f>""</f>
        <v/>
      </c>
      <c r="DN436" t="str">
        <f>""</f>
        <v/>
      </c>
      <c r="DO436" t="str">
        <f>""</f>
        <v/>
      </c>
      <c r="DP436" t="str">
        <f>""</f>
        <v/>
      </c>
      <c r="DQ436" t="str">
        <f>""</f>
        <v/>
      </c>
      <c r="DR436" t="str">
        <f>""</f>
        <v/>
      </c>
      <c r="DS436" t="str">
        <f>""</f>
        <v/>
      </c>
      <c r="DT436" t="str">
        <f>""</f>
        <v/>
      </c>
      <c r="DU436" t="str">
        <f>""</f>
        <v/>
      </c>
      <c r="DV436" t="str">
        <f>""</f>
        <v/>
      </c>
      <c r="DW436" t="str">
        <f>""</f>
        <v/>
      </c>
      <c r="DX436" t="str">
        <f>""</f>
        <v/>
      </c>
      <c r="DY436" t="str">
        <f>""</f>
        <v/>
      </c>
      <c r="DZ436" t="str">
        <f>""</f>
        <v/>
      </c>
      <c r="EA436" t="str">
        <f>""</f>
        <v/>
      </c>
      <c r="EB436" t="str">
        <f>""</f>
        <v/>
      </c>
      <c r="EC436" t="str">
        <f>""</f>
        <v/>
      </c>
      <c r="ED436" t="str">
        <f>""</f>
        <v/>
      </c>
      <c r="EE436" t="str">
        <f>""</f>
        <v/>
      </c>
      <c r="EF436" t="str">
        <f>""</f>
        <v/>
      </c>
      <c r="EG436" t="str">
        <f>""</f>
        <v/>
      </c>
      <c r="EH436" t="str">
        <f>""</f>
        <v/>
      </c>
      <c r="EI436" t="str">
        <f>""</f>
        <v/>
      </c>
      <c r="EJ436" t="str">
        <f>""</f>
        <v/>
      </c>
      <c r="EK436" t="str">
        <f>""</f>
        <v/>
      </c>
      <c r="EL436" t="str">
        <f>""</f>
        <v/>
      </c>
      <c r="EM436" t="str">
        <f>""</f>
        <v/>
      </c>
      <c r="EN436" t="str">
        <f>""</f>
        <v/>
      </c>
      <c r="EO436" t="str">
        <f>""</f>
        <v/>
      </c>
      <c r="EP436" t="str">
        <f>""</f>
        <v/>
      </c>
      <c r="EQ436" t="str">
        <f>""</f>
        <v/>
      </c>
      <c r="ER436" t="str">
        <f>""</f>
        <v/>
      </c>
      <c r="ES436" t="str">
        <f>""</f>
        <v/>
      </c>
      <c r="ET436" t="str">
        <f>""</f>
        <v/>
      </c>
      <c r="EU436" t="str">
        <f>""</f>
        <v/>
      </c>
      <c r="EV436" t="str">
        <f>""</f>
        <v/>
      </c>
      <c r="EW436" t="str">
        <f>""</f>
        <v/>
      </c>
      <c r="EX436" t="str">
        <f>""</f>
        <v/>
      </c>
      <c r="EY436" t="str">
        <f>""</f>
        <v/>
      </c>
      <c r="EZ436" t="str">
        <f>""</f>
        <v/>
      </c>
      <c r="FA436" t="str">
        <f>""</f>
        <v/>
      </c>
      <c r="FB436" t="str">
        <f>""</f>
        <v/>
      </c>
      <c r="FC436" t="str">
        <f>""</f>
        <v/>
      </c>
      <c r="FD436" t="str">
        <f>""</f>
        <v/>
      </c>
      <c r="FE436" t="str">
        <f>""</f>
        <v/>
      </c>
      <c r="FF436" t="str">
        <f>""</f>
        <v/>
      </c>
      <c r="FG436" t="str">
        <f>""</f>
        <v/>
      </c>
      <c r="FH436" t="str">
        <f>""</f>
        <v/>
      </c>
      <c r="FI436" t="str">
        <f>""</f>
        <v/>
      </c>
      <c r="FJ436" t="str">
        <f>""</f>
        <v/>
      </c>
      <c r="FK436" t="str">
        <f>""</f>
        <v/>
      </c>
      <c r="FL436" t="str">
        <f>""</f>
        <v/>
      </c>
      <c r="FM436" t="str">
        <f>""</f>
        <v/>
      </c>
      <c r="FN436" t="str">
        <f>""</f>
        <v/>
      </c>
      <c r="FO436" t="str">
        <f>""</f>
        <v/>
      </c>
      <c r="FP436" t="str">
        <f>""</f>
        <v/>
      </c>
      <c r="FQ436" t="str">
        <f>""</f>
        <v/>
      </c>
    </row>
    <row r="437" spans="1:173">
      <c r="A437" t="str">
        <f>""</f>
        <v/>
      </c>
      <c r="B437" t="str">
        <f>""</f>
        <v/>
      </c>
      <c r="C437" t="str">
        <f>""</f>
        <v/>
      </c>
      <c r="D437" t="str">
        <f>""</f>
        <v/>
      </c>
      <c r="E437" t="str">
        <f>""</f>
        <v/>
      </c>
      <c r="CL437" t="str">
        <f>""</f>
        <v/>
      </c>
      <c r="CM437" t="str">
        <f>""</f>
        <v/>
      </c>
      <c r="CN437" t="str">
        <f>""</f>
        <v/>
      </c>
      <c r="CO437" t="str">
        <f>""</f>
        <v/>
      </c>
      <c r="CP437" t="str">
        <f>""</f>
        <v/>
      </c>
      <c r="CQ437" t="str">
        <f>""</f>
        <v/>
      </c>
      <c r="CR437" t="str">
        <f>""</f>
        <v/>
      </c>
      <c r="CS437" t="str">
        <f>""</f>
        <v/>
      </c>
      <c r="CT437" t="str">
        <f>""</f>
        <v/>
      </c>
      <c r="CU437" t="str">
        <f>""</f>
        <v/>
      </c>
      <c r="CV437" t="str">
        <f>""</f>
        <v/>
      </c>
      <c r="CW437" t="str">
        <f>""</f>
        <v/>
      </c>
      <c r="CX437" t="str">
        <f>""</f>
        <v/>
      </c>
      <c r="CY437" t="str">
        <f>""</f>
        <v/>
      </c>
      <c r="CZ437" t="str">
        <f>""</f>
        <v/>
      </c>
      <c r="DA437" t="str">
        <f>""</f>
        <v/>
      </c>
      <c r="DB437" t="str">
        <f>""</f>
        <v/>
      </c>
      <c r="DC437" t="str">
        <f>""</f>
        <v/>
      </c>
      <c r="DD437" t="str">
        <f>""</f>
        <v/>
      </c>
      <c r="DE437" t="str">
        <f>""</f>
        <v/>
      </c>
      <c r="DF437" t="str">
        <f>""</f>
        <v/>
      </c>
      <c r="DG437" t="str">
        <f>""</f>
        <v/>
      </c>
      <c r="DH437" t="str">
        <f>""</f>
        <v/>
      </c>
      <c r="DI437" t="str">
        <f>""</f>
        <v/>
      </c>
      <c r="DJ437" t="str">
        <f>""</f>
        <v/>
      </c>
      <c r="DK437" t="str">
        <f>""</f>
        <v/>
      </c>
      <c r="DL437" t="str">
        <f>""</f>
        <v/>
      </c>
      <c r="DM437" t="str">
        <f>""</f>
        <v/>
      </c>
      <c r="DN437" t="str">
        <f>""</f>
        <v/>
      </c>
      <c r="DO437" t="str">
        <f>""</f>
        <v/>
      </c>
      <c r="DP437" t="str">
        <f>""</f>
        <v/>
      </c>
      <c r="DQ437" t="str">
        <f>""</f>
        <v/>
      </c>
      <c r="DR437" t="str">
        <f>""</f>
        <v/>
      </c>
      <c r="DS437" t="str">
        <f>""</f>
        <v/>
      </c>
      <c r="DT437" t="str">
        <f>""</f>
        <v/>
      </c>
      <c r="DU437" t="str">
        <f>""</f>
        <v/>
      </c>
      <c r="DV437" t="str">
        <f>""</f>
        <v/>
      </c>
      <c r="DW437" t="str">
        <f>""</f>
        <v/>
      </c>
      <c r="DX437" t="str">
        <f>""</f>
        <v/>
      </c>
      <c r="DY437" t="str">
        <f>""</f>
        <v/>
      </c>
      <c r="DZ437" t="str">
        <f>""</f>
        <v/>
      </c>
      <c r="EA437" t="str">
        <f>""</f>
        <v/>
      </c>
      <c r="EB437" t="str">
        <f>""</f>
        <v/>
      </c>
      <c r="EC437" t="str">
        <f>""</f>
        <v/>
      </c>
      <c r="ED437" t="str">
        <f>""</f>
        <v/>
      </c>
      <c r="EE437" t="str">
        <f>""</f>
        <v/>
      </c>
      <c r="EF437" t="str">
        <f>""</f>
        <v/>
      </c>
      <c r="EG437" t="str">
        <f>""</f>
        <v/>
      </c>
      <c r="EH437" t="str">
        <f>""</f>
        <v/>
      </c>
      <c r="EI437" t="str">
        <f>""</f>
        <v/>
      </c>
      <c r="EJ437" t="str">
        <f>""</f>
        <v/>
      </c>
      <c r="EK437" t="str">
        <f>""</f>
        <v/>
      </c>
      <c r="EL437" t="str">
        <f>""</f>
        <v/>
      </c>
      <c r="EM437" t="str">
        <f>""</f>
        <v/>
      </c>
      <c r="EN437" t="str">
        <f>""</f>
        <v/>
      </c>
      <c r="EO437" t="str">
        <f>""</f>
        <v/>
      </c>
      <c r="EP437" t="str">
        <f>""</f>
        <v/>
      </c>
      <c r="EQ437" t="str">
        <f>""</f>
        <v/>
      </c>
      <c r="ER437" t="str">
        <f>""</f>
        <v/>
      </c>
      <c r="ES437" t="str">
        <f>""</f>
        <v/>
      </c>
      <c r="ET437" t="str">
        <f>""</f>
        <v/>
      </c>
      <c r="EU437" t="str">
        <f>""</f>
        <v/>
      </c>
      <c r="EV437" t="str">
        <f>""</f>
        <v/>
      </c>
      <c r="EW437" t="str">
        <f>""</f>
        <v/>
      </c>
      <c r="EX437" t="str">
        <f>""</f>
        <v/>
      </c>
      <c r="EY437" t="str">
        <f>""</f>
        <v/>
      </c>
      <c r="EZ437" t="str">
        <f>""</f>
        <v/>
      </c>
      <c r="FA437" t="str">
        <f>""</f>
        <v/>
      </c>
      <c r="FB437" t="str">
        <f>""</f>
        <v/>
      </c>
      <c r="FC437" t="str">
        <f>""</f>
        <v/>
      </c>
      <c r="FD437" t="str">
        <f>""</f>
        <v/>
      </c>
      <c r="FE437" t="str">
        <f>""</f>
        <v/>
      </c>
      <c r="FF437" t="str">
        <f>""</f>
        <v/>
      </c>
      <c r="FG437" t="str">
        <f>""</f>
        <v/>
      </c>
      <c r="FH437" t="str">
        <f>""</f>
        <v/>
      </c>
      <c r="FI437" t="str">
        <f>""</f>
        <v/>
      </c>
      <c r="FJ437" t="str">
        <f>""</f>
        <v/>
      </c>
      <c r="FK437" t="str">
        <f>""</f>
        <v/>
      </c>
      <c r="FL437" t="str">
        <f>""</f>
        <v/>
      </c>
      <c r="FM437" t="str">
        <f>""</f>
        <v/>
      </c>
      <c r="FN437" t="str">
        <f>""</f>
        <v/>
      </c>
      <c r="FO437" t="str">
        <f>""</f>
        <v/>
      </c>
      <c r="FP437" t="str">
        <f>""</f>
        <v/>
      </c>
      <c r="FQ437" t="str">
        <f>""</f>
        <v/>
      </c>
    </row>
    <row r="438" spans="1:173">
      <c r="A438" t="str">
        <f>""</f>
        <v/>
      </c>
      <c r="B438" t="str">
        <f>""</f>
        <v/>
      </c>
      <c r="C438" t="str">
        <f>""</f>
        <v/>
      </c>
      <c r="D438" t="str">
        <f>""</f>
        <v/>
      </c>
      <c r="E438" t="str">
        <f>""</f>
        <v/>
      </c>
      <c r="CL438" t="str">
        <f>""</f>
        <v/>
      </c>
      <c r="CM438" t="str">
        <f>""</f>
        <v/>
      </c>
      <c r="CN438" t="str">
        <f>""</f>
        <v/>
      </c>
      <c r="CO438" t="str">
        <f>""</f>
        <v/>
      </c>
      <c r="CP438" t="str">
        <f>""</f>
        <v/>
      </c>
      <c r="CQ438" t="str">
        <f>""</f>
        <v/>
      </c>
      <c r="CR438" t="str">
        <f>""</f>
        <v/>
      </c>
      <c r="CS438" t="str">
        <f>""</f>
        <v/>
      </c>
      <c r="CT438" t="str">
        <f>""</f>
        <v/>
      </c>
      <c r="CU438" t="str">
        <f>""</f>
        <v/>
      </c>
      <c r="CV438" t="str">
        <f>""</f>
        <v/>
      </c>
      <c r="CW438" t="str">
        <f>""</f>
        <v/>
      </c>
      <c r="CX438" t="str">
        <f>""</f>
        <v/>
      </c>
      <c r="CY438" t="str">
        <f>""</f>
        <v/>
      </c>
      <c r="CZ438" t="str">
        <f>""</f>
        <v/>
      </c>
      <c r="DA438" t="str">
        <f>""</f>
        <v/>
      </c>
      <c r="DB438" t="str">
        <f>""</f>
        <v/>
      </c>
      <c r="DC438" t="str">
        <f>""</f>
        <v/>
      </c>
      <c r="DD438" t="str">
        <f>""</f>
        <v/>
      </c>
      <c r="DE438" t="str">
        <f>""</f>
        <v/>
      </c>
      <c r="DF438" t="str">
        <f>""</f>
        <v/>
      </c>
      <c r="DG438" t="str">
        <f>""</f>
        <v/>
      </c>
      <c r="DH438" t="str">
        <f>""</f>
        <v/>
      </c>
      <c r="DI438" t="str">
        <f>""</f>
        <v/>
      </c>
      <c r="DJ438" t="str">
        <f>""</f>
        <v/>
      </c>
      <c r="DK438" t="str">
        <f>""</f>
        <v/>
      </c>
      <c r="DL438" t="str">
        <f>""</f>
        <v/>
      </c>
      <c r="DM438" t="str">
        <f>""</f>
        <v/>
      </c>
      <c r="DN438" t="str">
        <f>""</f>
        <v/>
      </c>
      <c r="DO438" t="str">
        <f>""</f>
        <v/>
      </c>
      <c r="DP438" t="str">
        <f>""</f>
        <v/>
      </c>
      <c r="DQ438" t="str">
        <f>""</f>
        <v/>
      </c>
      <c r="DR438" t="str">
        <f>""</f>
        <v/>
      </c>
      <c r="DS438" t="str">
        <f>""</f>
        <v/>
      </c>
      <c r="DT438" t="str">
        <f>""</f>
        <v/>
      </c>
      <c r="DU438" t="str">
        <f>""</f>
        <v/>
      </c>
      <c r="DV438" t="str">
        <f>""</f>
        <v/>
      </c>
      <c r="DW438" t="str">
        <f>""</f>
        <v/>
      </c>
      <c r="DX438" t="str">
        <f>""</f>
        <v/>
      </c>
      <c r="DY438" t="str">
        <f>""</f>
        <v/>
      </c>
      <c r="DZ438" t="str">
        <f>""</f>
        <v/>
      </c>
      <c r="EA438" t="str">
        <f>""</f>
        <v/>
      </c>
      <c r="EB438" t="str">
        <f>""</f>
        <v/>
      </c>
      <c r="EC438" t="str">
        <f>""</f>
        <v/>
      </c>
      <c r="ED438" t="str">
        <f>""</f>
        <v/>
      </c>
      <c r="EE438" t="str">
        <f>""</f>
        <v/>
      </c>
      <c r="EF438" t="str">
        <f>""</f>
        <v/>
      </c>
      <c r="EG438" t="str">
        <f>""</f>
        <v/>
      </c>
      <c r="EH438" t="str">
        <f>""</f>
        <v/>
      </c>
      <c r="EI438" t="str">
        <f>""</f>
        <v/>
      </c>
      <c r="EJ438" t="str">
        <f>""</f>
        <v/>
      </c>
      <c r="EK438" t="str">
        <f>""</f>
        <v/>
      </c>
      <c r="EL438" t="str">
        <f>""</f>
        <v/>
      </c>
      <c r="EM438" t="str">
        <f>""</f>
        <v/>
      </c>
      <c r="EN438" t="str">
        <f>""</f>
        <v/>
      </c>
      <c r="EO438" t="str">
        <f>""</f>
        <v/>
      </c>
      <c r="EP438" t="str">
        <f>""</f>
        <v/>
      </c>
      <c r="EQ438" t="str">
        <f>""</f>
        <v/>
      </c>
      <c r="ER438" t="str">
        <f>""</f>
        <v/>
      </c>
      <c r="ES438" t="str">
        <f>""</f>
        <v/>
      </c>
      <c r="ET438" t="str">
        <f>""</f>
        <v/>
      </c>
      <c r="EU438" t="str">
        <f>""</f>
        <v/>
      </c>
      <c r="EV438" t="str">
        <f>""</f>
        <v/>
      </c>
      <c r="EW438" t="str">
        <f>""</f>
        <v/>
      </c>
      <c r="EX438" t="str">
        <f>""</f>
        <v/>
      </c>
      <c r="EY438" t="str">
        <f>""</f>
        <v/>
      </c>
      <c r="EZ438" t="str">
        <f>""</f>
        <v/>
      </c>
      <c r="FA438" t="str">
        <f>""</f>
        <v/>
      </c>
      <c r="FB438" t="str">
        <f>""</f>
        <v/>
      </c>
      <c r="FC438" t="str">
        <f>""</f>
        <v/>
      </c>
      <c r="FD438" t="str">
        <f>""</f>
        <v/>
      </c>
      <c r="FE438" t="str">
        <f>""</f>
        <v/>
      </c>
      <c r="FF438" t="str">
        <f>""</f>
        <v/>
      </c>
      <c r="FG438" t="str">
        <f>""</f>
        <v/>
      </c>
      <c r="FH438" t="str">
        <f>""</f>
        <v/>
      </c>
      <c r="FI438" t="str">
        <f>""</f>
        <v/>
      </c>
      <c r="FJ438" t="str">
        <f>""</f>
        <v/>
      </c>
      <c r="FK438" t="str">
        <f>""</f>
        <v/>
      </c>
      <c r="FL438" t="str">
        <f>""</f>
        <v/>
      </c>
      <c r="FM438" t="str">
        <f>""</f>
        <v/>
      </c>
      <c r="FN438" t="str">
        <f>""</f>
        <v/>
      </c>
      <c r="FO438" t="str">
        <f>""</f>
        <v/>
      </c>
      <c r="FP438" t="str">
        <f>""</f>
        <v/>
      </c>
      <c r="FQ438" t="str">
        <f>""</f>
        <v/>
      </c>
    </row>
    <row r="439" spans="1:173">
      <c r="A439" t="str">
        <f>""</f>
        <v/>
      </c>
      <c r="B439" t="str">
        <f>""</f>
        <v/>
      </c>
      <c r="C439" t="str">
        <f>""</f>
        <v/>
      </c>
      <c r="D439" t="str">
        <f>""</f>
        <v/>
      </c>
      <c r="E439" t="str">
        <f>""</f>
        <v/>
      </c>
      <c r="CL439" t="str">
        <f>""</f>
        <v/>
      </c>
      <c r="CM439" t="str">
        <f>""</f>
        <v/>
      </c>
      <c r="CN439" t="str">
        <f>""</f>
        <v/>
      </c>
      <c r="CO439" t="str">
        <f>""</f>
        <v/>
      </c>
      <c r="CP439" t="str">
        <f>""</f>
        <v/>
      </c>
      <c r="CQ439" t="str">
        <f>""</f>
        <v/>
      </c>
      <c r="CR439" t="str">
        <f>""</f>
        <v/>
      </c>
      <c r="CS439" t="str">
        <f>""</f>
        <v/>
      </c>
      <c r="CT439" t="str">
        <f>""</f>
        <v/>
      </c>
      <c r="CU439" t="str">
        <f>""</f>
        <v/>
      </c>
      <c r="CV439" t="str">
        <f>""</f>
        <v/>
      </c>
      <c r="CW439" t="str">
        <f>""</f>
        <v/>
      </c>
      <c r="CX439" t="str">
        <f>""</f>
        <v/>
      </c>
      <c r="CY439" t="str">
        <f>""</f>
        <v/>
      </c>
      <c r="CZ439" t="str">
        <f>""</f>
        <v/>
      </c>
      <c r="DA439" t="str">
        <f>""</f>
        <v/>
      </c>
      <c r="DB439" t="str">
        <f>""</f>
        <v/>
      </c>
      <c r="DC439" t="str">
        <f>""</f>
        <v/>
      </c>
      <c r="DD439" t="str">
        <f>""</f>
        <v/>
      </c>
      <c r="DE439" t="str">
        <f>""</f>
        <v/>
      </c>
      <c r="DF439" t="str">
        <f>""</f>
        <v/>
      </c>
      <c r="DG439" t="str">
        <f>""</f>
        <v/>
      </c>
      <c r="DH439" t="str">
        <f>""</f>
        <v/>
      </c>
      <c r="DI439" t="str">
        <f>""</f>
        <v/>
      </c>
      <c r="DJ439" t="str">
        <f>""</f>
        <v/>
      </c>
      <c r="DK439" t="str">
        <f>""</f>
        <v/>
      </c>
      <c r="DL439" t="str">
        <f>""</f>
        <v/>
      </c>
      <c r="DM439" t="str">
        <f>""</f>
        <v/>
      </c>
      <c r="DN439" t="str">
        <f>""</f>
        <v/>
      </c>
      <c r="DO439" t="str">
        <f>""</f>
        <v/>
      </c>
      <c r="DP439" t="str">
        <f>""</f>
        <v/>
      </c>
      <c r="DQ439" t="str">
        <f>""</f>
        <v/>
      </c>
      <c r="DR439" t="str">
        <f>""</f>
        <v/>
      </c>
      <c r="DS439" t="str">
        <f>""</f>
        <v/>
      </c>
      <c r="DT439" t="str">
        <f>""</f>
        <v/>
      </c>
      <c r="DU439" t="str">
        <f>""</f>
        <v/>
      </c>
      <c r="DV439" t="str">
        <f>""</f>
        <v/>
      </c>
      <c r="DW439" t="str">
        <f>""</f>
        <v/>
      </c>
      <c r="DX439" t="str">
        <f>""</f>
        <v/>
      </c>
      <c r="DY439" t="str">
        <f>""</f>
        <v/>
      </c>
      <c r="DZ439" t="str">
        <f>""</f>
        <v/>
      </c>
      <c r="EA439" t="str">
        <f>""</f>
        <v/>
      </c>
      <c r="EB439" t="str">
        <f>""</f>
        <v/>
      </c>
      <c r="EC439" t="str">
        <f>""</f>
        <v/>
      </c>
      <c r="ED439" t="str">
        <f>""</f>
        <v/>
      </c>
      <c r="EE439" t="str">
        <f>""</f>
        <v/>
      </c>
      <c r="EF439" t="str">
        <f>""</f>
        <v/>
      </c>
      <c r="EG439" t="str">
        <f>""</f>
        <v/>
      </c>
      <c r="EH439" t="str">
        <f>""</f>
        <v/>
      </c>
      <c r="EI439" t="str">
        <f>""</f>
        <v/>
      </c>
      <c r="EJ439" t="str">
        <f>""</f>
        <v/>
      </c>
      <c r="EK439" t="str">
        <f>""</f>
        <v/>
      </c>
      <c r="EL439" t="str">
        <f>""</f>
        <v/>
      </c>
      <c r="EM439" t="str">
        <f>""</f>
        <v/>
      </c>
      <c r="EN439" t="str">
        <f>""</f>
        <v/>
      </c>
      <c r="EO439" t="str">
        <f>""</f>
        <v/>
      </c>
      <c r="EP439" t="str">
        <f>""</f>
        <v/>
      </c>
      <c r="EQ439" t="str">
        <f>""</f>
        <v/>
      </c>
      <c r="ER439" t="str">
        <f>""</f>
        <v/>
      </c>
      <c r="ES439" t="str">
        <f>""</f>
        <v/>
      </c>
      <c r="ET439" t="str">
        <f>""</f>
        <v/>
      </c>
      <c r="EU439" t="str">
        <f>""</f>
        <v/>
      </c>
      <c r="EV439" t="str">
        <f>""</f>
        <v/>
      </c>
      <c r="EW439" t="str">
        <f>""</f>
        <v/>
      </c>
      <c r="EX439" t="str">
        <f>""</f>
        <v/>
      </c>
      <c r="EY439" t="str">
        <f>""</f>
        <v/>
      </c>
      <c r="EZ439" t="str">
        <f>""</f>
        <v/>
      </c>
      <c r="FA439" t="str">
        <f>""</f>
        <v/>
      </c>
      <c r="FB439" t="str">
        <f>""</f>
        <v/>
      </c>
      <c r="FC439" t="str">
        <f>""</f>
        <v/>
      </c>
      <c r="FD439" t="str">
        <f>""</f>
        <v/>
      </c>
      <c r="FE439" t="str">
        <f>""</f>
        <v/>
      </c>
      <c r="FF439" t="str">
        <f>""</f>
        <v/>
      </c>
      <c r="FG439" t="str">
        <f>""</f>
        <v/>
      </c>
      <c r="FH439" t="str">
        <f>""</f>
        <v/>
      </c>
      <c r="FI439" t="str">
        <f>""</f>
        <v/>
      </c>
      <c r="FJ439" t="str">
        <f>""</f>
        <v/>
      </c>
      <c r="FK439" t="str">
        <f>""</f>
        <v/>
      </c>
      <c r="FL439" t="str">
        <f>""</f>
        <v/>
      </c>
      <c r="FM439" t="str">
        <f>""</f>
        <v/>
      </c>
      <c r="FN439" t="str">
        <f>""</f>
        <v/>
      </c>
      <c r="FO439" t="str">
        <f>""</f>
        <v/>
      </c>
      <c r="FP439" t="str">
        <f>""</f>
        <v/>
      </c>
      <c r="FQ439" t="str">
        <f>""</f>
        <v/>
      </c>
    </row>
    <row r="440" spans="1:173">
      <c r="A440" t="str">
        <f>""</f>
        <v/>
      </c>
      <c r="B440" t="str">
        <f>""</f>
        <v/>
      </c>
      <c r="C440" t="str">
        <f>""</f>
        <v/>
      </c>
      <c r="D440" t="str">
        <f>""</f>
        <v/>
      </c>
      <c r="E440" t="str">
        <f>""</f>
        <v/>
      </c>
      <c r="CL440" t="str">
        <f>""</f>
        <v/>
      </c>
      <c r="CM440" t="str">
        <f>""</f>
        <v/>
      </c>
      <c r="CN440" t="str">
        <f>""</f>
        <v/>
      </c>
      <c r="CO440" t="str">
        <f>""</f>
        <v/>
      </c>
      <c r="CP440" t="str">
        <f>""</f>
        <v/>
      </c>
      <c r="CQ440" t="str">
        <f>""</f>
        <v/>
      </c>
      <c r="CR440" t="str">
        <f>""</f>
        <v/>
      </c>
      <c r="CS440" t="str">
        <f>""</f>
        <v/>
      </c>
      <c r="CT440" t="str">
        <f>""</f>
        <v/>
      </c>
      <c r="CU440" t="str">
        <f>""</f>
        <v/>
      </c>
      <c r="CV440" t="str">
        <f>""</f>
        <v/>
      </c>
      <c r="CW440" t="str">
        <f>""</f>
        <v/>
      </c>
      <c r="CX440" t="str">
        <f>""</f>
        <v/>
      </c>
      <c r="CY440" t="str">
        <f>""</f>
        <v/>
      </c>
      <c r="CZ440" t="str">
        <f>""</f>
        <v/>
      </c>
      <c r="DA440" t="str">
        <f>""</f>
        <v/>
      </c>
      <c r="DB440" t="str">
        <f>""</f>
        <v/>
      </c>
      <c r="DC440" t="str">
        <f>""</f>
        <v/>
      </c>
      <c r="DD440" t="str">
        <f>""</f>
        <v/>
      </c>
      <c r="DE440" t="str">
        <f>""</f>
        <v/>
      </c>
      <c r="DF440" t="str">
        <f>""</f>
        <v/>
      </c>
      <c r="DG440" t="str">
        <f>""</f>
        <v/>
      </c>
      <c r="DH440" t="str">
        <f>""</f>
        <v/>
      </c>
      <c r="DI440" t="str">
        <f>""</f>
        <v/>
      </c>
      <c r="DJ440" t="str">
        <f>""</f>
        <v/>
      </c>
      <c r="DK440" t="str">
        <f>""</f>
        <v/>
      </c>
      <c r="DL440" t="str">
        <f>""</f>
        <v/>
      </c>
      <c r="DM440" t="str">
        <f>""</f>
        <v/>
      </c>
      <c r="DN440" t="str">
        <f>""</f>
        <v/>
      </c>
      <c r="DO440" t="str">
        <f>""</f>
        <v/>
      </c>
      <c r="DP440" t="str">
        <f>""</f>
        <v/>
      </c>
      <c r="DQ440" t="str">
        <f>""</f>
        <v/>
      </c>
      <c r="DR440" t="str">
        <f>""</f>
        <v/>
      </c>
      <c r="DS440" t="str">
        <f>""</f>
        <v/>
      </c>
      <c r="DT440" t="str">
        <f>""</f>
        <v/>
      </c>
      <c r="DU440" t="str">
        <f>""</f>
        <v/>
      </c>
      <c r="DV440" t="str">
        <f>""</f>
        <v/>
      </c>
      <c r="DW440" t="str">
        <f>""</f>
        <v/>
      </c>
      <c r="DX440" t="str">
        <f>""</f>
        <v/>
      </c>
      <c r="DY440" t="str">
        <f>""</f>
        <v/>
      </c>
      <c r="DZ440" t="str">
        <f>""</f>
        <v/>
      </c>
      <c r="EA440" t="str">
        <f>""</f>
        <v/>
      </c>
      <c r="EB440" t="str">
        <f>""</f>
        <v/>
      </c>
      <c r="EC440" t="str">
        <f>""</f>
        <v/>
      </c>
      <c r="ED440" t="str">
        <f>""</f>
        <v/>
      </c>
      <c r="EE440" t="str">
        <f>""</f>
        <v/>
      </c>
      <c r="EF440" t="str">
        <f>""</f>
        <v/>
      </c>
      <c r="EG440" t="str">
        <f>""</f>
        <v/>
      </c>
      <c r="EH440" t="str">
        <f>""</f>
        <v/>
      </c>
      <c r="EI440" t="str">
        <f>""</f>
        <v/>
      </c>
      <c r="EJ440" t="str">
        <f>""</f>
        <v/>
      </c>
      <c r="EK440" t="str">
        <f>""</f>
        <v/>
      </c>
      <c r="EL440" t="str">
        <f>""</f>
        <v/>
      </c>
      <c r="EM440" t="str">
        <f>""</f>
        <v/>
      </c>
      <c r="EN440" t="str">
        <f>""</f>
        <v/>
      </c>
      <c r="EO440" t="str">
        <f>""</f>
        <v/>
      </c>
      <c r="EP440" t="str">
        <f>""</f>
        <v/>
      </c>
      <c r="EQ440" t="str">
        <f>""</f>
        <v/>
      </c>
      <c r="ER440" t="str">
        <f>""</f>
        <v/>
      </c>
      <c r="ES440" t="str">
        <f>""</f>
        <v/>
      </c>
      <c r="ET440" t="str">
        <f>""</f>
        <v/>
      </c>
      <c r="EU440" t="str">
        <f>""</f>
        <v/>
      </c>
      <c r="EV440" t="str">
        <f>""</f>
        <v/>
      </c>
      <c r="EW440" t="str">
        <f>""</f>
        <v/>
      </c>
      <c r="EX440" t="str">
        <f>""</f>
        <v/>
      </c>
      <c r="EY440" t="str">
        <f>""</f>
        <v/>
      </c>
      <c r="EZ440" t="str">
        <f>""</f>
        <v/>
      </c>
      <c r="FA440" t="str">
        <f>""</f>
        <v/>
      </c>
      <c r="FB440" t="str">
        <f>""</f>
        <v/>
      </c>
      <c r="FC440" t="str">
        <f>""</f>
        <v/>
      </c>
      <c r="FD440" t="str">
        <f>""</f>
        <v/>
      </c>
      <c r="FE440" t="str">
        <f>""</f>
        <v/>
      </c>
      <c r="FF440" t="str">
        <f>""</f>
        <v/>
      </c>
      <c r="FG440" t="str">
        <f>""</f>
        <v/>
      </c>
      <c r="FH440" t="str">
        <f>""</f>
        <v/>
      </c>
      <c r="FI440" t="str">
        <f>""</f>
        <v/>
      </c>
      <c r="FJ440" t="str">
        <f>""</f>
        <v/>
      </c>
      <c r="FK440" t="str">
        <f>""</f>
        <v/>
      </c>
      <c r="FL440" t="str">
        <f>""</f>
        <v/>
      </c>
      <c r="FM440" t="str">
        <f>""</f>
        <v/>
      </c>
      <c r="FN440" t="str">
        <f>""</f>
        <v/>
      </c>
      <c r="FO440" t="str">
        <f>""</f>
        <v/>
      </c>
      <c r="FP440" t="str">
        <f>""</f>
        <v/>
      </c>
      <c r="FQ440" t="str">
        <f>""</f>
        <v/>
      </c>
    </row>
    <row r="441" spans="1:173">
      <c r="A441" t="str">
        <f>""</f>
        <v/>
      </c>
      <c r="B441" t="str">
        <f>""</f>
        <v/>
      </c>
      <c r="C441" t="str">
        <f>""</f>
        <v/>
      </c>
      <c r="D441" t="str">
        <f>""</f>
        <v/>
      </c>
      <c r="E441" t="str">
        <f>""</f>
        <v/>
      </c>
      <c r="CL441" t="str">
        <f>""</f>
        <v/>
      </c>
      <c r="CM441" t="str">
        <f>""</f>
        <v/>
      </c>
      <c r="CN441" t="str">
        <f>""</f>
        <v/>
      </c>
      <c r="CO441" t="str">
        <f>""</f>
        <v/>
      </c>
      <c r="CP441" t="str">
        <f>""</f>
        <v/>
      </c>
      <c r="CQ441" t="str">
        <f>""</f>
        <v/>
      </c>
      <c r="CR441" t="str">
        <f>""</f>
        <v/>
      </c>
      <c r="CS441" t="str">
        <f>""</f>
        <v/>
      </c>
      <c r="CT441" t="str">
        <f>""</f>
        <v/>
      </c>
      <c r="CU441" t="str">
        <f>""</f>
        <v/>
      </c>
      <c r="CV441" t="str">
        <f>""</f>
        <v/>
      </c>
      <c r="CW441" t="str">
        <f>""</f>
        <v/>
      </c>
      <c r="CX441" t="str">
        <f>""</f>
        <v/>
      </c>
      <c r="CY441" t="str">
        <f>""</f>
        <v/>
      </c>
      <c r="CZ441" t="str">
        <f>""</f>
        <v/>
      </c>
      <c r="DA441" t="str">
        <f>""</f>
        <v/>
      </c>
      <c r="DB441" t="str">
        <f>""</f>
        <v/>
      </c>
      <c r="DC441" t="str">
        <f>""</f>
        <v/>
      </c>
      <c r="DD441" t="str">
        <f>""</f>
        <v/>
      </c>
      <c r="DE441" t="str">
        <f>""</f>
        <v/>
      </c>
      <c r="DF441" t="str">
        <f>""</f>
        <v/>
      </c>
      <c r="DG441" t="str">
        <f>""</f>
        <v/>
      </c>
      <c r="DH441" t="str">
        <f>""</f>
        <v/>
      </c>
      <c r="DI441" t="str">
        <f>""</f>
        <v/>
      </c>
      <c r="DJ441" t="str">
        <f>""</f>
        <v/>
      </c>
      <c r="DK441" t="str">
        <f>""</f>
        <v/>
      </c>
      <c r="DL441" t="str">
        <f>""</f>
        <v/>
      </c>
      <c r="DM441" t="str">
        <f>""</f>
        <v/>
      </c>
      <c r="DN441" t="str">
        <f>""</f>
        <v/>
      </c>
      <c r="DO441" t="str">
        <f>""</f>
        <v/>
      </c>
      <c r="DP441" t="str">
        <f>""</f>
        <v/>
      </c>
      <c r="DQ441" t="str">
        <f>""</f>
        <v/>
      </c>
      <c r="DR441" t="str">
        <f>""</f>
        <v/>
      </c>
      <c r="DS441" t="str">
        <f>""</f>
        <v/>
      </c>
      <c r="DT441" t="str">
        <f>""</f>
        <v/>
      </c>
      <c r="DU441" t="str">
        <f>""</f>
        <v/>
      </c>
      <c r="DV441" t="str">
        <f>""</f>
        <v/>
      </c>
      <c r="DW441" t="str">
        <f>""</f>
        <v/>
      </c>
      <c r="DX441" t="str">
        <f>""</f>
        <v/>
      </c>
      <c r="DY441" t="str">
        <f>""</f>
        <v/>
      </c>
      <c r="DZ441" t="str">
        <f>""</f>
        <v/>
      </c>
      <c r="EA441" t="str">
        <f>""</f>
        <v/>
      </c>
      <c r="EB441" t="str">
        <f>""</f>
        <v/>
      </c>
      <c r="EC441" t="str">
        <f>""</f>
        <v/>
      </c>
      <c r="ED441" t="str">
        <f>""</f>
        <v/>
      </c>
      <c r="EE441" t="str">
        <f>""</f>
        <v/>
      </c>
      <c r="EF441" t="str">
        <f>""</f>
        <v/>
      </c>
      <c r="EG441" t="str">
        <f>""</f>
        <v/>
      </c>
      <c r="EH441" t="str">
        <f>""</f>
        <v/>
      </c>
      <c r="EI441" t="str">
        <f>""</f>
        <v/>
      </c>
      <c r="EJ441" t="str">
        <f>""</f>
        <v/>
      </c>
      <c r="EK441" t="str">
        <f>""</f>
        <v/>
      </c>
      <c r="EL441" t="str">
        <f>""</f>
        <v/>
      </c>
      <c r="EM441" t="str">
        <f>""</f>
        <v/>
      </c>
      <c r="EN441" t="str">
        <f>""</f>
        <v/>
      </c>
      <c r="EO441" t="str">
        <f>""</f>
        <v/>
      </c>
      <c r="EP441" t="str">
        <f>""</f>
        <v/>
      </c>
      <c r="EQ441" t="str">
        <f>""</f>
        <v/>
      </c>
      <c r="ER441" t="str">
        <f>""</f>
        <v/>
      </c>
      <c r="ES441" t="str">
        <f>""</f>
        <v/>
      </c>
      <c r="ET441" t="str">
        <f>""</f>
        <v/>
      </c>
      <c r="EU441" t="str">
        <f>""</f>
        <v/>
      </c>
      <c r="EV441" t="str">
        <f>""</f>
        <v/>
      </c>
      <c r="EW441" t="str">
        <f>""</f>
        <v/>
      </c>
      <c r="EX441" t="str">
        <f>""</f>
        <v/>
      </c>
      <c r="EY441" t="str">
        <f>""</f>
        <v/>
      </c>
      <c r="EZ441" t="str">
        <f>""</f>
        <v/>
      </c>
      <c r="FA441" t="str">
        <f>""</f>
        <v/>
      </c>
      <c r="FB441" t="str">
        <f>""</f>
        <v/>
      </c>
      <c r="FC441" t="str">
        <f>""</f>
        <v/>
      </c>
      <c r="FD441" t="str">
        <f>""</f>
        <v/>
      </c>
      <c r="FE441" t="str">
        <f>""</f>
        <v/>
      </c>
      <c r="FF441" t="str">
        <f>""</f>
        <v/>
      </c>
      <c r="FG441" t="str">
        <f>""</f>
        <v/>
      </c>
      <c r="FH441" t="str">
        <f>""</f>
        <v/>
      </c>
      <c r="FI441" t="str">
        <f>""</f>
        <v/>
      </c>
      <c r="FJ441" t="str">
        <f>""</f>
        <v/>
      </c>
      <c r="FK441" t="str">
        <f>""</f>
        <v/>
      </c>
      <c r="FL441" t="str">
        <f>""</f>
        <v/>
      </c>
      <c r="FM441" t="str">
        <f>""</f>
        <v/>
      </c>
      <c r="FN441" t="str">
        <f>""</f>
        <v/>
      </c>
      <c r="FO441" t="str">
        <f>""</f>
        <v/>
      </c>
      <c r="FP441" t="str">
        <f>""</f>
        <v/>
      </c>
      <c r="FQ441" t="str">
        <f>""</f>
        <v/>
      </c>
    </row>
    <row r="442" spans="1:173">
      <c r="A442" t="str">
        <f>"~~~~~~~~~~~~~~~~~~~~~"</f>
        <v>~~~~~~~~~~~~~~~~~~~~~</v>
      </c>
      <c r="B442" t="str">
        <f>"~~~~~~~~~~~~~~~~~~~~~"</f>
        <v>~~~~~~~~~~~~~~~~~~~~~</v>
      </c>
      <c r="C442" t="str">
        <f>"~~~~~~~~~~~~~~~~~~~~~"</f>
        <v>~~~~~~~~~~~~~~~~~~~~~</v>
      </c>
      <c r="D442" t="str">
        <f>"~~~~~~~~~~~~~~~~~~~~~"</f>
        <v>~~~~~~~~~~~~~~~~~~~~~</v>
      </c>
      <c r="E442" t="str">
        <f>"~~~~~~~~~~~~~~~~~~~~~"</f>
        <v>~~~~~~~~~~~~~~~~~~~~~</v>
      </c>
      <c r="CL442" t="str">
        <f>""</f>
        <v/>
      </c>
      <c r="CM442" t="str">
        <f>""</f>
        <v/>
      </c>
      <c r="CN442" t="str">
        <f>""</f>
        <v/>
      </c>
      <c r="CO442" t="str">
        <f>""</f>
        <v/>
      </c>
      <c r="CP442" t="str">
        <f>""</f>
        <v/>
      </c>
      <c r="CQ442" t="str">
        <f>""</f>
        <v/>
      </c>
      <c r="CR442" t="str">
        <f>""</f>
        <v/>
      </c>
      <c r="CS442" t="str">
        <f>""</f>
        <v/>
      </c>
      <c r="CT442" t="str">
        <f>""</f>
        <v/>
      </c>
      <c r="CU442" t="str">
        <f>""</f>
        <v/>
      </c>
      <c r="CV442" t="str">
        <f>""</f>
        <v/>
      </c>
      <c r="CW442" t="str">
        <f>""</f>
        <v/>
      </c>
      <c r="CX442" t="str">
        <f>""</f>
        <v/>
      </c>
      <c r="CY442" t="str">
        <f>""</f>
        <v/>
      </c>
      <c r="CZ442" t="str">
        <f>""</f>
        <v/>
      </c>
      <c r="DA442" t="str">
        <f>""</f>
        <v/>
      </c>
      <c r="DB442" t="str">
        <f>""</f>
        <v/>
      </c>
      <c r="DC442" t="str">
        <f>""</f>
        <v/>
      </c>
      <c r="DD442" t="str">
        <f>""</f>
        <v/>
      </c>
      <c r="DE442" t="str">
        <f>""</f>
        <v/>
      </c>
      <c r="DF442" t="str">
        <f>""</f>
        <v/>
      </c>
      <c r="DG442" t="str">
        <f>""</f>
        <v/>
      </c>
      <c r="DH442" t="str">
        <f>""</f>
        <v/>
      </c>
      <c r="DI442" t="str">
        <f>""</f>
        <v/>
      </c>
      <c r="DJ442" t="str">
        <f>""</f>
        <v/>
      </c>
      <c r="DK442" t="str">
        <f>""</f>
        <v/>
      </c>
      <c r="DL442" t="str">
        <f>""</f>
        <v/>
      </c>
      <c r="DM442" t="str">
        <f>""</f>
        <v/>
      </c>
      <c r="DN442" t="str">
        <f>""</f>
        <v/>
      </c>
      <c r="DO442" t="str">
        <f>""</f>
        <v/>
      </c>
      <c r="DP442" t="str">
        <f>""</f>
        <v/>
      </c>
      <c r="DQ442" t="str">
        <f>""</f>
        <v/>
      </c>
      <c r="DR442" t="str">
        <f>""</f>
        <v/>
      </c>
      <c r="DS442" t="str">
        <f>""</f>
        <v/>
      </c>
      <c r="DT442" t="str">
        <f>""</f>
        <v/>
      </c>
      <c r="DU442" t="str">
        <f>""</f>
        <v/>
      </c>
      <c r="DV442" t="str">
        <f>""</f>
        <v/>
      </c>
      <c r="DW442" t="str">
        <f>""</f>
        <v/>
      </c>
      <c r="DX442" t="str">
        <f>""</f>
        <v/>
      </c>
      <c r="DY442" t="str">
        <f>""</f>
        <v/>
      </c>
      <c r="DZ442" t="str">
        <f>""</f>
        <v/>
      </c>
      <c r="EA442" t="str">
        <f>""</f>
        <v/>
      </c>
      <c r="EB442" t="str">
        <f>""</f>
        <v/>
      </c>
      <c r="EC442" t="str">
        <f>""</f>
        <v/>
      </c>
      <c r="ED442" t="str">
        <f>""</f>
        <v/>
      </c>
      <c r="EE442" t="str">
        <f>""</f>
        <v/>
      </c>
      <c r="EF442" t="str">
        <f>""</f>
        <v/>
      </c>
      <c r="EG442" t="str">
        <f>""</f>
        <v/>
      </c>
      <c r="EH442" t="str">
        <f>""</f>
        <v/>
      </c>
      <c r="EI442" t="str">
        <f>""</f>
        <v/>
      </c>
      <c r="EJ442" t="str">
        <f>""</f>
        <v/>
      </c>
      <c r="EK442" t="str">
        <f>""</f>
        <v/>
      </c>
      <c r="EL442" t="str">
        <f>""</f>
        <v/>
      </c>
      <c r="EM442" t="str">
        <f>""</f>
        <v/>
      </c>
      <c r="EN442" t="str">
        <f>""</f>
        <v/>
      </c>
      <c r="EO442" t="str">
        <f>""</f>
        <v/>
      </c>
      <c r="EP442" t="str">
        <f>""</f>
        <v/>
      </c>
      <c r="EQ442" t="str">
        <f>""</f>
        <v/>
      </c>
      <c r="ER442" t="str">
        <f>""</f>
        <v/>
      </c>
      <c r="ES442" t="str">
        <f>""</f>
        <v/>
      </c>
      <c r="ET442" t="str">
        <f>""</f>
        <v/>
      </c>
      <c r="EU442" t="str">
        <f>""</f>
        <v/>
      </c>
      <c r="EV442" t="str">
        <f>""</f>
        <v/>
      </c>
      <c r="EW442" t="str">
        <f>""</f>
        <v/>
      </c>
      <c r="EX442" t="str">
        <f>""</f>
        <v/>
      </c>
      <c r="EY442" t="str">
        <f>""</f>
        <v/>
      </c>
      <c r="EZ442" t="str">
        <f>""</f>
        <v/>
      </c>
      <c r="FA442" t="str">
        <f>""</f>
        <v/>
      </c>
      <c r="FB442" t="str">
        <f>""</f>
        <v/>
      </c>
      <c r="FC442" t="str">
        <f>""</f>
        <v/>
      </c>
      <c r="FD442" t="str">
        <f>""</f>
        <v/>
      </c>
      <c r="FE442" t="str">
        <f>""</f>
        <v/>
      </c>
      <c r="FF442" t="str">
        <f>""</f>
        <v/>
      </c>
      <c r="FG442" t="str">
        <f>""</f>
        <v/>
      </c>
      <c r="FH442" t="str">
        <f>""</f>
        <v/>
      </c>
      <c r="FI442" t="str">
        <f>""</f>
        <v/>
      </c>
      <c r="FJ442" t="str">
        <f>""</f>
        <v/>
      </c>
      <c r="FK442" t="str">
        <f>""</f>
        <v/>
      </c>
      <c r="FL442" t="str">
        <f>""</f>
        <v/>
      </c>
      <c r="FM442" t="str">
        <f>""</f>
        <v/>
      </c>
      <c r="FN442" t="str">
        <f>""</f>
        <v/>
      </c>
      <c r="FO442" t="str">
        <f>""</f>
        <v/>
      </c>
      <c r="FP442" t="str">
        <f>""</f>
        <v/>
      </c>
      <c r="FQ442" t="str">
        <f>""</f>
        <v/>
      </c>
    </row>
    <row r="443" spans="1:173">
      <c r="A443" t="str">
        <f>"Rows below for column date calculation"</f>
        <v>Rows below for column date calculation</v>
      </c>
      <c r="CL443" t="str">
        <f>""</f>
        <v/>
      </c>
      <c r="CM443" t="str">
        <f>""</f>
        <v/>
      </c>
      <c r="CN443" t="str">
        <f>""</f>
        <v/>
      </c>
      <c r="CO443" t="str">
        <f>""</f>
        <v/>
      </c>
      <c r="CP443" t="str">
        <f>""</f>
        <v/>
      </c>
      <c r="CQ443" t="str">
        <f>""</f>
        <v/>
      </c>
      <c r="CR443" t="str">
        <f>""</f>
        <v/>
      </c>
      <c r="CS443" t="str">
        <f>""</f>
        <v/>
      </c>
      <c r="CT443" t="str">
        <f>""</f>
        <v/>
      </c>
      <c r="CU443" t="str">
        <f>""</f>
        <v/>
      </c>
      <c r="CV443" t="str">
        <f>""</f>
        <v/>
      </c>
      <c r="CW443" t="str">
        <f>""</f>
        <v/>
      </c>
      <c r="CX443" t="str">
        <f>""</f>
        <v/>
      </c>
      <c r="CY443" t="str">
        <f>""</f>
        <v/>
      </c>
      <c r="CZ443" t="str">
        <f>""</f>
        <v/>
      </c>
      <c r="DA443" t="str">
        <f>""</f>
        <v/>
      </c>
      <c r="DB443" t="str">
        <f>""</f>
        <v/>
      </c>
      <c r="DC443" t="str">
        <f>""</f>
        <v/>
      </c>
      <c r="DD443" t="str">
        <f>""</f>
        <v/>
      </c>
      <c r="DE443" t="str">
        <f>""</f>
        <v/>
      </c>
      <c r="DF443" t="str">
        <f>""</f>
        <v/>
      </c>
      <c r="DG443" t="str">
        <f>""</f>
        <v/>
      </c>
      <c r="DH443" t="str">
        <f>""</f>
        <v/>
      </c>
      <c r="DI443" t="str">
        <f>""</f>
        <v/>
      </c>
      <c r="DJ443" t="str">
        <f>""</f>
        <v/>
      </c>
      <c r="DK443" t="str">
        <f>""</f>
        <v/>
      </c>
      <c r="DL443" t="str">
        <f>""</f>
        <v/>
      </c>
      <c r="DM443" t="str">
        <f>""</f>
        <v/>
      </c>
      <c r="DN443" t="str">
        <f>""</f>
        <v/>
      </c>
      <c r="DO443" t="str">
        <f>""</f>
        <v/>
      </c>
      <c r="DP443" t="str">
        <f>""</f>
        <v/>
      </c>
      <c r="DQ443" t="str">
        <f>""</f>
        <v/>
      </c>
      <c r="DR443" t="str">
        <f>""</f>
        <v/>
      </c>
      <c r="DS443" t="str">
        <f>""</f>
        <v/>
      </c>
      <c r="DT443" t="str">
        <f>""</f>
        <v/>
      </c>
      <c r="DU443" t="str">
        <f>""</f>
        <v/>
      </c>
      <c r="DV443" t="str">
        <f>""</f>
        <v/>
      </c>
      <c r="DW443" t="str">
        <f>""</f>
        <v/>
      </c>
      <c r="DX443" t="str">
        <f>""</f>
        <v/>
      </c>
      <c r="DY443" t="str">
        <f>""</f>
        <v/>
      </c>
      <c r="DZ443" t="str">
        <f>""</f>
        <v/>
      </c>
      <c r="EA443" t="str">
        <f>""</f>
        <v/>
      </c>
      <c r="EB443" t="str">
        <f>""</f>
        <v/>
      </c>
      <c r="EC443" t="str">
        <f>""</f>
        <v/>
      </c>
      <c r="ED443" t="str">
        <f>""</f>
        <v/>
      </c>
      <c r="EE443" t="str">
        <f>""</f>
        <v/>
      </c>
      <c r="EF443" t="str">
        <f>""</f>
        <v/>
      </c>
      <c r="EG443" t="str">
        <f>""</f>
        <v/>
      </c>
      <c r="EH443" t="str">
        <f>""</f>
        <v/>
      </c>
      <c r="EI443" t="str">
        <f>""</f>
        <v/>
      </c>
      <c r="EJ443" t="str">
        <f>""</f>
        <v/>
      </c>
      <c r="EK443" t="str">
        <f>""</f>
        <v/>
      </c>
      <c r="EL443" t="str">
        <f>""</f>
        <v/>
      </c>
      <c r="EM443" t="str">
        <f>""</f>
        <v/>
      </c>
      <c r="EN443" t="str">
        <f>""</f>
        <v/>
      </c>
      <c r="EO443" t="str">
        <f>""</f>
        <v/>
      </c>
      <c r="EP443" t="str">
        <f>""</f>
        <v/>
      </c>
      <c r="EQ443" t="str">
        <f>""</f>
        <v/>
      </c>
      <c r="ER443" t="str">
        <f>""</f>
        <v/>
      </c>
      <c r="ES443" t="str">
        <f>""</f>
        <v/>
      </c>
      <c r="ET443" t="str">
        <f>""</f>
        <v/>
      </c>
      <c r="EU443" t="str">
        <f>""</f>
        <v/>
      </c>
      <c r="EV443" t="str">
        <f>""</f>
        <v/>
      </c>
      <c r="EW443" t="str">
        <f>""</f>
        <v/>
      </c>
      <c r="EX443" t="str">
        <f>""</f>
        <v/>
      </c>
      <c r="EY443" t="str">
        <f>""</f>
        <v/>
      </c>
      <c r="EZ443" t="str">
        <f>""</f>
        <v/>
      </c>
      <c r="FA443" t="str">
        <f>""</f>
        <v/>
      </c>
      <c r="FB443" t="str">
        <f>""</f>
        <v/>
      </c>
      <c r="FC443" t="str">
        <f>""</f>
        <v/>
      </c>
      <c r="FD443" t="str">
        <f>""</f>
        <v/>
      </c>
      <c r="FE443" t="str">
        <f>""</f>
        <v/>
      </c>
      <c r="FF443" t="str">
        <f>""</f>
        <v/>
      </c>
      <c r="FG443" t="str">
        <f>""</f>
        <v/>
      </c>
      <c r="FH443" t="str">
        <f>""</f>
        <v/>
      </c>
      <c r="FI443" t="str">
        <f>""</f>
        <v/>
      </c>
      <c r="FJ443" t="str">
        <f>""</f>
        <v/>
      </c>
      <c r="FK443" t="str">
        <f>""</f>
        <v/>
      </c>
      <c r="FL443" t="str">
        <f>""</f>
        <v/>
      </c>
      <c r="FM443" t="str">
        <f>""</f>
        <v/>
      </c>
      <c r="FN443" t="str">
        <f>""</f>
        <v/>
      </c>
      <c r="FO443" t="str">
        <f>""</f>
        <v/>
      </c>
      <c r="FP443" t="str">
        <f>""</f>
        <v/>
      </c>
      <c r="FQ443" t="str">
        <f>""</f>
        <v/>
      </c>
    </row>
    <row r="444" spans="1:173">
      <c r="A444" t="str">
        <f>"Downloaded at"</f>
        <v>Downloaded at</v>
      </c>
      <c r="B444">
        <f>DATE(2018, 3,13)</f>
        <v>43172</v>
      </c>
      <c r="C444" t="str">
        <f>""</f>
        <v/>
      </c>
      <c r="D444" t="str">
        <f>""</f>
        <v/>
      </c>
      <c r="E444" t="str">
        <f>""</f>
        <v/>
      </c>
      <c r="CL444" t="str">
        <f>""</f>
        <v/>
      </c>
      <c r="CM444" t="str">
        <f>""</f>
        <v/>
      </c>
      <c r="CN444" t="str">
        <f>""</f>
        <v/>
      </c>
      <c r="CO444" t="str">
        <f>""</f>
        <v/>
      </c>
      <c r="CP444" t="str">
        <f>""</f>
        <v/>
      </c>
      <c r="CQ444" t="str">
        <f>""</f>
        <v/>
      </c>
      <c r="CR444" t="str">
        <f>""</f>
        <v/>
      </c>
      <c r="CS444" t="str">
        <f>""</f>
        <v/>
      </c>
      <c r="CT444" t="str">
        <f>""</f>
        <v/>
      </c>
      <c r="CU444" t="str">
        <f>""</f>
        <v/>
      </c>
      <c r="CV444" t="str">
        <f>""</f>
        <v/>
      </c>
      <c r="CW444" t="str">
        <f>""</f>
        <v/>
      </c>
      <c r="CX444" t="str">
        <f>""</f>
        <v/>
      </c>
      <c r="CY444" t="str">
        <f>""</f>
        <v/>
      </c>
      <c r="CZ444" t="str">
        <f>""</f>
        <v/>
      </c>
      <c r="DA444" t="str">
        <f>""</f>
        <v/>
      </c>
      <c r="DB444" t="str">
        <f>""</f>
        <v/>
      </c>
      <c r="DC444" t="str">
        <f>""</f>
        <v/>
      </c>
      <c r="DD444" t="str">
        <f>""</f>
        <v/>
      </c>
      <c r="DE444" t="str">
        <f>""</f>
        <v/>
      </c>
      <c r="DF444" t="str">
        <f>""</f>
        <v/>
      </c>
      <c r="DG444" t="str">
        <f>""</f>
        <v/>
      </c>
      <c r="DH444" t="str">
        <f>""</f>
        <v/>
      </c>
      <c r="DI444" t="str">
        <f>""</f>
        <v/>
      </c>
      <c r="DJ444" t="str">
        <f>""</f>
        <v/>
      </c>
      <c r="DK444" t="str">
        <f>""</f>
        <v/>
      </c>
      <c r="DL444" t="str">
        <f>""</f>
        <v/>
      </c>
      <c r="DM444" t="str">
        <f>""</f>
        <v/>
      </c>
      <c r="DN444" t="str">
        <f>""</f>
        <v/>
      </c>
      <c r="DO444" t="str">
        <f>""</f>
        <v/>
      </c>
      <c r="DP444" t="str">
        <f>""</f>
        <v/>
      </c>
      <c r="DQ444" t="str">
        <f>""</f>
        <v/>
      </c>
      <c r="DR444" t="str">
        <f>""</f>
        <v/>
      </c>
      <c r="DS444" t="str">
        <f>""</f>
        <v/>
      </c>
      <c r="DT444" t="str">
        <f>""</f>
        <v/>
      </c>
      <c r="DU444" t="str">
        <f>""</f>
        <v/>
      </c>
      <c r="DV444" t="str">
        <f>""</f>
        <v/>
      </c>
      <c r="DW444" t="str">
        <f>""</f>
        <v/>
      </c>
      <c r="DX444" t="str">
        <f>""</f>
        <v/>
      </c>
      <c r="DY444" t="str">
        <f>""</f>
        <v/>
      </c>
      <c r="DZ444" t="str">
        <f>""</f>
        <v/>
      </c>
      <c r="EA444" t="str">
        <f>""</f>
        <v/>
      </c>
      <c r="EB444" t="str">
        <f>""</f>
        <v/>
      </c>
      <c r="EC444" t="str">
        <f>""</f>
        <v/>
      </c>
      <c r="ED444" t="str">
        <f>""</f>
        <v/>
      </c>
      <c r="EE444" t="str">
        <f>""</f>
        <v/>
      </c>
      <c r="EF444" t="str">
        <f>""</f>
        <v/>
      </c>
      <c r="EG444" t="str">
        <f>""</f>
        <v/>
      </c>
      <c r="EH444" t="str">
        <f>""</f>
        <v/>
      </c>
      <c r="EI444" t="str">
        <f>""</f>
        <v/>
      </c>
      <c r="EJ444" t="str">
        <f>""</f>
        <v/>
      </c>
      <c r="EK444" t="str">
        <f>""</f>
        <v/>
      </c>
      <c r="EL444" t="str">
        <f>""</f>
        <v/>
      </c>
      <c r="EM444" t="str">
        <f>""</f>
        <v/>
      </c>
      <c r="EN444" t="str">
        <f>""</f>
        <v/>
      </c>
      <c r="EO444" t="str">
        <f>""</f>
        <v/>
      </c>
      <c r="EP444" t="str">
        <f>""</f>
        <v/>
      </c>
      <c r="EQ444" t="str">
        <f>""</f>
        <v/>
      </c>
      <c r="ER444" t="str">
        <f>""</f>
        <v/>
      </c>
      <c r="ES444" t="str">
        <f>""</f>
        <v/>
      </c>
      <c r="ET444" t="str">
        <f>""</f>
        <v/>
      </c>
      <c r="EU444" t="str">
        <f>""</f>
        <v/>
      </c>
      <c r="EV444" t="str">
        <f>""</f>
        <v/>
      </c>
      <c r="EW444" t="str">
        <f>""</f>
        <v/>
      </c>
      <c r="EX444" t="str">
        <f>""</f>
        <v/>
      </c>
      <c r="EY444" t="str">
        <f>""</f>
        <v/>
      </c>
      <c r="EZ444" t="str">
        <f>""</f>
        <v/>
      </c>
      <c r="FA444" t="str">
        <f>""</f>
        <v/>
      </c>
      <c r="FB444" t="str">
        <f>""</f>
        <v/>
      </c>
      <c r="FC444" t="str">
        <f>""</f>
        <v/>
      </c>
      <c r="FD444" t="str">
        <f>""</f>
        <v/>
      </c>
      <c r="FE444" t="str">
        <f>""</f>
        <v/>
      </c>
      <c r="FF444" t="str">
        <f>""</f>
        <v/>
      </c>
      <c r="FG444" t="str">
        <f>""</f>
        <v/>
      </c>
      <c r="FH444" t="str">
        <f>""</f>
        <v/>
      </c>
      <c r="FI444" t="str">
        <f>""</f>
        <v/>
      </c>
      <c r="FJ444" t="str">
        <f>""</f>
        <v/>
      </c>
      <c r="FK444" t="str">
        <f>""</f>
        <v/>
      </c>
      <c r="FL444" t="str">
        <f>""</f>
        <v/>
      </c>
      <c r="FM444" t="str">
        <f>""</f>
        <v/>
      </c>
      <c r="FN444" t="str">
        <f>""</f>
        <v/>
      </c>
      <c r="FO444" t="str">
        <f>""</f>
        <v/>
      </c>
      <c r="FP444" t="str">
        <f>""</f>
        <v/>
      </c>
      <c r="FQ444" t="str">
        <f>""</f>
        <v/>
      </c>
    </row>
    <row r="445" spans="1:173">
      <c r="A445" t="str">
        <f>"This is End Date"</f>
        <v>This is End Date</v>
      </c>
      <c r="B445">
        <f ca="1">$B$251</f>
        <v>43190</v>
      </c>
      <c r="C445" t="str">
        <f>""</f>
        <v/>
      </c>
      <c r="D445" t="str">
        <f>""</f>
        <v/>
      </c>
      <c r="E445" t="str">
        <f>""</f>
        <v/>
      </c>
      <c r="CL445" t="str">
        <f>""</f>
        <v/>
      </c>
      <c r="CM445" t="str">
        <f>""</f>
        <v/>
      </c>
      <c r="CN445" t="str">
        <f>""</f>
        <v/>
      </c>
      <c r="CO445" t="str">
        <f>""</f>
        <v/>
      </c>
      <c r="CP445" t="str">
        <f>""</f>
        <v/>
      </c>
      <c r="CQ445" t="str">
        <f>""</f>
        <v/>
      </c>
      <c r="CR445" t="str">
        <f>""</f>
        <v/>
      </c>
      <c r="CS445" t="str">
        <f>""</f>
        <v/>
      </c>
      <c r="CT445" t="str">
        <f>""</f>
        <v/>
      </c>
      <c r="CU445" t="str">
        <f>""</f>
        <v/>
      </c>
      <c r="CV445" t="str">
        <f>""</f>
        <v/>
      </c>
      <c r="CW445" t="str">
        <f>""</f>
        <v/>
      </c>
      <c r="CX445" t="str">
        <f>""</f>
        <v/>
      </c>
      <c r="CY445" t="str">
        <f>""</f>
        <v/>
      </c>
      <c r="CZ445" t="str">
        <f>""</f>
        <v/>
      </c>
      <c r="DA445" t="str">
        <f>""</f>
        <v/>
      </c>
      <c r="DB445" t="str">
        <f>""</f>
        <v/>
      </c>
      <c r="DC445" t="str">
        <f>""</f>
        <v/>
      </c>
      <c r="DD445" t="str">
        <f>""</f>
        <v/>
      </c>
      <c r="DE445" t="str">
        <f>""</f>
        <v/>
      </c>
      <c r="DF445" t="str">
        <f>""</f>
        <v/>
      </c>
      <c r="DG445" t="str">
        <f>""</f>
        <v/>
      </c>
      <c r="DH445" t="str">
        <f>""</f>
        <v/>
      </c>
      <c r="DI445" t="str">
        <f>""</f>
        <v/>
      </c>
      <c r="DJ445" t="str">
        <f>""</f>
        <v/>
      </c>
      <c r="DK445" t="str">
        <f>""</f>
        <v/>
      </c>
      <c r="DL445" t="str">
        <f>""</f>
        <v/>
      </c>
      <c r="DM445" t="str">
        <f>""</f>
        <v/>
      </c>
      <c r="DN445" t="str">
        <f>""</f>
        <v/>
      </c>
      <c r="DO445" t="str">
        <f>""</f>
        <v/>
      </c>
      <c r="DP445" t="str">
        <f>""</f>
        <v/>
      </c>
      <c r="DQ445" t="str">
        <f>""</f>
        <v/>
      </c>
      <c r="DR445" t="str">
        <f>""</f>
        <v/>
      </c>
      <c r="DS445" t="str">
        <f>""</f>
        <v/>
      </c>
      <c r="DT445" t="str">
        <f>""</f>
        <v/>
      </c>
      <c r="DU445" t="str">
        <f>""</f>
        <v/>
      </c>
      <c r="DV445" t="str">
        <f>""</f>
        <v/>
      </c>
      <c r="DW445" t="str">
        <f>""</f>
        <v/>
      </c>
      <c r="DX445" t="str">
        <f>""</f>
        <v/>
      </c>
      <c r="DY445" t="str">
        <f>""</f>
        <v/>
      </c>
      <c r="DZ445" t="str">
        <f>""</f>
        <v/>
      </c>
      <c r="EA445" t="str">
        <f>""</f>
        <v/>
      </c>
      <c r="EB445" t="str">
        <f>""</f>
        <v/>
      </c>
      <c r="EC445" t="str">
        <f>""</f>
        <v/>
      </c>
      <c r="ED445" t="str">
        <f>""</f>
        <v/>
      </c>
      <c r="EE445" t="str">
        <f>""</f>
        <v/>
      </c>
      <c r="EF445" t="str">
        <f>""</f>
        <v/>
      </c>
      <c r="EG445" t="str">
        <f>""</f>
        <v/>
      </c>
      <c r="EH445" t="str">
        <f>""</f>
        <v/>
      </c>
      <c r="EI445" t="str">
        <f>""</f>
        <v/>
      </c>
      <c r="EJ445" t="str">
        <f>""</f>
        <v/>
      </c>
      <c r="EK445" t="str">
        <f>""</f>
        <v/>
      </c>
      <c r="EL445" t="str">
        <f>""</f>
        <v/>
      </c>
      <c r="EM445" t="str">
        <f>""</f>
        <v/>
      </c>
      <c r="EN445" t="str">
        <f>""</f>
        <v/>
      </c>
      <c r="EO445" t="str">
        <f>""</f>
        <v/>
      </c>
      <c r="EP445" t="str">
        <f>""</f>
        <v/>
      </c>
      <c r="EQ445" t="str">
        <f>""</f>
        <v/>
      </c>
      <c r="ER445" t="str">
        <f>""</f>
        <v/>
      </c>
      <c r="ES445" t="str">
        <f>""</f>
        <v/>
      </c>
      <c r="ET445" t="str">
        <f>""</f>
        <v/>
      </c>
      <c r="EU445" t="str">
        <f>""</f>
        <v/>
      </c>
      <c r="EV445" t="str">
        <f>""</f>
        <v/>
      </c>
      <c r="EW445" t="str">
        <f>""</f>
        <v/>
      </c>
      <c r="EX445" t="str">
        <f>""</f>
        <v/>
      </c>
      <c r="EY445" t="str">
        <f>""</f>
        <v/>
      </c>
      <c r="EZ445" t="str">
        <f>""</f>
        <v/>
      </c>
      <c r="FA445" t="str">
        <f>""</f>
        <v/>
      </c>
      <c r="FB445" t="str">
        <f>""</f>
        <v/>
      </c>
      <c r="FC445" t="str">
        <f>""</f>
        <v/>
      </c>
      <c r="FD445" t="str">
        <f>""</f>
        <v/>
      </c>
      <c r="FE445" t="str">
        <f>""</f>
        <v/>
      </c>
      <c r="FF445" t="str">
        <f>""</f>
        <v/>
      </c>
      <c r="FG445" t="str">
        <f>""</f>
        <v/>
      </c>
      <c r="FH445" t="str">
        <f>""</f>
        <v/>
      </c>
      <c r="FI445" t="str">
        <f>""</f>
        <v/>
      </c>
      <c r="FJ445" t="str">
        <f>""</f>
        <v/>
      </c>
      <c r="FK445" t="str">
        <f>""</f>
        <v/>
      </c>
      <c r="FL445" t="str">
        <f>""</f>
        <v/>
      </c>
      <c r="FM445" t="str">
        <f>""</f>
        <v/>
      </c>
      <c r="FN445" t="str">
        <f>""</f>
        <v/>
      </c>
      <c r="FO445" t="str">
        <f>""</f>
        <v/>
      </c>
      <c r="FP445" t="str">
        <f>""</f>
        <v/>
      </c>
      <c r="FQ445" t="str">
        <f>""</f>
        <v/>
      </c>
    </row>
    <row r="446" spans="1:173">
      <c r="A446" t="str">
        <f>"简述"</f>
        <v>简述</v>
      </c>
      <c r="B446" t="str">
        <f>"代码"</f>
        <v>代码</v>
      </c>
      <c r="C446" t="str">
        <f>"栏目ID"</f>
        <v>栏目ID</v>
      </c>
      <c r="D446" t="str">
        <f>"栏目助记符"</f>
        <v>栏目助记符</v>
      </c>
      <c r="E446" t="str">
        <f>"数据状态"</f>
        <v>数据状态</v>
      </c>
      <c r="CL446" t="str">
        <f>""</f>
        <v/>
      </c>
      <c r="CM446" t="str">
        <f>""</f>
        <v/>
      </c>
      <c r="CN446" t="str">
        <f>""</f>
        <v/>
      </c>
      <c r="CO446" t="str">
        <f>""</f>
        <v/>
      </c>
      <c r="CP446" t="str">
        <f>""</f>
        <v/>
      </c>
      <c r="CQ446" t="str">
        <f>""</f>
        <v/>
      </c>
      <c r="CR446" t="str">
        <f>""</f>
        <v/>
      </c>
      <c r="CS446" t="str">
        <f>""</f>
        <v/>
      </c>
      <c r="CT446" t="str">
        <f>""</f>
        <v/>
      </c>
      <c r="CU446" t="str">
        <f>""</f>
        <v/>
      </c>
      <c r="CV446" t="str">
        <f>""</f>
        <v/>
      </c>
      <c r="CW446" t="str">
        <f>""</f>
        <v/>
      </c>
      <c r="CX446" t="str">
        <f>""</f>
        <v/>
      </c>
      <c r="CY446" t="str">
        <f>""</f>
        <v/>
      </c>
      <c r="CZ446" t="str">
        <f>""</f>
        <v/>
      </c>
      <c r="DA446" t="str">
        <f>""</f>
        <v/>
      </c>
      <c r="DB446" t="str">
        <f>""</f>
        <v/>
      </c>
      <c r="DC446" t="str">
        <f>""</f>
        <v/>
      </c>
      <c r="DD446" t="str">
        <f>""</f>
        <v/>
      </c>
      <c r="DE446" t="str">
        <f>""</f>
        <v/>
      </c>
      <c r="DF446" t="str">
        <f>""</f>
        <v/>
      </c>
      <c r="DG446" t="str">
        <f>""</f>
        <v/>
      </c>
      <c r="DH446" t="str">
        <f>""</f>
        <v/>
      </c>
      <c r="DI446" t="str">
        <f>""</f>
        <v/>
      </c>
      <c r="DJ446" t="str">
        <f>""</f>
        <v/>
      </c>
      <c r="DK446" t="str">
        <f>""</f>
        <v/>
      </c>
      <c r="DL446" t="str">
        <f>""</f>
        <v/>
      </c>
      <c r="DM446" t="str">
        <f>""</f>
        <v/>
      </c>
      <c r="DN446" t="str">
        <f>""</f>
        <v/>
      </c>
      <c r="DO446" t="str">
        <f>""</f>
        <v/>
      </c>
      <c r="DP446" t="str">
        <f>""</f>
        <v/>
      </c>
      <c r="DQ446" t="str">
        <f>""</f>
        <v/>
      </c>
      <c r="DR446" t="str">
        <f>""</f>
        <v/>
      </c>
      <c r="DS446" t="str">
        <f>""</f>
        <v/>
      </c>
      <c r="DT446" t="str">
        <f>""</f>
        <v/>
      </c>
      <c r="DU446" t="str">
        <f>""</f>
        <v/>
      </c>
      <c r="DV446" t="str">
        <f>""</f>
        <v/>
      </c>
      <c r="DW446" t="str">
        <f>""</f>
        <v/>
      </c>
      <c r="DX446" t="str">
        <f>""</f>
        <v/>
      </c>
      <c r="DY446" t="str">
        <f>""</f>
        <v/>
      </c>
      <c r="DZ446" t="str">
        <f>""</f>
        <v/>
      </c>
      <c r="EA446" t="str">
        <f>""</f>
        <v/>
      </c>
      <c r="EB446" t="str">
        <f>""</f>
        <v/>
      </c>
      <c r="EC446" t="str">
        <f>""</f>
        <v/>
      </c>
      <c r="ED446" t="str">
        <f>""</f>
        <v/>
      </c>
      <c r="EE446" t="str">
        <f>""</f>
        <v/>
      </c>
      <c r="EF446" t="str">
        <f>""</f>
        <v/>
      </c>
      <c r="EG446" t="str">
        <f>""</f>
        <v/>
      </c>
      <c r="EH446" t="str">
        <f>""</f>
        <v/>
      </c>
      <c r="EI446" t="str">
        <f>""</f>
        <v/>
      </c>
      <c r="EJ446" t="str">
        <f>""</f>
        <v/>
      </c>
      <c r="EK446" t="str">
        <f>""</f>
        <v/>
      </c>
      <c r="EL446" t="str">
        <f>""</f>
        <v/>
      </c>
      <c r="EM446" t="str">
        <f>""</f>
        <v/>
      </c>
      <c r="EN446" t="str">
        <f>""</f>
        <v/>
      </c>
      <c r="EO446" t="str">
        <f>""</f>
        <v/>
      </c>
      <c r="EP446" t="str">
        <f>""</f>
        <v/>
      </c>
      <c r="EQ446" t="str">
        <f>""</f>
        <v/>
      </c>
      <c r="ER446" t="str">
        <f>""</f>
        <v/>
      </c>
      <c r="ES446" t="str">
        <f>""</f>
        <v/>
      </c>
      <c r="ET446" t="str">
        <f>""</f>
        <v/>
      </c>
      <c r="EU446" t="str">
        <f>""</f>
        <v/>
      </c>
      <c r="EV446" t="str">
        <f>""</f>
        <v/>
      </c>
      <c r="EW446" t="str">
        <f>""</f>
        <v/>
      </c>
      <c r="EX446" t="str">
        <f>""</f>
        <v/>
      </c>
      <c r="EY446" t="str">
        <f>""</f>
        <v/>
      </c>
      <c r="EZ446" t="str">
        <f>""</f>
        <v/>
      </c>
      <c r="FA446" t="str">
        <f>""</f>
        <v/>
      </c>
      <c r="FB446" t="str">
        <f>""</f>
        <v/>
      </c>
      <c r="FC446" t="str">
        <f>""</f>
        <v/>
      </c>
      <c r="FD446" t="str">
        <f>""</f>
        <v/>
      </c>
      <c r="FE446" t="str">
        <f>""</f>
        <v/>
      </c>
      <c r="FF446" t="str">
        <f>""</f>
        <v/>
      </c>
      <c r="FG446" t="str">
        <f>""</f>
        <v/>
      </c>
      <c r="FH446" t="str">
        <f>""</f>
        <v/>
      </c>
      <c r="FI446" t="str">
        <f>""</f>
        <v/>
      </c>
      <c r="FJ446" t="str">
        <f>""</f>
        <v/>
      </c>
      <c r="FK446" t="str">
        <f>""</f>
        <v/>
      </c>
      <c r="FL446" t="str">
        <f>""</f>
        <v/>
      </c>
      <c r="FM446" t="str">
        <f>""</f>
        <v/>
      </c>
      <c r="FN446" t="str">
        <f>""</f>
        <v/>
      </c>
      <c r="FO446" t="str">
        <f>""</f>
        <v/>
      </c>
      <c r="FP446" t="str">
        <f>""</f>
        <v/>
      </c>
      <c r="FQ446" t="str">
        <f>""</f>
        <v/>
      </c>
    </row>
    <row r="447" spans="1:173">
      <c r="A447" t="str">
        <f>"Snapshot Date"</f>
        <v>Snapshot Date</v>
      </c>
      <c r="B447">
        <f>DATE(2018, 3,31)</f>
        <v>43190</v>
      </c>
      <c r="C447" t="str">
        <f>""</f>
        <v/>
      </c>
      <c r="D447" t="str">
        <f>""</f>
        <v/>
      </c>
      <c r="E447" t="str">
        <f>""</f>
        <v/>
      </c>
      <c r="CL447" t="str">
        <f>""</f>
        <v/>
      </c>
      <c r="CM447" t="str">
        <f>""</f>
        <v/>
      </c>
      <c r="CN447" t="str">
        <f>""</f>
        <v/>
      </c>
      <c r="CO447" t="str">
        <f>""</f>
        <v/>
      </c>
      <c r="CP447" t="str">
        <f>""</f>
        <v/>
      </c>
      <c r="CQ447" t="str">
        <f>""</f>
        <v/>
      </c>
      <c r="CR447" t="str">
        <f>""</f>
        <v/>
      </c>
      <c r="CS447" t="str">
        <f>""</f>
        <v/>
      </c>
      <c r="CT447" t="str">
        <f>""</f>
        <v/>
      </c>
      <c r="CU447" t="str">
        <f>""</f>
        <v/>
      </c>
      <c r="CV447" t="str">
        <f>""</f>
        <v/>
      </c>
      <c r="CW447" t="str">
        <f>""</f>
        <v/>
      </c>
      <c r="CX447" t="str">
        <f>""</f>
        <v/>
      </c>
      <c r="CY447" t="str">
        <f>""</f>
        <v/>
      </c>
      <c r="CZ447" t="str">
        <f>""</f>
        <v/>
      </c>
      <c r="DA447" t="str">
        <f>""</f>
        <v/>
      </c>
      <c r="DB447" t="str">
        <f>""</f>
        <v/>
      </c>
      <c r="DC447" t="str">
        <f>""</f>
        <v/>
      </c>
      <c r="DD447" t="str">
        <f>""</f>
        <v/>
      </c>
      <c r="DE447" t="str">
        <f>""</f>
        <v/>
      </c>
      <c r="DF447" t="str">
        <f>""</f>
        <v/>
      </c>
      <c r="DG447" t="str">
        <f>""</f>
        <v/>
      </c>
      <c r="DH447" t="str">
        <f>""</f>
        <v/>
      </c>
      <c r="DI447" t="str">
        <f>""</f>
        <v/>
      </c>
      <c r="DJ447" t="str">
        <f>""</f>
        <v/>
      </c>
      <c r="DK447" t="str">
        <f>""</f>
        <v/>
      </c>
      <c r="DL447" t="str">
        <f>""</f>
        <v/>
      </c>
      <c r="DM447" t="str">
        <f>""</f>
        <v/>
      </c>
      <c r="DN447" t="str">
        <f>""</f>
        <v/>
      </c>
      <c r="DO447" t="str">
        <f>""</f>
        <v/>
      </c>
      <c r="DP447" t="str">
        <f>""</f>
        <v/>
      </c>
      <c r="DQ447" t="str">
        <f>""</f>
        <v/>
      </c>
      <c r="DR447" t="str">
        <f>""</f>
        <v/>
      </c>
      <c r="DS447" t="str">
        <f>""</f>
        <v/>
      </c>
      <c r="DT447" t="str">
        <f>""</f>
        <v/>
      </c>
      <c r="DU447" t="str">
        <f>""</f>
        <v/>
      </c>
      <c r="DV447" t="str">
        <f>""</f>
        <v/>
      </c>
      <c r="DW447" t="str">
        <f>""</f>
        <v/>
      </c>
      <c r="DX447" t="str">
        <f>""</f>
        <v/>
      </c>
      <c r="DY447" t="str">
        <f>""</f>
        <v/>
      </c>
      <c r="DZ447" t="str">
        <f>""</f>
        <v/>
      </c>
      <c r="EA447" t="str">
        <f>""</f>
        <v/>
      </c>
      <c r="EB447" t="str">
        <f>""</f>
        <v/>
      </c>
      <c r="EC447" t="str">
        <f>""</f>
        <v/>
      </c>
      <c r="ED447" t="str">
        <f>""</f>
        <v/>
      </c>
      <c r="EE447" t="str">
        <f>""</f>
        <v/>
      </c>
      <c r="EF447" t="str">
        <f>""</f>
        <v/>
      </c>
      <c r="EG447" t="str">
        <f>""</f>
        <v/>
      </c>
      <c r="EH447" t="str">
        <f>""</f>
        <v/>
      </c>
      <c r="EI447" t="str">
        <f>""</f>
        <v/>
      </c>
      <c r="EJ447" t="str">
        <f>""</f>
        <v/>
      </c>
      <c r="EK447" t="str">
        <f>""</f>
        <v/>
      </c>
      <c r="EL447" t="str">
        <f>""</f>
        <v/>
      </c>
      <c r="EM447" t="str">
        <f>""</f>
        <v/>
      </c>
      <c r="EN447" t="str">
        <f>""</f>
        <v/>
      </c>
      <c r="EO447" t="str">
        <f>""</f>
        <v/>
      </c>
      <c r="EP447" t="str">
        <f>""</f>
        <v/>
      </c>
      <c r="EQ447" t="str">
        <f>""</f>
        <v/>
      </c>
      <c r="ER447" t="str">
        <f>""</f>
        <v/>
      </c>
      <c r="ES447" t="str">
        <f>""</f>
        <v/>
      </c>
      <c r="ET447" t="str">
        <f>""</f>
        <v/>
      </c>
      <c r="EU447" t="str">
        <f>""</f>
        <v/>
      </c>
      <c r="EV447" t="str">
        <f>""</f>
        <v/>
      </c>
      <c r="EW447" t="str">
        <f>""</f>
        <v/>
      </c>
      <c r="EX447" t="str">
        <f>""</f>
        <v/>
      </c>
      <c r="EY447" t="str">
        <f>""</f>
        <v/>
      </c>
      <c r="EZ447" t="str">
        <f>""</f>
        <v/>
      </c>
      <c r="FA447" t="str">
        <f>""</f>
        <v/>
      </c>
      <c r="FB447" t="str">
        <f>""</f>
        <v/>
      </c>
      <c r="FC447" t="str">
        <f>""</f>
        <v/>
      </c>
      <c r="FD447" t="str">
        <f>""</f>
        <v/>
      </c>
      <c r="FE447" t="str">
        <f>""</f>
        <v/>
      </c>
      <c r="FF447" t="str">
        <f>""</f>
        <v/>
      </c>
      <c r="FG447" t="str">
        <f>""</f>
        <v/>
      </c>
      <c r="FH447" t="str">
        <f>""</f>
        <v/>
      </c>
      <c r="FI447" t="str">
        <f>""</f>
        <v/>
      </c>
      <c r="FJ447" t="str">
        <f>""</f>
        <v/>
      </c>
      <c r="FK447" t="str">
        <f>""</f>
        <v/>
      </c>
      <c r="FL447" t="str">
        <f>""</f>
        <v/>
      </c>
      <c r="FM447" t="str">
        <f>""</f>
        <v/>
      </c>
      <c r="FN447" t="str">
        <f>""</f>
        <v/>
      </c>
      <c r="FO447" t="str">
        <f>""</f>
        <v/>
      </c>
      <c r="FP447" t="str">
        <f>""</f>
        <v/>
      </c>
      <c r="FQ447" t="str">
        <f>""</f>
        <v/>
      </c>
    </row>
    <row r="448" spans="1:173">
      <c r="A448" t="str">
        <f>"Snapshot header"</f>
        <v>Snapshot header</v>
      </c>
      <c r="B448">
        <f>2</f>
        <v>2</v>
      </c>
      <c r="C448" t="str">
        <f>"3/2018"</f>
        <v>3/2018</v>
      </c>
      <c r="D448" t="str">
        <f>"2/2018"</f>
        <v>2/2018</v>
      </c>
      <c r="E448" t="str">
        <f>"1/2018"</f>
        <v>1/2018</v>
      </c>
      <c r="F448" t="str">
        <f>"12/2017"</f>
        <v>12/2017</v>
      </c>
      <c r="G448" t="str">
        <f>"11/2017"</f>
        <v>11/2017</v>
      </c>
      <c r="H448" t="str">
        <f>"10/2017"</f>
        <v>10/2017</v>
      </c>
      <c r="I448" t="str">
        <f>"9/2017"</f>
        <v>9/2017</v>
      </c>
      <c r="J448" t="str">
        <f>"8/2017"</f>
        <v>8/2017</v>
      </c>
      <c r="K448" t="str">
        <f>"7/2017"</f>
        <v>7/2017</v>
      </c>
      <c r="L448" t="str">
        <f>"6/2017"</f>
        <v>6/2017</v>
      </c>
      <c r="M448" t="str">
        <f>"5/2017"</f>
        <v>5/2017</v>
      </c>
      <c r="N448" t="str">
        <f>"4/2017"</f>
        <v>4/2017</v>
      </c>
      <c r="O448" t="str">
        <f>"3/2017"</f>
        <v>3/2017</v>
      </c>
      <c r="P448" t="str">
        <f>"2/2017"</f>
        <v>2/2017</v>
      </c>
      <c r="Q448" t="str">
        <f>"1/2017"</f>
        <v>1/2017</v>
      </c>
      <c r="R448" t="str">
        <f>"12/2016"</f>
        <v>12/2016</v>
      </c>
      <c r="S448" t="str">
        <f>"11/2016"</f>
        <v>11/2016</v>
      </c>
      <c r="T448" t="str">
        <f>"10/2016"</f>
        <v>10/2016</v>
      </c>
      <c r="U448" t="str">
        <f>"9/2016"</f>
        <v>9/2016</v>
      </c>
      <c r="V448" t="str">
        <f>"8/2016"</f>
        <v>8/2016</v>
      </c>
      <c r="W448" t="str">
        <f>"7/2016"</f>
        <v>7/2016</v>
      </c>
      <c r="X448" t="str">
        <f>"6/2016"</f>
        <v>6/2016</v>
      </c>
      <c r="Y448" t="str">
        <f>"5/2016"</f>
        <v>5/2016</v>
      </c>
      <c r="Z448" t="str">
        <f>"4/2016"</f>
        <v>4/2016</v>
      </c>
      <c r="AA448" t="str">
        <f>"3/2016"</f>
        <v>3/2016</v>
      </c>
      <c r="AB448" t="str">
        <f>"2/2016"</f>
        <v>2/2016</v>
      </c>
      <c r="AC448" t="str">
        <f>"1/2016"</f>
        <v>1/2016</v>
      </c>
      <c r="AD448" t="str">
        <f>"12/2015"</f>
        <v>12/2015</v>
      </c>
      <c r="AE448" t="str">
        <f>"11/2015"</f>
        <v>11/2015</v>
      </c>
      <c r="AF448" t="str">
        <f>"10/2015"</f>
        <v>10/2015</v>
      </c>
      <c r="AG448" t="str">
        <f>"9/2015"</f>
        <v>9/2015</v>
      </c>
      <c r="AH448" t="str">
        <f>"8/2015"</f>
        <v>8/2015</v>
      </c>
      <c r="AI448" t="str">
        <f>"7/2015"</f>
        <v>7/2015</v>
      </c>
      <c r="AJ448" t="str">
        <f>"6/2015"</f>
        <v>6/2015</v>
      </c>
      <c r="AK448" t="str">
        <f>"5/2015"</f>
        <v>5/2015</v>
      </c>
      <c r="AL448" t="str">
        <f>"4/2015"</f>
        <v>4/2015</v>
      </c>
      <c r="AM448" t="str">
        <f>"3/2015"</f>
        <v>3/2015</v>
      </c>
      <c r="AN448" t="str">
        <f>"2/2015"</f>
        <v>2/2015</v>
      </c>
      <c r="AO448" t="str">
        <f>"1/2015"</f>
        <v>1/2015</v>
      </c>
      <c r="AP448" t="str">
        <f>"12/2014"</f>
        <v>12/2014</v>
      </c>
      <c r="AQ448" t="str">
        <f>"11/2014"</f>
        <v>11/2014</v>
      </c>
      <c r="AR448" t="str">
        <f>"10/2014"</f>
        <v>10/2014</v>
      </c>
      <c r="AS448" t="str">
        <f>"9/2014"</f>
        <v>9/2014</v>
      </c>
      <c r="AT448" t="str">
        <f>"8/2014"</f>
        <v>8/2014</v>
      </c>
      <c r="AU448" t="str">
        <f>"7/2014"</f>
        <v>7/2014</v>
      </c>
      <c r="AV448" t="str">
        <f>"6/2014"</f>
        <v>6/2014</v>
      </c>
      <c r="AW448" t="str">
        <f>"5/2014"</f>
        <v>5/2014</v>
      </c>
      <c r="AX448" t="str">
        <f>"4/2014"</f>
        <v>4/2014</v>
      </c>
      <c r="AY448" t="str">
        <f>"3/2014"</f>
        <v>3/2014</v>
      </c>
      <c r="AZ448" t="str">
        <f>"2/2014"</f>
        <v>2/2014</v>
      </c>
      <c r="BA448" t="str">
        <f>"1/2014"</f>
        <v>1/2014</v>
      </c>
      <c r="BB448" t="str">
        <f>"12/2013"</f>
        <v>12/2013</v>
      </c>
      <c r="BC448" t="str">
        <f>"11/2013"</f>
        <v>11/2013</v>
      </c>
      <c r="BD448" t="str">
        <f>"10/2013"</f>
        <v>10/2013</v>
      </c>
      <c r="BE448" t="str">
        <f>"9/2013"</f>
        <v>9/2013</v>
      </c>
      <c r="BF448" t="str">
        <f>"8/2013"</f>
        <v>8/2013</v>
      </c>
      <c r="BG448" t="str">
        <f>"7/2013"</f>
        <v>7/2013</v>
      </c>
      <c r="BH448" t="str">
        <f>"6/2013"</f>
        <v>6/2013</v>
      </c>
      <c r="BI448" t="str">
        <f>"5/2013"</f>
        <v>5/2013</v>
      </c>
      <c r="BJ448" t="str">
        <f>"4/2013"</f>
        <v>4/2013</v>
      </c>
      <c r="BK448" t="str">
        <f>"3/2013"</f>
        <v>3/2013</v>
      </c>
      <c r="BL448" t="str">
        <f>"2/2013"</f>
        <v>2/2013</v>
      </c>
      <c r="BM448" t="str">
        <f>"1/2013"</f>
        <v>1/2013</v>
      </c>
      <c r="BN448" t="str">
        <f>"12/2012"</f>
        <v>12/2012</v>
      </c>
      <c r="BO448" t="str">
        <f>"11/2012"</f>
        <v>11/2012</v>
      </c>
      <c r="BP448" t="str">
        <f>"10/2012"</f>
        <v>10/2012</v>
      </c>
      <c r="BQ448" t="str">
        <f>"9/2012"</f>
        <v>9/2012</v>
      </c>
      <c r="BR448" t="str">
        <f>"8/2012"</f>
        <v>8/2012</v>
      </c>
      <c r="BS448" t="str">
        <f>"7/2012"</f>
        <v>7/2012</v>
      </c>
      <c r="BT448" t="str">
        <f>"6/2012"</f>
        <v>6/2012</v>
      </c>
      <c r="BU448" t="str">
        <f>"5/2012"</f>
        <v>5/2012</v>
      </c>
      <c r="BV448" t="str">
        <f>"4/2012"</f>
        <v>4/2012</v>
      </c>
      <c r="BW448" t="str">
        <f>"3/2012"</f>
        <v>3/2012</v>
      </c>
      <c r="BX448" t="str">
        <f>"2/2012"</f>
        <v>2/2012</v>
      </c>
      <c r="BY448" t="str">
        <f>"1/2012"</f>
        <v>1/2012</v>
      </c>
      <c r="BZ448" t="str">
        <f>"12/2011"</f>
        <v>12/2011</v>
      </c>
      <c r="CA448" t="str">
        <f>"11/2011"</f>
        <v>11/2011</v>
      </c>
      <c r="CB448" t="str">
        <f>"10/2011"</f>
        <v>10/2011</v>
      </c>
      <c r="CC448" t="str">
        <f>"9/2011"</f>
        <v>9/2011</v>
      </c>
      <c r="CD448" t="str">
        <f>"8/2011"</f>
        <v>8/2011</v>
      </c>
      <c r="CE448" t="str">
        <f>"7/2011"</f>
        <v>7/2011</v>
      </c>
      <c r="CF448" t="str">
        <f>"6/2011"</f>
        <v>6/2011</v>
      </c>
      <c r="CG448" t="str">
        <f>"5/2011"</f>
        <v>5/2011</v>
      </c>
      <c r="CH448" t="str">
        <f>"4/2011"</f>
        <v>4/2011</v>
      </c>
      <c r="CL448" t="str">
        <f>""</f>
        <v/>
      </c>
      <c r="CM448" t="str">
        <f>""</f>
        <v/>
      </c>
      <c r="CN448" t="str">
        <f>""</f>
        <v/>
      </c>
      <c r="CO448" t="str">
        <f>""</f>
        <v/>
      </c>
      <c r="CP448" t="str">
        <f>""</f>
        <v/>
      </c>
      <c r="CQ448" t="str">
        <f>""</f>
        <v/>
      </c>
      <c r="CR448" t="str">
        <f>""</f>
        <v/>
      </c>
      <c r="CS448" t="str">
        <f>""</f>
        <v/>
      </c>
      <c r="CT448" t="str">
        <f>""</f>
        <v/>
      </c>
      <c r="CU448" t="str">
        <f>""</f>
        <v/>
      </c>
      <c r="CV448" t="str">
        <f>""</f>
        <v/>
      </c>
      <c r="CW448" t="str">
        <f>""</f>
        <v/>
      </c>
      <c r="CX448" t="str">
        <f>""</f>
        <v/>
      </c>
      <c r="CY448" t="str">
        <f>""</f>
        <v/>
      </c>
      <c r="CZ448" t="str">
        <f>""</f>
        <v/>
      </c>
      <c r="DA448" t="str">
        <f>""</f>
        <v/>
      </c>
      <c r="DB448" t="str">
        <f>""</f>
        <v/>
      </c>
      <c r="DC448" t="str">
        <f>""</f>
        <v/>
      </c>
      <c r="DD448" t="str">
        <f>""</f>
        <v/>
      </c>
      <c r="DE448" t="str">
        <f>""</f>
        <v/>
      </c>
      <c r="DF448" t="str">
        <f>""</f>
        <v/>
      </c>
      <c r="DG448" t="str">
        <f>""</f>
        <v/>
      </c>
      <c r="DH448" t="str">
        <f>""</f>
        <v/>
      </c>
      <c r="DI448" t="str">
        <f>""</f>
        <v/>
      </c>
      <c r="DJ448" t="str">
        <f>""</f>
        <v/>
      </c>
      <c r="DK448" t="str">
        <f>""</f>
        <v/>
      </c>
      <c r="DL448" t="str">
        <f>""</f>
        <v/>
      </c>
      <c r="DM448" t="str">
        <f>""</f>
        <v/>
      </c>
      <c r="DN448" t="str">
        <f>""</f>
        <v/>
      </c>
      <c r="DO448" t="str">
        <f>""</f>
        <v/>
      </c>
      <c r="DP448" t="str">
        <f>""</f>
        <v/>
      </c>
      <c r="DQ448" t="str">
        <f>""</f>
        <v/>
      </c>
      <c r="DR448" t="str">
        <f>""</f>
        <v/>
      </c>
      <c r="DS448" t="str">
        <f>""</f>
        <v/>
      </c>
      <c r="DT448" t="str">
        <f>""</f>
        <v/>
      </c>
      <c r="DU448" t="str">
        <f>""</f>
        <v/>
      </c>
      <c r="DV448" t="str">
        <f>""</f>
        <v/>
      </c>
      <c r="DW448" t="str">
        <f>""</f>
        <v/>
      </c>
      <c r="DX448" t="str">
        <f>""</f>
        <v/>
      </c>
      <c r="DY448" t="str">
        <f>""</f>
        <v/>
      </c>
      <c r="DZ448" t="str">
        <f>""</f>
        <v/>
      </c>
      <c r="EA448" t="str">
        <f>""</f>
        <v/>
      </c>
      <c r="EB448" t="str">
        <f>""</f>
        <v/>
      </c>
      <c r="EC448" t="str">
        <f>""</f>
        <v/>
      </c>
      <c r="ED448" t="str">
        <f>""</f>
        <v/>
      </c>
      <c r="EE448" t="str">
        <f>""</f>
        <v/>
      </c>
      <c r="EF448" t="str">
        <f>""</f>
        <v/>
      </c>
      <c r="EG448" t="str">
        <f>""</f>
        <v/>
      </c>
      <c r="EH448" t="str">
        <f>""</f>
        <v/>
      </c>
      <c r="EI448" t="str">
        <f>""</f>
        <v/>
      </c>
      <c r="EJ448" t="str">
        <f>""</f>
        <v/>
      </c>
      <c r="EK448" t="str">
        <f>""</f>
        <v/>
      </c>
      <c r="EL448" t="str">
        <f>""</f>
        <v/>
      </c>
      <c r="EM448" t="str">
        <f>""</f>
        <v/>
      </c>
      <c r="EN448" t="str">
        <f>""</f>
        <v/>
      </c>
      <c r="EO448" t="str">
        <f>""</f>
        <v/>
      </c>
      <c r="EP448" t="str">
        <f>""</f>
        <v/>
      </c>
      <c r="EQ448" t="str">
        <f>""</f>
        <v/>
      </c>
      <c r="ER448" t="str">
        <f>""</f>
        <v/>
      </c>
      <c r="ES448" t="str">
        <f>""</f>
        <v/>
      </c>
      <c r="ET448" t="str">
        <f>""</f>
        <v/>
      </c>
      <c r="EU448" t="str">
        <f>""</f>
        <v/>
      </c>
      <c r="EV448" t="str">
        <f>""</f>
        <v/>
      </c>
      <c r="EW448" t="str">
        <f>""</f>
        <v/>
      </c>
      <c r="EX448" t="str">
        <f>""</f>
        <v/>
      </c>
      <c r="EY448" t="str">
        <f>""</f>
        <v/>
      </c>
      <c r="EZ448" t="str">
        <f>""</f>
        <v/>
      </c>
      <c r="FA448" t="str">
        <f>""</f>
        <v/>
      </c>
      <c r="FB448" t="str">
        <f>""</f>
        <v/>
      </c>
      <c r="FC448" t="str">
        <f>""</f>
        <v/>
      </c>
      <c r="FD448" t="str">
        <f>""</f>
        <v/>
      </c>
      <c r="FE448" t="str">
        <f>""</f>
        <v/>
      </c>
      <c r="FF448" t="str">
        <f>""</f>
        <v/>
      </c>
      <c r="FG448" t="str">
        <f>""</f>
        <v/>
      </c>
      <c r="FH448" t="str">
        <f>""</f>
        <v/>
      </c>
      <c r="FI448" t="str">
        <f>""</f>
        <v/>
      </c>
      <c r="FJ448" t="str">
        <f>""</f>
        <v/>
      </c>
      <c r="FK448" t="str">
        <f>""</f>
        <v/>
      </c>
      <c r="FL448" t="str">
        <f>""</f>
        <v/>
      </c>
      <c r="FM448" t="str">
        <f>""</f>
        <v/>
      </c>
      <c r="FN448" t="str">
        <f>""</f>
        <v/>
      </c>
      <c r="FO448" t="str">
        <f>""</f>
        <v/>
      </c>
      <c r="FP448" t="str">
        <f>""</f>
        <v/>
      </c>
      <c r="FQ448" t="str">
        <f>""</f>
        <v/>
      </c>
    </row>
    <row r="449" spans="1:173">
      <c r="A449" t="str">
        <f>"BDH snapshot header0"</f>
        <v>BDH snapshot header0</v>
      </c>
      <c r="B449">
        <f>IF(OR(ISERROR($C$449),ISBLANK($C$449),ISNUMBER(SEARCH("N/A",$C$449) ),ISERROR($C$450),ISBLANK($C$450)),0,1)</f>
        <v>0</v>
      </c>
      <c r="C449" t="str">
        <f>BDH($B$4,$C$4,$B$250,$B$447,"PER=CM","Dts=S","DtFmt=FI", "rows=2","Dir=H","Points=84","Sort=R","Days=A","Fill=B","FX=USD" )</f>
        <v>#N/A Authorization</v>
      </c>
      <c r="CL449" t="str">
        <f>""</f>
        <v/>
      </c>
      <c r="CM449" t="str">
        <f>""</f>
        <v/>
      </c>
      <c r="CN449" t="str">
        <f>""</f>
        <v/>
      </c>
      <c r="CO449" t="str">
        <f>""</f>
        <v/>
      </c>
      <c r="CP449" t="str">
        <f>""</f>
        <v/>
      </c>
      <c r="CQ449" t="str">
        <f>""</f>
        <v/>
      </c>
      <c r="CR449" t="str">
        <f>""</f>
        <v/>
      </c>
      <c r="CS449" t="str">
        <f>""</f>
        <v/>
      </c>
      <c r="CT449" t="str">
        <f>""</f>
        <v/>
      </c>
      <c r="CU449" t="str">
        <f>""</f>
        <v/>
      </c>
      <c r="CV449" t="str">
        <f>""</f>
        <v/>
      </c>
      <c r="CW449" t="str">
        <f>""</f>
        <v/>
      </c>
      <c r="CX449" t="str">
        <f>""</f>
        <v/>
      </c>
      <c r="CY449" t="str">
        <f>""</f>
        <v/>
      </c>
      <c r="CZ449" t="str">
        <f>""</f>
        <v/>
      </c>
      <c r="DA449" t="str">
        <f>""</f>
        <v/>
      </c>
      <c r="DB449" t="str">
        <f>""</f>
        <v/>
      </c>
      <c r="DC449" t="str">
        <f>""</f>
        <v/>
      </c>
      <c r="DD449" t="str">
        <f>""</f>
        <v/>
      </c>
      <c r="DE449" t="str">
        <f>""</f>
        <v/>
      </c>
      <c r="DF449" t="str">
        <f>""</f>
        <v/>
      </c>
      <c r="DG449" t="str">
        <f>""</f>
        <v/>
      </c>
      <c r="DH449" t="str">
        <f>""</f>
        <v/>
      </c>
      <c r="DI449" t="str">
        <f>""</f>
        <v/>
      </c>
      <c r="DJ449" t="str">
        <f>""</f>
        <v/>
      </c>
      <c r="DK449" t="str">
        <f>""</f>
        <v/>
      </c>
      <c r="DL449" t="str">
        <f>""</f>
        <v/>
      </c>
      <c r="DM449" t="str">
        <f>""</f>
        <v/>
      </c>
      <c r="DN449" t="str">
        <f>""</f>
        <v/>
      </c>
      <c r="DO449" t="str">
        <f>""</f>
        <v/>
      </c>
      <c r="DP449" t="str">
        <f>""</f>
        <v/>
      </c>
      <c r="DQ449" t="str">
        <f>""</f>
        <v/>
      </c>
      <c r="DR449" t="str">
        <f>""</f>
        <v/>
      </c>
      <c r="DS449" t="str">
        <f>""</f>
        <v/>
      </c>
      <c r="DT449" t="str">
        <f>""</f>
        <v/>
      </c>
      <c r="DU449" t="str">
        <f>""</f>
        <v/>
      </c>
      <c r="DV449" t="str">
        <f>""</f>
        <v/>
      </c>
      <c r="DW449" t="str">
        <f>""</f>
        <v/>
      </c>
      <c r="DX449" t="str">
        <f>""</f>
        <v/>
      </c>
      <c r="DY449" t="str">
        <f>""</f>
        <v/>
      </c>
      <c r="DZ449" t="str">
        <f>""</f>
        <v/>
      </c>
      <c r="EA449" t="str">
        <f>""</f>
        <v/>
      </c>
      <c r="EB449" t="str">
        <f>""</f>
        <v/>
      </c>
      <c r="EC449" t="str">
        <f>""</f>
        <v/>
      </c>
      <c r="ED449" t="str">
        <f>""</f>
        <v/>
      </c>
      <c r="EE449" t="str">
        <f>""</f>
        <v/>
      </c>
      <c r="EF449" t="str">
        <f>""</f>
        <v/>
      </c>
      <c r="EG449" t="str">
        <f>""</f>
        <v/>
      </c>
      <c r="EH449" t="str">
        <f>""</f>
        <v/>
      </c>
      <c r="EI449" t="str">
        <f>""</f>
        <v/>
      </c>
      <c r="EJ449" t="str">
        <f>""</f>
        <v/>
      </c>
      <c r="EK449" t="str">
        <f>""</f>
        <v/>
      </c>
      <c r="EL449" t="str">
        <f>""</f>
        <v/>
      </c>
      <c r="EM449" t="str">
        <f>""</f>
        <v/>
      </c>
      <c r="EN449" t="str">
        <f>""</f>
        <v/>
      </c>
      <c r="EO449" t="str">
        <f>""</f>
        <v/>
      </c>
      <c r="EP449" t="str">
        <f>""</f>
        <v/>
      </c>
      <c r="EQ449" t="str">
        <f>""</f>
        <v/>
      </c>
      <c r="ER449" t="str">
        <f>""</f>
        <v/>
      </c>
      <c r="ES449" t="str">
        <f>""</f>
        <v/>
      </c>
      <c r="ET449" t="str">
        <f>""</f>
        <v/>
      </c>
      <c r="EU449" t="str">
        <f>""</f>
        <v/>
      </c>
      <c r="EV449" t="str">
        <f>""</f>
        <v/>
      </c>
      <c r="EW449" t="str">
        <f>""</f>
        <v/>
      </c>
      <c r="EX449" t="str">
        <f>""</f>
        <v/>
      </c>
      <c r="EY449" t="str">
        <f>""</f>
        <v/>
      </c>
      <c r="EZ449" t="str">
        <f>""</f>
        <v/>
      </c>
      <c r="FA449" t="str">
        <f>""</f>
        <v/>
      </c>
      <c r="FB449" t="str">
        <f>""</f>
        <v/>
      </c>
      <c r="FC449" t="str">
        <f>""</f>
        <v/>
      </c>
      <c r="FD449" t="str">
        <f>""</f>
        <v/>
      </c>
      <c r="FE449" t="str">
        <f>""</f>
        <v/>
      </c>
      <c r="FF449" t="str">
        <f>""</f>
        <v/>
      </c>
      <c r="FG449" t="str">
        <f>""</f>
        <v/>
      </c>
      <c r="FH449" t="str">
        <f>""</f>
        <v/>
      </c>
      <c r="FI449" t="str">
        <f>""</f>
        <v/>
      </c>
      <c r="FJ449" t="str">
        <f>""</f>
        <v/>
      </c>
      <c r="FK449" t="str">
        <f>""</f>
        <v/>
      </c>
      <c r="FL449" t="str">
        <f>""</f>
        <v/>
      </c>
      <c r="FM449" t="str">
        <f>""</f>
        <v/>
      </c>
      <c r="FN449" t="str">
        <f>""</f>
        <v/>
      </c>
      <c r="FO449" t="str">
        <f>""</f>
        <v/>
      </c>
      <c r="FP449" t="str">
        <f>""</f>
        <v/>
      </c>
      <c r="FQ449" t="str">
        <f>""</f>
        <v/>
      </c>
    </row>
    <row r="450" spans="1:173">
      <c r="A450" t="str">
        <f>"BDH snapshot result0"</f>
        <v>BDH snapshot result0</v>
      </c>
      <c r="CL450" t="str">
        <f>""</f>
        <v/>
      </c>
      <c r="CM450" t="str">
        <f>""</f>
        <v/>
      </c>
      <c r="CN450" t="str">
        <f>""</f>
        <v/>
      </c>
      <c r="CO450" t="str">
        <f>""</f>
        <v/>
      </c>
      <c r="CP450" t="str">
        <f>""</f>
        <v/>
      </c>
      <c r="CQ450" t="str">
        <f>""</f>
        <v/>
      </c>
      <c r="CR450" t="str">
        <f>""</f>
        <v/>
      </c>
      <c r="CS450" t="str">
        <f>""</f>
        <v/>
      </c>
      <c r="CT450" t="str">
        <f>""</f>
        <v/>
      </c>
      <c r="CU450" t="str">
        <f>""</f>
        <v/>
      </c>
      <c r="CV450" t="str">
        <f>""</f>
        <v/>
      </c>
      <c r="CW450" t="str">
        <f>""</f>
        <v/>
      </c>
      <c r="CX450" t="str">
        <f>""</f>
        <v/>
      </c>
      <c r="CY450" t="str">
        <f>""</f>
        <v/>
      </c>
      <c r="CZ450" t="str">
        <f>""</f>
        <v/>
      </c>
      <c r="DA450" t="str">
        <f>""</f>
        <v/>
      </c>
      <c r="DB450" t="str">
        <f>""</f>
        <v/>
      </c>
      <c r="DC450" t="str">
        <f>""</f>
        <v/>
      </c>
      <c r="DD450" t="str">
        <f>""</f>
        <v/>
      </c>
      <c r="DE450" t="str">
        <f>""</f>
        <v/>
      </c>
      <c r="DF450" t="str">
        <f>""</f>
        <v/>
      </c>
      <c r="DG450" t="str">
        <f>""</f>
        <v/>
      </c>
      <c r="DH450" t="str">
        <f>""</f>
        <v/>
      </c>
      <c r="DI450" t="str">
        <f>""</f>
        <v/>
      </c>
      <c r="DJ450" t="str">
        <f>""</f>
        <v/>
      </c>
      <c r="DK450" t="str">
        <f>""</f>
        <v/>
      </c>
      <c r="DL450" t="str">
        <f>""</f>
        <v/>
      </c>
      <c r="DM450" t="str">
        <f>""</f>
        <v/>
      </c>
      <c r="DN450" t="str">
        <f>""</f>
        <v/>
      </c>
      <c r="DO450" t="str">
        <f>""</f>
        <v/>
      </c>
      <c r="DP450" t="str">
        <f>""</f>
        <v/>
      </c>
      <c r="DQ450" t="str">
        <f>""</f>
        <v/>
      </c>
      <c r="DR450" t="str">
        <f>""</f>
        <v/>
      </c>
      <c r="DS450" t="str">
        <f>""</f>
        <v/>
      </c>
      <c r="DT450" t="str">
        <f>""</f>
        <v/>
      </c>
      <c r="DU450" t="str">
        <f>""</f>
        <v/>
      </c>
      <c r="DV450" t="str">
        <f>""</f>
        <v/>
      </c>
      <c r="DW450" t="str">
        <f>""</f>
        <v/>
      </c>
      <c r="DX450" t="str">
        <f>""</f>
        <v/>
      </c>
      <c r="DY450" t="str">
        <f>""</f>
        <v/>
      </c>
      <c r="DZ450" t="str">
        <f>""</f>
        <v/>
      </c>
      <c r="EA450" t="str">
        <f>""</f>
        <v/>
      </c>
      <c r="EB450" t="str">
        <f>""</f>
        <v/>
      </c>
      <c r="EC450" t="str">
        <f>""</f>
        <v/>
      </c>
      <c r="ED450" t="str">
        <f>""</f>
        <v/>
      </c>
      <c r="EE450" t="str">
        <f>""</f>
        <v/>
      </c>
      <c r="EF450" t="str">
        <f>""</f>
        <v/>
      </c>
      <c r="EG450" t="str">
        <f>""</f>
        <v/>
      </c>
      <c r="EH450" t="str">
        <f>""</f>
        <v/>
      </c>
      <c r="EI450" t="str">
        <f>""</f>
        <v/>
      </c>
      <c r="EJ450" t="str">
        <f>""</f>
        <v/>
      </c>
      <c r="EK450" t="str">
        <f>""</f>
        <v/>
      </c>
      <c r="EL450" t="str">
        <f>""</f>
        <v/>
      </c>
      <c r="EM450" t="str">
        <f>""</f>
        <v/>
      </c>
      <c r="EN450" t="str">
        <f>""</f>
        <v/>
      </c>
      <c r="EO450" t="str">
        <f>""</f>
        <v/>
      </c>
      <c r="EP450" t="str">
        <f>""</f>
        <v/>
      </c>
      <c r="EQ450" t="str">
        <f>""</f>
        <v/>
      </c>
      <c r="ER450" t="str">
        <f>""</f>
        <v/>
      </c>
      <c r="ES450" t="str">
        <f>""</f>
        <v/>
      </c>
      <c r="ET450" t="str">
        <f>""</f>
        <v/>
      </c>
      <c r="EU450" t="str">
        <f>""</f>
        <v/>
      </c>
      <c r="EV450" t="str">
        <f>""</f>
        <v/>
      </c>
      <c r="EW450" t="str">
        <f>""</f>
        <v/>
      </c>
      <c r="EX450" t="str">
        <f>""</f>
        <v/>
      </c>
      <c r="EY450" t="str">
        <f>""</f>
        <v/>
      </c>
      <c r="EZ450" t="str">
        <f>""</f>
        <v/>
      </c>
      <c r="FA450" t="str">
        <f>""</f>
        <v/>
      </c>
      <c r="FB450" t="str">
        <f>""</f>
        <v/>
      </c>
      <c r="FC450" t="str">
        <f>""</f>
        <v/>
      </c>
      <c r="FD450" t="str">
        <f>""</f>
        <v/>
      </c>
      <c r="FE450" t="str">
        <f>""</f>
        <v/>
      </c>
      <c r="FF450" t="str">
        <f>""</f>
        <v/>
      </c>
      <c r="FG450" t="str">
        <f>""</f>
        <v/>
      </c>
      <c r="FH450" t="str">
        <f>""</f>
        <v/>
      </c>
      <c r="FI450" t="str">
        <f>""</f>
        <v/>
      </c>
      <c r="FJ450" t="str">
        <f>""</f>
        <v/>
      </c>
      <c r="FK450" t="str">
        <f>""</f>
        <v/>
      </c>
      <c r="FL450" t="str">
        <f>""</f>
        <v/>
      </c>
      <c r="FM450" t="str">
        <f>""</f>
        <v/>
      </c>
      <c r="FN450" t="str">
        <f>""</f>
        <v/>
      </c>
      <c r="FO450" t="str">
        <f>""</f>
        <v/>
      </c>
      <c r="FP450" t="str">
        <f>""</f>
        <v/>
      </c>
      <c r="FQ450" t="str">
        <f>""</f>
        <v/>
      </c>
    </row>
    <row r="451" spans="1:173">
      <c r="A451" t="str">
        <f>"BDH snapshot header1"</f>
        <v>BDH snapshot header1</v>
      </c>
      <c r="B451">
        <f>IF(OR(ISERROR($C$451),ISBLANK($C$451),ISNUMBER(SEARCH("N/A",$C$451) ),ISERROR($C$452),ISBLANK($C$452)),0,1)</f>
        <v>0</v>
      </c>
      <c r="C451" t="str">
        <f>BDH($B$5,$C$5,$B$250,$B$447,"PER=CM","Dts=S","DtFmt=FI", "rows=2","Dir=H","Points=84","Sort=R","Days=A","Fill=B","FX=USD" )</f>
        <v>#N/A Authorization</v>
      </c>
      <c r="CL451" t="str">
        <f>""</f>
        <v/>
      </c>
      <c r="CM451" t="str">
        <f>""</f>
        <v/>
      </c>
      <c r="CN451" t="str">
        <f>""</f>
        <v/>
      </c>
      <c r="CO451" t="str">
        <f>""</f>
        <v/>
      </c>
      <c r="CP451" t="str">
        <f>""</f>
        <v/>
      </c>
      <c r="CQ451" t="str">
        <f>""</f>
        <v/>
      </c>
      <c r="CR451" t="str">
        <f>""</f>
        <v/>
      </c>
      <c r="CS451" t="str">
        <f>""</f>
        <v/>
      </c>
      <c r="CT451" t="str">
        <f>""</f>
        <v/>
      </c>
      <c r="CU451" t="str">
        <f>""</f>
        <v/>
      </c>
      <c r="CV451" t="str">
        <f>""</f>
        <v/>
      </c>
      <c r="CW451" t="str">
        <f>""</f>
        <v/>
      </c>
      <c r="CX451" t="str">
        <f>""</f>
        <v/>
      </c>
      <c r="CY451" t="str">
        <f>""</f>
        <v/>
      </c>
      <c r="CZ451" t="str">
        <f>""</f>
        <v/>
      </c>
      <c r="DA451" t="str">
        <f>""</f>
        <v/>
      </c>
      <c r="DB451" t="str">
        <f>""</f>
        <v/>
      </c>
      <c r="DC451" t="str">
        <f>""</f>
        <v/>
      </c>
      <c r="DD451" t="str">
        <f>""</f>
        <v/>
      </c>
      <c r="DE451" t="str">
        <f>""</f>
        <v/>
      </c>
      <c r="DF451" t="str">
        <f>""</f>
        <v/>
      </c>
      <c r="DG451" t="str">
        <f>""</f>
        <v/>
      </c>
      <c r="DH451" t="str">
        <f>""</f>
        <v/>
      </c>
      <c r="DI451" t="str">
        <f>""</f>
        <v/>
      </c>
      <c r="DJ451" t="str">
        <f>""</f>
        <v/>
      </c>
      <c r="DK451" t="str">
        <f>""</f>
        <v/>
      </c>
      <c r="DL451" t="str">
        <f>""</f>
        <v/>
      </c>
      <c r="DM451" t="str">
        <f>""</f>
        <v/>
      </c>
      <c r="DN451" t="str">
        <f>""</f>
        <v/>
      </c>
      <c r="DO451" t="str">
        <f>""</f>
        <v/>
      </c>
      <c r="DP451" t="str">
        <f>""</f>
        <v/>
      </c>
      <c r="DQ451" t="str">
        <f>""</f>
        <v/>
      </c>
      <c r="DR451" t="str">
        <f>""</f>
        <v/>
      </c>
      <c r="DS451" t="str">
        <f>""</f>
        <v/>
      </c>
      <c r="DT451" t="str">
        <f>""</f>
        <v/>
      </c>
      <c r="DU451" t="str">
        <f>""</f>
        <v/>
      </c>
      <c r="DV451" t="str">
        <f>""</f>
        <v/>
      </c>
      <c r="DW451" t="str">
        <f>""</f>
        <v/>
      </c>
      <c r="DX451" t="str">
        <f>""</f>
        <v/>
      </c>
      <c r="DY451" t="str">
        <f>""</f>
        <v/>
      </c>
      <c r="DZ451" t="str">
        <f>""</f>
        <v/>
      </c>
      <c r="EA451" t="str">
        <f>""</f>
        <v/>
      </c>
      <c r="EB451" t="str">
        <f>""</f>
        <v/>
      </c>
      <c r="EC451" t="str">
        <f>""</f>
        <v/>
      </c>
      <c r="ED451" t="str">
        <f>""</f>
        <v/>
      </c>
      <c r="EE451" t="str">
        <f>""</f>
        <v/>
      </c>
      <c r="EF451" t="str">
        <f>""</f>
        <v/>
      </c>
      <c r="EG451" t="str">
        <f>""</f>
        <v/>
      </c>
      <c r="EH451" t="str">
        <f>""</f>
        <v/>
      </c>
      <c r="EI451" t="str">
        <f>""</f>
        <v/>
      </c>
      <c r="EJ451" t="str">
        <f>""</f>
        <v/>
      </c>
      <c r="EK451" t="str">
        <f>""</f>
        <v/>
      </c>
      <c r="EL451" t="str">
        <f>""</f>
        <v/>
      </c>
      <c r="EM451" t="str">
        <f>""</f>
        <v/>
      </c>
      <c r="EN451" t="str">
        <f>""</f>
        <v/>
      </c>
      <c r="EO451" t="str">
        <f>""</f>
        <v/>
      </c>
      <c r="EP451" t="str">
        <f>""</f>
        <v/>
      </c>
      <c r="EQ451" t="str">
        <f>""</f>
        <v/>
      </c>
      <c r="ER451" t="str">
        <f>""</f>
        <v/>
      </c>
      <c r="ES451" t="str">
        <f>""</f>
        <v/>
      </c>
      <c r="ET451" t="str">
        <f>""</f>
        <v/>
      </c>
      <c r="EU451" t="str">
        <f>""</f>
        <v/>
      </c>
      <c r="EV451" t="str">
        <f>""</f>
        <v/>
      </c>
      <c r="EW451" t="str">
        <f>""</f>
        <v/>
      </c>
      <c r="EX451" t="str">
        <f>""</f>
        <v/>
      </c>
      <c r="EY451" t="str">
        <f>""</f>
        <v/>
      </c>
      <c r="EZ451" t="str">
        <f>""</f>
        <v/>
      </c>
      <c r="FA451" t="str">
        <f>""</f>
        <v/>
      </c>
      <c r="FB451" t="str">
        <f>""</f>
        <v/>
      </c>
      <c r="FC451" t="str">
        <f>""</f>
        <v/>
      </c>
      <c r="FD451" t="str">
        <f>""</f>
        <v/>
      </c>
      <c r="FE451" t="str">
        <f>""</f>
        <v/>
      </c>
      <c r="FF451" t="str">
        <f>""</f>
        <v/>
      </c>
      <c r="FG451" t="str">
        <f>""</f>
        <v/>
      </c>
      <c r="FH451" t="str">
        <f>""</f>
        <v/>
      </c>
      <c r="FI451" t="str">
        <f>""</f>
        <v/>
      </c>
      <c r="FJ451" t="str">
        <f>""</f>
        <v/>
      </c>
      <c r="FK451" t="str">
        <f>""</f>
        <v/>
      </c>
      <c r="FL451" t="str">
        <f>""</f>
        <v/>
      </c>
      <c r="FM451" t="str">
        <f>""</f>
        <v/>
      </c>
      <c r="FN451" t="str">
        <f>""</f>
        <v/>
      </c>
      <c r="FO451" t="str">
        <f>""</f>
        <v/>
      </c>
      <c r="FP451" t="str">
        <f>""</f>
        <v/>
      </c>
      <c r="FQ451" t="str">
        <f>""</f>
        <v/>
      </c>
    </row>
    <row r="452" spans="1:173">
      <c r="A452" t="str">
        <f>"BDH snapshot result1"</f>
        <v>BDH snapshot result1</v>
      </c>
      <c r="CL452" t="str">
        <f>""</f>
        <v/>
      </c>
      <c r="CM452" t="str">
        <f>""</f>
        <v/>
      </c>
      <c r="CN452" t="str">
        <f>""</f>
        <v/>
      </c>
      <c r="CO452" t="str">
        <f>""</f>
        <v/>
      </c>
      <c r="CP452" t="str">
        <f>""</f>
        <v/>
      </c>
      <c r="CQ452" t="str">
        <f>""</f>
        <v/>
      </c>
      <c r="CR452" t="str">
        <f>""</f>
        <v/>
      </c>
      <c r="CS452" t="str">
        <f>""</f>
        <v/>
      </c>
      <c r="CT452" t="str">
        <f>""</f>
        <v/>
      </c>
      <c r="CU452" t="str">
        <f>""</f>
        <v/>
      </c>
      <c r="CV452" t="str">
        <f>""</f>
        <v/>
      </c>
      <c r="CW452" t="str">
        <f>""</f>
        <v/>
      </c>
      <c r="CX452" t="str">
        <f>""</f>
        <v/>
      </c>
      <c r="CY452" t="str">
        <f>""</f>
        <v/>
      </c>
      <c r="CZ452" t="str">
        <f>""</f>
        <v/>
      </c>
      <c r="DA452" t="str">
        <f>""</f>
        <v/>
      </c>
      <c r="DB452" t="str">
        <f>""</f>
        <v/>
      </c>
      <c r="DC452" t="str">
        <f>""</f>
        <v/>
      </c>
      <c r="DD452" t="str">
        <f>""</f>
        <v/>
      </c>
      <c r="DE452" t="str">
        <f>""</f>
        <v/>
      </c>
      <c r="DF452" t="str">
        <f>""</f>
        <v/>
      </c>
      <c r="DG452" t="str">
        <f>""</f>
        <v/>
      </c>
      <c r="DH452" t="str">
        <f>""</f>
        <v/>
      </c>
      <c r="DI452" t="str">
        <f>""</f>
        <v/>
      </c>
      <c r="DJ452" t="str">
        <f>""</f>
        <v/>
      </c>
      <c r="DK452" t="str">
        <f>""</f>
        <v/>
      </c>
      <c r="DL452" t="str">
        <f>""</f>
        <v/>
      </c>
      <c r="DM452" t="str">
        <f>""</f>
        <v/>
      </c>
      <c r="DN452" t="str">
        <f>""</f>
        <v/>
      </c>
      <c r="DO452" t="str">
        <f>""</f>
        <v/>
      </c>
      <c r="DP452" t="str">
        <f>""</f>
        <v/>
      </c>
      <c r="DQ452" t="str">
        <f>""</f>
        <v/>
      </c>
      <c r="DR452" t="str">
        <f>""</f>
        <v/>
      </c>
      <c r="DS452" t="str">
        <f>""</f>
        <v/>
      </c>
      <c r="DT452" t="str">
        <f>""</f>
        <v/>
      </c>
      <c r="DU452" t="str">
        <f>""</f>
        <v/>
      </c>
      <c r="DV452" t="str">
        <f>""</f>
        <v/>
      </c>
      <c r="DW452" t="str">
        <f>""</f>
        <v/>
      </c>
      <c r="DX452" t="str">
        <f>""</f>
        <v/>
      </c>
      <c r="DY452" t="str">
        <f>""</f>
        <v/>
      </c>
      <c r="DZ452" t="str">
        <f>""</f>
        <v/>
      </c>
      <c r="EA452" t="str">
        <f>""</f>
        <v/>
      </c>
      <c r="EB452" t="str">
        <f>""</f>
        <v/>
      </c>
      <c r="EC452" t="str">
        <f>""</f>
        <v/>
      </c>
      <c r="ED452" t="str">
        <f>""</f>
        <v/>
      </c>
      <c r="EE452" t="str">
        <f>""</f>
        <v/>
      </c>
      <c r="EF452" t="str">
        <f>""</f>
        <v/>
      </c>
      <c r="EG452" t="str">
        <f>""</f>
        <v/>
      </c>
      <c r="EH452" t="str">
        <f>""</f>
        <v/>
      </c>
      <c r="EI452" t="str">
        <f>""</f>
        <v/>
      </c>
      <c r="EJ452" t="str">
        <f>""</f>
        <v/>
      </c>
      <c r="EK452" t="str">
        <f>""</f>
        <v/>
      </c>
      <c r="EL452" t="str">
        <f>""</f>
        <v/>
      </c>
      <c r="EM452" t="str">
        <f>""</f>
        <v/>
      </c>
      <c r="EN452" t="str">
        <f>""</f>
        <v/>
      </c>
      <c r="EO452" t="str">
        <f>""</f>
        <v/>
      </c>
      <c r="EP452" t="str">
        <f>""</f>
        <v/>
      </c>
      <c r="EQ452" t="str">
        <f>""</f>
        <v/>
      </c>
      <c r="ER452" t="str">
        <f>""</f>
        <v/>
      </c>
      <c r="ES452" t="str">
        <f>""</f>
        <v/>
      </c>
      <c r="ET452" t="str">
        <f>""</f>
        <v/>
      </c>
      <c r="EU452" t="str">
        <f>""</f>
        <v/>
      </c>
      <c r="EV452" t="str">
        <f>""</f>
        <v/>
      </c>
      <c r="EW452" t="str">
        <f>""</f>
        <v/>
      </c>
      <c r="EX452" t="str">
        <f>""</f>
        <v/>
      </c>
      <c r="EY452" t="str">
        <f>""</f>
        <v/>
      </c>
      <c r="EZ452" t="str">
        <f>""</f>
        <v/>
      </c>
      <c r="FA452" t="str">
        <f>""</f>
        <v/>
      </c>
      <c r="FB452" t="str">
        <f>""</f>
        <v/>
      </c>
      <c r="FC452" t="str">
        <f>""</f>
        <v/>
      </c>
      <c r="FD452" t="str">
        <f>""</f>
        <v/>
      </c>
      <c r="FE452" t="str">
        <f>""</f>
        <v/>
      </c>
      <c r="FF452" t="str">
        <f>""</f>
        <v/>
      </c>
      <c r="FG452" t="str">
        <f>""</f>
        <v/>
      </c>
      <c r="FH452" t="str">
        <f>""</f>
        <v/>
      </c>
      <c r="FI452" t="str">
        <f>""</f>
        <v/>
      </c>
      <c r="FJ452" t="str">
        <f>""</f>
        <v/>
      </c>
      <c r="FK452" t="str">
        <f>""</f>
        <v/>
      </c>
      <c r="FL452" t="str">
        <f>""</f>
        <v/>
      </c>
      <c r="FM452" t="str">
        <f>""</f>
        <v/>
      </c>
      <c r="FN452" t="str">
        <f>""</f>
        <v/>
      </c>
      <c r="FO452" t="str">
        <f>""</f>
        <v/>
      </c>
      <c r="FP452" t="str">
        <f>""</f>
        <v/>
      </c>
      <c r="FQ452" t="str">
        <f>""</f>
        <v/>
      </c>
    </row>
    <row r="453" spans="1:173">
      <c r="A453" t="str">
        <f>"BDH snapshot header2"</f>
        <v>BDH snapshot header2</v>
      </c>
      <c r="B453">
        <f>IF(OR(ISERROR($C$453),ISBLANK($C$453),ISNUMBER(SEARCH("N/A",$C$453) ),ISERROR($C$454),ISBLANK($C$454)),0,1)</f>
        <v>0</v>
      </c>
      <c r="C453" t="str">
        <f>BDH($B$6,$C$6,$B$250,$B$447,"PER=CM","Dts=S","DtFmt=FI", "rows=2","Dir=H","Points=84","Sort=R","Days=A","Fill=B","FX=USD" )</f>
        <v>#N/A Authorization</v>
      </c>
      <c r="CL453" t="str">
        <f>""</f>
        <v/>
      </c>
      <c r="CM453" t="str">
        <f>""</f>
        <v/>
      </c>
      <c r="CN453" t="str">
        <f>""</f>
        <v/>
      </c>
      <c r="CO453" t="str">
        <f>""</f>
        <v/>
      </c>
      <c r="CP453" t="str">
        <f>""</f>
        <v/>
      </c>
      <c r="CQ453" t="str">
        <f>""</f>
        <v/>
      </c>
      <c r="CR453" t="str">
        <f>""</f>
        <v/>
      </c>
      <c r="CS453" t="str">
        <f>""</f>
        <v/>
      </c>
      <c r="CT453" t="str">
        <f>""</f>
        <v/>
      </c>
      <c r="CU453" t="str">
        <f>""</f>
        <v/>
      </c>
      <c r="CV453" t="str">
        <f>""</f>
        <v/>
      </c>
      <c r="CW453" t="str">
        <f>""</f>
        <v/>
      </c>
      <c r="CX453" t="str">
        <f>""</f>
        <v/>
      </c>
      <c r="CY453" t="str">
        <f>""</f>
        <v/>
      </c>
      <c r="CZ453" t="str">
        <f>""</f>
        <v/>
      </c>
      <c r="DA453" t="str">
        <f>""</f>
        <v/>
      </c>
      <c r="DB453" t="str">
        <f>""</f>
        <v/>
      </c>
      <c r="DC453" t="str">
        <f>""</f>
        <v/>
      </c>
      <c r="DD453" t="str">
        <f>""</f>
        <v/>
      </c>
      <c r="DE453" t="str">
        <f>""</f>
        <v/>
      </c>
      <c r="DF453" t="str">
        <f>""</f>
        <v/>
      </c>
      <c r="DG453" t="str">
        <f>""</f>
        <v/>
      </c>
      <c r="DH453" t="str">
        <f>""</f>
        <v/>
      </c>
      <c r="DI453" t="str">
        <f>""</f>
        <v/>
      </c>
      <c r="DJ453" t="str">
        <f>""</f>
        <v/>
      </c>
      <c r="DK453" t="str">
        <f>""</f>
        <v/>
      </c>
      <c r="DL453" t="str">
        <f>""</f>
        <v/>
      </c>
      <c r="DM453" t="str">
        <f>""</f>
        <v/>
      </c>
      <c r="DN453" t="str">
        <f>""</f>
        <v/>
      </c>
      <c r="DO453" t="str">
        <f>""</f>
        <v/>
      </c>
      <c r="DP453" t="str">
        <f>""</f>
        <v/>
      </c>
      <c r="DQ453" t="str">
        <f>""</f>
        <v/>
      </c>
      <c r="DR453" t="str">
        <f>""</f>
        <v/>
      </c>
      <c r="DS453" t="str">
        <f>""</f>
        <v/>
      </c>
      <c r="DT453" t="str">
        <f>""</f>
        <v/>
      </c>
      <c r="DU453" t="str">
        <f>""</f>
        <v/>
      </c>
      <c r="DV453" t="str">
        <f>""</f>
        <v/>
      </c>
      <c r="DW453" t="str">
        <f>""</f>
        <v/>
      </c>
      <c r="DX453" t="str">
        <f>""</f>
        <v/>
      </c>
      <c r="DY453" t="str">
        <f>""</f>
        <v/>
      </c>
      <c r="DZ453" t="str">
        <f>""</f>
        <v/>
      </c>
      <c r="EA453" t="str">
        <f>""</f>
        <v/>
      </c>
      <c r="EB453" t="str">
        <f>""</f>
        <v/>
      </c>
      <c r="EC453" t="str">
        <f>""</f>
        <v/>
      </c>
      <c r="ED453" t="str">
        <f>""</f>
        <v/>
      </c>
      <c r="EE453" t="str">
        <f>""</f>
        <v/>
      </c>
      <c r="EF453" t="str">
        <f>""</f>
        <v/>
      </c>
      <c r="EG453" t="str">
        <f>""</f>
        <v/>
      </c>
      <c r="EH453" t="str">
        <f>""</f>
        <v/>
      </c>
      <c r="EI453" t="str">
        <f>""</f>
        <v/>
      </c>
      <c r="EJ453" t="str">
        <f>""</f>
        <v/>
      </c>
      <c r="EK453" t="str">
        <f>""</f>
        <v/>
      </c>
      <c r="EL453" t="str">
        <f>""</f>
        <v/>
      </c>
      <c r="EM453" t="str">
        <f>""</f>
        <v/>
      </c>
      <c r="EN453" t="str">
        <f>""</f>
        <v/>
      </c>
      <c r="EO453" t="str">
        <f>""</f>
        <v/>
      </c>
      <c r="EP453" t="str">
        <f>""</f>
        <v/>
      </c>
      <c r="EQ453" t="str">
        <f>""</f>
        <v/>
      </c>
      <c r="ER453" t="str">
        <f>""</f>
        <v/>
      </c>
      <c r="ES453" t="str">
        <f>""</f>
        <v/>
      </c>
      <c r="ET453" t="str">
        <f>""</f>
        <v/>
      </c>
      <c r="EU453" t="str">
        <f>""</f>
        <v/>
      </c>
      <c r="EV453" t="str">
        <f>""</f>
        <v/>
      </c>
      <c r="EW453" t="str">
        <f>""</f>
        <v/>
      </c>
      <c r="EX453" t="str">
        <f>""</f>
        <v/>
      </c>
      <c r="EY453" t="str">
        <f>""</f>
        <v/>
      </c>
      <c r="EZ453" t="str">
        <f>""</f>
        <v/>
      </c>
      <c r="FA453" t="str">
        <f>""</f>
        <v/>
      </c>
      <c r="FB453" t="str">
        <f>""</f>
        <v/>
      </c>
      <c r="FC453" t="str">
        <f>""</f>
        <v/>
      </c>
      <c r="FD453" t="str">
        <f>""</f>
        <v/>
      </c>
      <c r="FE453" t="str">
        <f>""</f>
        <v/>
      </c>
      <c r="FF453" t="str">
        <f>""</f>
        <v/>
      </c>
      <c r="FG453" t="str">
        <f>""</f>
        <v/>
      </c>
      <c r="FH453" t="str">
        <f>""</f>
        <v/>
      </c>
      <c r="FI453" t="str">
        <f>""</f>
        <v/>
      </c>
      <c r="FJ453" t="str">
        <f>""</f>
        <v/>
      </c>
      <c r="FK453" t="str">
        <f>""</f>
        <v/>
      </c>
      <c r="FL453" t="str">
        <f>""</f>
        <v/>
      </c>
      <c r="FM453" t="str">
        <f>""</f>
        <v/>
      </c>
      <c r="FN453" t="str">
        <f>""</f>
        <v/>
      </c>
      <c r="FO453" t="str">
        <f>""</f>
        <v/>
      </c>
      <c r="FP453" t="str">
        <f>""</f>
        <v/>
      </c>
      <c r="FQ453" t="str">
        <f>""</f>
        <v/>
      </c>
    </row>
    <row r="454" spans="1:173">
      <c r="A454" t="str">
        <f>"BDH snapshot result2"</f>
        <v>BDH snapshot result2</v>
      </c>
      <c r="CL454" t="str">
        <f>""</f>
        <v/>
      </c>
      <c r="CM454" t="str">
        <f>""</f>
        <v/>
      </c>
      <c r="CN454" t="str">
        <f>""</f>
        <v/>
      </c>
      <c r="CO454" t="str">
        <f>""</f>
        <v/>
      </c>
      <c r="CP454" t="str">
        <f>""</f>
        <v/>
      </c>
      <c r="CQ454" t="str">
        <f>""</f>
        <v/>
      </c>
      <c r="CR454" t="str">
        <f>""</f>
        <v/>
      </c>
      <c r="CS454" t="str">
        <f>""</f>
        <v/>
      </c>
      <c r="CT454" t="str">
        <f>""</f>
        <v/>
      </c>
      <c r="CU454" t="str">
        <f>""</f>
        <v/>
      </c>
      <c r="CV454" t="str">
        <f>""</f>
        <v/>
      </c>
      <c r="CW454" t="str">
        <f>""</f>
        <v/>
      </c>
      <c r="CX454" t="str">
        <f>""</f>
        <v/>
      </c>
      <c r="CY454" t="str">
        <f>""</f>
        <v/>
      </c>
      <c r="CZ454" t="str">
        <f>""</f>
        <v/>
      </c>
      <c r="DA454" t="str">
        <f>""</f>
        <v/>
      </c>
      <c r="DB454" t="str">
        <f>""</f>
        <v/>
      </c>
      <c r="DC454" t="str">
        <f>""</f>
        <v/>
      </c>
      <c r="DD454" t="str">
        <f>""</f>
        <v/>
      </c>
      <c r="DE454" t="str">
        <f>""</f>
        <v/>
      </c>
      <c r="DF454" t="str">
        <f>""</f>
        <v/>
      </c>
      <c r="DG454" t="str">
        <f>""</f>
        <v/>
      </c>
      <c r="DH454" t="str">
        <f>""</f>
        <v/>
      </c>
      <c r="DI454" t="str">
        <f>""</f>
        <v/>
      </c>
      <c r="DJ454" t="str">
        <f>""</f>
        <v/>
      </c>
      <c r="DK454" t="str">
        <f>""</f>
        <v/>
      </c>
      <c r="DL454" t="str">
        <f>""</f>
        <v/>
      </c>
      <c r="DM454" t="str">
        <f>""</f>
        <v/>
      </c>
      <c r="DN454" t="str">
        <f>""</f>
        <v/>
      </c>
      <c r="DO454" t="str">
        <f>""</f>
        <v/>
      </c>
      <c r="DP454" t="str">
        <f>""</f>
        <v/>
      </c>
      <c r="DQ454" t="str">
        <f>""</f>
        <v/>
      </c>
      <c r="DR454" t="str">
        <f>""</f>
        <v/>
      </c>
      <c r="DS454" t="str">
        <f>""</f>
        <v/>
      </c>
      <c r="DT454" t="str">
        <f>""</f>
        <v/>
      </c>
      <c r="DU454" t="str">
        <f>""</f>
        <v/>
      </c>
      <c r="DV454" t="str">
        <f>""</f>
        <v/>
      </c>
      <c r="DW454" t="str">
        <f>""</f>
        <v/>
      </c>
      <c r="DX454" t="str">
        <f>""</f>
        <v/>
      </c>
      <c r="DY454" t="str">
        <f>""</f>
        <v/>
      </c>
      <c r="DZ454" t="str">
        <f>""</f>
        <v/>
      </c>
      <c r="EA454" t="str">
        <f>""</f>
        <v/>
      </c>
      <c r="EB454" t="str">
        <f>""</f>
        <v/>
      </c>
      <c r="EC454" t="str">
        <f>""</f>
        <v/>
      </c>
      <c r="ED454" t="str">
        <f>""</f>
        <v/>
      </c>
      <c r="EE454" t="str">
        <f>""</f>
        <v/>
      </c>
      <c r="EF454" t="str">
        <f>""</f>
        <v/>
      </c>
      <c r="EG454" t="str">
        <f>""</f>
        <v/>
      </c>
      <c r="EH454" t="str">
        <f>""</f>
        <v/>
      </c>
      <c r="EI454" t="str">
        <f>""</f>
        <v/>
      </c>
      <c r="EJ454" t="str">
        <f>""</f>
        <v/>
      </c>
      <c r="EK454" t="str">
        <f>""</f>
        <v/>
      </c>
      <c r="EL454" t="str">
        <f>""</f>
        <v/>
      </c>
      <c r="EM454" t="str">
        <f>""</f>
        <v/>
      </c>
      <c r="EN454" t="str">
        <f>""</f>
        <v/>
      </c>
      <c r="EO454" t="str">
        <f>""</f>
        <v/>
      </c>
      <c r="EP454" t="str">
        <f>""</f>
        <v/>
      </c>
      <c r="EQ454" t="str">
        <f>""</f>
        <v/>
      </c>
      <c r="ER454" t="str">
        <f>""</f>
        <v/>
      </c>
      <c r="ES454" t="str">
        <f>""</f>
        <v/>
      </c>
      <c r="ET454" t="str">
        <f>""</f>
        <v/>
      </c>
      <c r="EU454" t="str">
        <f>""</f>
        <v/>
      </c>
      <c r="EV454" t="str">
        <f>""</f>
        <v/>
      </c>
      <c r="EW454" t="str">
        <f>""</f>
        <v/>
      </c>
      <c r="EX454" t="str">
        <f>""</f>
        <v/>
      </c>
      <c r="EY454" t="str">
        <f>""</f>
        <v/>
      </c>
      <c r="EZ454" t="str">
        <f>""</f>
        <v/>
      </c>
      <c r="FA454" t="str">
        <f>""</f>
        <v/>
      </c>
      <c r="FB454" t="str">
        <f>""</f>
        <v/>
      </c>
      <c r="FC454" t="str">
        <f>""</f>
        <v/>
      </c>
      <c r="FD454" t="str">
        <f>""</f>
        <v/>
      </c>
      <c r="FE454" t="str">
        <f>""</f>
        <v/>
      </c>
      <c r="FF454" t="str">
        <f>""</f>
        <v/>
      </c>
      <c r="FG454" t="str">
        <f>""</f>
        <v/>
      </c>
      <c r="FH454" t="str">
        <f>""</f>
        <v/>
      </c>
      <c r="FI454" t="str">
        <f>""</f>
        <v/>
      </c>
      <c r="FJ454" t="str">
        <f>""</f>
        <v/>
      </c>
      <c r="FK454" t="str">
        <f>""</f>
        <v/>
      </c>
      <c r="FL454" t="str">
        <f>""</f>
        <v/>
      </c>
      <c r="FM454" t="str">
        <f>""</f>
        <v/>
      </c>
      <c r="FN454" t="str">
        <f>""</f>
        <v/>
      </c>
      <c r="FO454" t="str">
        <f>""</f>
        <v/>
      </c>
      <c r="FP454" t="str">
        <f>""</f>
        <v/>
      </c>
      <c r="FQ454" t="str">
        <f>""</f>
        <v/>
      </c>
    </row>
    <row r="455" spans="1:173">
      <c r="A455" t="str">
        <f>"BDH snapshot"</f>
        <v>BDH snapshot</v>
      </c>
      <c r="B455">
        <f>IF($B$449&gt;=1,$B$449,IF($B$451&gt;=1,$B$451,IF($B$453&gt;=1,$B$453,$B$448)))</f>
        <v>2</v>
      </c>
      <c r="C455" t="str">
        <f>IF($B$449&gt;=1,$C$449,IF($B$451&gt;=1,$C$451,IF($B$453&gt;=1,$C$453,$C$448)))</f>
        <v>3/2018</v>
      </c>
      <c r="D455" t="str">
        <f>IF($B$449&gt;=1,$D$449,IF($B$451&gt;=1,$D$451,IF($B$453&gt;=1,$D$453,$D$448)))</f>
        <v>2/2018</v>
      </c>
      <c r="E455" t="str">
        <f>IF($B$449&gt;=1,$E$449,IF($B$451&gt;=1,$E$451,IF($B$453&gt;=1,$E$453,$E$448)))</f>
        <v>1/2018</v>
      </c>
      <c r="F455" t="str">
        <f>IF($B$449&gt;=1,$F$449,IF($B$451&gt;=1,$F$451,IF($B$453&gt;=1,$F$453,$F$448)))</f>
        <v>12/2017</v>
      </c>
      <c r="G455" t="str">
        <f>IF($B$449&gt;=1,$G$449,IF($B$451&gt;=1,$G$451,IF($B$453&gt;=1,$G$453,$G$448)))</f>
        <v>11/2017</v>
      </c>
      <c r="H455" t="str">
        <f>IF($B$449&gt;=1,$H$449,IF($B$451&gt;=1,$H$451,IF($B$453&gt;=1,$H$453,$H$448)))</f>
        <v>10/2017</v>
      </c>
      <c r="I455" t="str">
        <f>IF($B$449&gt;=1,$I$449,IF($B$451&gt;=1,$I$451,IF($B$453&gt;=1,$I$453,$I$448)))</f>
        <v>9/2017</v>
      </c>
      <c r="J455" t="str">
        <f>IF($B$449&gt;=1,$J$449,IF($B$451&gt;=1,$J$451,IF($B$453&gt;=1,$J$453,$J$448)))</f>
        <v>8/2017</v>
      </c>
      <c r="K455" t="str">
        <f>IF($B$449&gt;=1,$K$449,IF($B$451&gt;=1,$K$451,IF($B$453&gt;=1,$K$453,$K$448)))</f>
        <v>7/2017</v>
      </c>
      <c r="L455" t="str">
        <f>IF($B$449&gt;=1,$L$449,IF($B$451&gt;=1,$L$451,IF($B$453&gt;=1,$L$453,$L$448)))</f>
        <v>6/2017</v>
      </c>
      <c r="M455" t="str">
        <f>IF($B$449&gt;=1,$M$449,IF($B$451&gt;=1,$M$451,IF($B$453&gt;=1,$M$453,$M$448)))</f>
        <v>5/2017</v>
      </c>
      <c r="N455" t="str">
        <f>IF($B$449&gt;=1,$N$449,IF($B$451&gt;=1,$N$451,IF($B$453&gt;=1,$N$453,$N$448)))</f>
        <v>4/2017</v>
      </c>
      <c r="O455" t="str">
        <f>IF($B$449&gt;=1,$O$449,IF($B$451&gt;=1,$O$451,IF($B$453&gt;=1,$O$453,$O$448)))</f>
        <v>3/2017</v>
      </c>
      <c r="P455" t="str">
        <f>IF($B$449&gt;=1,$P$449,IF($B$451&gt;=1,$P$451,IF($B$453&gt;=1,$P$453,$P$448)))</f>
        <v>2/2017</v>
      </c>
      <c r="Q455" t="str">
        <f>IF($B$449&gt;=1,$Q$449,IF($B$451&gt;=1,$Q$451,IF($B$453&gt;=1,$Q$453,$Q$448)))</f>
        <v>1/2017</v>
      </c>
      <c r="R455" t="str">
        <f>IF($B$449&gt;=1,$R$449,IF($B$451&gt;=1,$R$451,IF($B$453&gt;=1,$R$453,$R$448)))</f>
        <v>12/2016</v>
      </c>
      <c r="S455" t="str">
        <f>IF($B$449&gt;=1,$S$449,IF($B$451&gt;=1,$S$451,IF($B$453&gt;=1,$S$453,$S$448)))</f>
        <v>11/2016</v>
      </c>
      <c r="T455" t="str">
        <f>IF($B$449&gt;=1,$T$449,IF($B$451&gt;=1,$T$451,IF($B$453&gt;=1,$T$453,$T$448)))</f>
        <v>10/2016</v>
      </c>
      <c r="U455" t="str">
        <f>IF($B$449&gt;=1,$U$449,IF($B$451&gt;=1,$U$451,IF($B$453&gt;=1,$U$453,$U$448)))</f>
        <v>9/2016</v>
      </c>
      <c r="V455" t="str">
        <f>IF($B$449&gt;=1,$V$449,IF($B$451&gt;=1,$V$451,IF($B$453&gt;=1,$V$453,$V$448)))</f>
        <v>8/2016</v>
      </c>
      <c r="W455" t="str">
        <f>IF($B$449&gt;=1,$W$449,IF($B$451&gt;=1,$W$451,IF($B$453&gt;=1,$W$453,$W$448)))</f>
        <v>7/2016</v>
      </c>
      <c r="X455" t="str">
        <f>IF($B$449&gt;=1,$X$449,IF($B$451&gt;=1,$X$451,IF($B$453&gt;=1,$X$453,$X$448)))</f>
        <v>6/2016</v>
      </c>
      <c r="Y455" t="str">
        <f>IF($B$449&gt;=1,$Y$449,IF($B$451&gt;=1,$Y$451,IF($B$453&gt;=1,$Y$453,$Y$448)))</f>
        <v>5/2016</v>
      </c>
      <c r="Z455" t="str">
        <f>IF($B$449&gt;=1,$Z$449,IF($B$451&gt;=1,$Z$451,IF($B$453&gt;=1,$Z$453,$Z$448)))</f>
        <v>4/2016</v>
      </c>
      <c r="AA455" t="str">
        <f>IF($B$449&gt;=1,$AA$449,IF($B$451&gt;=1,$AA$451,IF($B$453&gt;=1,$AA$453,$AA$448)))</f>
        <v>3/2016</v>
      </c>
      <c r="AB455" t="str">
        <f>IF($B$449&gt;=1,$AB$449,IF($B$451&gt;=1,$AB$451,IF($B$453&gt;=1,$AB$453,$AB$448)))</f>
        <v>2/2016</v>
      </c>
      <c r="AC455" t="str">
        <f>IF($B$449&gt;=1,$AC$449,IF($B$451&gt;=1,$AC$451,IF($B$453&gt;=1,$AC$453,$AC$448)))</f>
        <v>1/2016</v>
      </c>
      <c r="AD455" t="str">
        <f>IF($B$449&gt;=1,$AD$449,IF($B$451&gt;=1,$AD$451,IF($B$453&gt;=1,$AD$453,$AD$448)))</f>
        <v>12/2015</v>
      </c>
      <c r="AE455" t="str">
        <f>IF($B$449&gt;=1,$AE$449,IF($B$451&gt;=1,$AE$451,IF($B$453&gt;=1,$AE$453,$AE$448)))</f>
        <v>11/2015</v>
      </c>
      <c r="AF455" t="str">
        <f>IF($B$449&gt;=1,$AF$449,IF($B$451&gt;=1,$AF$451,IF($B$453&gt;=1,$AF$453,$AF$448)))</f>
        <v>10/2015</v>
      </c>
      <c r="AG455" t="str">
        <f>IF($B$449&gt;=1,$AG$449,IF($B$451&gt;=1,$AG$451,IF($B$453&gt;=1,$AG$453,$AG$448)))</f>
        <v>9/2015</v>
      </c>
      <c r="AH455" t="str">
        <f>IF($B$449&gt;=1,$AH$449,IF($B$451&gt;=1,$AH$451,IF($B$453&gt;=1,$AH$453,$AH$448)))</f>
        <v>8/2015</v>
      </c>
      <c r="AI455" t="str">
        <f>IF($B$449&gt;=1,$AI$449,IF($B$451&gt;=1,$AI$451,IF($B$453&gt;=1,$AI$453,$AI$448)))</f>
        <v>7/2015</v>
      </c>
      <c r="AJ455" t="str">
        <f>IF($B$449&gt;=1,$AJ$449,IF($B$451&gt;=1,$AJ$451,IF($B$453&gt;=1,$AJ$453,$AJ$448)))</f>
        <v>6/2015</v>
      </c>
      <c r="AK455" t="str">
        <f>IF($B$449&gt;=1,$AK$449,IF($B$451&gt;=1,$AK$451,IF($B$453&gt;=1,$AK$453,$AK$448)))</f>
        <v>5/2015</v>
      </c>
      <c r="AL455" t="str">
        <f>IF($B$449&gt;=1,$AL$449,IF($B$451&gt;=1,$AL$451,IF($B$453&gt;=1,$AL$453,$AL$448)))</f>
        <v>4/2015</v>
      </c>
      <c r="AM455" t="str">
        <f>IF($B$449&gt;=1,$AM$449,IF($B$451&gt;=1,$AM$451,IF($B$453&gt;=1,$AM$453,$AM$448)))</f>
        <v>3/2015</v>
      </c>
      <c r="AN455" t="str">
        <f>IF($B$449&gt;=1,$AN$449,IF($B$451&gt;=1,$AN$451,IF($B$453&gt;=1,$AN$453,$AN$448)))</f>
        <v>2/2015</v>
      </c>
      <c r="AO455" t="str">
        <f>IF($B$449&gt;=1,$AO$449,IF($B$451&gt;=1,$AO$451,IF($B$453&gt;=1,$AO$453,$AO$448)))</f>
        <v>1/2015</v>
      </c>
      <c r="AP455" t="str">
        <f>IF($B$449&gt;=1,$AP$449,IF($B$451&gt;=1,$AP$451,IF($B$453&gt;=1,$AP$453,$AP$448)))</f>
        <v>12/2014</v>
      </c>
      <c r="AQ455" t="str">
        <f>IF($B$449&gt;=1,$AQ$449,IF($B$451&gt;=1,$AQ$451,IF($B$453&gt;=1,$AQ$453,$AQ$448)))</f>
        <v>11/2014</v>
      </c>
      <c r="AR455" t="str">
        <f>IF($B$449&gt;=1,$AR$449,IF($B$451&gt;=1,$AR$451,IF($B$453&gt;=1,$AR$453,$AR$448)))</f>
        <v>10/2014</v>
      </c>
      <c r="AS455" t="str">
        <f>IF($B$449&gt;=1,$AS$449,IF($B$451&gt;=1,$AS$451,IF($B$453&gt;=1,$AS$453,$AS$448)))</f>
        <v>9/2014</v>
      </c>
      <c r="AT455" t="str">
        <f>IF($B$449&gt;=1,$AT$449,IF($B$451&gt;=1,$AT$451,IF($B$453&gt;=1,$AT$453,$AT$448)))</f>
        <v>8/2014</v>
      </c>
      <c r="AU455" t="str">
        <f>IF($B$449&gt;=1,$AU$449,IF($B$451&gt;=1,$AU$451,IF($B$453&gt;=1,$AU$453,$AU$448)))</f>
        <v>7/2014</v>
      </c>
      <c r="AV455" t="str">
        <f>IF($B$449&gt;=1,$AV$449,IF($B$451&gt;=1,$AV$451,IF($B$453&gt;=1,$AV$453,$AV$448)))</f>
        <v>6/2014</v>
      </c>
      <c r="AW455" t="str">
        <f>IF($B$449&gt;=1,$AW$449,IF($B$451&gt;=1,$AW$451,IF($B$453&gt;=1,$AW$453,$AW$448)))</f>
        <v>5/2014</v>
      </c>
      <c r="AX455" t="str">
        <f>IF($B$449&gt;=1,$AX$449,IF($B$451&gt;=1,$AX$451,IF($B$453&gt;=1,$AX$453,$AX$448)))</f>
        <v>4/2014</v>
      </c>
      <c r="AY455" t="str">
        <f>IF($B$449&gt;=1,$AY$449,IF($B$451&gt;=1,$AY$451,IF($B$453&gt;=1,$AY$453,$AY$448)))</f>
        <v>3/2014</v>
      </c>
      <c r="AZ455" t="str">
        <f>IF($B$449&gt;=1,$AZ$449,IF($B$451&gt;=1,$AZ$451,IF($B$453&gt;=1,$AZ$453,$AZ$448)))</f>
        <v>2/2014</v>
      </c>
      <c r="BA455" t="str">
        <f>IF($B$449&gt;=1,$BA$449,IF($B$451&gt;=1,$BA$451,IF($B$453&gt;=1,$BA$453,$BA$448)))</f>
        <v>1/2014</v>
      </c>
      <c r="BB455" t="str">
        <f>IF($B$449&gt;=1,$BB$449,IF($B$451&gt;=1,$BB$451,IF($B$453&gt;=1,$BB$453,$BB$448)))</f>
        <v>12/2013</v>
      </c>
      <c r="BC455" t="str">
        <f>IF($B$449&gt;=1,$BC$449,IF($B$451&gt;=1,$BC$451,IF($B$453&gt;=1,$BC$453,$BC$448)))</f>
        <v>11/2013</v>
      </c>
      <c r="BD455" t="str">
        <f>IF($B$449&gt;=1,$BD$449,IF($B$451&gt;=1,$BD$451,IF($B$453&gt;=1,$BD$453,$BD$448)))</f>
        <v>10/2013</v>
      </c>
      <c r="BE455" t="str">
        <f>IF($B$449&gt;=1,$BE$449,IF($B$451&gt;=1,$BE$451,IF($B$453&gt;=1,$BE$453,$BE$448)))</f>
        <v>9/2013</v>
      </c>
      <c r="BF455" t="str">
        <f>IF($B$449&gt;=1,$BF$449,IF($B$451&gt;=1,$BF$451,IF($B$453&gt;=1,$BF$453,$BF$448)))</f>
        <v>8/2013</v>
      </c>
      <c r="BG455" t="str">
        <f>IF($B$449&gt;=1,$BG$449,IF($B$451&gt;=1,$BG$451,IF($B$453&gt;=1,$BG$453,$BG$448)))</f>
        <v>7/2013</v>
      </c>
      <c r="BH455" t="str">
        <f>IF($B$449&gt;=1,$BH$449,IF($B$451&gt;=1,$BH$451,IF($B$453&gt;=1,$BH$453,$BH$448)))</f>
        <v>6/2013</v>
      </c>
      <c r="BI455" t="str">
        <f>IF($B$449&gt;=1,$BI$449,IF($B$451&gt;=1,$BI$451,IF($B$453&gt;=1,$BI$453,$BI$448)))</f>
        <v>5/2013</v>
      </c>
      <c r="BJ455" t="str">
        <f>IF($B$449&gt;=1,$BJ$449,IF($B$451&gt;=1,$BJ$451,IF($B$453&gt;=1,$BJ$453,$BJ$448)))</f>
        <v>4/2013</v>
      </c>
      <c r="BK455" t="str">
        <f>IF($B$449&gt;=1,$BK$449,IF($B$451&gt;=1,$BK$451,IF($B$453&gt;=1,$BK$453,$BK$448)))</f>
        <v>3/2013</v>
      </c>
      <c r="BL455" t="str">
        <f>IF($B$449&gt;=1,$BL$449,IF($B$451&gt;=1,$BL$451,IF($B$453&gt;=1,$BL$453,$BL$448)))</f>
        <v>2/2013</v>
      </c>
      <c r="BM455" t="str">
        <f>IF($B$449&gt;=1,$BM$449,IF($B$451&gt;=1,$BM$451,IF($B$453&gt;=1,$BM$453,$BM$448)))</f>
        <v>1/2013</v>
      </c>
      <c r="BN455" t="str">
        <f>IF($B$449&gt;=1,$BN$449,IF($B$451&gt;=1,$BN$451,IF($B$453&gt;=1,$BN$453,$BN$448)))</f>
        <v>12/2012</v>
      </c>
      <c r="BO455" t="str">
        <f>IF($B$449&gt;=1,$BO$449,IF($B$451&gt;=1,$BO$451,IF($B$453&gt;=1,$BO$453,$BO$448)))</f>
        <v>11/2012</v>
      </c>
      <c r="BP455" t="str">
        <f>IF($B$449&gt;=1,$BP$449,IF($B$451&gt;=1,$BP$451,IF($B$453&gt;=1,$BP$453,$BP$448)))</f>
        <v>10/2012</v>
      </c>
      <c r="BQ455" t="str">
        <f>IF($B$449&gt;=1,$BQ$449,IF($B$451&gt;=1,$BQ$451,IF($B$453&gt;=1,$BQ$453,$BQ$448)))</f>
        <v>9/2012</v>
      </c>
      <c r="BR455" t="str">
        <f>IF($B$449&gt;=1,$BR$449,IF($B$451&gt;=1,$BR$451,IF($B$453&gt;=1,$BR$453,$BR$448)))</f>
        <v>8/2012</v>
      </c>
      <c r="BS455" t="str">
        <f>IF($B$449&gt;=1,$BS$449,IF($B$451&gt;=1,$BS$451,IF($B$453&gt;=1,$BS$453,$BS$448)))</f>
        <v>7/2012</v>
      </c>
      <c r="BT455" t="str">
        <f>IF($B$449&gt;=1,$BT$449,IF($B$451&gt;=1,$BT$451,IF($B$453&gt;=1,$BT$453,$BT$448)))</f>
        <v>6/2012</v>
      </c>
      <c r="BU455" t="str">
        <f>IF($B$449&gt;=1,$BU$449,IF($B$451&gt;=1,$BU$451,IF($B$453&gt;=1,$BU$453,$BU$448)))</f>
        <v>5/2012</v>
      </c>
      <c r="BV455" t="str">
        <f>IF($B$449&gt;=1,$BV$449,IF($B$451&gt;=1,$BV$451,IF($B$453&gt;=1,$BV$453,$BV$448)))</f>
        <v>4/2012</v>
      </c>
      <c r="BW455" t="str">
        <f>IF($B$449&gt;=1,$BW$449,IF($B$451&gt;=1,$BW$451,IF($B$453&gt;=1,$BW$453,$BW$448)))</f>
        <v>3/2012</v>
      </c>
      <c r="BX455" t="str">
        <f>IF($B$449&gt;=1,$BX$449,IF($B$451&gt;=1,$BX$451,IF($B$453&gt;=1,$BX$453,$BX$448)))</f>
        <v>2/2012</v>
      </c>
      <c r="BY455" t="str">
        <f>IF($B$449&gt;=1,$BY$449,IF($B$451&gt;=1,$BY$451,IF($B$453&gt;=1,$BY$453,$BY$448)))</f>
        <v>1/2012</v>
      </c>
      <c r="BZ455" t="str">
        <f>IF($B$449&gt;=1,$BZ$449,IF($B$451&gt;=1,$BZ$451,IF($B$453&gt;=1,$BZ$453,$BZ$448)))</f>
        <v>12/2011</v>
      </c>
      <c r="CA455" t="str">
        <f>IF($B$449&gt;=1,$CA$449,IF($B$451&gt;=1,$CA$451,IF($B$453&gt;=1,$CA$453,$CA$448)))</f>
        <v>11/2011</v>
      </c>
      <c r="CB455" t="str">
        <f>IF($B$449&gt;=1,$CB$449,IF($B$451&gt;=1,$CB$451,IF($B$453&gt;=1,$CB$453,$CB$448)))</f>
        <v>10/2011</v>
      </c>
      <c r="CC455" t="str">
        <f>IF($B$449&gt;=1,$CC$449,IF($B$451&gt;=1,$CC$451,IF($B$453&gt;=1,$CC$453,$CC$448)))</f>
        <v>9/2011</v>
      </c>
      <c r="CD455" t="str">
        <f>IF($B$449&gt;=1,$CD$449,IF($B$451&gt;=1,$CD$451,IF($B$453&gt;=1,$CD$453,$CD$448)))</f>
        <v>8/2011</v>
      </c>
      <c r="CE455" t="str">
        <f>IF($B$449&gt;=1,$CE$449,IF($B$451&gt;=1,$CE$451,IF($B$453&gt;=1,$CE$453,$CE$448)))</f>
        <v>7/2011</v>
      </c>
      <c r="CF455" t="str">
        <f>IF($B$449&gt;=1,$CF$449,IF($B$451&gt;=1,$CF$451,IF($B$453&gt;=1,$CF$453,$CF$448)))</f>
        <v>6/2011</v>
      </c>
      <c r="CG455" t="str">
        <f>IF($B$449&gt;=1,$CG$449,IF($B$451&gt;=1,$CG$451,IF($B$453&gt;=1,$CG$453,$CG$448)))</f>
        <v>5/2011</v>
      </c>
      <c r="CH455" t="str">
        <f>IF($B$449&gt;=1,$CH$449,IF($B$451&gt;=1,$CH$451,IF($B$453&gt;=1,$CH$453,$CH$448)))</f>
        <v>4/2011</v>
      </c>
      <c r="CL455" t="str">
        <f>""</f>
        <v/>
      </c>
      <c r="CM455" t="str">
        <f>""</f>
        <v/>
      </c>
      <c r="CN455" t="str">
        <f>""</f>
        <v/>
      </c>
      <c r="CO455" t="str">
        <f>""</f>
        <v/>
      </c>
      <c r="CP455" t="str">
        <f>""</f>
        <v/>
      </c>
      <c r="CQ455" t="str">
        <f>""</f>
        <v/>
      </c>
      <c r="CR455" t="str">
        <f>""</f>
        <v/>
      </c>
      <c r="CS455" t="str">
        <f>""</f>
        <v/>
      </c>
      <c r="CT455" t="str">
        <f>""</f>
        <v/>
      </c>
      <c r="CU455" t="str">
        <f>""</f>
        <v/>
      </c>
      <c r="CV455" t="str">
        <f>""</f>
        <v/>
      </c>
      <c r="CW455" t="str">
        <f>""</f>
        <v/>
      </c>
      <c r="CX455" t="str">
        <f>""</f>
        <v/>
      </c>
      <c r="CY455" t="str">
        <f>""</f>
        <v/>
      </c>
      <c r="CZ455" t="str">
        <f>""</f>
        <v/>
      </c>
      <c r="DA455" t="str">
        <f>""</f>
        <v/>
      </c>
      <c r="DB455" t="str">
        <f>""</f>
        <v/>
      </c>
      <c r="DC455" t="str">
        <f>""</f>
        <v/>
      </c>
      <c r="DD455" t="str">
        <f>""</f>
        <v/>
      </c>
      <c r="DE455" t="str">
        <f>""</f>
        <v/>
      </c>
      <c r="DF455" t="str">
        <f>""</f>
        <v/>
      </c>
      <c r="DG455" t="str">
        <f>""</f>
        <v/>
      </c>
      <c r="DH455" t="str">
        <f>""</f>
        <v/>
      </c>
      <c r="DI455" t="str">
        <f>""</f>
        <v/>
      </c>
      <c r="DJ455" t="str">
        <f>""</f>
        <v/>
      </c>
      <c r="DK455" t="str">
        <f>""</f>
        <v/>
      </c>
      <c r="DL455" t="str">
        <f>""</f>
        <v/>
      </c>
      <c r="DM455" t="str">
        <f>""</f>
        <v/>
      </c>
      <c r="DN455" t="str">
        <f>""</f>
        <v/>
      </c>
      <c r="DO455" t="str">
        <f>""</f>
        <v/>
      </c>
      <c r="DP455" t="str">
        <f>""</f>
        <v/>
      </c>
      <c r="DQ455" t="str">
        <f>""</f>
        <v/>
      </c>
      <c r="DR455" t="str">
        <f>""</f>
        <v/>
      </c>
      <c r="DS455" t="str">
        <f>""</f>
        <v/>
      </c>
      <c r="DT455" t="str">
        <f>""</f>
        <v/>
      </c>
      <c r="DU455" t="str">
        <f>""</f>
        <v/>
      </c>
      <c r="DV455" t="str">
        <f>""</f>
        <v/>
      </c>
      <c r="DW455" t="str">
        <f>""</f>
        <v/>
      </c>
      <c r="DX455" t="str">
        <f>""</f>
        <v/>
      </c>
      <c r="DY455" t="str">
        <f>""</f>
        <v/>
      </c>
      <c r="DZ455" t="str">
        <f>""</f>
        <v/>
      </c>
      <c r="EA455" t="str">
        <f>""</f>
        <v/>
      </c>
      <c r="EB455" t="str">
        <f>""</f>
        <v/>
      </c>
      <c r="EC455" t="str">
        <f>""</f>
        <v/>
      </c>
      <c r="ED455" t="str">
        <f>""</f>
        <v/>
      </c>
      <c r="EE455" t="str">
        <f>""</f>
        <v/>
      </c>
      <c r="EF455" t="str">
        <f>""</f>
        <v/>
      </c>
      <c r="EG455" t="str">
        <f>""</f>
        <v/>
      </c>
      <c r="EH455" t="str">
        <f>""</f>
        <v/>
      </c>
      <c r="EI455" t="str">
        <f>""</f>
        <v/>
      </c>
      <c r="EJ455" t="str">
        <f>""</f>
        <v/>
      </c>
      <c r="EK455" t="str">
        <f>""</f>
        <v/>
      </c>
      <c r="EL455" t="str">
        <f>""</f>
        <v/>
      </c>
      <c r="EM455" t="str">
        <f>""</f>
        <v/>
      </c>
      <c r="EN455" t="str">
        <f>""</f>
        <v/>
      </c>
      <c r="EO455" t="str">
        <f>""</f>
        <v/>
      </c>
      <c r="EP455" t="str">
        <f>""</f>
        <v/>
      </c>
      <c r="EQ455" t="str">
        <f>""</f>
        <v/>
      </c>
      <c r="ER455" t="str">
        <f>""</f>
        <v/>
      </c>
      <c r="ES455" t="str">
        <f>""</f>
        <v/>
      </c>
      <c r="ET455" t="str">
        <f>""</f>
        <v/>
      </c>
      <c r="EU455" t="str">
        <f>""</f>
        <v/>
      </c>
      <c r="EV455" t="str">
        <f>""</f>
        <v/>
      </c>
      <c r="EW455" t="str">
        <f>""</f>
        <v/>
      </c>
      <c r="EX455" t="str">
        <f>""</f>
        <v/>
      </c>
      <c r="EY455" t="str">
        <f>""</f>
        <v/>
      </c>
      <c r="EZ455" t="str">
        <f>""</f>
        <v/>
      </c>
      <c r="FA455" t="str">
        <f>""</f>
        <v/>
      </c>
      <c r="FB455" t="str">
        <f>""</f>
        <v/>
      </c>
      <c r="FC455" t="str">
        <f>""</f>
        <v/>
      </c>
      <c r="FD455" t="str">
        <f>""</f>
        <v/>
      </c>
      <c r="FE455" t="str">
        <f>""</f>
        <v/>
      </c>
      <c r="FF455" t="str">
        <f>""</f>
        <v/>
      </c>
      <c r="FG455" t="str">
        <f>""</f>
        <v/>
      </c>
      <c r="FH455" t="str">
        <f>""</f>
        <v/>
      </c>
      <c r="FI455" t="str">
        <f>""</f>
        <v/>
      </c>
      <c r="FJ455" t="str">
        <f>""</f>
        <v/>
      </c>
      <c r="FK455" t="str">
        <f>""</f>
        <v/>
      </c>
      <c r="FL455" t="str">
        <f>""</f>
        <v/>
      </c>
      <c r="FM455" t="str">
        <f>""</f>
        <v/>
      </c>
      <c r="FN455" t="str">
        <f>""</f>
        <v/>
      </c>
      <c r="FO455" t="str">
        <f>""</f>
        <v/>
      </c>
      <c r="FP455" t="str">
        <f>""</f>
        <v/>
      </c>
      <c r="FQ455" t="str">
        <f>""</f>
        <v/>
      </c>
    </row>
    <row r="456" spans="1:173">
      <c r="A456" t="str">
        <f>"BDH snapshot title"</f>
        <v>BDH snapshot title</v>
      </c>
      <c r="B456">
        <f>$B$455</f>
        <v>2</v>
      </c>
      <c r="C456" t="str">
        <f>$C$455</f>
        <v>3/2018</v>
      </c>
      <c r="D456" t="str">
        <f>$D$455</f>
        <v>2/2018</v>
      </c>
      <c r="E456" t="str">
        <f>$E$455</f>
        <v>1/2018</v>
      </c>
      <c r="F456" t="str">
        <f>$F$455</f>
        <v>12/2017</v>
      </c>
      <c r="G456" t="str">
        <f>$G$455</f>
        <v>11/2017</v>
      </c>
      <c r="H456" t="str">
        <f>$H$455</f>
        <v>10/2017</v>
      </c>
      <c r="I456" t="str">
        <f>$I$455</f>
        <v>9/2017</v>
      </c>
      <c r="J456" t="str">
        <f>$J$455</f>
        <v>8/2017</v>
      </c>
      <c r="K456" t="str">
        <f>$K$455</f>
        <v>7/2017</v>
      </c>
      <c r="L456" t="str">
        <f>$L$455</f>
        <v>6/2017</v>
      </c>
      <c r="M456" t="str">
        <f>$M$455</f>
        <v>5/2017</v>
      </c>
      <c r="N456" t="str">
        <f>$N$455</f>
        <v>4/2017</v>
      </c>
      <c r="O456" t="str">
        <f>$O$455</f>
        <v>3/2017</v>
      </c>
      <c r="P456" t="str">
        <f>$P$455</f>
        <v>2/2017</v>
      </c>
      <c r="Q456" t="str">
        <f>$Q$455</f>
        <v>1/2017</v>
      </c>
      <c r="R456" t="str">
        <f>$R$455</f>
        <v>12/2016</v>
      </c>
      <c r="S456" t="str">
        <f>$S$455</f>
        <v>11/2016</v>
      </c>
      <c r="T456" t="str">
        <f>$T$455</f>
        <v>10/2016</v>
      </c>
      <c r="U456" t="str">
        <f>$U$455</f>
        <v>9/2016</v>
      </c>
      <c r="V456" t="str">
        <f>$V$455</f>
        <v>8/2016</v>
      </c>
      <c r="W456" t="str">
        <f>$W$455</f>
        <v>7/2016</v>
      </c>
      <c r="X456" t="str">
        <f>$X$455</f>
        <v>6/2016</v>
      </c>
      <c r="Y456" t="str">
        <f>$Y$455</f>
        <v>5/2016</v>
      </c>
      <c r="Z456" t="str">
        <f>$Z$455</f>
        <v>4/2016</v>
      </c>
      <c r="AA456" t="str">
        <f>$AA$455</f>
        <v>3/2016</v>
      </c>
      <c r="AB456" t="str">
        <f>$AB$455</f>
        <v>2/2016</v>
      </c>
      <c r="AC456" t="str">
        <f>$AC$455</f>
        <v>1/2016</v>
      </c>
      <c r="AD456" t="str">
        <f>$AD$455</f>
        <v>12/2015</v>
      </c>
      <c r="AE456" t="str">
        <f>$AE$455</f>
        <v>11/2015</v>
      </c>
      <c r="AF456" t="str">
        <f>$AF$455</f>
        <v>10/2015</v>
      </c>
      <c r="AG456" t="str">
        <f>$AG$455</f>
        <v>9/2015</v>
      </c>
      <c r="AH456" t="str">
        <f>$AH$455</f>
        <v>8/2015</v>
      </c>
      <c r="AI456" t="str">
        <f>$AI$455</f>
        <v>7/2015</v>
      </c>
      <c r="AJ456" t="str">
        <f>$AJ$455</f>
        <v>6/2015</v>
      </c>
      <c r="AK456" t="str">
        <f>$AK$455</f>
        <v>5/2015</v>
      </c>
      <c r="AL456" t="str">
        <f>$AL$455</f>
        <v>4/2015</v>
      </c>
      <c r="AM456" t="str">
        <f>$AM$455</f>
        <v>3/2015</v>
      </c>
      <c r="AN456" t="str">
        <f>$AN$455</f>
        <v>2/2015</v>
      </c>
      <c r="AO456" t="str">
        <f>$AO$455</f>
        <v>1/2015</v>
      </c>
      <c r="AP456" t="str">
        <f>$AP$455</f>
        <v>12/2014</v>
      </c>
      <c r="AQ456" t="str">
        <f>$AQ$455</f>
        <v>11/2014</v>
      </c>
      <c r="AR456" t="str">
        <f>$AR$455</f>
        <v>10/2014</v>
      </c>
      <c r="AS456" t="str">
        <f>$AS$455</f>
        <v>9/2014</v>
      </c>
      <c r="AT456" t="str">
        <f>$AT$455</f>
        <v>8/2014</v>
      </c>
      <c r="AU456" t="str">
        <f>$AU$455</f>
        <v>7/2014</v>
      </c>
      <c r="AV456" t="str">
        <f>$AV$455</f>
        <v>6/2014</v>
      </c>
      <c r="AW456" t="str">
        <f>$AW$455</f>
        <v>5/2014</v>
      </c>
      <c r="AX456" t="str">
        <f>$AX$455</f>
        <v>4/2014</v>
      </c>
      <c r="AY456" t="str">
        <f>$AY$455</f>
        <v>3/2014</v>
      </c>
      <c r="AZ456" t="str">
        <f>$AZ$455</f>
        <v>2/2014</v>
      </c>
      <c r="BA456" t="str">
        <f>$BA$455</f>
        <v>1/2014</v>
      </c>
      <c r="BB456" t="str">
        <f>$BB$455</f>
        <v>12/2013</v>
      </c>
      <c r="BC456" t="str">
        <f>$BC$455</f>
        <v>11/2013</v>
      </c>
      <c r="BD456" t="str">
        <f>$BD$455</f>
        <v>10/2013</v>
      </c>
      <c r="BE456" t="str">
        <f>$BE$455</f>
        <v>9/2013</v>
      </c>
      <c r="BF456" t="str">
        <f>$BF$455</f>
        <v>8/2013</v>
      </c>
      <c r="BG456" t="str">
        <f>$BG$455</f>
        <v>7/2013</v>
      </c>
      <c r="BH456" t="str">
        <f>$BH$455</f>
        <v>6/2013</v>
      </c>
      <c r="BI456" t="str">
        <f>$BI$455</f>
        <v>5/2013</v>
      </c>
      <c r="BJ456" t="str">
        <f>$BJ$455</f>
        <v>4/2013</v>
      </c>
      <c r="BK456" t="str">
        <f>$BK$455</f>
        <v>3/2013</v>
      </c>
      <c r="BL456" t="str">
        <f>$BL$455</f>
        <v>2/2013</v>
      </c>
      <c r="BM456" t="str">
        <f>$BM$455</f>
        <v>1/2013</v>
      </c>
      <c r="BN456" t="str">
        <f>$BN$455</f>
        <v>12/2012</v>
      </c>
      <c r="BO456" t="str">
        <f>$BO$455</f>
        <v>11/2012</v>
      </c>
      <c r="BP456" t="str">
        <f>$BP$455</f>
        <v>10/2012</v>
      </c>
      <c r="BQ456" t="str">
        <f>$BQ$455</f>
        <v>9/2012</v>
      </c>
      <c r="BR456" t="str">
        <f>$BR$455</f>
        <v>8/2012</v>
      </c>
      <c r="BS456" t="str">
        <f>$BS$455</f>
        <v>7/2012</v>
      </c>
      <c r="BT456" t="str">
        <f>$BT$455</f>
        <v>6/2012</v>
      </c>
      <c r="BU456" t="str">
        <f>$BU$455</f>
        <v>5/2012</v>
      </c>
      <c r="BV456" t="str">
        <f>$BV$455</f>
        <v>4/2012</v>
      </c>
      <c r="BW456" t="str">
        <f>$BW$455</f>
        <v>3/2012</v>
      </c>
      <c r="BX456" t="str">
        <f>$BX$455</f>
        <v>2/2012</v>
      </c>
      <c r="BY456" t="str">
        <f>$BY$455</f>
        <v>1/2012</v>
      </c>
      <c r="BZ456" t="str">
        <f>$BZ$455</f>
        <v>12/2011</v>
      </c>
      <c r="CA456" t="str">
        <f>$CA$455</f>
        <v>11/2011</v>
      </c>
      <c r="CB456" t="str">
        <f>$CB$455</f>
        <v>10/2011</v>
      </c>
      <c r="CC456" t="str">
        <f>$CC$455</f>
        <v>9/2011</v>
      </c>
      <c r="CD456" t="str">
        <f>$CD$455</f>
        <v>8/2011</v>
      </c>
      <c r="CE456" t="str">
        <f>$CE$455</f>
        <v>7/2011</v>
      </c>
      <c r="CF456" t="str">
        <f>$CF$455</f>
        <v>6/2011</v>
      </c>
      <c r="CG456" t="str">
        <f>$CG$455</f>
        <v>5/2011</v>
      </c>
      <c r="CH456" t="str">
        <f>$CH$455</f>
        <v>4/2011</v>
      </c>
      <c r="CL456" t="str">
        <f>""</f>
        <v/>
      </c>
      <c r="CM456" t="str">
        <f>""</f>
        <v/>
      </c>
      <c r="CN456" t="str">
        <f>""</f>
        <v/>
      </c>
      <c r="CO456" t="str">
        <f>""</f>
        <v/>
      </c>
      <c r="CP456" t="str">
        <f>""</f>
        <v/>
      </c>
      <c r="CQ456" t="str">
        <f>""</f>
        <v/>
      </c>
      <c r="CR456" t="str">
        <f>""</f>
        <v/>
      </c>
      <c r="CS456" t="str">
        <f>""</f>
        <v/>
      </c>
      <c r="CT456" t="str">
        <f>""</f>
        <v/>
      </c>
      <c r="CU456" t="str">
        <f>""</f>
        <v/>
      </c>
      <c r="CV456" t="str">
        <f>""</f>
        <v/>
      </c>
      <c r="CW456" t="str">
        <f>""</f>
        <v/>
      </c>
      <c r="CX456" t="str">
        <f>""</f>
        <v/>
      </c>
      <c r="CY456" t="str">
        <f>""</f>
        <v/>
      </c>
      <c r="CZ456" t="str">
        <f>""</f>
        <v/>
      </c>
      <c r="DA456" t="str">
        <f>""</f>
        <v/>
      </c>
      <c r="DB456" t="str">
        <f>""</f>
        <v/>
      </c>
      <c r="DC456" t="str">
        <f>""</f>
        <v/>
      </c>
      <c r="DD456" t="str">
        <f>""</f>
        <v/>
      </c>
      <c r="DE456" t="str">
        <f>""</f>
        <v/>
      </c>
      <c r="DF456" t="str">
        <f>""</f>
        <v/>
      </c>
      <c r="DG456" t="str">
        <f>""</f>
        <v/>
      </c>
      <c r="DH456" t="str">
        <f>""</f>
        <v/>
      </c>
      <c r="DI456" t="str">
        <f>""</f>
        <v/>
      </c>
      <c r="DJ456" t="str">
        <f>""</f>
        <v/>
      </c>
      <c r="DK456" t="str">
        <f>""</f>
        <v/>
      </c>
      <c r="DL456" t="str">
        <f>""</f>
        <v/>
      </c>
      <c r="DM456" t="str">
        <f>""</f>
        <v/>
      </c>
      <c r="DN456" t="str">
        <f>""</f>
        <v/>
      </c>
      <c r="DO456" t="str">
        <f>""</f>
        <v/>
      </c>
      <c r="DP456" t="str">
        <f>""</f>
        <v/>
      </c>
      <c r="DQ456" t="str">
        <f>""</f>
        <v/>
      </c>
      <c r="DR456" t="str">
        <f>""</f>
        <v/>
      </c>
      <c r="DS456" t="str">
        <f>""</f>
        <v/>
      </c>
      <c r="DT456" t="str">
        <f>""</f>
        <v/>
      </c>
      <c r="DU456" t="str">
        <f>""</f>
        <v/>
      </c>
      <c r="DV456" t="str">
        <f>""</f>
        <v/>
      </c>
      <c r="DW456" t="str">
        <f>""</f>
        <v/>
      </c>
      <c r="DX456" t="str">
        <f>""</f>
        <v/>
      </c>
      <c r="DY456" t="str">
        <f>""</f>
        <v/>
      </c>
      <c r="DZ456" t="str">
        <f>""</f>
        <v/>
      </c>
      <c r="EA456" t="str">
        <f>""</f>
        <v/>
      </c>
      <c r="EB456" t="str">
        <f>""</f>
        <v/>
      </c>
      <c r="EC456" t="str">
        <f>""</f>
        <v/>
      </c>
      <c r="ED456" t="str">
        <f>""</f>
        <v/>
      </c>
      <c r="EE456" t="str">
        <f>""</f>
        <v/>
      </c>
      <c r="EF456" t="str">
        <f>""</f>
        <v/>
      </c>
      <c r="EG456" t="str">
        <f>""</f>
        <v/>
      </c>
      <c r="EH456" t="str">
        <f>""</f>
        <v/>
      </c>
      <c r="EI456" t="str">
        <f>""</f>
        <v/>
      </c>
      <c r="EJ456" t="str">
        <f>""</f>
        <v/>
      </c>
      <c r="EK456" t="str">
        <f>""</f>
        <v/>
      </c>
      <c r="EL456" t="str">
        <f>""</f>
        <v/>
      </c>
      <c r="EM456" t="str">
        <f>""</f>
        <v/>
      </c>
      <c r="EN456" t="str">
        <f>""</f>
        <v/>
      </c>
      <c r="EO456" t="str">
        <f>""</f>
        <v/>
      </c>
      <c r="EP456" t="str">
        <f>""</f>
        <v/>
      </c>
      <c r="EQ456" t="str">
        <f>""</f>
        <v/>
      </c>
      <c r="ER456" t="str">
        <f>""</f>
        <v/>
      </c>
      <c r="ES456" t="str">
        <f>""</f>
        <v/>
      </c>
      <c r="ET456" t="str">
        <f>""</f>
        <v/>
      </c>
      <c r="EU456" t="str">
        <f>""</f>
        <v/>
      </c>
      <c r="EV456" t="str">
        <f>""</f>
        <v/>
      </c>
      <c r="EW456" t="str">
        <f>""</f>
        <v/>
      </c>
      <c r="EX456" t="str">
        <f>""</f>
        <v/>
      </c>
      <c r="EY456" t="str">
        <f>""</f>
        <v/>
      </c>
      <c r="EZ456" t="str">
        <f>""</f>
        <v/>
      </c>
      <c r="FA456" t="str">
        <f>""</f>
        <v/>
      </c>
      <c r="FB456" t="str">
        <f>""</f>
        <v/>
      </c>
      <c r="FC456" t="str">
        <f>""</f>
        <v/>
      </c>
      <c r="FD456" t="str">
        <f>""</f>
        <v/>
      </c>
      <c r="FE456" t="str">
        <f>""</f>
        <v/>
      </c>
      <c r="FF456" t="str">
        <f>""</f>
        <v/>
      </c>
      <c r="FG456" t="str">
        <f>""</f>
        <v/>
      </c>
      <c r="FH456" t="str">
        <f>""</f>
        <v/>
      </c>
      <c r="FI456" t="str">
        <f>""</f>
        <v/>
      </c>
      <c r="FJ456" t="str">
        <f>""</f>
        <v/>
      </c>
      <c r="FK456" t="str">
        <f>""</f>
        <v/>
      </c>
      <c r="FL456" t="str">
        <f>""</f>
        <v/>
      </c>
      <c r="FM456" t="str">
        <f>""</f>
        <v/>
      </c>
      <c r="FN456" t="str">
        <f>""</f>
        <v/>
      </c>
      <c r="FO456" t="str">
        <f>""</f>
        <v/>
      </c>
      <c r="FP456" t="str">
        <f>""</f>
        <v/>
      </c>
      <c r="FQ456" t="str">
        <f>""</f>
        <v/>
      </c>
    </row>
    <row r="457" spans="1:173">
      <c r="A457" t="str">
        <f>"BDH dynamic header0"</f>
        <v>BDH dynamic header0</v>
      </c>
      <c r="B457">
        <f ca="1">IF(OR(ISERROR($C$457),ISBLANK($C$457),ISNUMBER(SEARCH("N/A",$C$457) ),ISERROR($C$458),ISBLANK($C$458)),0,1)</f>
        <v>0</v>
      </c>
      <c r="C457" t="str">
        <f ca="1">BDH($B$4,$C$4,$B$250,$B$251,"PER=CM","Dts=S","DtFmt=FI", "rows=2","Dir=H","Points=84","Sort=R","Days=A","Fill=B","FX=USD" )</f>
        <v>#N/A Authorization</v>
      </c>
      <c r="CL457" t="str">
        <f>""</f>
        <v/>
      </c>
      <c r="CM457" t="str">
        <f>""</f>
        <v/>
      </c>
      <c r="CN457" t="str">
        <f>""</f>
        <v/>
      </c>
      <c r="CO457" t="str">
        <f>""</f>
        <v/>
      </c>
      <c r="CP457" t="str">
        <f>""</f>
        <v/>
      </c>
      <c r="CQ457" t="str">
        <f>""</f>
        <v/>
      </c>
      <c r="CR457" t="str">
        <f>""</f>
        <v/>
      </c>
      <c r="CS457" t="str">
        <f>""</f>
        <v/>
      </c>
      <c r="CT457" t="str">
        <f>""</f>
        <v/>
      </c>
      <c r="CU457" t="str">
        <f>""</f>
        <v/>
      </c>
      <c r="CV457" t="str">
        <f>""</f>
        <v/>
      </c>
      <c r="CW457" t="str">
        <f>""</f>
        <v/>
      </c>
      <c r="CX457" t="str">
        <f>""</f>
        <v/>
      </c>
      <c r="CY457" t="str">
        <f>""</f>
        <v/>
      </c>
      <c r="CZ457" t="str">
        <f>""</f>
        <v/>
      </c>
      <c r="DA457" t="str">
        <f>""</f>
        <v/>
      </c>
      <c r="DB457" t="str">
        <f>""</f>
        <v/>
      </c>
      <c r="DC457" t="str">
        <f>""</f>
        <v/>
      </c>
      <c r="DD457" t="str">
        <f>""</f>
        <v/>
      </c>
      <c r="DE457" t="str">
        <f>""</f>
        <v/>
      </c>
      <c r="DF457" t="str">
        <f>""</f>
        <v/>
      </c>
      <c r="DG457" t="str">
        <f>""</f>
        <v/>
      </c>
      <c r="DH457" t="str">
        <f>""</f>
        <v/>
      </c>
      <c r="DI457" t="str">
        <f>""</f>
        <v/>
      </c>
      <c r="DJ457" t="str">
        <f>""</f>
        <v/>
      </c>
      <c r="DK457" t="str">
        <f>""</f>
        <v/>
      </c>
      <c r="DL457" t="str">
        <f>""</f>
        <v/>
      </c>
      <c r="DM457" t="str">
        <f>""</f>
        <v/>
      </c>
      <c r="DN457" t="str">
        <f>""</f>
        <v/>
      </c>
      <c r="DO457" t="str">
        <f>""</f>
        <v/>
      </c>
      <c r="DP457" t="str">
        <f>""</f>
        <v/>
      </c>
      <c r="DQ457" t="str">
        <f>""</f>
        <v/>
      </c>
      <c r="DR457" t="str">
        <f>""</f>
        <v/>
      </c>
      <c r="DS457" t="str">
        <f>""</f>
        <v/>
      </c>
      <c r="DT457" t="str">
        <f>""</f>
        <v/>
      </c>
      <c r="DU457" t="str">
        <f>""</f>
        <v/>
      </c>
      <c r="DV457" t="str">
        <f>""</f>
        <v/>
      </c>
      <c r="DW457" t="str">
        <f>""</f>
        <v/>
      </c>
      <c r="DX457" t="str">
        <f>""</f>
        <v/>
      </c>
      <c r="DY457" t="str">
        <f>""</f>
        <v/>
      </c>
      <c r="DZ457" t="str">
        <f>""</f>
        <v/>
      </c>
      <c r="EA457" t="str">
        <f>""</f>
        <v/>
      </c>
      <c r="EB457" t="str">
        <f>""</f>
        <v/>
      </c>
      <c r="EC457" t="str">
        <f>""</f>
        <v/>
      </c>
      <c r="ED457" t="str">
        <f>""</f>
        <v/>
      </c>
      <c r="EE457" t="str">
        <f>""</f>
        <v/>
      </c>
      <c r="EF457" t="str">
        <f>""</f>
        <v/>
      </c>
      <c r="EG457" t="str">
        <f>""</f>
        <v/>
      </c>
      <c r="EH457" t="str">
        <f>""</f>
        <v/>
      </c>
      <c r="EI457" t="str">
        <f>""</f>
        <v/>
      </c>
      <c r="EJ457" t="str">
        <f>""</f>
        <v/>
      </c>
      <c r="EK457" t="str">
        <f>""</f>
        <v/>
      </c>
      <c r="EL457" t="str">
        <f>""</f>
        <v/>
      </c>
      <c r="EM457" t="str">
        <f>""</f>
        <v/>
      </c>
      <c r="EN457" t="str">
        <f>""</f>
        <v/>
      </c>
      <c r="EO457" t="str">
        <f>""</f>
        <v/>
      </c>
      <c r="EP457" t="str">
        <f>""</f>
        <v/>
      </c>
      <c r="EQ457" t="str">
        <f>""</f>
        <v/>
      </c>
      <c r="ER457" t="str">
        <f>""</f>
        <v/>
      </c>
      <c r="ES457" t="str">
        <f>""</f>
        <v/>
      </c>
      <c r="ET457" t="str">
        <f>""</f>
        <v/>
      </c>
      <c r="EU457" t="str">
        <f>""</f>
        <v/>
      </c>
      <c r="EV457" t="str">
        <f>""</f>
        <v/>
      </c>
      <c r="EW457" t="str">
        <f>""</f>
        <v/>
      </c>
      <c r="EX457" t="str">
        <f>""</f>
        <v/>
      </c>
      <c r="EY457" t="str">
        <f>""</f>
        <v/>
      </c>
      <c r="EZ457" t="str">
        <f>""</f>
        <v/>
      </c>
      <c r="FA457" t="str">
        <f>""</f>
        <v/>
      </c>
      <c r="FB457" t="str">
        <f>""</f>
        <v/>
      </c>
      <c r="FC457" t="str">
        <f>""</f>
        <v/>
      </c>
      <c r="FD457" t="str">
        <f>""</f>
        <v/>
      </c>
      <c r="FE457" t="str">
        <f>""</f>
        <v/>
      </c>
      <c r="FF457" t="str">
        <f>""</f>
        <v/>
      </c>
      <c r="FG457" t="str">
        <f>""</f>
        <v/>
      </c>
      <c r="FH457" t="str">
        <f>""</f>
        <v/>
      </c>
      <c r="FI457" t="str">
        <f>""</f>
        <v/>
      </c>
      <c r="FJ457" t="str">
        <f>""</f>
        <v/>
      </c>
      <c r="FK457" t="str">
        <f>""</f>
        <v/>
      </c>
      <c r="FL457" t="str">
        <f>""</f>
        <v/>
      </c>
      <c r="FM457" t="str">
        <f>""</f>
        <v/>
      </c>
      <c r="FN457" t="str">
        <f>""</f>
        <v/>
      </c>
      <c r="FO457" t="str">
        <f>""</f>
        <v/>
      </c>
      <c r="FP457" t="str">
        <f>""</f>
        <v/>
      </c>
      <c r="FQ457" t="str">
        <f>""</f>
        <v/>
      </c>
    </row>
    <row r="458" spans="1:173">
      <c r="A458" t="str">
        <f>"BDH dynamic result0"</f>
        <v>BDH dynamic result0</v>
      </c>
      <c r="CL458" t="str">
        <f>""</f>
        <v/>
      </c>
      <c r="CM458" t="str">
        <f>""</f>
        <v/>
      </c>
      <c r="CN458" t="str">
        <f>""</f>
        <v/>
      </c>
      <c r="CO458" t="str">
        <f>""</f>
        <v/>
      </c>
      <c r="CP458" t="str">
        <f>""</f>
        <v/>
      </c>
      <c r="CQ458" t="str">
        <f>""</f>
        <v/>
      </c>
      <c r="CR458" t="str">
        <f>""</f>
        <v/>
      </c>
      <c r="CS458" t="str">
        <f>""</f>
        <v/>
      </c>
      <c r="CT458" t="str">
        <f>""</f>
        <v/>
      </c>
      <c r="CU458" t="str">
        <f>""</f>
        <v/>
      </c>
      <c r="CV458" t="str">
        <f>""</f>
        <v/>
      </c>
      <c r="CW458" t="str">
        <f>""</f>
        <v/>
      </c>
      <c r="CX458" t="str">
        <f>""</f>
        <v/>
      </c>
      <c r="CY458" t="str">
        <f>""</f>
        <v/>
      </c>
      <c r="CZ458" t="str">
        <f>""</f>
        <v/>
      </c>
      <c r="DA458" t="str">
        <f>""</f>
        <v/>
      </c>
      <c r="DB458" t="str">
        <f>""</f>
        <v/>
      </c>
      <c r="DC458" t="str">
        <f>""</f>
        <v/>
      </c>
      <c r="DD458" t="str">
        <f>""</f>
        <v/>
      </c>
      <c r="DE458" t="str">
        <f>""</f>
        <v/>
      </c>
      <c r="DF458" t="str">
        <f>""</f>
        <v/>
      </c>
      <c r="DG458" t="str">
        <f>""</f>
        <v/>
      </c>
      <c r="DH458" t="str">
        <f>""</f>
        <v/>
      </c>
      <c r="DI458" t="str">
        <f>""</f>
        <v/>
      </c>
      <c r="DJ458" t="str">
        <f>""</f>
        <v/>
      </c>
      <c r="DK458" t="str">
        <f>""</f>
        <v/>
      </c>
      <c r="DL458" t="str">
        <f>""</f>
        <v/>
      </c>
      <c r="DM458" t="str">
        <f>""</f>
        <v/>
      </c>
      <c r="DN458" t="str">
        <f>""</f>
        <v/>
      </c>
      <c r="DO458" t="str">
        <f>""</f>
        <v/>
      </c>
      <c r="DP458" t="str">
        <f>""</f>
        <v/>
      </c>
      <c r="DQ458" t="str">
        <f>""</f>
        <v/>
      </c>
      <c r="DR458" t="str">
        <f>""</f>
        <v/>
      </c>
      <c r="DS458" t="str">
        <f>""</f>
        <v/>
      </c>
      <c r="DT458" t="str">
        <f>""</f>
        <v/>
      </c>
      <c r="DU458" t="str">
        <f>""</f>
        <v/>
      </c>
      <c r="DV458" t="str">
        <f>""</f>
        <v/>
      </c>
      <c r="DW458" t="str">
        <f>""</f>
        <v/>
      </c>
      <c r="DX458" t="str">
        <f>""</f>
        <v/>
      </c>
      <c r="DY458" t="str">
        <f>""</f>
        <v/>
      </c>
      <c r="DZ458" t="str">
        <f>""</f>
        <v/>
      </c>
      <c r="EA458" t="str">
        <f>""</f>
        <v/>
      </c>
      <c r="EB458" t="str">
        <f>""</f>
        <v/>
      </c>
      <c r="EC458" t="str">
        <f>""</f>
        <v/>
      </c>
      <c r="ED458" t="str">
        <f>""</f>
        <v/>
      </c>
      <c r="EE458" t="str">
        <f>""</f>
        <v/>
      </c>
      <c r="EF458" t="str">
        <f>""</f>
        <v/>
      </c>
      <c r="EG458" t="str">
        <f>""</f>
        <v/>
      </c>
      <c r="EH458" t="str">
        <f>""</f>
        <v/>
      </c>
      <c r="EI458" t="str">
        <f>""</f>
        <v/>
      </c>
      <c r="EJ458" t="str">
        <f>""</f>
        <v/>
      </c>
      <c r="EK458" t="str">
        <f>""</f>
        <v/>
      </c>
      <c r="EL458" t="str">
        <f>""</f>
        <v/>
      </c>
      <c r="EM458" t="str">
        <f>""</f>
        <v/>
      </c>
      <c r="EN458" t="str">
        <f>""</f>
        <v/>
      </c>
      <c r="EO458" t="str">
        <f>""</f>
        <v/>
      </c>
      <c r="EP458" t="str">
        <f>""</f>
        <v/>
      </c>
      <c r="EQ458" t="str">
        <f>""</f>
        <v/>
      </c>
      <c r="ER458" t="str">
        <f>""</f>
        <v/>
      </c>
      <c r="ES458" t="str">
        <f>""</f>
        <v/>
      </c>
      <c r="ET458" t="str">
        <f>""</f>
        <v/>
      </c>
      <c r="EU458" t="str">
        <f>""</f>
        <v/>
      </c>
      <c r="EV458" t="str">
        <f>""</f>
        <v/>
      </c>
      <c r="EW458" t="str">
        <f>""</f>
        <v/>
      </c>
      <c r="EX458" t="str">
        <f>""</f>
        <v/>
      </c>
      <c r="EY458" t="str">
        <f>""</f>
        <v/>
      </c>
      <c r="EZ458" t="str">
        <f>""</f>
        <v/>
      </c>
      <c r="FA458" t="str">
        <f>""</f>
        <v/>
      </c>
      <c r="FB458" t="str">
        <f>""</f>
        <v/>
      </c>
      <c r="FC458" t="str">
        <f>""</f>
        <v/>
      </c>
      <c r="FD458" t="str">
        <f>""</f>
        <v/>
      </c>
      <c r="FE458" t="str">
        <f>""</f>
        <v/>
      </c>
      <c r="FF458" t="str">
        <f>""</f>
        <v/>
      </c>
      <c r="FG458" t="str">
        <f>""</f>
        <v/>
      </c>
      <c r="FH458" t="str">
        <f>""</f>
        <v/>
      </c>
      <c r="FI458" t="str">
        <f>""</f>
        <v/>
      </c>
      <c r="FJ458" t="str">
        <f>""</f>
        <v/>
      </c>
      <c r="FK458" t="str">
        <f>""</f>
        <v/>
      </c>
      <c r="FL458" t="str">
        <f>""</f>
        <v/>
      </c>
      <c r="FM458" t="str">
        <f>""</f>
        <v/>
      </c>
      <c r="FN458" t="str">
        <f>""</f>
        <v/>
      </c>
      <c r="FO458" t="str">
        <f>""</f>
        <v/>
      </c>
      <c r="FP458" t="str">
        <f>""</f>
        <v/>
      </c>
      <c r="FQ458" t="str">
        <f>""</f>
        <v/>
      </c>
    </row>
    <row r="459" spans="1:173">
      <c r="A459" t="str">
        <f>"BDH dynamic header1"</f>
        <v>BDH dynamic header1</v>
      </c>
      <c r="B459">
        <f ca="1">IF(OR(ISERROR($C$459),ISBLANK($C$459),ISNUMBER(SEARCH("N/A",$C$459) ),ISERROR($C$460),ISBLANK($C$460)),0,1)</f>
        <v>0</v>
      </c>
      <c r="C459" t="str">
        <f ca="1">BDH($B$5,$C$5,$B$250,$B$251,"PER=CM","Dts=S","DtFmt=FI", "rows=2","Dir=H","Points=84","Sort=R","Days=A","Fill=B","FX=USD" )</f>
        <v>#N/A Authorization</v>
      </c>
      <c r="CL459" t="str">
        <f>""</f>
        <v/>
      </c>
      <c r="CM459" t="str">
        <f>""</f>
        <v/>
      </c>
      <c r="CN459" t="str">
        <f>""</f>
        <v/>
      </c>
      <c r="CO459" t="str">
        <f>""</f>
        <v/>
      </c>
      <c r="CP459" t="str">
        <f>""</f>
        <v/>
      </c>
      <c r="CQ459" t="str">
        <f>""</f>
        <v/>
      </c>
      <c r="CR459" t="str">
        <f>""</f>
        <v/>
      </c>
      <c r="CS459" t="str">
        <f>""</f>
        <v/>
      </c>
      <c r="CT459" t="str">
        <f>""</f>
        <v/>
      </c>
      <c r="CU459" t="str">
        <f>""</f>
        <v/>
      </c>
      <c r="CV459" t="str">
        <f>""</f>
        <v/>
      </c>
      <c r="CW459" t="str">
        <f>""</f>
        <v/>
      </c>
      <c r="CX459" t="str">
        <f>""</f>
        <v/>
      </c>
      <c r="CY459" t="str">
        <f>""</f>
        <v/>
      </c>
      <c r="CZ459" t="str">
        <f>""</f>
        <v/>
      </c>
      <c r="DA459" t="str">
        <f>""</f>
        <v/>
      </c>
      <c r="DB459" t="str">
        <f>""</f>
        <v/>
      </c>
      <c r="DC459" t="str">
        <f>""</f>
        <v/>
      </c>
      <c r="DD459" t="str">
        <f>""</f>
        <v/>
      </c>
      <c r="DE459" t="str">
        <f>""</f>
        <v/>
      </c>
      <c r="DF459" t="str">
        <f>""</f>
        <v/>
      </c>
      <c r="DG459" t="str">
        <f>""</f>
        <v/>
      </c>
      <c r="DH459" t="str">
        <f>""</f>
        <v/>
      </c>
      <c r="DI459" t="str">
        <f>""</f>
        <v/>
      </c>
      <c r="DJ459" t="str">
        <f>""</f>
        <v/>
      </c>
      <c r="DK459" t="str">
        <f>""</f>
        <v/>
      </c>
      <c r="DL459" t="str">
        <f>""</f>
        <v/>
      </c>
      <c r="DM459" t="str">
        <f>""</f>
        <v/>
      </c>
      <c r="DN459" t="str">
        <f>""</f>
        <v/>
      </c>
      <c r="DO459" t="str">
        <f>""</f>
        <v/>
      </c>
      <c r="DP459" t="str">
        <f>""</f>
        <v/>
      </c>
      <c r="DQ459" t="str">
        <f>""</f>
        <v/>
      </c>
      <c r="DR459" t="str">
        <f>""</f>
        <v/>
      </c>
      <c r="DS459" t="str">
        <f>""</f>
        <v/>
      </c>
      <c r="DT459" t="str">
        <f>""</f>
        <v/>
      </c>
      <c r="DU459" t="str">
        <f>""</f>
        <v/>
      </c>
      <c r="DV459" t="str">
        <f>""</f>
        <v/>
      </c>
      <c r="DW459" t="str">
        <f>""</f>
        <v/>
      </c>
      <c r="DX459" t="str">
        <f>""</f>
        <v/>
      </c>
      <c r="DY459" t="str">
        <f>""</f>
        <v/>
      </c>
      <c r="DZ459" t="str">
        <f>""</f>
        <v/>
      </c>
      <c r="EA459" t="str">
        <f>""</f>
        <v/>
      </c>
      <c r="EB459" t="str">
        <f>""</f>
        <v/>
      </c>
      <c r="EC459" t="str">
        <f>""</f>
        <v/>
      </c>
      <c r="ED459" t="str">
        <f>""</f>
        <v/>
      </c>
      <c r="EE459" t="str">
        <f>""</f>
        <v/>
      </c>
      <c r="EF459" t="str">
        <f>""</f>
        <v/>
      </c>
      <c r="EG459" t="str">
        <f>""</f>
        <v/>
      </c>
      <c r="EH459" t="str">
        <f>""</f>
        <v/>
      </c>
      <c r="EI459" t="str">
        <f>""</f>
        <v/>
      </c>
      <c r="EJ459" t="str">
        <f>""</f>
        <v/>
      </c>
      <c r="EK459" t="str">
        <f>""</f>
        <v/>
      </c>
      <c r="EL459" t="str">
        <f>""</f>
        <v/>
      </c>
      <c r="EM459" t="str">
        <f>""</f>
        <v/>
      </c>
      <c r="EN459" t="str">
        <f>""</f>
        <v/>
      </c>
      <c r="EO459" t="str">
        <f>""</f>
        <v/>
      </c>
      <c r="EP459" t="str">
        <f>""</f>
        <v/>
      </c>
      <c r="EQ459" t="str">
        <f>""</f>
        <v/>
      </c>
      <c r="ER459" t="str">
        <f>""</f>
        <v/>
      </c>
      <c r="ES459" t="str">
        <f>""</f>
        <v/>
      </c>
      <c r="ET459" t="str">
        <f>""</f>
        <v/>
      </c>
      <c r="EU459" t="str">
        <f>""</f>
        <v/>
      </c>
      <c r="EV459" t="str">
        <f>""</f>
        <v/>
      </c>
      <c r="EW459" t="str">
        <f>""</f>
        <v/>
      </c>
      <c r="EX459" t="str">
        <f>""</f>
        <v/>
      </c>
      <c r="EY459" t="str">
        <f>""</f>
        <v/>
      </c>
      <c r="EZ459" t="str">
        <f>""</f>
        <v/>
      </c>
      <c r="FA459" t="str">
        <f>""</f>
        <v/>
      </c>
      <c r="FB459" t="str">
        <f>""</f>
        <v/>
      </c>
      <c r="FC459" t="str">
        <f>""</f>
        <v/>
      </c>
      <c r="FD459" t="str">
        <f>""</f>
        <v/>
      </c>
      <c r="FE459" t="str">
        <f>""</f>
        <v/>
      </c>
      <c r="FF459" t="str">
        <f>""</f>
        <v/>
      </c>
      <c r="FG459" t="str">
        <f>""</f>
        <v/>
      </c>
      <c r="FH459" t="str">
        <f>""</f>
        <v/>
      </c>
      <c r="FI459" t="str">
        <f>""</f>
        <v/>
      </c>
      <c r="FJ459" t="str">
        <f>""</f>
        <v/>
      </c>
      <c r="FK459" t="str">
        <f>""</f>
        <v/>
      </c>
      <c r="FL459" t="str">
        <f>""</f>
        <v/>
      </c>
      <c r="FM459" t="str">
        <f>""</f>
        <v/>
      </c>
      <c r="FN459" t="str">
        <f>""</f>
        <v/>
      </c>
      <c r="FO459" t="str">
        <f>""</f>
        <v/>
      </c>
      <c r="FP459" t="str">
        <f>""</f>
        <v/>
      </c>
      <c r="FQ459" t="str">
        <f>""</f>
        <v/>
      </c>
    </row>
    <row r="460" spans="1:173">
      <c r="A460" t="str">
        <f>"BDH dynamic result1"</f>
        <v>BDH dynamic result1</v>
      </c>
      <c r="CL460" t="str">
        <f>""</f>
        <v/>
      </c>
      <c r="CM460" t="str">
        <f>""</f>
        <v/>
      </c>
      <c r="CN460" t="str">
        <f>""</f>
        <v/>
      </c>
      <c r="CO460" t="str">
        <f>""</f>
        <v/>
      </c>
      <c r="CP460" t="str">
        <f>""</f>
        <v/>
      </c>
      <c r="CQ460" t="str">
        <f>""</f>
        <v/>
      </c>
      <c r="CR460" t="str">
        <f>""</f>
        <v/>
      </c>
      <c r="CS460" t="str">
        <f>""</f>
        <v/>
      </c>
      <c r="CT460" t="str">
        <f>""</f>
        <v/>
      </c>
      <c r="CU460" t="str">
        <f>""</f>
        <v/>
      </c>
      <c r="CV460" t="str">
        <f>""</f>
        <v/>
      </c>
      <c r="CW460" t="str">
        <f>""</f>
        <v/>
      </c>
      <c r="CX460" t="str">
        <f>""</f>
        <v/>
      </c>
      <c r="CY460" t="str">
        <f>""</f>
        <v/>
      </c>
      <c r="CZ460" t="str">
        <f>""</f>
        <v/>
      </c>
      <c r="DA460" t="str">
        <f>""</f>
        <v/>
      </c>
      <c r="DB460" t="str">
        <f>""</f>
        <v/>
      </c>
      <c r="DC460" t="str">
        <f>""</f>
        <v/>
      </c>
      <c r="DD460" t="str">
        <f>""</f>
        <v/>
      </c>
      <c r="DE460" t="str">
        <f>""</f>
        <v/>
      </c>
      <c r="DF460" t="str">
        <f>""</f>
        <v/>
      </c>
      <c r="DG460" t="str">
        <f>""</f>
        <v/>
      </c>
      <c r="DH460" t="str">
        <f>""</f>
        <v/>
      </c>
      <c r="DI460" t="str">
        <f>""</f>
        <v/>
      </c>
      <c r="DJ460" t="str">
        <f>""</f>
        <v/>
      </c>
      <c r="DK460" t="str">
        <f>""</f>
        <v/>
      </c>
      <c r="DL460" t="str">
        <f>""</f>
        <v/>
      </c>
      <c r="DM460" t="str">
        <f>""</f>
        <v/>
      </c>
      <c r="DN460" t="str">
        <f>""</f>
        <v/>
      </c>
      <c r="DO460" t="str">
        <f>""</f>
        <v/>
      </c>
      <c r="DP460" t="str">
        <f>""</f>
        <v/>
      </c>
      <c r="DQ460" t="str">
        <f>""</f>
        <v/>
      </c>
      <c r="DR460" t="str">
        <f>""</f>
        <v/>
      </c>
      <c r="DS460" t="str">
        <f>""</f>
        <v/>
      </c>
      <c r="DT460" t="str">
        <f>""</f>
        <v/>
      </c>
      <c r="DU460" t="str">
        <f>""</f>
        <v/>
      </c>
      <c r="DV460" t="str">
        <f>""</f>
        <v/>
      </c>
      <c r="DW460" t="str">
        <f>""</f>
        <v/>
      </c>
      <c r="DX460" t="str">
        <f>""</f>
        <v/>
      </c>
      <c r="DY460" t="str">
        <f>""</f>
        <v/>
      </c>
      <c r="DZ460" t="str">
        <f>""</f>
        <v/>
      </c>
      <c r="EA460" t="str">
        <f>""</f>
        <v/>
      </c>
      <c r="EB460" t="str">
        <f>""</f>
        <v/>
      </c>
      <c r="EC460" t="str">
        <f>""</f>
        <v/>
      </c>
      <c r="ED460" t="str">
        <f>""</f>
        <v/>
      </c>
      <c r="EE460" t="str">
        <f>""</f>
        <v/>
      </c>
      <c r="EF460" t="str">
        <f>""</f>
        <v/>
      </c>
      <c r="EG460" t="str">
        <f>""</f>
        <v/>
      </c>
      <c r="EH460" t="str">
        <f>""</f>
        <v/>
      </c>
      <c r="EI460" t="str">
        <f>""</f>
        <v/>
      </c>
      <c r="EJ460" t="str">
        <f>""</f>
        <v/>
      </c>
      <c r="EK460" t="str">
        <f>""</f>
        <v/>
      </c>
      <c r="EL460" t="str">
        <f>""</f>
        <v/>
      </c>
      <c r="EM460" t="str">
        <f>""</f>
        <v/>
      </c>
      <c r="EN460" t="str">
        <f>""</f>
        <v/>
      </c>
      <c r="EO460" t="str">
        <f>""</f>
        <v/>
      </c>
      <c r="EP460" t="str">
        <f>""</f>
        <v/>
      </c>
      <c r="EQ460" t="str">
        <f>""</f>
        <v/>
      </c>
      <c r="ER460" t="str">
        <f>""</f>
        <v/>
      </c>
      <c r="ES460" t="str">
        <f>""</f>
        <v/>
      </c>
      <c r="ET460" t="str">
        <f>""</f>
        <v/>
      </c>
      <c r="EU460" t="str">
        <f>""</f>
        <v/>
      </c>
      <c r="EV460" t="str">
        <f>""</f>
        <v/>
      </c>
      <c r="EW460" t="str">
        <f>""</f>
        <v/>
      </c>
      <c r="EX460" t="str">
        <f>""</f>
        <v/>
      </c>
      <c r="EY460" t="str">
        <f>""</f>
        <v/>
      </c>
      <c r="EZ460" t="str">
        <f>""</f>
        <v/>
      </c>
      <c r="FA460" t="str">
        <f>""</f>
        <v/>
      </c>
      <c r="FB460" t="str">
        <f>""</f>
        <v/>
      </c>
      <c r="FC460" t="str">
        <f>""</f>
        <v/>
      </c>
      <c r="FD460" t="str">
        <f>""</f>
        <v/>
      </c>
      <c r="FE460" t="str">
        <f>""</f>
        <v/>
      </c>
      <c r="FF460" t="str">
        <f>""</f>
        <v/>
      </c>
      <c r="FG460" t="str">
        <f>""</f>
        <v/>
      </c>
      <c r="FH460" t="str">
        <f>""</f>
        <v/>
      </c>
      <c r="FI460" t="str">
        <f>""</f>
        <v/>
      </c>
      <c r="FJ460" t="str">
        <f>""</f>
        <v/>
      </c>
      <c r="FK460" t="str">
        <f>""</f>
        <v/>
      </c>
      <c r="FL460" t="str">
        <f>""</f>
        <v/>
      </c>
      <c r="FM460" t="str">
        <f>""</f>
        <v/>
      </c>
      <c r="FN460" t="str">
        <f>""</f>
        <v/>
      </c>
      <c r="FO460" t="str">
        <f>""</f>
        <v/>
      </c>
      <c r="FP460" t="str">
        <f>""</f>
        <v/>
      </c>
      <c r="FQ460" t="str">
        <f>""</f>
        <v/>
      </c>
    </row>
    <row r="461" spans="1:173">
      <c r="A461" t="str">
        <f>"BDH dynamic header2"</f>
        <v>BDH dynamic header2</v>
      </c>
      <c r="B461">
        <f ca="1">IF(OR(ISERROR($C$461),ISBLANK($C$461),ISNUMBER(SEARCH("N/A",$C$461) ),ISERROR($C$462),ISBLANK($C$462)),0,1)</f>
        <v>0</v>
      </c>
      <c r="C461" t="str">
        <f ca="1">BDH($B$6,$C$6,$B$250,$B$251,"PER=CM","Dts=S","DtFmt=FI", "rows=2","Dir=H","Points=84","Sort=R","Days=A","Fill=B","FX=USD" )</f>
        <v>#N/A Authorization</v>
      </c>
      <c r="CL461" t="str">
        <f>""</f>
        <v/>
      </c>
      <c r="CM461" t="str">
        <f>""</f>
        <v/>
      </c>
      <c r="CN461" t="str">
        <f>""</f>
        <v/>
      </c>
      <c r="CO461" t="str">
        <f>""</f>
        <v/>
      </c>
      <c r="CP461" t="str">
        <f>""</f>
        <v/>
      </c>
      <c r="CQ461" t="str">
        <f>""</f>
        <v/>
      </c>
      <c r="CR461" t="str">
        <f>""</f>
        <v/>
      </c>
      <c r="CS461" t="str">
        <f>""</f>
        <v/>
      </c>
      <c r="CT461" t="str">
        <f>""</f>
        <v/>
      </c>
      <c r="CU461" t="str">
        <f>""</f>
        <v/>
      </c>
      <c r="CV461" t="str">
        <f>""</f>
        <v/>
      </c>
      <c r="CW461" t="str">
        <f>""</f>
        <v/>
      </c>
      <c r="CX461" t="str">
        <f>""</f>
        <v/>
      </c>
      <c r="CY461" t="str">
        <f>""</f>
        <v/>
      </c>
      <c r="CZ461" t="str">
        <f>""</f>
        <v/>
      </c>
      <c r="DA461" t="str">
        <f>""</f>
        <v/>
      </c>
      <c r="DB461" t="str">
        <f>""</f>
        <v/>
      </c>
      <c r="DC461" t="str">
        <f>""</f>
        <v/>
      </c>
      <c r="DD461" t="str">
        <f>""</f>
        <v/>
      </c>
      <c r="DE461" t="str">
        <f>""</f>
        <v/>
      </c>
      <c r="DF461" t="str">
        <f>""</f>
        <v/>
      </c>
      <c r="DG461" t="str">
        <f>""</f>
        <v/>
      </c>
      <c r="DH461" t="str">
        <f>""</f>
        <v/>
      </c>
      <c r="DI461" t="str">
        <f>""</f>
        <v/>
      </c>
      <c r="DJ461" t="str">
        <f>""</f>
        <v/>
      </c>
      <c r="DK461" t="str">
        <f>""</f>
        <v/>
      </c>
      <c r="DL461" t="str">
        <f>""</f>
        <v/>
      </c>
      <c r="DM461" t="str">
        <f>""</f>
        <v/>
      </c>
      <c r="DN461" t="str">
        <f>""</f>
        <v/>
      </c>
      <c r="DO461" t="str">
        <f>""</f>
        <v/>
      </c>
      <c r="DP461" t="str">
        <f>""</f>
        <v/>
      </c>
      <c r="DQ461" t="str">
        <f>""</f>
        <v/>
      </c>
      <c r="DR461" t="str">
        <f>""</f>
        <v/>
      </c>
      <c r="DS461" t="str">
        <f>""</f>
        <v/>
      </c>
      <c r="DT461" t="str">
        <f>""</f>
        <v/>
      </c>
      <c r="DU461" t="str">
        <f>""</f>
        <v/>
      </c>
      <c r="DV461" t="str">
        <f>""</f>
        <v/>
      </c>
      <c r="DW461" t="str">
        <f>""</f>
        <v/>
      </c>
      <c r="DX461" t="str">
        <f>""</f>
        <v/>
      </c>
      <c r="DY461" t="str">
        <f>""</f>
        <v/>
      </c>
      <c r="DZ461" t="str">
        <f>""</f>
        <v/>
      </c>
      <c r="EA461" t="str">
        <f>""</f>
        <v/>
      </c>
      <c r="EB461" t="str">
        <f>""</f>
        <v/>
      </c>
      <c r="EC461" t="str">
        <f>""</f>
        <v/>
      </c>
      <c r="ED461" t="str">
        <f>""</f>
        <v/>
      </c>
      <c r="EE461" t="str">
        <f>""</f>
        <v/>
      </c>
      <c r="EF461" t="str">
        <f>""</f>
        <v/>
      </c>
      <c r="EG461" t="str">
        <f>""</f>
        <v/>
      </c>
      <c r="EH461" t="str">
        <f>""</f>
        <v/>
      </c>
      <c r="EI461" t="str">
        <f>""</f>
        <v/>
      </c>
      <c r="EJ461" t="str">
        <f>""</f>
        <v/>
      </c>
      <c r="EK461" t="str">
        <f>""</f>
        <v/>
      </c>
      <c r="EL461" t="str">
        <f>""</f>
        <v/>
      </c>
      <c r="EM461" t="str">
        <f>""</f>
        <v/>
      </c>
      <c r="EN461" t="str">
        <f>""</f>
        <v/>
      </c>
      <c r="EO461" t="str">
        <f>""</f>
        <v/>
      </c>
      <c r="EP461" t="str">
        <f>""</f>
        <v/>
      </c>
      <c r="EQ461" t="str">
        <f>""</f>
        <v/>
      </c>
      <c r="ER461" t="str">
        <f>""</f>
        <v/>
      </c>
      <c r="ES461" t="str">
        <f>""</f>
        <v/>
      </c>
      <c r="ET461" t="str">
        <f>""</f>
        <v/>
      </c>
      <c r="EU461" t="str">
        <f>""</f>
        <v/>
      </c>
      <c r="EV461" t="str">
        <f>""</f>
        <v/>
      </c>
      <c r="EW461" t="str">
        <f>""</f>
        <v/>
      </c>
      <c r="EX461" t="str">
        <f>""</f>
        <v/>
      </c>
      <c r="EY461" t="str">
        <f>""</f>
        <v/>
      </c>
      <c r="EZ461" t="str">
        <f>""</f>
        <v/>
      </c>
      <c r="FA461" t="str">
        <f>""</f>
        <v/>
      </c>
      <c r="FB461" t="str">
        <f>""</f>
        <v/>
      </c>
      <c r="FC461" t="str">
        <f>""</f>
        <v/>
      </c>
      <c r="FD461" t="str">
        <f>""</f>
        <v/>
      </c>
      <c r="FE461" t="str">
        <f>""</f>
        <v/>
      </c>
      <c r="FF461" t="str">
        <f>""</f>
        <v/>
      </c>
      <c r="FG461" t="str">
        <f>""</f>
        <v/>
      </c>
      <c r="FH461" t="str">
        <f>""</f>
        <v/>
      </c>
      <c r="FI461" t="str">
        <f>""</f>
        <v/>
      </c>
      <c r="FJ461" t="str">
        <f>""</f>
        <v/>
      </c>
      <c r="FK461" t="str">
        <f>""</f>
        <v/>
      </c>
      <c r="FL461" t="str">
        <f>""</f>
        <v/>
      </c>
      <c r="FM461" t="str">
        <f>""</f>
        <v/>
      </c>
      <c r="FN461" t="str">
        <f>""</f>
        <v/>
      </c>
      <c r="FO461" t="str">
        <f>""</f>
        <v/>
      </c>
      <c r="FP461" t="str">
        <f>""</f>
        <v/>
      </c>
      <c r="FQ461" t="str">
        <f>""</f>
        <v/>
      </c>
    </row>
    <row r="462" spans="1:173">
      <c r="A462" t="str">
        <f>"BDH dynamic result2"</f>
        <v>BDH dynamic result2</v>
      </c>
      <c r="CL462" t="str">
        <f>""</f>
        <v/>
      </c>
      <c r="CM462" t="str">
        <f>""</f>
        <v/>
      </c>
      <c r="CN462" t="str">
        <f>""</f>
        <v/>
      </c>
      <c r="CO462" t="str">
        <f>""</f>
        <v/>
      </c>
      <c r="CP462" t="str">
        <f>""</f>
        <v/>
      </c>
      <c r="CQ462" t="str">
        <f>""</f>
        <v/>
      </c>
      <c r="CR462" t="str">
        <f>""</f>
        <v/>
      </c>
      <c r="CS462" t="str">
        <f>""</f>
        <v/>
      </c>
      <c r="CT462" t="str">
        <f>""</f>
        <v/>
      </c>
      <c r="CU462" t="str">
        <f>""</f>
        <v/>
      </c>
      <c r="CV462" t="str">
        <f>""</f>
        <v/>
      </c>
      <c r="CW462" t="str">
        <f>""</f>
        <v/>
      </c>
      <c r="CX462" t="str">
        <f>""</f>
        <v/>
      </c>
      <c r="CY462" t="str">
        <f>""</f>
        <v/>
      </c>
      <c r="CZ462" t="str">
        <f>""</f>
        <v/>
      </c>
      <c r="DA462" t="str">
        <f>""</f>
        <v/>
      </c>
      <c r="DB462" t="str">
        <f>""</f>
        <v/>
      </c>
      <c r="DC462" t="str">
        <f>""</f>
        <v/>
      </c>
      <c r="DD462" t="str">
        <f>""</f>
        <v/>
      </c>
      <c r="DE462" t="str">
        <f>""</f>
        <v/>
      </c>
      <c r="DF462" t="str">
        <f>""</f>
        <v/>
      </c>
      <c r="DG462" t="str">
        <f>""</f>
        <v/>
      </c>
      <c r="DH462" t="str">
        <f>""</f>
        <v/>
      </c>
      <c r="DI462" t="str">
        <f>""</f>
        <v/>
      </c>
      <c r="DJ462" t="str">
        <f>""</f>
        <v/>
      </c>
      <c r="DK462" t="str">
        <f>""</f>
        <v/>
      </c>
      <c r="DL462" t="str">
        <f>""</f>
        <v/>
      </c>
      <c r="DM462" t="str">
        <f>""</f>
        <v/>
      </c>
      <c r="DN462" t="str">
        <f>""</f>
        <v/>
      </c>
      <c r="DO462" t="str">
        <f>""</f>
        <v/>
      </c>
      <c r="DP462" t="str">
        <f>""</f>
        <v/>
      </c>
      <c r="DQ462" t="str">
        <f>""</f>
        <v/>
      </c>
      <c r="DR462" t="str">
        <f>""</f>
        <v/>
      </c>
      <c r="DS462" t="str">
        <f>""</f>
        <v/>
      </c>
      <c r="DT462" t="str">
        <f>""</f>
        <v/>
      </c>
      <c r="DU462" t="str">
        <f>""</f>
        <v/>
      </c>
      <c r="DV462" t="str">
        <f>""</f>
        <v/>
      </c>
      <c r="DW462" t="str">
        <f>""</f>
        <v/>
      </c>
      <c r="DX462" t="str">
        <f>""</f>
        <v/>
      </c>
      <c r="DY462" t="str">
        <f>""</f>
        <v/>
      </c>
      <c r="DZ462" t="str">
        <f>""</f>
        <v/>
      </c>
      <c r="EA462" t="str">
        <f>""</f>
        <v/>
      </c>
      <c r="EB462" t="str">
        <f>""</f>
        <v/>
      </c>
      <c r="EC462" t="str">
        <f>""</f>
        <v/>
      </c>
      <c r="ED462" t="str">
        <f>""</f>
        <v/>
      </c>
      <c r="EE462" t="str">
        <f>""</f>
        <v/>
      </c>
      <c r="EF462" t="str">
        <f>""</f>
        <v/>
      </c>
      <c r="EG462" t="str">
        <f>""</f>
        <v/>
      </c>
      <c r="EH462" t="str">
        <f>""</f>
        <v/>
      </c>
      <c r="EI462" t="str">
        <f>""</f>
        <v/>
      </c>
      <c r="EJ462" t="str">
        <f>""</f>
        <v/>
      </c>
      <c r="EK462" t="str">
        <f>""</f>
        <v/>
      </c>
      <c r="EL462" t="str">
        <f>""</f>
        <v/>
      </c>
      <c r="EM462" t="str">
        <f>""</f>
        <v/>
      </c>
      <c r="EN462" t="str">
        <f>""</f>
        <v/>
      </c>
      <c r="EO462" t="str">
        <f>""</f>
        <v/>
      </c>
      <c r="EP462" t="str">
        <f>""</f>
        <v/>
      </c>
      <c r="EQ462" t="str">
        <f>""</f>
        <v/>
      </c>
      <c r="ER462" t="str">
        <f>""</f>
        <v/>
      </c>
      <c r="ES462" t="str">
        <f>""</f>
        <v/>
      </c>
      <c r="ET462" t="str">
        <f>""</f>
        <v/>
      </c>
      <c r="EU462" t="str">
        <f>""</f>
        <v/>
      </c>
      <c r="EV462" t="str">
        <f>""</f>
        <v/>
      </c>
      <c r="EW462" t="str">
        <f>""</f>
        <v/>
      </c>
      <c r="EX462" t="str">
        <f>""</f>
        <v/>
      </c>
      <c r="EY462" t="str">
        <f>""</f>
        <v/>
      </c>
      <c r="EZ462" t="str">
        <f>""</f>
        <v/>
      </c>
      <c r="FA462" t="str">
        <f>""</f>
        <v/>
      </c>
      <c r="FB462" t="str">
        <f>""</f>
        <v/>
      </c>
      <c r="FC462" t="str">
        <f>""</f>
        <v/>
      </c>
      <c r="FD462" t="str">
        <f>""</f>
        <v/>
      </c>
      <c r="FE462" t="str">
        <f>""</f>
        <v/>
      </c>
      <c r="FF462" t="str">
        <f>""</f>
        <v/>
      </c>
      <c r="FG462" t="str">
        <f>""</f>
        <v/>
      </c>
      <c r="FH462" t="str">
        <f>""</f>
        <v/>
      </c>
      <c r="FI462" t="str">
        <f>""</f>
        <v/>
      </c>
      <c r="FJ462" t="str">
        <f>""</f>
        <v/>
      </c>
      <c r="FK462" t="str">
        <f>""</f>
        <v/>
      </c>
      <c r="FL462" t="str">
        <f>""</f>
        <v/>
      </c>
      <c r="FM462" t="str">
        <f>""</f>
        <v/>
      </c>
      <c r="FN462" t="str">
        <f>""</f>
        <v/>
      </c>
      <c r="FO462" t="str">
        <f>""</f>
        <v/>
      </c>
      <c r="FP462" t="str">
        <f>""</f>
        <v/>
      </c>
      <c r="FQ462" t="str">
        <f>""</f>
        <v/>
      </c>
    </row>
    <row r="463" spans="1:173">
      <c r="A463" t="str">
        <f>"BDH dynamic"</f>
        <v>BDH dynamic</v>
      </c>
      <c r="B463">
        <f ca="1">IF($B$457&gt;=1,$B$457,IF($B$459&gt;=1,$B$459,IF($B$461&gt;=1,$B$461,$B$448)))</f>
        <v>2</v>
      </c>
      <c r="C463" t="str">
        <f ca="1">IF($B$457&gt;=1,$C$457,IF($B$459&gt;=1,$C$459,IF($B$461&gt;=1,$C$461,$C$448)))</f>
        <v>3/2018</v>
      </c>
      <c r="D463" t="str">
        <f ca="1">IF($B$457&gt;=1,$D$457,IF($B$459&gt;=1,$D$459,IF($B$461&gt;=1,$D$461,$D$448)))</f>
        <v>2/2018</v>
      </c>
      <c r="E463" t="str">
        <f ca="1">IF($B$457&gt;=1,$E$457,IF($B$459&gt;=1,$E$459,IF($B$461&gt;=1,$E$461,$E$448)))</f>
        <v>1/2018</v>
      </c>
      <c r="F463" t="str">
        <f ca="1">IF($B$457&gt;=1,$F$457,IF($B$459&gt;=1,$F$459,IF($B$461&gt;=1,$F$461,$F$448)))</f>
        <v>12/2017</v>
      </c>
      <c r="G463" t="str">
        <f ca="1">IF($B$457&gt;=1,$G$457,IF($B$459&gt;=1,$G$459,IF($B$461&gt;=1,$G$461,$G$448)))</f>
        <v>11/2017</v>
      </c>
      <c r="H463" t="str">
        <f ca="1">IF($B$457&gt;=1,$H$457,IF($B$459&gt;=1,$H$459,IF($B$461&gt;=1,$H$461,$H$448)))</f>
        <v>10/2017</v>
      </c>
      <c r="I463" t="str">
        <f ca="1">IF($B$457&gt;=1,$I$457,IF($B$459&gt;=1,$I$459,IF($B$461&gt;=1,$I$461,$I$448)))</f>
        <v>9/2017</v>
      </c>
      <c r="J463" t="str">
        <f ca="1">IF($B$457&gt;=1,$J$457,IF($B$459&gt;=1,$J$459,IF($B$461&gt;=1,$J$461,$J$448)))</f>
        <v>8/2017</v>
      </c>
      <c r="K463" t="str">
        <f ca="1">IF($B$457&gt;=1,$K$457,IF($B$459&gt;=1,$K$459,IF($B$461&gt;=1,$K$461,$K$448)))</f>
        <v>7/2017</v>
      </c>
      <c r="L463" t="str">
        <f ca="1">IF($B$457&gt;=1,$L$457,IF($B$459&gt;=1,$L$459,IF($B$461&gt;=1,$L$461,$L$448)))</f>
        <v>6/2017</v>
      </c>
      <c r="M463" t="str">
        <f ca="1">IF($B$457&gt;=1,$M$457,IF($B$459&gt;=1,$M$459,IF($B$461&gt;=1,$M$461,$M$448)))</f>
        <v>5/2017</v>
      </c>
      <c r="N463" t="str">
        <f ca="1">IF($B$457&gt;=1,$N$457,IF($B$459&gt;=1,$N$459,IF($B$461&gt;=1,$N$461,$N$448)))</f>
        <v>4/2017</v>
      </c>
      <c r="O463" t="str">
        <f ca="1">IF($B$457&gt;=1,$O$457,IF($B$459&gt;=1,$O$459,IF($B$461&gt;=1,$O$461,$O$448)))</f>
        <v>3/2017</v>
      </c>
      <c r="P463" t="str">
        <f ca="1">IF($B$457&gt;=1,$P$457,IF($B$459&gt;=1,$P$459,IF($B$461&gt;=1,$P$461,$P$448)))</f>
        <v>2/2017</v>
      </c>
      <c r="Q463" t="str">
        <f ca="1">IF($B$457&gt;=1,$Q$457,IF($B$459&gt;=1,$Q$459,IF($B$461&gt;=1,$Q$461,$Q$448)))</f>
        <v>1/2017</v>
      </c>
      <c r="R463" t="str">
        <f ca="1">IF($B$457&gt;=1,$R$457,IF($B$459&gt;=1,$R$459,IF($B$461&gt;=1,$R$461,$R$448)))</f>
        <v>12/2016</v>
      </c>
      <c r="S463" t="str">
        <f ca="1">IF($B$457&gt;=1,$S$457,IF($B$459&gt;=1,$S$459,IF($B$461&gt;=1,$S$461,$S$448)))</f>
        <v>11/2016</v>
      </c>
      <c r="T463" t="str">
        <f ca="1">IF($B$457&gt;=1,$T$457,IF($B$459&gt;=1,$T$459,IF($B$461&gt;=1,$T$461,$T$448)))</f>
        <v>10/2016</v>
      </c>
      <c r="U463" t="str">
        <f ca="1">IF($B$457&gt;=1,$U$457,IF($B$459&gt;=1,$U$459,IF($B$461&gt;=1,$U$461,$U$448)))</f>
        <v>9/2016</v>
      </c>
      <c r="V463" t="str">
        <f ca="1">IF($B$457&gt;=1,$V$457,IF($B$459&gt;=1,$V$459,IF($B$461&gt;=1,$V$461,$V$448)))</f>
        <v>8/2016</v>
      </c>
      <c r="W463" t="str">
        <f ca="1">IF($B$457&gt;=1,$W$457,IF($B$459&gt;=1,$W$459,IF($B$461&gt;=1,$W$461,$W$448)))</f>
        <v>7/2016</v>
      </c>
      <c r="X463" t="str">
        <f ca="1">IF($B$457&gt;=1,$X$457,IF($B$459&gt;=1,$X$459,IF($B$461&gt;=1,$X$461,$X$448)))</f>
        <v>6/2016</v>
      </c>
      <c r="Y463" t="str">
        <f ca="1">IF($B$457&gt;=1,$Y$457,IF($B$459&gt;=1,$Y$459,IF($B$461&gt;=1,$Y$461,$Y$448)))</f>
        <v>5/2016</v>
      </c>
      <c r="Z463" t="str">
        <f ca="1">IF($B$457&gt;=1,$Z$457,IF($B$459&gt;=1,$Z$459,IF($B$461&gt;=1,$Z$461,$Z$448)))</f>
        <v>4/2016</v>
      </c>
      <c r="AA463" t="str">
        <f ca="1">IF($B$457&gt;=1,$AA$457,IF($B$459&gt;=1,$AA$459,IF($B$461&gt;=1,$AA$461,$AA$448)))</f>
        <v>3/2016</v>
      </c>
      <c r="AB463" t="str">
        <f ca="1">IF($B$457&gt;=1,$AB$457,IF($B$459&gt;=1,$AB$459,IF($B$461&gt;=1,$AB$461,$AB$448)))</f>
        <v>2/2016</v>
      </c>
      <c r="AC463" t="str">
        <f ca="1">IF($B$457&gt;=1,$AC$457,IF($B$459&gt;=1,$AC$459,IF($B$461&gt;=1,$AC$461,$AC$448)))</f>
        <v>1/2016</v>
      </c>
      <c r="AD463" t="str">
        <f ca="1">IF($B$457&gt;=1,$AD$457,IF($B$459&gt;=1,$AD$459,IF($B$461&gt;=1,$AD$461,$AD$448)))</f>
        <v>12/2015</v>
      </c>
      <c r="AE463" t="str">
        <f ca="1">IF($B$457&gt;=1,$AE$457,IF($B$459&gt;=1,$AE$459,IF($B$461&gt;=1,$AE$461,$AE$448)))</f>
        <v>11/2015</v>
      </c>
      <c r="AF463" t="str">
        <f ca="1">IF($B$457&gt;=1,$AF$457,IF($B$459&gt;=1,$AF$459,IF($B$461&gt;=1,$AF$461,$AF$448)))</f>
        <v>10/2015</v>
      </c>
      <c r="AG463" t="str">
        <f ca="1">IF($B$457&gt;=1,$AG$457,IF($B$459&gt;=1,$AG$459,IF($B$461&gt;=1,$AG$461,$AG$448)))</f>
        <v>9/2015</v>
      </c>
      <c r="AH463" t="str">
        <f ca="1">IF($B$457&gt;=1,$AH$457,IF($B$459&gt;=1,$AH$459,IF($B$461&gt;=1,$AH$461,$AH$448)))</f>
        <v>8/2015</v>
      </c>
      <c r="AI463" t="str">
        <f ca="1">IF($B$457&gt;=1,$AI$457,IF($B$459&gt;=1,$AI$459,IF($B$461&gt;=1,$AI$461,$AI$448)))</f>
        <v>7/2015</v>
      </c>
      <c r="AJ463" t="str">
        <f ca="1">IF($B$457&gt;=1,$AJ$457,IF($B$459&gt;=1,$AJ$459,IF($B$461&gt;=1,$AJ$461,$AJ$448)))</f>
        <v>6/2015</v>
      </c>
      <c r="AK463" t="str">
        <f ca="1">IF($B$457&gt;=1,$AK$457,IF($B$459&gt;=1,$AK$459,IF($B$461&gt;=1,$AK$461,$AK$448)))</f>
        <v>5/2015</v>
      </c>
      <c r="AL463" t="str">
        <f ca="1">IF($B$457&gt;=1,$AL$457,IF($B$459&gt;=1,$AL$459,IF($B$461&gt;=1,$AL$461,$AL$448)))</f>
        <v>4/2015</v>
      </c>
      <c r="AM463" t="str">
        <f ca="1">IF($B$457&gt;=1,$AM$457,IF($B$459&gt;=1,$AM$459,IF($B$461&gt;=1,$AM$461,$AM$448)))</f>
        <v>3/2015</v>
      </c>
      <c r="AN463" t="str">
        <f ca="1">IF($B$457&gt;=1,$AN$457,IF($B$459&gt;=1,$AN$459,IF($B$461&gt;=1,$AN$461,$AN$448)))</f>
        <v>2/2015</v>
      </c>
      <c r="AO463" t="str">
        <f ca="1">IF($B$457&gt;=1,$AO$457,IF($B$459&gt;=1,$AO$459,IF($B$461&gt;=1,$AO$461,$AO$448)))</f>
        <v>1/2015</v>
      </c>
      <c r="AP463" t="str">
        <f ca="1">IF($B$457&gt;=1,$AP$457,IF($B$459&gt;=1,$AP$459,IF($B$461&gt;=1,$AP$461,$AP$448)))</f>
        <v>12/2014</v>
      </c>
      <c r="AQ463" t="str">
        <f ca="1">IF($B$457&gt;=1,$AQ$457,IF($B$459&gt;=1,$AQ$459,IF($B$461&gt;=1,$AQ$461,$AQ$448)))</f>
        <v>11/2014</v>
      </c>
      <c r="AR463" t="str">
        <f ca="1">IF($B$457&gt;=1,$AR$457,IF($B$459&gt;=1,$AR$459,IF($B$461&gt;=1,$AR$461,$AR$448)))</f>
        <v>10/2014</v>
      </c>
      <c r="AS463" t="str">
        <f ca="1">IF($B$457&gt;=1,$AS$457,IF($B$459&gt;=1,$AS$459,IF($B$461&gt;=1,$AS$461,$AS$448)))</f>
        <v>9/2014</v>
      </c>
      <c r="AT463" t="str">
        <f ca="1">IF($B$457&gt;=1,$AT$457,IF($B$459&gt;=1,$AT$459,IF($B$461&gt;=1,$AT$461,$AT$448)))</f>
        <v>8/2014</v>
      </c>
      <c r="AU463" t="str">
        <f ca="1">IF($B$457&gt;=1,$AU$457,IF($B$459&gt;=1,$AU$459,IF($B$461&gt;=1,$AU$461,$AU$448)))</f>
        <v>7/2014</v>
      </c>
      <c r="AV463" t="str">
        <f ca="1">IF($B$457&gt;=1,$AV$457,IF($B$459&gt;=1,$AV$459,IF($B$461&gt;=1,$AV$461,$AV$448)))</f>
        <v>6/2014</v>
      </c>
      <c r="AW463" t="str">
        <f ca="1">IF($B$457&gt;=1,$AW$457,IF($B$459&gt;=1,$AW$459,IF($B$461&gt;=1,$AW$461,$AW$448)))</f>
        <v>5/2014</v>
      </c>
      <c r="AX463" t="str">
        <f ca="1">IF($B$457&gt;=1,$AX$457,IF($B$459&gt;=1,$AX$459,IF($B$461&gt;=1,$AX$461,$AX$448)))</f>
        <v>4/2014</v>
      </c>
      <c r="AY463" t="str">
        <f ca="1">IF($B$457&gt;=1,$AY$457,IF($B$459&gt;=1,$AY$459,IF($B$461&gt;=1,$AY$461,$AY$448)))</f>
        <v>3/2014</v>
      </c>
      <c r="AZ463" t="str">
        <f ca="1">IF($B$457&gt;=1,$AZ$457,IF($B$459&gt;=1,$AZ$459,IF($B$461&gt;=1,$AZ$461,$AZ$448)))</f>
        <v>2/2014</v>
      </c>
      <c r="BA463" t="str">
        <f ca="1">IF($B$457&gt;=1,$BA$457,IF($B$459&gt;=1,$BA$459,IF($B$461&gt;=1,$BA$461,$BA$448)))</f>
        <v>1/2014</v>
      </c>
      <c r="BB463" t="str">
        <f ca="1">IF($B$457&gt;=1,$BB$457,IF($B$459&gt;=1,$BB$459,IF($B$461&gt;=1,$BB$461,$BB$448)))</f>
        <v>12/2013</v>
      </c>
      <c r="BC463" t="str">
        <f ca="1">IF($B$457&gt;=1,$BC$457,IF($B$459&gt;=1,$BC$459,IF($B$461&gt;=1,$BC$461,$BC$448)))</f>
        <v>11/2013</v>
      </c>
      <c r="BD463" t="str">
        <f ca="1">IF($B$457&gt;=1,$BD$457,IF($B$459&gt;=1,$BD$459,IF($B$461&gt;=1,$BD$461,$BD$448)))</f>
        <v>10/2013</v>
      </c>
      <c r="BE463" t="str">
        <f ca="1">IF($B$457&gt;=1,$BE$457,IF($B$459&gt;=1,$BE$459,IF($B$461&gt;=1,$BE$461,$BE$448)))</f>
        <v>9/2013</v>
      </c>
      <c r="BF463" t="str">
        <f ca="1">IF($B$457&gt;=1,$BF$457,IF($B$459&gt;=1,$BF$459,IF($B$461&gt;=1,$BF$461,$BF$448)))</f>
        <v>8/2013</v>
      </c>
      <c r="BG463" t="str">
        <f ca="1">IF($B$457&gt;=1,$BG$457,IF($B$459&gt;=1,$BG$459,IF($B$461&gt;=1,$BG$461,$BG$448)))</f>
        <v>7/2013</v>
      </c>
      <c r="BH463" t="str">
        <f ca="1">IF($B$457&gt;=1,$BH$457,IF($B$459&gt;=1,$BH$459,IF($B$461&gt;=1,$BH$461,$BH$448)))</f>
        <v>6/2013</v>
      </c>
      <c r="BI463" t="str">
        <f ca="1">IF($B$457&gt;=1,$BI$457,IF($B$459&gt;=1,$BI$459,IF($B$461&gt;=1,$BI$461,$BI$448)))</f>
        <v>5/2013</v>
      </c>
      <c r="BJ463" t="str">
        <f ca="1">IF($B$457&gt;=1,$BJ$457,IF($B$459&gt;=1,$BJ$459,IF($B$461&gt;=1,$BJ$461,$BJ$448)))</f>
        <v>4/2013</v>
      </c>
      <c r="BK463" t="str">
        <f ca="1">IF($B$457&gt;=1,$BK$457,IF($B$459&gt;=1,$BK$459,IF($B$461&gt;=1,$BK$461,$BK$448)))</f>
        <v>3/2013</v>
      </c>
      <c r="BL463" t="str">
        <f ca="1">IF($B$457&gt;=1,$BL$457,IF($B$459&gt;=1,$BL$459,IF($B$461&gt;=1,$BL$461,$BL$448)))</f>
        <v>2/2013</v>
      </c>
      <c r="BM463" t="str">
        <f ca="1">IF($B$457&gt;=1,$BM$457,IF($B$459&gt;=1,$BM$459,IF($B$461&gt;=1,$BM$461,$BM$448)))</f>
        <v>1/2013</v>
      </c>
      <c r="BN463" t="str">
        <f ca="1">IF($B$457&gt;=1,$BN$457,IF($B$459&gt;=1,$BN$459,IF($B$461&gt;=1,$BN$461,$BN$448)))</f>
        <v>12/2012</v>
      </c>
      <c r="BO463" t="str">
        <f ca="1">IF($B$457&gt;=1,$BO$457,IF($B$459&gt;=1,$BO$459,IF($B$461&gt;=1,$BO$461,$BO$448)))</f>
        <v>11/2012</v>
      </c>
      <c r="BP463" t="str">
        <f ca="1">IF($B$457&gt;=1,$BP$457,IF($B$459&gt;=1,$BP$459,IF($B$461&gt;=1,$BP$461,$BP$448)))</f>
        <v>10/2012</v>
      </c>
      <c r="BQ463" t="str">
        <f ca="1">IF($B$457&gt;=1,$BQ$457,IF($B$459&gt;=1,$BQ$459,IF($B$461&gt;=1,$BQ$461,$BQ$448)))</f>
        <v>9/2012</v>
      </c>
      <c r="BR463" t="str">
        <f ca="1">IF($B$457&gt;=1,$BR$457,IF($B$459&gt;=1,$BR$459,IF($B$461&gt;=1,$BR$461,$BR$448)))</f>
        <v>8/2012</v>
      </c>
      <c r="BS463" t="str">
        <f ca="1">IF($B$457&gt;=1,$BS$457,IF($B$459&gt;=1,$BS$459,IF($B$461&gt;=1,$BS$461,$BS$448)))</f>
        <v>7/2012</v>
      </c>
      <c r="BT463" t="str">
        <f ca="1">IF($B$457&gt;=1,$BT$457,IF($B$459&gt;=1,$BT$459,IF($B$461&gt;=1,$BT$461,$BT$448)))</f>
        <v>6/2012</v>
      </c>
      <c r="BU463" t="str">
        <f ca="1">IF($B$457&gt;=1,$BU$457,IF($B$459&gt;=1,$BU$459,IF($B$461&gt;=1,$BU$461,$BU$448)))</f>
        <v>5/2012</v>
      </c>
      <c r="BV463" t="str">
        <f ca="1">IF($B$457&gt;=1,$BV$457,IF($B$459&gt;=1,$BV$459,IF($B$461&gt;=1,$BV$461,$BV$448)))</f>
        <v>4/2012</v>
      </c>
      <c r="BW463" t="str">
        <f ca="1">IF($B$457&gt;=1,$BW$457,IF($B$459&gt;=1,$BW$459,IF($B$461&gt;=1,$BW$461,$BW$448)))</f>
        <v>3/2012</v>
      </c>
      <c r="BX463" t="str">
        <f ca="1">IF($B$457&gt;=1,$BX$457,IF($B$459&gt;=1,$BX$459,IF($B$461&gt;=1,$BX$461,$BX$448)))</f>
        <v>2/2012</v>
      </c>
      <c r="BY463" t="str">
        <f ca="1">IF($B$457&gt;=1,$BY$457,IF($B$459&gt;=1,$BY$459,IF($B$461&gt;=1,$BY$461,$BY$448)))</f>
        <v>1/2012</v>
      </c>
      <c r="BZ463" t="str">
        <f ca="1">IF($B$457&gt;=1,$BZ$457,IF($B$459&gt;=1,$BZ$459,IF($B$461&gt;=1,$BZ$461,$BZ$448)))</f>
        <v>12/2011</v>
      </c>
      <c r="CA463" t="str">
        <f ca="1">IF($B$457&gt;=1,$CA$457,IF($B$459&gt;=1,$CA$459,IF($B$461&gt;=1,$CA$461,$CA$448)))</f>
        <v>11/2011</v>
      </c>
      <c r="CB463" t="str">
        <f ca="1">IF($B$457&gt;=1,$CB$457,IF($B$459&gt;=1,$CB$459,IF($B$461&gt;=1,$CB$461,$CB$448)))</f>
        <v>10/2011</v>
      </c>
      <c r="CC463" t="str">
        <f ca="1">IF($B$457&gt;=1,$CC$457,IF($B$459&gt;=1,$CC$459,IF($B$461&gt;=1,$CC$461,$CC$448)))</f>
        <v>9/2011</v>
      </c>
      <c r="CD463" t="str">
        <f ca="1">IF($B$457&gt;=1,$CD$457,IF($B$459&gt;=1,$CD$459,IF($B$461&gt;=1,$CD$461,$CD$448)))</f>
        <v>8/2011</v>
      </c>
      <c r="CE463" t="str">
        <f ca="1">IF($B$457&gt;=1,$CE$457,IF($B$459&gt;=1,$CE$459,IF($B$461&gt;=1,$CE$461,$CE$448)))</f>
        <v>7/2011</v>
      </c>
      <c r="CF463" t="str">
        <f ca="1">IF($B$457&gt;=1,$CF$457,IF($B$459&gt;=1,$CF$459,IF($B$461&gt;=1,$CF$461,$CF$448)))</f>
        <v>6/2011</v>
      </c>
      <c r="CG463" t="str">
        <f ca="1">IF($B$457&gt;=1,$CG$457,IF($B$459&gt;=1,$CG$459,IF($B$461&gt;=1,$CG$461,$CG$448)))</f>
        <v>5/2011</v>
      </c>
      <c r="CH463" t="str">
        <f ca="1">IF($B$457&gt;=1,$CH$457,IF($B$459&gt;=1,$CH$459,IF($B$461&gt;=1,$CH$461,$CH$448)))</f>
        <v>4/2011</v>
      </c>
      <c r="CL463" t="str">
        <f>""</f>
        <v/>
      </c>
      <c r="CM463" t="str">
        <f>""</f>
        <v/>
      </c>
      <c r="CN463" t="str">
        <f>""</f>
        <v/>
      </c>
      <c r="CO463" t="str">
        <f>""</f>
        <v/>
      </c>
      <c r="CP463" t="str">
        <f>""</f>
        <v/>
      </c>
      <c r="CQ463" t="str">
        <f>""</f>
        <v/>
      </c>
      <c r="CR463" t="str">
        <f>""</f>
        <v/>
      </c>
      <c r="CS463" t="str">
        <f>""</f>
        <v/>
      </c>
      <c r="CT463" t="str">
        <f>""</f>
        <v/>
      </c>
      <c r="CU463" t="str">
        <f>""</f>
        <v/>
      </c>
      <c r="CV463" t="str">
        <f>""</f>
        <v/>
      </c>
      <c r="CW463" t="str">
        <f>""</f>
        <v/>
      </c>
      <c r="CX463" t="str">
        <f>""</f>
        <v/>
      </c>
      <c r="CY463" t="str">
        <f>""</f>
        <v/>
      </c>
      <c r="CZ463" t="str">
        <f>""</f>
        <v/>
      </c>
      <c r="DA463" t="str">
        <f>""</f>
        <v/>
      </c>
      <c r="DB463" t="str">
        <f>""</f>
        <v/>
      </c>
      <c r="DC463" t="str">
        <f>""</f>
        <v/>
      </c>
      <c r="DD463" t="str">
        <f>""</f>
        <v/>
      </c>
      <c r="DE463" t="str">
        <f>""</f>
        <v/>
      </c>
      <c r="DF463" t="str">
        <f>""</f>
        <v/>
      </c>
      <c r="DG463" t="str">
        <f>""</f>
        <v/>
      </c>
      <c r="DH463" t="str">
        <f>""</f>
        <v/>
      </c>
      <c r="DI463" t="str">
        <f>""</f>
        <v/>
      </c>
      <c r="DJ463" t="str">
        <f>""</f>
        <v/>
      </c>
      <c r="DK463" t="str">
        <f>""</f>
        <v/>
      </c>
      <c r="DL463" t="str">
        <f>""</f>
        <v/>
      </c>
      <c r="DM463" t="str">
        <f>""</f>
        <v/>
      </c>
      <c r="DN463" t="str">
        <f>""</f>
        <v/>
      </c>
      <c r="DO463" t="str">
        <f>""</f>
        <v/>
      </c>
      <c r="DP463" t="str">
        <f>""</f>
        <v/>
      </c>
      <c r="DQ463" t="str">
        <f>""</f>
        <v/>
      </c>
      <c r="DR463" t="str">
        <f>""</f>
        <v/>
      </c>
      <c r="DS463" t="str">
        <f>""</f>
        <v/>
      </c>
      <c r="DT463" t="str">
        <f>""</f>
        <v/>
      </c>
      <c r="DU463" t="str">
        <f>""</f>
        <v/>
      </c>
      <c r="DV463" t="str">
        <f>""</f>
        <v/>
      </c>
      <c r="DW463" t="str">
        <f>""</f>
        <v/>
      </c>
      <c r="DX463" t="str">
        <f>""</f>
        <v/>
      </c>
      <c r="DY463" t="str">
        <f>""</f>
        <v/>
      </c>
      <c r="DZ463" t="str">
        <f>""</f>
        <v/>
      </c>
      <c r="EA463" t="str">
        <f>""</f>
        <v/>
      </c>
      <c r="EB463" t="str">
        <f>""</f>
        <v/>
      </c>
      <c r="EC463" t="str">
        <f>""</f>
        <v/>
      </c>
      <c r="ED463" t="str">
        <f>""</f>
        <v/>
      </c>
      <c r="EE463" t="str">
        <f>""</f>
        <v/>
      </c>
      <c r="EF463" t="str">
        <f>""</f>
        <v/>
      </c>
      <c r="EG463" t="str">
        <f>""</f>
        <v/>
      </c>
      <c r="EH463" t="str">
        <f>""</f>
        <v/>
      </c>
      <c r="EI463" t="str">
        <f>""</f>
        <v/>
      </c>
      <c r="EJ463" t="str">
        <f>""</f>
        <v/>
      </c>
      <c r="EK463" t="str">
        <f>""</f>
        <v/>
      </c>
      <c r="EL463" t="str">
        <f>""</f>
        <v/>
      </c>
      <c r="EM463" t="str">
        <f>""</f>
        <v/>
      </c>
      <c r="EN463" t="str">
        <f>""</f>
        <v/>
      </c>
      <c r="EO463" t="str">
        <f>""</f>
        <v/>
      </c>
      <c r="EP463" t="str">
        <f>""</f>
        <v/>
      </c>
      <c r="EQ463" t="str">
        <f>""</f>
        <v/>
      </c>
      <c r="ER463" t="str">
        <f>""</f>
        <v/>
      </c>
      <c r="ES463" t="str">
        <f>""</f>
        <v/>
      </c>
      <c r="ET463" t="str">
        <f>""</f>
        <v/>
      </c>
      <c r="EU463" t="str">
        <f>""</f>
        <v/>
      </c>
      <c r="EV463" t="str">
        <f>""</f>
        <v/>
      </c>
      <c r="EW463" t="str">
        <f>""</f>
        <v/>
      </c>
      <c r="EX463" t="str">
        <f>""</f>
        <v/>
      </c>
      <c r="EY463" t="str">
        <f>""</f>
        <v/>
      </c>
      <c r="EZ463" t="str">
        <f>""</f>
        <v/>
      </c>
      <c r="FA463" t="str">
        <f>""</f>
        <v/>
      </c>
      <c r="FB463" t="str">
        <f>""</f>
        <v/>
      </c>
      <c r="FC463" t="str">
        <f>""</f>
        <v/>
      </c>
      <c r="FD463" t="str">
        <f>""</f>
        <v/>
      </c>
      <c r="FE463" t="str">
        <f>""</f>
        <v/>
      </c>
      <c r="FF463" t="str">
        <f>""</f>
        <v/>
      </c>
      <c r="FG463" t="str">
        <f>""</f>
        <v/>
      </c>
      <c r="FH463" t="str">
        <f>""</f>
        <v/>
      </c>
      <c r="FI463" t="str">
        <f>""</f>
        <v/>
      </c>
      <c r="FJ463" t="str">
        <f>""</f>
        <v/>
      </c>
      <c r="FK463" t="str">
        <f>""</f>
        <v/>
      </c>
      <c r="FL463" t="str">
        <f>""</f>
        <v/>
      </c>
      <c r="FM463" t="str">
        <f>""</f>
        <v/>
      </c>
      <c r="FN463" t="str">
        <f>""</f>
        <v/>
      </c>
      <c r="FO463" t="str">
        <f>""</f>
        <v/>
      </c>
      <c r="FP463" t="str">
        <f>""</f>
        <v/>
      </c>
      <c r="FQ463" t="str">
        <f>""</f>
        <v/>
      </c>
    </row>
    <row r="464" spans="1:173">
      <c r="A464" t="str">
        <f>"BDH dynamic title"</f>
        <v>BDH dynamic title</v>
      </c>
      <c r="B464">
        <f ca="1">$B$463</f>
        <v>2</v>
      </c>
      <c r="C464" t="str">
        <f ca="1">$C$463</f>
        <v>3/2018</v>
      </c>
      <c r="D464" t="str">
        <f ca="1">$D$463</f>
        <v>2/2018</v>
      </c>
      <c r="E464" t="str">
        <f ca="1">$E$463</f>
        <v>1/2018</v>
      </c>
      <c r="F464" t="str">
        <f ca="1">$F$463</f>
        <v>12/2017</v>
      </c>
      <c r="G464" t="str">
        <f ca="1">$G$463</f>
        <v>11/2017</v>
      </c>
      <c r="H464" t="str">
        <f ca="1">$H$463</f>
        <v>10/2017</v>
      </c>
      <c r="I464" t="str">
        <f ca="1">$I$463</f>
        <v>9/2017</v>
      </c>
      <c r="J464" t="str">
        <f ca="1">$J$463</f>
        <v>8/2017</v>
      </c>
      <c r="K464" t="str">
        <f ca="1">$K$463</f>
        <v>7/2017</v>
      </c>
      <c r="L464" t="str">
        <f ca="1">$L$463</f>
        <v>6/2017</v>
      </c>
      <c r="M464" t="str">
        <f ca="1">$M$463</f>
        <v>5/2017</v>
      </c>
      <c r="N464" t="str">
        <f ca="1">$N$463</f>
        <v>4/2017</v>
      </c>
      <c r="O464" t="str">
        <f ca="1">$O$463</f>
        <v>3/2017</v>
      </c>
      <c r="P464" t="str">
        <f ca="1">$P$463</f>
        <v>2/2017</v>
      </c>
      <c r="Q464" t="str">
        <f ca="1">$Q$463</f>
        <v>1/2017</v>
      </c>
      <c r="R464" t="str">
        <f ca="1">$R$463</f>
        <v>12/2016</v>
      </c>
      <c r="S464" t="str">
        <f ca="1">$S$463</f>
        <v>11/2016</v>
      </c>
      <c r="T464" t="str">
        <f ca="1">$T$463</f>
        <v>10/2016</v>
      </c>
      <c r="U464" t="str">
        <f ca="1">$U$463</f>
        <v>9/2016</v>
      </c>
      <c r="V464" t="str">
        <f ca="1">$V$463</f>
        <v>8/2016</v>
      </c>
      <c r="W464" t="str">
        <f ca="1">$W$463</f>
        <v>7/2016</v>
      </c>
      <c r="X464" t="str">
        <f ca="1">$X$463</f>
        <v>6/2016</v>
      </c>
      <c r="Y464" t="str">
        <f ca="1">$Y$463</f>
        <v>5/2016</v>
      </c>
      <c r="Z464" t="str">
        <f ca="1">$Z$463</f>
        <v>4/2016</v>
      </c>
      <c r="AA464" t="str">
        <f ca="1">$AA$463</f>
        <v>3/2016</v>
      </c>
      <c r="AB464" t="str">
        <f ca="1">$AB$463</f>
        <v>2/2016</v>
      </c>
      <c r="AC464" t="str">
        <f ca="1">$AC$463</f>
        <v>1/2016</v>
      </c>
      <c r="AD464" t="str">
        <f ca="1">$AD$463</f>
        <v>12/2015</v>
      </c>
      <c r="AE464" t="str">
        <f ca="1">$AE$463</f>
        <v>11/2015</v>
      </c>
      <c r="AF464" t="str">
        <f ca="1">$AF$463</f>
        <v>10/2015</v>
      </c>
      <c r="AG464" t="str">
        <f ca="1">$AG$463</f>
        <v>9/2015</v>
      </c>
      <c r="AH464" t="str">
        <f ca="1">$AH$463</f>
        <v>8/2015</v>
      </c>
      <c r="AI464" t="str">
        <f ca="1">$AI$463</f>
        <v>7/2015</v>
      </c>
      <c r="AJ464" t="str">
        <f ca="1">$AJ$463</f>
        <v>6/2015</v>
      </c>
      <c r="AK464" t="str">
        <f ca="1">$AK$463</f>
        <v>5/2015</v>
      </c>
      <c r="AL464" t="str">
        <f ca="1">$AL$463</f>
        <v>4/2015</v>
      </c>
      <c r="AM464" t="str">
        <f ca="1">$AM$463</f>
        <v>3/2015</v>
      </c>
      <c r="AN464" t="str">
        <f ca="1">$AN$463</f>
        <v>2/2015</v>
      </c>
      <c r="AO464" t="str">
        <f ca="1">$AO$463</f>
        <v>1/2015</v>
      </c>
      <c r="AP464" t="str">
        <f ca="1">$AP$463</f>
        <v>12/2014</v>
      </c>
      <c r="AQ464" t="str">
        <f ca="1">$AQ$463</f>
        <v>11/2014</v>
      </c>
      <c r="AR464" t="str">
        <f ca="1">$AR$463</f>
        <v>10/2014</v>
      </c>
      <c r="AS464" t="str">
        <f ca="1">$AS$463</f>
        <v>9/2014</v>
      </c>
      <c r="AT464" t="str">
        <f ca="1">$AT$463</f>
        <v>8/2014</v>
      </c>
      <c r="AU464" t="str">
        <f ca="1">$AU$463</f>
        <v>7/2014</v>
      </c>
      <c r="AV464" t="str">
        <f ca="1">$AV$463</f>
        <v>6/2014</v>
      </c>
      <c r="AW464" t="str">
        <f ca="1">$AW$463</f>
        <v>5/2014</v>
      </c>
      <c r="AX464" t="str">
        <f ca="1">$AX$463</f>
        <v>4/2014</v>
      </c>
      <c r="AY464" t="str">
        <f ca="1">$AY$463</f>
        <v>3/2014</v>
      </c>
      <c r="AZ464" t="str">
        <f ca="1">$AZ$463</f>
        <v>2/2014</v>
      </c>
      <c r="BA464" t="str">
        <f ca="1">$BA$463</f>
        <v>1/2014</v>
      </c>
      <c r="BB464" t="str">
        <f ca="1">$BB$463</f>
        <v>12/2013</v>
      </c>
      <c r="BC464" t="str">
        <f ca="1">$BC$463</f>
        <v>11/2013</v>
      </c>
      <c r="BD464" t="str">
        <f ca="1">$BD$463</f>
        <v>10/2013</v>
      </c>
      <c r="BE464" t="str">
        <f ca="1">$BE$463</f>
        <v>9/2013</v>
      </c>
      <c r="BF464" t="str">
        <f ca="1">$BF$463</f>
        <v>8/2013</v>
      </c>
      <c r="BG464" t="str">
        <f ca="1">$BG$463</f>
        <v>7/2013</v>
      </c>
      <c r="BH464" t="str">
        <f ca="1">$BH$463</f>
        <v>6/2013</v>
      </c>
      <c r="BI464" t="str">
        <f ca="1">$BI$463</f>
        <v>5/2013</v>
      </c>
      <c r="BJ464" t="str">
        <f ca="1">$BJ$463</f>
        <v>4/2013</v>
      </c>
      <c r="BK464" t="str">
        <f ca="1">$BK$463</f>
        <v>3/2013</v>
      </c>
      <c r="BL464" t="str">
        <f ca="1">$BL$463</f>
        <v>2/2013</v>
      </c>
      <c r="BM464" t="str">
        <f ca="1">$BM$463</f>
        <v>1/2013</v>
      </c>
      <c r="BN464" t="str">
        <f ca="1">$BN$463</f>
        <v>12/2012</v>
      </c>
      <c r="BO464" t="str">
        <f ca="1">$BO$463</f>
        <v>11/2012</v>
      </c>
      <c r="BP464" t="str">
        <f ca="1">$BP$463</f>
        <v>10/2012</v>
      </c>
      <c r="BQ464" t="str">
        <f ca="1">$BQ$463</f>
        <v>9/2012</v>
      </c>
      <c r="BR464" t="str">
        <f ca="1">$BR$463</f>
        <v>8/2012</v>
      </c>
      <c r="BS464" t="str">
        <f ca="1">$BS$463</f>
        <v>7/2012</v>
      </c>
      <c r="BT464" t="str">
        <f ca="1">$BT$463</f>
        <v>6/2012</v>
      </c>
      <c r="BU464" t="str">
        <f ca="1">$BU$463</f>
        <v>5/2012</v>
      </c>
      <c r="BV464" t="str">
        <f ca="1">$BV$463</f>
        <v>4/2012</v>
      </c>
      <c r="BW464" t="str">
        <f ca="1">$BW$463</f>
        <v>3/2012</v>
      </c>
      <c r="BX464" t="str">
        <f ca="1">$BX$463</f>
        <v>2/2012</v>
      </c>
      <c r="BY464" t="str">
        <f ca="1">$BY$463</f>
        <v>1/2012</v>
      </c>
      <c r="BZ464" t="str">
        <f ca="1">$BZ$463</f>
        <v>12/2011</v>
      </c>
      <c r="CA464" t="str">
        <f ca="1">$CA$463</f>
        <v>11/2011</v>
      </c>
      <c r="CB464" t="str">
        <f ca="1">$CB$463</f>
        <v>10/2011</v>
      </c>
      <c r="CC464" t="str">
        <f ca="1">$CC$463</f>
        <v>9/2011</v>
      </c>
      <c r="CD464" t="str">
        <f ca="1">$CD$463</f>
        <v>8/2011</v>
      </c>
      <c r="CE464" t="str">
        <f ca="1">$CE$463</f>
        <v>7/2011</v>
      </c>
      <c r="CF464" t="str">
        <f ca="1">$CF$463</f>
        <v>6/2011</v>
      </c>
      <c r="CG464" t="str">
        <f ca="1">$CG$463</f>
        <v>5/2011</v>
      </c>
      <c r="CH464" t="str">
        <f ca="1">$CH$463</f>
        <v>4/2011</v>
      </c>
      <c r="CL464" t="str">
        <f>""</f>
        <v/>
      </c>
      <c r="CM464" t="str">
        <f>""</f>
        <v/>
      </c>
      <c r="CN464" t="str">
        <f>""</f>
        <v/>
      </c>
      <c r="CO464" t="str">
        <f>""</f>
        <v/>
      </c>
      <c r="CP464" t="str">
        <f>""</f>
        <v/>
      </c>
      <c r="CQ464" t="str">
        <f>""</f>
        <v/>
      </c>
      <c r="CR464" t="str">
        <f>""</f>
        <v/>
      </c>
      <c r="CS464" t="str">
        <f>""</f>
        <v/>
      </c>
      <c r="CT464" t="str">
        <f>""</f>
        <v/>
      </c>
      <c r="CU464" t="str">
        <f>""</f>
        <v/>
      </c>
      <c r="CV464" t="str">
        <f>""</f>
        <v/>
      </c>
      <c r="CW464" t="str">
        <f>""</f>
        <v/>
      </c>
      <c r="CX464" t="str">
        <f>""</f>
        <v/>
      </c>
      <c r="CY464" t="str">
        <f>""</f>
        <v/>
      </c>
      <c r="CZ464" t="str">
        <f>""</f>
        <v/>
      </c>
      <c r="DA464" t="str">
        <f>""</f>
        <v/>
      </c>
      <c r="DB464" t="str">
        <f>""</f>
        <v/>
      </c>
      <c r="DC464" t="str">
        <f>""</f>
        <v/>
      </c>
      <c r="DD464" t="str">
        <f>""</f>
        <v/>
      </c>
      <c r="DE464" t="str">
        <f>""</f>
        <v/>
      </c>
      <c r="DF464" t="str">
        <f>""</f>
        <v/>
      </c>
      <c r="DG464" t="str">
        <f>""</f>
        <v/>
      </c>
      <c r="DH464" t="str">
        <f>""</f>
        <v/>
      </c>
      <c r="DI464" t="str">
        <f>""</f>
        <v/>
      </c>
      <c r="DJ464" t="str">
        <f>""</f>
        <v/>
      </c>
      <c r="DK464" t="str">
        <f>""</f>
        <v/>
      </c>
      <c r="DL464" t="str">
        <f>""</f>
        <v/>
      </c>
      <c r="DM464" t="str">
        <f>""</f>
        <v/>
      </c>
      <c r="DN464" t="str">
        <f>""</f>
        <v/>
      </c>
      <c r="DO464" t="str">
        <f>""</f>
        <v/>
      </c>
      <c r="DP464" t="str">
        <f>""</f>
        <v/>
      </c>
      <c r="DQ464" t="str">
        <f>""</f>
        <v/>
      </c>
      <c r="DR464" t="str">
        <f>""</f>
        <v/>
      </c>
      <c r="DS464" t="str">
        <f>""</f>
        <v/>
      </c>
      <c r="DT464" t="str">
        <f>""</f>
        <v/>
      </c>
      <c r="DU464" t="str">
        <f>""</f>
        <v/>
      </c>
      <c r="DV464" t="str">
        <f>""</f>
        <v/>
      </c>
      <c r="DW464" t="str">
        <f>""</f>
        <v/>
      </c>
      <c r="DX464" t="str">
        <f>""</f>
        <v/>
      </c>
      <c r="DY464" t="str">
        <f>""</f>
        <v/>
      </c>
      <c r="DZ464" t="str">
        <f>""</f>
        <v/>
      </c>
      <c r="EA464" t="str">
        <f>""</f>
        <v/>
      </c>
      <c r="EB464" t="str">
        <f>""</f>
        <v/>
      </c>
      <c r="EC464" t="str">
        <f>""</f>
        <v/>
      </c>
      <c r="ED464" t="str">
        <f>""</f>
        <v/>
      </c>
      <c r="EE464" t="str">
        <f>""</f>
        <v/>
      </c>
      <c r="EF464" t="str">
        <f>""</f>
        <v/>
      </c>
      <c r="EG464" t="str">
        <f>""</f>
        <v/>
      </c>
      <c r="EH464" t="str">
        <f>""</f>
        <v/>
      </c>
      <c r="EI464" t="str">
        <f>""</f>
        <v/>
      </c>
      <c r="EJ464" t="str">
        <f>""</f>
        <v/>
      </c>
      <c r="EK464" t="str">
        <f>""</f>
        <v/>
      </c>
      <c r="EL464" t="str">
        <f>""</f>
        <v/>
      </c>
      <c r="EM464" t="str">
        <f>""</f>
        <v/>
      </c>
      <c r="EN464" t="str">
        <f>""</f>
        <v/>
      </c>
      <c r="EO464" t="str">
        <f>""</f>
        <v/>
      </c>
      <c r="EP464" t="str">
        <f>""</f>
        <v/>
      </c>
      <c r="EQ464" t="str">
        <f>""</f>
        <v/>
      </c>
      <c r="ER464" t="str">
        <f>""</f>
        <v/>
      </c>
      <c r="ES464" t="str">
        <f>""</f>
        <v/>
      </c>
      <c r="ET464" t="str">
        <f>""</f>
        <v/>
      </c>
      <c r="EU464" t="str">
        <f>""</f>
        <v/>
      </c>
      <c r="EV464" t="str">
        <f>""</f>
        <v/>
      </c>
      <c r="EW464" t="str">
        <f>""</f>
        <v/>
      </c>
      <c r="EX464" t="str">
        <f>""</f>
        <v/>
      </c>
      <c r="EY464" t="str">
        <f>""</f>
        <v/>
      </c>
      <c r="EZ464" t="str">
        <f>""</f>
        <v/>
      </c>
      <c r="FA464" t="str">
        <f>""</f>
        <v/>
      </c>
      <c r="FB464" t="str">
        <f>""</f>
        <v/>
      </c>
      <c r="FC464" t="str">
        <f>""</f>
        <v/>
      </c>
      <c r="FD464" t="str">
        <f>""</f>
        <v/>
      </c>
      <c r="FE464" t="str">
        <f>""</f>
        <v/>
      </c>
      <c r="FF464" t="str">
        <f>""</f>
        <v/>
      </c>
      <c r="FG464" t="str">
        <f>""</f>
        <v/>
      </c>
      <c r="FH464" t="str">
        <f>""</f>
        <v/>
      </c>
      <c r="FI464" t="str">
        <f>""</f>
        <v/>
      </c>
      <c r="FJ464" t="str">
        <f>""</f>
        <v/>
      </c>
      <c r="FK464" t="str">
        <f>""</f>
        <v/>
      </c>
      <c r="FL464" t="str">
        <f>""</f>
        <v/>
      </c>
      <c r="FM464" t="str">
        <f>""</f>
        <v/>
      </c>
      <c r="FN464" t="str">
        <f>""</f>
        <v/>
      </c>
      <c r="FO464" t="str">
        <f>""</f>
        <v/>
      </c>
      <c r="FP464" t="str">
        <f>""</f>
        <v/>
      </c>
      <c r="FQ464" t="str">
        <f>""</f>
        <v/>
      </c>
    </row>
    <row r="465" spans="1:173">
      <c r="A465" t="str">
        <f>"No error found"</f>
        <v>No error found</v>
      </c>
      <c r="B465" t="str">
        <f>""</f>
        <v/>
      </c>
      <c r="C465" t="str">
        <f>""</f>
        <v/>
      </c>
      <c r="D465" t="str">
        <f>""</f>
        <v/>
      </c>
      <c r="E465" t="str">
        <f>""</f>
        <v/>
      </c>
      <c r="CL465" t="str">
        <f>""</f>
        <v/>
      </c>
      <c r="CM465" t="str">
        <f>""</f>
        <v/>
      </c>
      <c r="CN465" t="str">
        <f>""</f>
        <v/>
      </c>
      <c r="CO465" t="str">
        <f>""</f>
        <v/>
      </c>
      <c r="CP465" t="str">
        <f>""</f>
        <v/>
      </c>
      <c r="CQ465" t="str">
        <f>""</f>
        <v/>
      </c>
      <c r="CR465" t="str">
        <f>""</f>
        <v/>
      </c>
      <c r="CS465" t="str">
        <f>""</f>
        <v/>
      </c>
      <c r="CT465" t="str">
        <f>""</f>
        <v/>
      </c>
      <c r="CU465" t="str">
        <f>""</f>
        <v/>
      </c>
      <c r="CV465" t="str">
        <f>""</f>
        <v/>
      </c>
      <c r="CW465" t="str">
        <f>""</f>
        <v/>
      </c>
      <c r="CX465" t="str">
        <f>""</f>
        <v/>
      </c>
      <c r="CY465" t="str">
        <f>""</f>
        <v/>
      </c>
      <c r="CZ465" t="str">
        <f>""</f>
        <v/>
      </c>
      <c r="DA465" t="str">
        <f>""</f>
        <v/>
      </c>
      <c r="DB465" t="str">
        <f>""</f>
        <v/>
      </c>
      <c r="DC465" t="str">
        <f>""</f>
        <v/>
      </c>
      <c r="DD465" t="str">
        <f>""</f>
        <v/>
      </c>
      <c r="DE465" t="str">
        <f>""</f>
        <v/>
      </c>
      <c r="DF465" t="str">
        <f>""</f>
        <v/>
      </c>
      <c r="DG465" t="str">
        <f>""</f>
        <v/>
      </c>
      <c r="DH465" t="str">
        <f>""</f>
        <v/>
      </c>
      <c r="DI465" t="str">
        <f>""</f>
        <v/>
      </c>
      <c r="DJ465" t="str">
        <f>""</f>
        <v/>
      </c>
      <c r="DK465" t="str">
        <f>""</f>
        <v/>
      </c>
      <c r="DL465" t="str">
        <f>""</f>
        <v/>
      </c>
      <c r="DM465" t="str">
        <f>""</f>
        <v/>
      </c>
      <c r="DN465" t="str">
        <f>""</f>
        <v/>
      </c>
      <c r="DO465" t="str">
        <f>""</f>
        <v/>
      </c>
      <c r="DP465" t="str">
        <f>""</f>
        <v/>
      </c>
      <c r="DQ465" t="str">
        <f>""</f>
        <v/>
      </c>
      <c r="DR465" t="str">
        <f>""</f>
        <v/>
      </c>
      <c r="DS465" t="str">
        <f>""</f>
        <v/>
      </c>
      <c r="DT465" t="str">
        <f>""</f>
        <v/>
      </c>
      <c r="DU465" t="str">
        <f>""</f>
        <v/>
      </c>
      <c r="DV465" t="str">
        <f>""</f>
        <v/>
      </c>
      <c r="DW465" t="str">
        <f>""</f>
        <v/>
      </c>
      <c r="DX465" t="str">
        <f>""</f>
        <v/>
      </c>
      <c r="DY465" t="str">
        <f>""</f>
        <v/>
      </c>
      <c r="DZ465" t="str">
        <f>""</f>
        <v/>
      </c>
      <c r="EA465" t="str">
        <f>""</f>
        <v/>
      </c>
      <c r="EB465" t="str">
        <f>""</f>
        <v/>
      </c>
      <c r="EC465" t="str">
        <f>""</f>
        <v/>
      </c>
      <c r="ED465" t="str">
        <f>""</f>
        <v/>
      </c>
      <c r="EE465" t="str">
        <f>""</f>
        <v/>
      </c>
      <c r="EF465" t="str">
        <f>""</f>
        <v/>
      </c>
      <c r="EG465" t="str">
        <f>""</f>
        <v/>
      </c>
      <c r="EH465" t="str">
        <f>""</f>
        <v/>
      </c>
      <c r="EI465" t="str">
        <f>""</f>
        <v/>
      </c>
      <c r="EJ465" t="str">
        <f>""</f>
        <v/>
      </c>
      <c r="EK465" t="str">
        <f>""</f>
        <v/>
      </c>
      <c r="EL465" t="str">
        <f>""</f>
        <v/>
      </c>
      <c r="EM465" t="str">
        <f>""</f>
        <v/>
      </c>
      <c r="EN465" t="str">
        <f>""</f>
        <v/>
      </c>
      <c r="EO465" t="str">
        <f>""</f>
        <v/>
      </c>
      <c r="EP465" t="str">
        <f>""</f>
        <v/>
      </c>
      <c r="EQ465" t="str">
        <f>""</f>
        <v/>
      </c>
      <c r="ER465" t="str">
        <f>""</f>
        <v/>
      </c>
      <c r="ES465" t="str">
        <f>""</f>
        <v/>
      </c>
      <c r="ET465" t="str">
        <f>""</f>
        <v/>
      </c>
      <c r="EU465" t="str">
        <f>""</f>
        <v/>
      </c>
      <c r="EV465" t="str">
        <f>""</f>
        <v/>
      </c>
      <c r="EW465" t="str">
        <f>""</f>
        <v/>
      </c>
      <c r="EX465" t="str">
        <f>""</f>
        <v/>
      </c>
      <c r="EY465" t="str">
        <f>""</f>
        <v/>
      </c>
      <c r="EZ465" t="str">
        <f>""</f>
        <v/>
      </c>
      <c r="FA465" t="str">
        <f>""</f>
        <v/>
      </c>
      <c r="FB465" t="str">
        <f>""</f>
        <v/>
      </c>
      <c r="FC465" t="str">
        <f>""</f>
        <v/>
      </c>
      <c r="FD465" t="str">
        <f>""</f>
        <v/>
      </c>
      <c r="FE465" t="str">
        <f>""</f>
        <v/>
      </c>
      <c r="FF465" t="str">
        <f>""</f>
        <v/>
      </c>
      <c r="FG465" t="str">
        <f>""</f>
        <v/>
      </c>
      <c r="FH465" t="str">
        <f>""</f>
        <v/>
      </c>
      <c r="FI465" t="str">
        <f>""</f>
        <v/>
      </c>
      <c r="FJ465" t="str">
        <f>""</f>
        <v/>
      </c>
      <c r="FK465" t="str">
        <f>""</f>
        <v/>
      </c>
      <c r="FL465" t="str">
        <f>""</f>
        <v/>
      </c>
      <c r="FM465" t="str">
        <f>""</f>
        <v/>
      </c>
      <c r="FN465" t="str">
        <f>""</f>
        <v/>
      </c>
      <c r="FO465" t="str">
        <f>""</f>
        <v/>
      </c>
      <c r="FP465" t="str">
        <f>""</f>
        <v/>
      </c>
      <c r="FQ465" t="str">
        <f>""</f>
        <v/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5"/>
  <sheetViews>
    <sheetView workbookViewId="0"/>
  </sheetViews>
  <sheetFormatPr defaultRowHeight="13.5"/>
  <cols>
    <col min="1" max="1" width="9.125" bestFit="1" customWidth="1"/>
  </cols>
  <sheetData>
    <row r="1" spans="1:1" ht="15">
      <c r="A1" s="1"/>
    </row>
    <row r="2" spans="1:1">
      <c r="A2" t="s">
        <v>0</v>
      </c>
    </row>
    <row r="3" spans="1:1">
      <c r="A3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1" spans="1:1">
      <c r="A11" t="s">
        <v>7</v>
      </c>
    </row>
    <row r="12" spans="1:1">
      <c r="A12" t="s">
        <v>8</v>
      </c>
    </row>
    <row r="13" spans="1:1">
      <c r="A13" t="s">
        <v>9</v>
      </c>
    </row>
    <row r="14" spans="1:1">
      <c r="A14" t="s">
        <v>10</v>
      </c>
    </row>
    <row r="15" spans="1:1">
      <c r="A15" t="s">
        <v>11</v>
      </c>
    </row>
    <row r="16" spans="1:1">
      <c r="A16" t="s">
        <v>12</v>
      </c>
    </row>
    <row r="17" spans="1:1">
      <c r="A17" t="s">
        <v>13</v>
      </c>
    </row>
    <row r="18" spans="1:1">
      <c r="A18" t="s">
        <v>14</v>
      </c>
    </row>
    <row r="19" spans="1:1">
      <c r="A19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24</v>
      </c>
    </row>
    <row r="30" spans="1:1">
      <c r="A30" t="s">
        <v>25</v>
      </c>
    </row>
    <row r="31" spans="1:1">
      <c r="A31" t="s">
        <v>26</v>
      </c>
    </row>
    <row r="32" spans="1:1">
      <c r="A32" t="s">
        <v>27</v>
      </c>
    </row>
    <row r="33" spans="1:1">
      <c r="A33" t="s">
        <v>28</v>
      </c>
    </row>
    <row r="34" spans="1:1">
      <c r="A34" t="s">
        <v>29</v>
      </c>
    </row>
    <row r="35" spans="1:1">
      <c r="A35" t="s">
        <v>30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BIData</vt:lpstr>
      <vt:lpstr>ReferenceData</vt:lpstr>
      <vt:lpstr>帮助-参考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lenovo</cp:lastModifiedBy>
  <dcterms:created xsi:type="dcterms:W3CDTF">2013-04-03T15:49:21Z</dcterms:created>
  <dcterms:modified xsi:type="dcterms:W3CDTF">2018-03-14T03:18:59Z</dcterms:modified>
</cp:coreProperties>
</file>